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iagrams/data1.xml" ContentType="application/vnd.openxmlformats-officedocument.drawingml.diagramData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layout1.xml" ContentType="application/vnd.openxmlformats-officedocument.drawingml.diagramLayou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I72" i="1" l="1"/>
  <c r="H72" i="1"/>
  <c r="E72" i="1"/>
  <c r="I69" i="1"/>
  <c r="E69" i="1" s="1"/>
  <c r="H69" i="1"/>
  <c r="B69" i="1"/>
  <c r="I67" i="1"/>
  <c r="H67" i="1"/>
  <c r="E67" i="1"/>
  <c r="M66" i="1"/>
  <c r="L66" i="1"/>
  <c r="H66" i="1"/>
  <c r="E66" i="1"/>
  <c r="K65" i="1"/>
  <c r="I65" i="1"/>
  <c r="E65" i="1"/>
  <c r="E62" i="1" s="1"/>
  <c r="K64" i="1"/>
  <c r="K66" i="1" s="1"/>
  <c r="I64" i="1"/>
  <c r="E64" i="1"/>
  <c r="B64" i="1"/>
  <c r="I63" i="1"/>
  <c r="I66" i="1" s="1"/>
  <c r="E63" i="1"/>
  <c r="B63" i="1"/>
  <c r="M62" i="1"/>
  <c r="L62" i="1"/>
  <c r="I58" i="1"/>
  <c r="H58" i="1"/>
  <c r="E58" i="1"/>
  <c r="M57" i="1"/>
  <c r="P56" i="1"/>
  <c r="E56" i="1"/>
  <c r="E55" i="1" s="1"/>
  <c r="I55" i="1"/>
  <c r="P54" i="1"/>
  <c r="M53" i="1"/>
  <c r="K53" i="1"/>
  <c r="I53" i="1"/>
  <c r="E53" i="1"/>
  <c r="P52" i="1"/>
  <c r="E52" i="1"/>
  <c r="E51" i="1" s="1"/>
  <c r="I51" i="1"/>
  <c r="P50" i="1"/>
  <c r="E50" i="1"/>
  <c r="P49" i="1"/>
  <c r="E49" i="1"/>
  <c r="P48" i="1"/>
  <c r="E48" i="1"/>
  <c r="E47" i="1" s="1"/>
  <c r="I47" i="1"/>
  <c r="P46" i="1"/>
  <c r="P45" i="1"/>
  <c r="M44" i="1"/>
  <c r="I44" i="1"/>
  <c r="E44" i="1"/>
  <c r="P43" i="1"/>
  <c r="M42" i="1"/>
  <c r="K42" i="1"/>
  <c r="I42" i="1"/>
  <c r="E42" i="1"/>
  <c r="P41" i="1"/>
  <c r="I40" i="1"/>
  <c r="E40" i="1"/>
  <c r="P39" i="1"/>
  <c r="E39" i="1"/>
  <c r="P38" i="1"/>
  <c r="E38" i="1"/>
  <c r="P37" i="1"/>
  <c r="E37" i="1"/>
  <c r="P36" i="1"/>
  <c r="E36" i="1"/>
  <c r="E35" i="1" s="1"/>
  <c r="I35" i="1"/>
  <c r="P34" i="1"/>
  <c r="P33" i="1"/>
  <c r="E33" i="1"/>
  <c r="M32" i="1"/>
  <c r="K32" i="1"/>
  <c r="I32" i="1"/>
  <c r="E32" i="1"/>
  <c r="E29" i="1" s="1"/>
  <c r="P31" i="1"/>
  <c r="P30" i="1"/>
  <c r="M29" i="1"/>
  <c r="K29" i="1"/>
  <c r="K22" i="1" s="1"/>
  <c r="K57" i="1" s="1"/>
  <c r="I29" i="1"/>
  <c r="P28" i="1"/>
  <c r="E28" i="1"/>
  <c r="E27" i="1" s="1"/>
  <c r="I27" i="1"/>
  <c r="P26" i="1"/>
  <c r="E26" i="1"/>
  <c r="E25" i="1" s="1"/>
  <c r="I25" i="1"/>
  <c r="P24" i="1"/>
  <c r="P57" i="1" s="1"/>
  <c r="E24" i="1"/>
  <c r="E23" i="1" s="1"/>
  <c r="I23" i="1"/>
  <c r="M22" i="1"/>
  <c r="L22" i="1"/>
  <c r="L57" i="1" s="1"/>
  <c r="I17" i="1"/>
  <c r="H17" i="1"/>
  <c r="E17" i="1"/>
  <c r="P16" i="1"/>
  <c r="L16" i="1"/>
  <c r="S15" i="1"/>
  <c r="S14" i="1"/>
  <c r="M14" i="1"/>
  <c r="M13" i="1" s="1"/>
  <c r="E14" i="1"/>
  <c r="E16" i="1" s="1"/>
  <c r="S13" i="1"/>
  <c r="L13" i="1"/>
  <c r="K13" i="1"/>
  <c r="K16" i="1" s="1"/>
  <c r="I13" i="1"/>
  <c r="H8" i="1"/>
  <c r="E5" i="1"/>
  <c r="I4" i="1"/>
  <c r="E4" i="1"/>
  <c r="E8" i="1" s="1"/>
  <c r="E57" i="1" l="1"/>
  <c r="E71" i="1" s="1"/>
  <c r="E22" i="1"/>
  <c r="H57" i="1"/>
  <c r="J58" i="1" s="1"/>
  <c r="M16" i="1"/>
  <c r="M71" i="1" s="1"/>
  <c r="L71" i="1"/>
  <c r="I57" i="1"/>
  <c r="K71" i="1"/>
  <c r="E13" i="1"/>
  <c r="I8" i="1"/>
  <c r="K62" i="1"/>
  <c r="I16" i="1" l="1"/>
  <c r="I71" i="1" s="1"/>
  <c r="H16" i="1"/>
  <c r="H71" i="1" s="1"/>
</calcChain>
</file>

<file path=xl/comments1.xml><?xml version="1.0" encoding="utf-8"?>
<comments xmlns="http://schemas.openxmlformats.org/spreadsheetml/2006/main">
  <authors>
    <author>Jairo Luiz Canova</author>
  </authors>
  <commentList>
    <comment ref="F63" authorId="0">
      <text>
        <r>
          <rPr>
            <b/>
            <sz val="9"/>
            <color indexed="81"/>
            <rFont val="Tahoma"/>
            <family val="2"/>
          </rPr>
          <t>Jairo Luiz Canova:</t>
        </r>
        <r>
          <rPr>
            <sz val="9"/>
            <color indexed="81"/>
            <rFont val="Tahoma"/>
            <family val="2"/>
          </rPr>
          <t xml:space="preserve">
AD = Administração Direta</t>
        </r>
      </text>
    </comment>
  </commentList>
</comments>
</file>

<file path=xl/sharedStrings.xml><?xml version="1.0" encoding="utf-8"?>
<sst xmlns="http://schemas.openxmlformats.org/spreadsheetml/2006/main" count="227" uniqueCount="96">
  <si>
    <t>COMPONENTE I - OBRAS DA GERAÇÃO</t>
  </si>
  <si>
    <t>N°</t>
  </si>
  <si>
    <t>Descrição Contrato e Montante (Estimado)</t>
  </si>
  <si>
    <t>Tipo</t>
  </si>
  <si>
    <t>No</t>
  </si>
  <si>
    <t>total</t>
  </si>
  <si>
    <t>Método de Aquisição</t>
  </si>
  <si>
    <t>Revisão</t>
  </si>
  <si>
    <t>Fonte de Financiamento e Porcentagem</t>
  </si>
  <si>
    <t>Préqualificação (sim/Não)</t>
  </si>
  <si>
    <t>Datas Estimadas</t>
  </si>
  <si>
    <t>Situação: (Pendente / Em processo / Adjudicado / Cancelado)</t>
  </si>
  <si>
    <t>Valor  (US$ x 1.000)</t>
  </si>
  <si>
    <t>EXA
EXP</t>
  </si>
  <si>
    <t>BID%</t>
  </si>
  <si>
    <t>Local/AFD%</t>
  </si>
  <si>
    <t>Publicação Anúncio Específico de Aquisição</t>
  </si>
  <si>
    <t>Início de contrato</t>
  </si>
  <si>
    <t>Término do contrato</t>
  </si>
  <si>
    <t>1.3.1</t>
  </si>
  <si>
    <t>PCH Ijuizinho II - Empreitada integral: projeto executivo, montagem, materiais e equipamentos eletromecânicos</t>
  </si>
  <si>
    <t>O1</t>
  </si>
  <si>
    <t>LPI</t>
  </si>
  <si>
    <t>EXA</t>
  </si>
  <si>
    <t>Não</t>
  </si>
  <si>
    <t>Cancelado</t>
  </si>
  <si>
    <t>Pendente</t>
  </si>
  <si>
    <t>Obras Civis, Meio Ambiente e Custos Indiretos</t>
  </si>
  <si>
    <t>Em processo</t>
  </si>
  <si>
    <t>Subestações e Linha de Transmissão</t>
  </si>
  <si>
    <t>Adjudicado</t>
  </si>
  <si>
    <t>Equipamentos Eletromecânicos</t>
  </si>
  <si>
    <t>TOTAL COMPONENTE I</t>
  </si>
  <si>
    <t>COMPONENTE II - OBRAS DA GERAÇÃO</t>
  </si>
  <si>
    <t>2.3.1</t>
  </si>
  <si>
    <t>Modernização das UHEs Passo Real e Itaúba - empreitada integral: projeto executivo, montagem e materiais</t>
  </si>
  <si>
    <t>EXP</t>
  </si>
  <si>
    <t>Modernização da Unidade Geradora nº 4 da UHE Itaúba</t>
  </si>
  <si>
    <t>Modernização da Unidade Geradora nº 2 da UHE Passo Real</t>
  </si>
  <si>
    <t>TOTAL COMPONENTE II</t>
  </si>
  <si>
    <t>COMPONENTE III - OBRAS DA TRANSMISSÃO</t>
  </si>
  <si>
    <t>Situação: (Pendente/ Em processo/Adjudicado/Cancelado)</t>
  </si>
  <si>
    <t>Ex-ante ou Ex-post</t>
  </si>
  <si>
    <t>3.3</t>
  </si>
  <si>
    <t>OBRAS DA TRANSMISSÃO</t>
  </si>
  <si>
    <t>3.3.1</t>
  </si>
  <si>
    <t>Obras da Transmissão com empreitada integral: projeto executivo, montagem e materiais</t>
  </si>
  <si>
    <t>Cachoeirinha 1 - Transf. 138/23 kV</t>
  </si>
  <si>
    <t>3.3.18</t>
  </si>
  <si>
    <t>Lajeado 2 - Dois Transformadores 69/13,8kV de 25 MVA</t>
  </si>
  <si>
    <t>3.3.3</t>
  </si>
  <si>
    <t>Livramento 2 - Reator 230 kV</t>
  </si>
  <si>
    <t>3.3.22</t>
  </si>
  <si>
    <t>LPN</t>
  </si>
  <si>
    <t>Taquara - Setor de 138 kV</t>
  </si>
  <si>
    <t>Osório 2 - Setor de 138 kV</t>
  </si>
  <si>
    <t>3.3.23</t>
  </si>
  <si>
    <t>Santa Marta - Setor 230 e 138 kV</t>
  </si>
  <si>
    <t>Ijuí 1 - Setor de 23 kV</t>
  </si>
  <si>
    <t>3.3.5</t>
  </si>
  <si>
    <t>Ijuí 1 - Troca Transformador 69/23 kV de 8 p/ 25 MVA</t>
  </si>
  <si>
    <t>Cruz Alta - Banco Capacitor 23 kV</t>
  </si>
  <si>
    <t>Ijuí 1 - Banco Capacitor 23 kV</t>
  </si>
  <si>
    <t>Panambí - Banco Capacitor 23 kV</t>
  </si>
  <si>
    <t>3.3.6</t>
  </si>
  <si>
    <t>RDC</t>
  </si>
  <si>
    <t>Canoas 1 - Transformador 230/23 kV</t>
  </si>
  <si>
    <t>3.3.7</t>
  </si>
  <si>
    <t>São Borja 2 - Transformador 230/69 kV e Banco de Capacitores 230 kV</t>
  </si>
  <si>
    <t>3.3.8</t>
  </si>
  <si>
    <t>Maçambará - Transformador 230/69 kV</t>
  </si>
  <si>
    <t>Scharlau - Transformador 230/23 kV</t>
  </si>
  <si>
    <t>3.3.19</t>
  </si>
  <si>
    <t>Bagé 2 - Troca Transformador 69/23 kV de 10 p/ 25 MVA</t>
  </si>
  <si>
    <t>Camaquã - Transformador 69/23 kV</t>
  </si>
  <si>
    <t>Presidente Médici - Transformador 69/23 kV de 8 p/ 25 MVA</t>
  </si>
  <si>
    <t>3.3.21</t>
  </si>
  <si>
    <t>SE Guaíba 2 - Modulos para seccionamento da LT 230 kV Pelotas 3 - C. Industrial</t>
  </si>
  <si>
    <t>3.3.10</t>
  </si>
  <si>
    <t>LT 138 kV UHE P. Fundo - Erechim 1</t>
  </si>
  <si>
    <t>3.3.11</t>
  </si>
  <si>
    <t>LT 138 kV C. Industrial - Cachoeirinha 1 e Módulos associados</t>
  </si>
  <si>
    <t>TOTAL COMPONENTE III</t>
  </si>
  <si>
    <t>ENGENHARIA, ADMINISTRAÇÃO E AUDITORIA</t>
  </si>
  <si>
    <t>4.5</t>
  </si>
  <si>
    <t>Custos Operativos</t>
  </si>
  <si>
    <t>4.5.1</t>
  </si>
  <si>
    <t>AD</t>
  </si>
  <si>
    <t>4.5.2</t>
  </si>
  <si>
    <t>4.5.3</t>
  </si>
  <si>
    <t>Monitoramento, avaliação de médio prazo e final</t>
  </si>
  <si>
    <t>AF-200</t>
  </si>
  <si>
    <t>TOTAL COMPONENTE IV</t>
  </si>
  <si>
    <t>CONTIGÊNCIAS</t>
  </si>
  <si>
    <t>5.6.2</t>
  </si>
  <si>
    <t>TOTAL CEEE 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</si>
</sst>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#,##0.0"/>
    <numFmt numFmtId="167" formatCode="#,##0.000"/>
    <numFmt numFmtId="168" formatCode="[$-416]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26"/>
      <color indexed="10"/>
      <name val="Arial"/>
      <family val="2"/>
    </font>
    <font>
      <sz val="10"/>
      <color indexed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164" fontId="4" fillId="0" borderId="0" xfId="3" applyNumberFormat="1" applyFont="1" applyFill="1" applyAlignment="1">
      <alignment horizontal="right" vertical="center"/>
    </xf>
    <xf numFmtId="4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4" fontId="6" fillId="2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167" fontId="9" fillId="3" borderId="10" xfId="2" applyNumberFormat="1" applyFont="1" applyFill="1" applyBorder="1" applyAlignment="1">
      <alignment horizontal="center" vertical="center" wrapText="1"/>
    </xf>
    <xf numFmtId="10" fontId="9" fillId="3" borderId="10" xfId="0" applyNumberFormat="1" applyFont="1" applyFill="1" applyBorder="1" applyAlignment="1">
      <alignment horizontal="center" vertical="center" wrapText="1"/>
    </xf>
    <xf numFmtId="168" fontId="9" fillId="3" borderId="10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4" borderId="12" xfId="4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167" fontId="9" fillId="0" borderId="10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8" fontId="9" fillId="4" borderId="10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10" fontId="4" fillId="0" borderId="0" xfId="3" applyNumberFormat="1" applyFont="1" applyFill="1" applyAlignment="1">
      <alignment vertical="center"/>
    </xf>
    <xf numFmtId="0" fontId="9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center" vertical="center" wrapText="1"/>
    </xf>
    <xf numFmtId="167" fontId="11" fillId="5" borderId="15" xfId="2" applyNumberFormat="1" applyFont="1" applyFill="1" applyBorder="1" applyAlignment="1">
      <alignment horizontal="center" vertical="center" wrapText="1"/>
    </xf>
    <xf numFmtId="167" fontId="11" fillId="5" borderId="15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 wrapText="1"/>
    </xf>
    <xf numFmtId="168" fontId="9" fillId="5" borderId="15" xfId="0" applyNumberFormat="1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9" fillId="3" borderId="10" xfId="4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4" fillId="4" borderId="10" xfId="4" applyFont="1" applyFill="1" applyBorder="1" applyAlignment="1">
      <alignment horizontal="left" vertical="center" wrapText="1" indent="1"/>
    </xf>
    <xf numFmtId="167" fontId="9" fillId="0" borderId="0" xfId="0" applyNumberFormat="1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167" fontId="4" fillId="0" borderId="0" xfId="0" applyNumberFormat="1" applyFont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center" vertical="center" wrapText="1"/>
    </xf>
    <xf numFmtId="4" fontId="9" fillId="6" borderId="10" xfId="0" applyNumberFormat="1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0" fontId="2" fillId="7" borderId="10" xfId="0" applyFont="1" applyFill="1" applyBorder="1" applyAlignment="1">
      <alignment horizontal="center" vertical="center" wrapText="1"/>
    </xf>
    <xf numFmtId="43" fontId="5" fillId="7" borderId="10" xfId="1" applyFont="1" applyFill="1" applyBorder="1" applyAlignment="1">
      <alignment horizontal="left" vertical="center" wrapText="1"/>
    </xf>
    <xf numFmtId="0" fontId="9" fillId="7" borderId="10" xfId="0" applyFont="1" applyFill="1" applyBorder="1" applyAlignment="1">
      <alignment horizontal="center" vertical="center" wrapText="1"/>
    </xf>
    <xf numFmtId="17" fontId="9" fillId="7" borderId="10" xfId="0" applyNumberFormat="1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17" fontId="9" fillId="3" borderId="10" xfId="0" applyNumberFormat="1" applyFont="1" applyFill="1" applyBorder="1" applyAlignment="1">
      <alignment horizontal="center" vertical="center" wrapText="1"/>
    </xf>
    <xf numFmtId="0" fontId="9" fillId="4" borderId="10" xfId="4" applyFont="1" applyFill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17" fontId="9" fillId="4" borderId="10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10" fontId="9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" fontId="9" fillId="0" borderId="1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vertical="center"/>
    </xf>
    <xf numFmtId="0" fontId="11" fillId="5" borderId="15" xfId="0" applyFont="1" applyFill="1" applyBorder="1" applyAlignment="1">
      <alignment horizontal="left" vertical="center" wrapText="1"/>
    </xf>
    <xf numFmtId="0" fontId="12" fillId="5" borderId="15" xfId="0" applyFont="1" applyFill="1" applyBorder="1" applyAlignment="1">
      <alignment vertical="center"/>
    </xf>
    <xf numFmtId="167" fontId="11" fillId="5" borderId="15" xfId="0" applyNumberFormat="1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8" fontId="9" fillId="0" borderId="0" xfId="0" applyNumberFormat="1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left" vertical="center"/>
    </xf>
    <xf numFmtId="0" fontId="2" fillId="0" borderId="0" xfId="5" applyFont="1" applyBorder="1" applyAlignment="1">
      <alignment horizontal="left" vertical="center" wrapText="1"/>
    </xf>
    <xf numFmtId="0" fontId="3" fillId="0" borderId="0" xfId="5" applyFont="1" applyBorder="1" applyAlignment="1">
      <alignment horizontal="left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textRotation="90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3" xfId="5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 wrapText="1"/>
    </xf>
    <xf numFmtId="0" fontId="5" fillId="2" borderId="4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6" xfId="5" applyFont="1" applyFill="1" applyBorder="1" applyAlignment="1">
      <alignment horizontal="center" vertical="center" wrapText="1"/>
    </xf>
    <xf numFmtId="0" fontId="5" fillId="2" borderId="7" xfId="5" applyFont="1" applyFill="1" applyBorder="1" applyAlignment="1">
      <alignment horizontal="center" vertical="center" wrapText="1"/>
    </xf>
    <xf numFmtId="0" fontId="5" fillId="2" borderId="8" xfId="5" applyFont="1" applyFill="1" applyBorder="1" applyAlignment="1">
      <alignment horizontal="center" vertical="center" wrapText="1"/>
    </xf>
    <xf numFmtId="0" fontId="5" fillId="2" borderId="9" xfId="5" applyFont="1" applyFill="1" applyBorder="1" applyAlignment="1">
      <alignment horizontal="center" vertical="center" wrapText="1"/>
    </xf>
    <xf numFmtId="0" fontId="4" fillId="2" borderId="9" xfId="5" applyFont="1" applyFill="1" applyBorder="1" applyAlignment="1">
      <alignment horizontal="center" vertical="center" textRotation="90" wrapText="1"/>
    </xf>
    <xf numFmtId="0" fontId="4" fillId="2" borderId="9" xfId="5" applyFont="1" applyFill="1" applyBorder="1" applyAlignment="1">
      <alignment horizontal="center" vertical="center" wrapText="1"/>
    </xf>
    <xf numFmtId="0" fontId="7" fillId="2" borderId="1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5" fillId="2" borderId="11" xfId="5" applyFont="1" applyFill="1" applyBorder="1" applyAlignment="1">
      <alignment horizontal="center" vertical="center" wrapText="1"/>
    </xf>
    <xf numFmtId="0" fontId="2" fillId="7" borderId="12" xfId="5" applyFont="1" applyFill="1" applyBorder="1" applyAlignment="1">
      <alignment horizontal="center" vertical="center" wrapText="1"/>
    </xf>
    <xf numFmtId="0" fontId="2" fillId="7" borderId="10" xfId="5" applyFont="1" applyFill="1" applyBorder="1" applyAlignment="1">
      <alignment horizontal="left" vertical="center" wrapText="1"/>
    </xf>
    <xf numFmtId="0" fontId="2" fillId="7" borderId="10" xfId="5" applyFont="1" applyFill="1" applyBorder="1" applyAlignment="1">
      <alignment horizontal="center" vertical="center" wrapText="1"/>
    </xf>
    <xf numFmtId="43" fontId="14" fillId="7" borderId="10" xfId="6" applyFont="1" applyFill="1" applyBorder="1" applyAlignment="1">
      <alignment horizontal="left" vertical="center" wrapText="1"/>
    </xf>
    <xf numFmtId="0" fontId="3" fillId="7" borderId="10" xfId="5" applyFont="1" applyFill="1" applyBorder="1" applyAlignment="1">
      <alignment horizontal="center" vertical="center" wrapText="1"/>
    </xf>
    <xf numFmtId="0" fontId="3" fillId="7" borderId="13" xfId="5" applyFont="1" applyFill="1" applyBorder="1" applyAlignment="1">
      <alignment horizontal="center" vertical="center" wrapText="1"/>
    </xf>
    <xf numFmtId="0" fontId="9" fillId="3" borderId="12" xfId="5" applyFont="1" applyFill="1" applyBorder="1" applyAlignment="1">
      <alignment horizontal="center" vertical="center" wrapText="1"/>
    </xf>
    <xf numFmtId="0" fontId="9" fillId="3" borderId="10" xfId="5" applyFont="1" applyFill="1" applyBorder="1" applyAlignment="1">
      <alignment horizontal="left" vertical="center" wrapText="1"/>
    </xf>
    <xf numFmtId="0" fontId="9" fillId="3" borderId="10" xfId="5" applyFont="1" applyFill="1" applyBorder="1" applyAlignment="1">
      <alignment horizontal="center" vertical="center" wrapText="1"/>
    </xf>
    <xf numFmtId="4" fontId="9" fillId="3" borderId="10" xfId="5" applyNumberFormat="1" applyFont="1" applyFill="1" applyBorder="1" applyAlignment="1">
      <alignment horizontal="center" vertical="center" wrapText="1"/>
    </xf>
    <xf numFmtId="10" fontId="9" fillId="3" borderId="10" xfId="7" applyNumberFormat="1" applyFont="1" applyFill="1" applyBorder="1" applyAlignment="1">
      <alignment horizontal="center" vertical="center" wrapText="1"/>
    </xf>
    <xf numFmtId="0" fontId="4" fillId="3" borderId="13" xfId="5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vertical="center"/>
    </xf>
    <xf numFmtId="0" fontId="11" fillId="5" borderId="15" xfId="0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15" fillId="5" borderId="17" xfId="0" applyNumberFormat="1" applyFont="1" applyFill="1" applyBorder="1" applyAlignment="1">
      <alignment horizontal="center" vertical="center"/>
    </xf>
    <xf numFmtId="4" fontId="15" fillId="5" borderId="18" xfId="0" applyNumberFormat="1" applyFont="1" applyFill="1" applyBorder="1" applyAlignment="1">
      <alignment horizontal="left" vertical="center" wrapText="1"/>
    </xf>
    <xf numFmtId="4" fontId="15" fillId="5" borderId="18" xfId="0" applyNumberFormat="1" applyFont="1" applyFill="1" applyBorder="1" applyAlignment="1">
      <alignment vertical="center"/>
    </xf>
    <xf numFmtId="167" fontId="11" fillId="5" borderId="18" xfId="2" applyNumberFormat="1" applyFont="1" applyFill="1" applyBorder="1" applyAlignment="1">
      <alignment horizontal="center" vertical="center" wrapText="1"/>
    </xf>
    <xf numFmtId="167" fontId="11" fillId="5" borderId="18" xfId="0" applyNumberFormat="1" applyFont="1" applyFill="1" applyBorder="1" applyAlignment="1">
      <alignment horizontal="center" vertical="center"/>
    </xf>
    <xf numFmtId="167" fontId="11" fillId="5" borderId="18" xfId="0" applyNumberFormat="1" applyFont="1" applyFill="1" applyBorder="1" applyAlignment="1">
      <alignment vertical="center"/>
    </xf>
    <xf numFmtId="168" fontId="9" fillId="5" borderId="18" xfId="5" applyNumberFormat="1" applyFont="1" applyFill="1" applyBorder="1" applyAlignment="1">
      <alignment horizontal="center" vertical="center" wrapText="1"/>
    </xf>
    <xf numFmtId="4" fontId="16" fillId="5" borderId="19" xfId="0" applyNumberFormat="1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horizontal="center" vertical="center" wrapText="1"/>
    </xf>
    <xf numFmtId="4" fontId="15" fillId="5" borderId="21" xfId="0" applyNumberFormat="1" applyFont="1" applyFill="1" applyBorder="1" applyAlignment="1">
      <alignment horizontal="center" vertical="center" wrapText="1"/>
    </xf>
    <xf numFmtId="167" fontId="2" fillId="5" borderId="18" xfId="2" applyNumberFormat="1" applyFont="1" applyFill="1" applyBorder="1" applyAlignment="1">
      <alignment horizontal="center" vertical="center" wrapText="1"/>
    </xf>
    <xf numFmtId="4" fontId="2" fillId="5" borderId="18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7" fontId="4" fillId="0" borderId="0" xfId="0" applyNumberFormat="1" applyFont="1" applyAlignment="1">
      <alignment vertical="center"/>
    </xf>
    <xf numFmtId="10" fontId="4" fillId="0" borderId="0" xfId="3" applyNumberFormat="1" applyFont="1" applyAlignment="1">
      <alignment horizontal="center" vertical="center"/>
    </xf>
  </cellXfs>
  <cellStyles count="8">
    <cellStyle name="Comma" xfId="1" builtinId="3"/>
    <cellStyle name="Currency" xfId="2" builtinId="4"/>
    <cellStyle name="Normal" xfId="0" builtinId="0"/>
    <cellStyle name="Normal 2 2" xfId="4"/>
    <cellStyle name="Normal 3" xfId="5"/>
    <cellStyle name="Percent" xfId="3" builtinId="5"/>
    <cellStyle name="Porcentagem 2" xfId="7"/>
    <cellStyle name="Separador de milhares 3" xfId="6"/>
  </cellStyles>
  <dxfs count="17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iagrams/_rels/data1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5_5">
  <dgm:title val=""/>
  <dgm:desc val=""/>
  <dgm:catLst>
    <dgm:cat type="accent5" pri="11500"/>
  </dgm:catLst>
  <dgm:styleLbl name="node0">
    <dgm:fillClrLst meth="cycle">
      <a:schemeClr val="accent5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>
        <a:alpha val="90000"/>
      </a:schemeClr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>
        <a:alpha val="90000"/>
      </a:schemeClr>
      <a:schemeClr val="accent5">
        <a:alpha val="5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/>
    <dgm:txEffectClrLst/>
  </dgm:styleLbl>
  <dgm:styleLbl name="lnNode1">
    <dgm:fillClrLst>
      <a:schemeClr val="accent5">
        <a:shade val="90000"/>
      </a:schemeClr>
      <a:schemeClr val="accent5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shade val="80000"/>
        <a:alpha val="50000"/>
      </a:schemeClr>
      <a:schemeClr val="accent5">
        <a:alpha val="2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  <a:alpha val="90000"/>
      </a:schemeClr>
      <a:schemeClr val="accent5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/>
    <dgm:txEffectClrLst/>
  </dgm:styleLbl>
  <dgm:styleLbl name="fgSibTrans2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/>
    <dgm:txEffectClrLst/>
  </dgm:styleLbl>
  <dgm:styleLbl name="bgSibTrans2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/>
    <dgm:txEffectClrLst/>
  </dgm:styleLbl>
  <dgm:styleLbl name="sibTrans1D1">
    <dgm:fillClrLst>
      <a:schemeClr val="accent5">
        <a:shade val="90000"/>
      </a:schemeClr>
      <a:schemeClr val="accent5">
        <a:tint val="50000"/>
      </a:schemeClr>
    </dgm:fillClrLst>
    <dgm:linClrLst>
      <a:schemeClr val="accent5">
        <a:shade val="90000"/>
      </a:schemeClr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5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5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>
        <a:shade val="80000"/>
      </a:schemeClr>
    </dgm:fillClrLst>
    <dgm:linClrLst meth="repeat">
      <a:schemeClr val="accent5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5">
        <a:tint val="90000"/>
      </a:schemeClr>
    </dgm:fillClrLst>
    <dgm:linClrLst meth="repeat">
      <a:schemeClr val="accent5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5">
        <a:tint val="5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5">
        <a:shade val="8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5">
        <a:tint val="90000"/>
      </a:schemeClr>
    </dgm:fillClrLst>
    <dgm:linClrLst meth="repeat">
      <a:schemeClr val="accent5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>
        <a:alpha val="90000"/>
      </a:schemeClr>
      <a:schemeClr val="accent5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alpha val="90000"/>
        <a:tint val="40000"/>
      </a:schemeClr>
      <a:schemeClr val="accent5">
        <a:alpha val="5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5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5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9077374-1E2F-4A55-8434-ACD20033FCEC}" type="doc">
      <dgm:prSet loTypeId="urn:microsoft.com/office/officeart/2005/8/layout/list1" loCatId="list" qsTypeId="urn:microsoft.com/office/officeart/2005/8/quickstyle/3d3" qsCatId="3D" csTypeId="urn:microsoft.com/office/officeart/2005/8/colors/accent5_5" csCatId="accent5" phldr="1"/>
      <dgm:spPr/>
      <dgm:t>
        <a:bodyPr/>
        <a:lstStyle/>
        <a:p>
          <a:endParaRPr lang="pt-BR"/>
        </a:p>
      </dgm:t>
    </dgm:pt>
    <dgm:pt modelId="{B83B6982-E89D-4088-A0F6-9A21DA8BEE7E}">
      <dgm:prSet phldrT="[Texto]"/>
      <dgm:spPr/>
      <dgm:t>
        <a:bodyPr/>
        <a:lstStyle/>
        <a:p>
          <a:r>
            <a:rPr lang="pt-BR"/>
            <a:t>Voltar para o Indice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9D33C4AA-BE41-4FD2-82B5-FBB670F245DB}" type="parTrans" cxnId="{240568E8-402E-45AF-9D98-8150D4940D71}">
      <dgm:prSet/>
      <dgm:spPr/>
      <dgm:t>
        <a:bodyPr/>
        <a:lstStyle/>
        <a:p>
          <a:endParaRPr lang="pt-BR"/>
        </a:p>
      </dgm:t>
    </dgm:pt>
    <dgm:pt modelId="{435DB8AD-C426-4E02-B3C1-DC5A1093EB04}" type="sibTrans" cxnId="{240568E8-402E-45AF-9D98-8150D4940D71}">
      <dgm:prSet/>
      <dgm:spPr/>
      <dgm:t>
        <a:bodyPr/>
        <a:lstStyle/>
        <a:p>
          <a:endParaRPr lang="pt-BR"/>
        </a:p>
      </dgm:t>
    </dgm:pt>
    <dgm:pt modelId="{CA35A0B6-EF6A-4A6B-9797-72E20DBCCC8A}" type="pres">
      <dgm:prSet presAssocID="{79077374-1E2F-4A55-8434-ACD20033FCEC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pt-BR"/>
        </a:p>
      </dgm:t>
    </dgm:pt>
    <dgm:pt modelId="{7173458C-E794-4A3B-99AE-F68F89B9721E}" type="pres">
      <dgm:prSet presAssocID="{B83B6982-E89D-4088-A0F6-9A21DA8BEE7E}" presName="parentLin" presStyleCnt="0"/>
      <dgm:spPr/>
    </dgm:pt>
    <dgm:pt modelId="{6D0FEC36-4894-44B1-9736-CE31CD16BEE5}" type="pres">
      <dgm:prSet presAssocID="{B83B6982-E89D-4088-A0F6-9A21DA8BEE7E}" presName="parentLeftMargin" presStyleLbl="node1" presStyleIdx="0" presStyleCnt="1"/>
      <dgm:spPr/>
      <dgm:t>
        <a:bodyPr/>
        <a:lstStyle/>
        <a:p>
          <a:endParaRPr lang="pt-BR"/>
        </a:p>
      </dgm:t>
    </dgm:pt>
    <dgm:pt modelId="{5960B993-B1ED-4FE2-B96B-A03C1E13BF51}" type="pres">
      <dgm:prSet presAssocID="{B83B6982-E89D-4088-A0F6-9A21DA8BEE7E}" presName="parentText" presStyleLbl="node1" presStyleIdx="0" presStyleCnt="1">
        <dgm:presLayoutVars>
          <dgm:chMax val="0"/>
          <dgm:bulletEnabled val="1"/>
        </dgm:presLayoutVars>
      </dgm:prSet>
      <dgm:spPr/>
      <dgm:t>
        <a:bodyPr/>
        <a:lstStyle/>
        <a:p>
          <a:endParaRPr lang="pt-BR"/>
        </a:p>
      </dgm:t>
    </dgm:pt>
    <dgm:pt modelId="{8FA2A974-C666-4200-BDA7-C523BC3DCF59}" type="pres">
      <dgm:prSet presAssocID="{B83B6982-E89D-4088-A0F6-9A21DA8BEE7E}" presName="negativeSpace" presStyleCnt="0"/>
      <dgm:spPr/>
    </dgm:pt>
    <dgm:pt modelId="{2F762F13-49B6-43E0-B458-C05E0C16B2C9}" type="pres">
      <dgm:prSet presAssocID="{B83B6982-E89D-4088-A0F6-9A21DA8BEE7E}" presName="childText" presStyleLbl="conFgAcc1" presStyleIdx="0" presStyleCnt="1" custScaleX="26368" custScaleY="18960" custLinFactNeighborX="19920">
        <dgm:presLayoutVars>
          <dgm:bulletEnabled val="1"/>
        </dgm:presLayoutVars>
      </dgm:prSet>
      <dgm:spPr/>
      <dgm:t>
        <a:bodyPr/>
        <a:lstStyle/>
        <a:p>
          <a:endParaRPr lang="pt-BR"/>
        </a:p>
      </dgm:t>
    </dgm:pt>
  </dgm:ptLst>
  <dgm:cxnLst>
    <dgm:cxn modelId="{6C05C6F5-96BC-41C3-BF17-52E9A39E0DEF}" type="presOf" srcId="{B83B6982-E89D-4088-A0F6-9A21DA8BEE7E}" destId="{6D0FEC36-4894-44B1-9736-CE31CD16BEE5}" srcOrd="0" destOrd="0" presId="urn:microsoft.com/office/officeart/2005/8/layout/list1"/>
    <dgm:cxn modelId="{9FE9D316-88A5-4A0E-A2C1-0050643527AF}" type="presOf" srcId="{B83B6982-E89D-4088-A0F6-9A21DA8BEE7E}" destId="{5960B993-B1ED-4FE2-B96B-A03C1E13BF51}" srcOrd="1" destOrd="0" presId="urn:microsoft.com/office/officeart/2005/8/layout/list1"/>
    <dgm:cxn modelId="{240568E8-402E-45AF-9D98-8150D4940D71}" srcId="{79077374-1E2F-4A55-8434-ACD20033FCEC}" destId="{B83B6982-E89D-4088-A0F6-9A21DA8BEE7E}" srcOrd="0" destOrd="0" parTransId="{9D33C4AA-BE41-4FD2-82B5-FBB670F245DB}" sibTransId="{435DB8AD-C426-4E02-B3C1-DC5A1093EB04}"/>
    <dgm:cxn modelId="{DB829245-CD00-4910-8325-AA376E75D900}" type="presOf" srcId="{79077374-1E2F-4A55-8434-ACD20033FCEC}" destId="{CA35A0B6-EF6A-4A6B-9797-72E20DBCCC8A}" srcOrd="0" destOrd="0" presId="urn:microsoft.com/office/officeart/2005/8/layout/list1"/>
    <dgm:cxn modelId="{772C752C-2615-4ADF-B164-A55D413F2A16}" type="presParOf" srcId="{CA35A0B6-EF6A-4A6B-9797-72E20DBCCC8A}" destId="{7173458C-E794-4A3B-99AE-F68F89B9721E}" srcOrd="0" destOrd="0" presId="urn:microsoft.com/office/officeart/2005/8/layout/list1"/>
    <dgm:cxn modelId="{E29FA4C4-B54C-41FC-BF8E-F87CBCAC50C8}" type="presParOf" srcId="{7173458C-E794-4A3B-99AE-F68F89B9721E}" destId="{6D0FEC36-4894-44B1-9736-CE31CD16BEE5}" srcOrd="0" destOrd="0" presId="urn:microsoft.com/office/officeart/2005/8/layout/list1"/>
    <dgm:cxn modelId="{E66F4E23-0516-4C58-B496-D1AB3BEB5810}" type="presParOf" srcId="{7173458C-E794-4A3B-99AE-F68F89B9721E}" destId="{5960B993-B1ED-4FE2-B96B-A03C1E13BF51}" srcOrd="1" destOrd="0" presId="urn:microsoft.com/office/officeart/2005/8/layout/list1"/>
    <dgm:cxn modelId="{3437BDA6-EC9E-4694-8D16-FDC8E330101D}" type="presParOf" srcId="{CA35A0B6-EF6A-4A6B-9797-72E20DBCCC8A}" destId="{8FA2A974-C666-4200-BDA7-C523BC3DCF59}" srcOrd="1" destOrd="0" presId="urn:microsoft.com/office/officeart/2005/8/layout/list1"/>
    <dgm:cxn modelId="{53B4F2F8-BED2-4A36-8532-6D567020AA71}" type="presParOf" srcId="{CA35A0B6-EF6A-4A6B-9797-72E20DBCCC8A}" destId="{2F762F13-49B6-43E0-B458-C05E0C16B2C9}" srcOrd="2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F762F13-49B6-43E0-B458-C05E0C16B2C9}">
      <dsp:nvSpPr>
        <dsp:cNvPr id="0" name=""/>
        <dsp:cNvSpPr/>
      </dsp:nvSpPr>
      <dsp:spPr>
        <a:xfrm>
          <a:off x="381847" y="157162"/>
          <a:ext cx="505449" cy="47779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300000"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5960B993-B1ED-4FE2-B96B-A03C1E13BF51}">
      <dsp:nvSpPr>
        <dsp:cNvPr id="0" name=""/>
        <dsp:cNvSpPr/>
      </dsp:nvSpPr>
      <dsp:spPr>
        <a:xfrm>
          <a:off x="95845" y="9562"/>
          <a:ext cx="1341834" cy="295200"/>
        </a:xfrm>
        <a:prstGeom prst="roundRect">
          <a:avLst/>
        </a:prstGeom>
        <a:solidFill>
          <a:schemeClr val="accent5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0718" tIns="0" rIns="50718" bIns="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000" kern="1200"/>
            <a:t>Voltar para o Indice</a:t>
          </a:r>
        </a:p>
      </dsp:txBody>
      <dsp:txXfrm>
        <a:off x="110255" y="23972"/>
        <a:ext cx="1313014" cy="26638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1307306</xdr:colOff>
      <xdr:row>0</xdr:row>
      <xdr:rowOff>314325</xdr:rowOff>
    </xdr:to>
    <xdr:graphicFrame macro="">
      <xdr:nvGraphicFramePr>
        <xdr:cNvPr id="2" name="Diagra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ndas\AppData\Local\Microsoft\Windows\Temporary%20Internet%20Files\Content.Outlook\5OC3P1FS\2013_11_01%20PEP%20Pro-Energia%20RS%20da%20CEEE%20G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Sumario"/>
      <sheetName val="%"/>
      <sheetName val="Quadro III"/>
      <sheetName val="Reconhecimento"/>
      <sheetName val="Status Fisico"/>
      <sheetName val="Status Financeiro"/>
      <sheetName val="Status Prazos"/>
      <sheetName val="PxR"/>
      <sheetName val="PxR R$"/>
      <sheetName val="PxR U$"/>
      <sheetName val="Geral"/>
      <sheetName val="Evolui"/>
      <sheetName val="Evolui BID"/>
      <sheetName val="Evolui AFD"/>
      <sheetName val="Tableau AFD"/>
      <sheetName val="Resumo"/>
      <sheetName val="PA U$ "/>
      <sheetName val="PA R$"/>
      <sheetName val="UGP"/>
      <sheetName val="Gerencial U$"/>
      <sheetName val="Gerencial R$"/>
      <sheetName val="PMR Prod"/>
      <sheetName val="PMR Custos"/>
      <sheetName val="Tab1 POA 2011 e 2012"/>
      <sheetName val="Tab1 POA 2013"/>
      <sheetName val="Tab1 POA 2013 (2)"/>
      <sheetName val="Tabela 2 POA"/>
      <sheetName val="Relatorios"/>
      <sheetName val="Relatorios (2)"/>
      <sheetName val="Resultados"/>
      <sheetName val="Impacto"/>
      <sheetName val="Graf Resul 1"/>
      <sheetName val="Graf Resul 2"/>
      <sheetName val="Graf Resul 3"/>
      <sheetName val="Graf Prod 1"/>
      <sheetName val="Graf Prod 2"/>
      <sheetName val="Graf Prod 3"/>
      <sheetName val="Crono"/>
      <sheetName val="US$"/>
      <sheetName val="Beneficiados"/>
      <sheetName val="Caixa"/>
    </sheetNames>
    <sheetDataSet>
      <sheetData sheetId="0"/>
      <sheetData sheetId="1"/>
      <sheetData sheetId="2">
        <row r="7">
          <cell r="J7">
            <v>34654.153000000006</v>
          </cell>
          <cell r="L7">
            <v>34654.153000000006</v>
          </cell>
        </row>
        <row r="8">
          <cell r="K8">
            <v>32587.689000000002</v>
          </cell>
          <cell r="L8">
            <v>32587.689000000002</v>
          </cell>
        </row>
        <row r="9">
          <cell r="J9">
            <v>44113.89</v>
          </cell>
          <cell r="K9">
            <v>26516.268</v>
          </cell>
          <cell r="L9">
            <v>70630.157999999996</v>
          </cell>
        </row>
        <row r="10">
          <cell r="I10" t="str">
            <v>Contingências</v>
          </cell>
          <cell r="J10">
            <v>7387.9530000000004</v>
          </cell>
          <cell r="K10">
            <v>0</v>
          </cell>
        </row>
        <row r="11">
          <cell r="J11">
            <v>2500</v>
          </cell>
          <cell r="K11">
            <v>0</v>
          </cell>
          <cell r="L11">
            <v>2500</v>
          </cell>
        </row>
        <row r="12">
          <cell r="I12" t="str">
            <v>Engenharia e administração (UGP)</v>
          </cell>
          <cell r="L12">
            <v>2077</v>
          </cell>
        </row>
        <row r="13">
          <cell r="I13" t="str">
            <v>Auditoria externa</v>
          </cell>
          <cell r="L13">
            <v>223</v>
          </cell>
        </row>
        <row r="14">
          <cell r="L14">
            <v>100</v>
          </cell>
        </row>
        <row r="15">
          <cell r="L15">
            <v>100</v>
          </cell>
        </row>
        <row r="16">
          <cell r="J16">
            <v>88655.995999999999</v>
          </cell>
          <cell r="K16">
            <v>59103.957000000002</v>
          </cell>
          <cell r="L16">
            <v>147759.95300000001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5"/>
      <sheetData sheetId="16"/>
      <sheetData sheetId="17"/>
      <sheetData sheetId="18">
        <row r="13">
          <cell r="O13" t="str">
            <v>Valor contratado
(x 1.000)</v>
          </cell>
        </row>
        <row r="14">
          <cell r="O14">
            <v>25496.426960000001</v>
          </cell>
        </row>
        <row r="15">
          <cell r="O15">
            <v>33220.822899999999</v>
          </cell>
        </row>
      </sheetData>
      <sheetData sheetId="19"/>
      <sheetData sheetId="20"/>
      <sheetData sheetId="21">
        <row r="1">
          <cell r="O1">
            <v>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3"/>
  <sheetViews>
    <sheetView tabSelected="1" workbookViewId="0">
      <selection activeCell="B3" sqref="B3"/>
    </sheetView>
  </sheetViews>
  <sheetFormatPr defaultColWidth="9.140625" defaultRowHeight="12.75" x14ac:dyDescent="0.25"/>
  <cols>
    <col min="1" max="1" width="9.140625" style="148"/>
    <col min="2" max="2" width="41.28515625" style="149" customWidth="1"/>
    <col min="3" max="4" width="4.140625" style="148" hidden="1" customWidth="1"/>
    <col min="5" max="5" width="17" style="148" bestFit="1" customWidth="1"/>
    <col min="6" max="6" width="11.7109375" style="148" bestFit="1" customWidth="1"/>
    <col min="7" max="7" width="7.140625" style="148" customWidth="1"/>
    <col min="8" max="9" width="17.7109375" style="148" customWidth="1"/>
    <col min="10" max="10" width="10.42578125" style="148" hidden="1" customWidth="1"/>
    <col min="11" max="11" width="14" style="148" customWidth="1"/>
    <col min="12" max="12" width="11.140625" style="148" customWidth="1"/>
    <col min="13" max="13" width="9.5703125" style="148" customWidth="1"/>
    <col min="14" max="14" width="21.85546875" style="148" customWidth="1"/>
    <col min="15" max="15" width="12.42578125" style="4" hidden="1" customWidth="1"/>
    <col min="16" max="16" width="9.7109375" style="5" hidden="1" customWidth="1"/>
    <col min="17" max="17" width="14.42578125" style="6" hidden="1" customWidth="1"/>
    <col min="18" max="18" width="12.140625" style="7" hidden="1" customWidth="1"/>
    <col min="19" max="19" width="16.5703125" style="4" hidden="1" customWidth="1"/>
    <col min="20" max="16384" width="9.140625" style="4"/>
  </cols>
  <sheetData>
    <row r="1" spans="1:19" ht="30" customHeight="1" thickBot="1" x14ac:dyDescent="0.3">
      <c r="A1" s="1"/>
      <c r="B1" s="2"/>
      <c r="C1" s="1"/>
      <c r="D1" s="1"/>
      <c r="E1" s="1" t="s">
        <v>0</v>
      </c>
      <c r="F1" s="1"/>
      <c r="G1" s="1"/>
      <c r="H1" s="1"/>
      <c r="I1" s="1"/>
      <c r="J1" s="1"/>
      <c r="K1" s="1"/>
      <c r="L1" s="1"/>
      <c r="M1" s="1"/>
      <c r="N1" s="3"/>
    </row>
    <row r="2" spans="1:19" ht="25.5" x14ac:dyDescent="0.25">
      <c r="A2" s="8" t="s">
        <v>1</v>
      </c>
      <c r="B2" s="9" t="s">
        <v>2</v>
      </c>
      <c r="C2" s="10" t="s">
        <v>3</v>
      </c>
      <c r="D2" s="11" t="s">
        <v>4</v>
      </c>
      <c r="E2" s="12" t="s">
        <v>5</v>
      </c>
      <c r="F2" s="13" t="s">
        <v>6</v>
      </c>
      <c r="G2" s="14" t="s">
        <v>7</v>
      </c>
      <c r="H2" s="15" t="s">
        <v>8</v>
      </c>
      <c r="I2" s="16"/>
      <c r="J2" s="13" t="s">
        <v>9</v>
      </c>
      <c r="K2" s="15" t="s">
        <v>10</v>
      </c>
      <c r="L2" s="17"/>
      <c r="M2" s="16"/>
      <c r="N2" s="18" t="s">
        <v>11</v>
      </c>
    </row>
    <row r="3" spans="1:19" ht="51" x14ac:dyDescent="0.25">
      <c r="A3" s="19"/>
      <c r="B3" s="20">
        <v>41578</v>
      </c>
      <c r="C3" s="21"/>
      <c r="D3" s="22"/>
      <c r="E3" s="23" t="s">
        <v>12</v>
      </c>
      <c r="F3" s="24"/>
      <c r="G3" s="25" t="s">
        <v>13</v>
      </c>
      <c r="H3" s="25" t="s">
        <v>14</v>
      </c>
      <c r="I3" s="25" t="s">
        <v>15</v>
      </c>
      <c r="J3" s="24"/>
      <c r="K3" s="25" t="s">
        <v>16</v>
      </c>
      <c r="L3" s="26" t="s">
        <v>17</v>
      </c>
      <c r="M3" s="25" t="s">
        <v>18</v>
      </c>
      <c r="N3" s="27"/>
    </row>
    <row r="4" spans="1:19" s="36" customFormat="1" ht="40.5" customHeight="1" x14ac:dyDescent="0.25">
      <c r="A4" s="28" t="s">
        <v>19</v>
      </c>
      <c r="B4" s="29" t="s">
        <v>20</v>
      </c>
      <c r="C4" s="30" t="s">
        <v>21</v>
      </c>
      <c r="D4" s="30">
        <v>1</v>
      </c>
      <c r="E4" s="31">
        <f>SUBTOTAL(9,E5:E7)</f>
        <v>34654.152650999997</v>
      </c>
      <c r="F4" s="30" t="s">
        <v>22</v>
      </c>
      <c r="G4" s="30" t="s">
        <v>23</v>
      </c>
      <c r="H4" s="32">
        <v>1</v>
      </c>
      <c r="I4" s="32">
        <f>1-H4</f>
        <v>0</v>
      </c>
      <c r="J4" s="30" t="s">
        <v>24</v>
      </c>
      <c r="K4" s="33"/>
      <c r="L4" s="33"/>
      <c r="M4" s="33"/>
      <c r="N4" s="34" t="s">
        <v>25</v>
      </c>
      <c r="O4" s="4" t="s">
        <v>26</v>
      </c>
      <c r="P4" s="5"/>
      <c r="Q4" s="6"/>
      <c r="R4" s="35"/>
    </row>
    <row r="5" spans="1:19" s="36" customFormat="1" ht="25.5" customHeight="1" x14ac:dyDescent="0.25">
      <c r="A5" s="37"/>
      <c r="B5" s="38" t="s">
        <v>27</v>
      </c>
      <c r="C5" s="39"/>
      <c r="D5" s="39"/>
      <c r="E5" s="40">
        <f>17032.3585786-3371.109</f>
        <v>13661.2495786</v>
      </c>
      <c r="F5" s="39"/>
      <c r="G5" s="39"/>
      <c r="H5" s="39"/>
      <c r="I5" s="39"/>
      <c r="J5" s="41"/>
      <c r="K5" s="42"/>
      <c r="L5" s="42"/>
      <c r="M5" s="42"/>
      <c r="N5" s="43"/>
      <c r="O5" s="4" t="s">
        <v>28</v>
      </c>
      <c r="P5" s="5">
        <v>0.25330000000000003</v>
      </c>
      <c r="Q5" s="44"/>
      <c r="R5" s="35"/>
    </row>
    <row r="6" spans="1:19" s="36" customFormat="1" ht="25.5" customHeight="1" x14ac:dyDescent="0.25">
      <c r="A6" s="37"/>
      <c r="B6" s="38" t="s">
        <v>29</v>
      </c>
      <c r="C6" s="39"/>
      <c r="D6" s="39"/>
      <c r="E6" s="40">
        <v>3563.817626</v>
      </c>
      <c r="F6" s="39"/>
      <c r="G6" s="39"/>
      <c r="H6" s="39"/>
      <c r="I6" s="39"/>
      <c r="J6" s="41"/>
      <c r="K6" s="42"/>
      <c r="L6" s="42"/>
      <c r="M6" s="42"/>
      <c r="N6" s="43"/>
      <c r="O6" s="4" t="s">
        <v>30</v>
      </c>
      <c r="P6" s="5">
        <v>5.2999999999999999E-2</v>
      </c>
      <c r="Q6" s="44"/>
      <c r="R6" s="35"/>
    </row>
    <row r="7" spans="1:19" s="36" customFormat="1" ht="25.5" customHeight="1" x14ac:dyDescent="0.25">
      <c r="A7" s="37"/>
      <c r="B7" s="38" t="s">
        <v>31</v>
      </c>
      <c r="C7" s="39"/>
      <c r="D7" s="39"/>
      <c r="E7" s="40">
        <v>17429.0854464</v>
      </c>
      <c r="F7" s="39"/>
      <c r="G7" s="39"/>
      <c r="H7" s="39"/>
      <c r="I7" s="39"/>
      <c r="J7" s="41"/>
      <c r="K7" s="42"/>
      <c r="L7" s="42"/>
      <c r="M7" s="42"/>
      <c r="N7" s="43"/>
      <c r="O7" s="4" t="s">
        <v>25</v>
      </c>
      <c r="P7" s="5">
        <v>0.25919999999999999</v>
      </c>
      <c r="Q7" s="44"/>
      <c r="R7" s="35"/>
    </row>
    <row r="8" spans="1:19" s="36" customFormat="1" ht="25.5" customHeight="1" thickBot="1" x14ac:dyDescent="0.3">
      <c r="A8" s="45"/>
      <c r="B8" s="46" t="s">
        <v>32</v>
      </c>
      <c r="C8" s="47"/>
      <c r="D8" s="47"/>
      <c r="E8" s="48">
        <f>SUBTOTAL(9,E4:E7)</f>
        <v>34654.152650999997</v>
      </c>
      <c r="F8" s="47"/>
      <c r="G8" s="47"/>
      <c r="H8" s="49">
        <f>SUMPRODUCT(H4:H7,$E$4:$E$7)</f>
        <v>34654.152650999997</v>
      </c>
      <c r="I8" s="49">
        <f>SUMPRODUCT(I4:I7,$E$4:$E$7)</f>
        <v>0</v>
      </c>
      <c r="J8" s="50"/>
      <c r="K8" s="51"/>
      <c r="L8" s="51"/>
      <c r="M8" s="51"/>
      <c r="N8" s="52"/>
      <c r="O8" s="4"/>
      <c r="P8" s="5"/>
      <c r="Q8" s="5"/>
      <c r="R8" s="35"/>
    </row>
    <row r="9" spans="1:19" s="36" customFormat="1" x14ac:dyDescent="0.25"/>
    <row r="10" spans="1:19" s="36" customFormat="1" ht="30" customHeight="1" thickBot="1" x14ac:dyDescent="0.3">
      <c r="A10" s="1" t="s">
        <v>33</v>
      </c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"/>
      <c r="P10" s="5"/>
      <c r="Q10" s="44"/>
      <c r="R10" s="35"/>
    </row>
    <row r="11" spans="1:19" s="36" customFormat="1" ht="25.5" customHeight="1" x14ac:dyDescent="0.25">
      <c r="A11" s="8" t="s">
        <v>1</v>
      </c>
      <c r="B11" s="13" t="s">
        <v>2</v>
      </c>
      <c r="C11" s="10" t="s">
        <v>3</v>
      </c>
      <c r="D11" s="11" t="s">
        <v>4</v>
      </c>
      <c r="E11" s="12" t="s">
        <v>5</v>
      </c>
      <c r="F11" s="13" t="s">
        <v>6</v>
      </c>
      <c r="G11" s="14" t="s">
        <v>7</v>
      </c>
      <c r="H11" s="15" t="s">
        <v>8</v>
      </c>
      <c r="I11" s="16"/>
      <c r="J11" s="13" t="s">
        <v>9</v>
      </c>
      <c r="K11" s="15" t="s">
        <v>10</v>
      </c>
      <c r="L11" s="17"/>
      <c r="M11" s="16"/>
      <c r="N11" s="18" t="s">
        <v>11</v>
      </c>
      <c r="O11" s="4"/>
      <c r="P11" s="5"/>
      <c r="Q11" s="44"/>
      <c r="R11" s="35"/>
    </row>
    <row r="12" spans="1:19" s="36" customFormat="1" ht="25.5" customHeight="1" x14ac:dyDescent="0.25">
      <c r="A12" s="19"/>
      <c r="B12" s="24"/>
      <c r="C12" s="21"/>
      <c r="D12" s="22"/>
      <c r="E12" s="23" t="s">
        <v>12</v>
      </c>
      <c r="F12" s="24"/>
      <c r="G12" s="25" t="s">
        <v>13</v>
      </c>
      <c r="H12" s="25" t="s">
        <v>14</v>
      </c>
      <c r="I12" s="25" t="s">
        <v>15</v>
      </c>
      <c r="J12" s="24"/>
      <c r="K12" s="25" t="s">
        <v>16</v>
      </c>
      <c r="L12" s="26" t="s">
        <v>17</v>
      </c>
      <c r="M12" s="25" t="s">
        <v>18</v>
      </c>
      <c r="N12" s="27"/>
      <c r="O12" s="4"/>
      <c r="P12" s="5"/>
      <c r="Q12" s="44"/>
      <c r="R12" s="35"/>
    </row>
    <row r="13" spans="1:19" s="36" customFormat="1" ht="38.25" x14ac:dyDescent="0.25">
      <c r="A13" s="28" t="s">
        <v>34</v>
      </c>
      <c r="B13" s="53" t="s">
        <v>35</v>
      </c>
      <c r="C13" s="30" t="s">
        <v>21</v>
      </c>
      <c r="D13" s="30">
        <v>2</v>
      </c>
      <c r="E13" s="31">
        <f>SUBTOTAL(9,E14:E15)</f>
        <v>32587.688999999998</v>
      </c>
      <c r="F13" s="30">
        <v>8666</v>
      </c>
      <c r="G13" s="30" t="s">
        <v>36</v>
      </c>
      <c r="H13" s="32">
        <v>0</v>
      </c>
      <c r="I13" s="32">
        <f>1-H13</f>
        <v>1</v>
      </c>
      <c r="J13" s="30" t="s">
        <v>24</v>
      </c>
      <c r="K13" s="33">
        <f>MIN(K14:K15)</f>
        <v>40905</v>
      </c>
      <c r="L13" s="33">
        <f>MIN(L14:L15)</f>
        <v>41001</v>
      </c>
      <c r="M13" s="33">
        <f>MAX(M14:M15)</f>
        <v>42409</v>
      </c>
      <c r="N13" s="34" t="s">
        <v>30</v>
      </c>
      <c r="O13" s="4"/>
      <c r="P13" s="5"/>
      <c r="Q13" s="44"/>
      <c r="R13" s="35"/>
      <c r="S13" s="54" t="str">
        <f>'[1]PA R$'!O13</f>
        <v>Valor contratado
(x 1.000)</v>
      </c>
    </row>
    <row r="14" spans="1:19" s="36" customFormat="1" ht="25.5" customHeight="1" x14ac:dyDescent="0.25">
      <c r="A14" s="55"/>
      <c r="B14" s="56" t="s">
        <v>37</v>
      </c>
      <c r="C14" s="39"/>
      <c r="D14" s="39"/>
      <c r="E14" s="40">
        <f>10758.694+3371.109</f>
        <v>14129.803</v>
      </c>
      <c r="F14" s="39"/>
      <c r="G14" s="39"/>
      <c r="H14" s="39"/>
      <c r="I14" s="39"/>
      <c r="J14" s="41"/>
      <c r="K14" s="42">
        <v>40905</v>
      </c>
      <c r="L14" s="42">
        <v>41001</v>
      </c>
      <c r="M14" s="42">
        <f>L14+(27*30.5)</f>
        <v>41824.5</v>
      </c>
      <c r="N14" s="43"/>
      <c r="O14" s="4"/>
      <c r="P14" s="5">
        <v>0.16</v>
      </c>
      <c r="Q14" s="44"/>
      <c r="R14" s="35"/>
      <c r="S14" s="57">
        <f>'[1]PA R$'!O14/'[1]Gerencial R$'!O1</f>
        <v>12748.21348</v>
      </c>
    </row>
    <row r="15" spans="1:19" s="36" customFormat="1" ht="25.5" customHeight="1" x14ac:dyDescent="0.25">
      <c r="A15" s="55"/>
      <c r="B15" s="56" t="s">
        <v>38</v>
      </c>
      <c r="C15" s="39"/>
      <c r="D15" s="39"/>
      <c r="E15" s="40">
        <v>18457.885999999999</v>
      </c>
      <c r="F15" s="39"/>
      <c r="G15" s="39"/>
      <c r="H15" s="39"/>
      <c r="I15" s="39"/>
      <c r="J15" s="41"/>
      <c r="K15" s="42">
        <v>40905</v>
      </c>
      <c r="L15" s="42">
        <v>41001</v>
      </c>
      <c r="M15" s="42">
        <v>42409</v>
      </c>
      <c r="N15" s="43"/>
      <c r="O15" s="4"/>
      <c r="P15" s="5">
        <v>0.27450000000000002</v>
      </c>
      <c r="Q15" s="44"/>
      <c r="R15" s="35"/>
      <c r="S15" s="57">
        <f>'[1]PA R$'!O15/'[1]Gerencial R$'!O1</f>
        <v>16610.41145</v>
      </c>
    </row>
    <row r="16" spans="1:19" s="36" customFormat="1" ht="25.5" customHeight="1" thickBot="1" x14ac:dyDescent="0.3">
      <c r="A16" s="45"/>
      <c r="B16" s="46" t="s">
        <v>39</v>
      </c>
      <c r="C16" s="47"/>
      <c r="D16" s="47"/>
      <c r="E16" s="48">
        <f>SUBTOTAL(9,E14:E15)</f>
        <v>32587.688999999998</v>
      </c>
      <c r="F16" s="47"/>
      <c r="G16" s="47"/>
      <c r="H16" s="49">
        <f>SUMPRODUCT(H13:H15,$E$13:$E$15)</f>
        <v>0</v>
      </c>
      <c r="I16" s="49">
        <f>SUMPRODUCT(I13:I15,$E$13:$E$15)</f>
        <v>32587.688999999998</v>
      </c>
      <c r="J16" s="50"/>
      <c r="K16" s="51">
        <f>MIN(K4:K15)</f>
        <v>40905</v>
      </c>
      <c r="L16" s="51">
        <f>MIN(L4:L15)</f>
        <v>41001</v>
      </c>
      <c r="M16" s="51">
        <f>MAX(M4:M15)</f>
        <v>42409</v>
      </c>
      <c r="N16" s="52"/>
      <c r="O16" s="4"/>
      <c r="P16" s="5">
        <f>SUM(P4:P15)</f>
        <v>1</v>
      </c>
      <c r="Q16" s="5"/>
      <c r="R16" s="35"/>
    </row>
    <row r="17" spans="1:18" x14ac:dyDescent="0.25">
      <c r="A17" s="58"/>
      <c r="B17" s="59"/>
      <c r="C17" s="58"/>
      <c r="D17" s="58"/>
      <c r="E17" s="60">
        <f>'[1]%'!L7+'[1]%'!L8</f>
        <v>67241.842000000004</v>
      </c>
      <c r="F17" s="58"/>
      <c r="G17" s="58"/>
      <c r="H17" s="60">
        <f>'[1]%'!J7</f>
        <v>34654.153000000006</v>
      </c>
      <c r="I17" s="60">
        <f>'[1]%'!K8</f>
        <v>32587.689000000002</v>
      </c>
      <c r="J17" s="58"/>
      <c r="K17" s="58"/>
      <c r="L17" s="58"/>
      <c r="M17" s="58"/>
      <c r="N17" s="58"/>
    </row>
    <row r="18" spans="1:18" ht="18.75" thickBot="1" x14ac:dyDescent="0.3">
      <c r="A18" s="1" t="s">
        <v>40</v>
      </c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3"/>
    </row>
    <row r="19" spans="1:18" ht="25.5" x14ac:dyDescent="0.25">
      <c r="A19" s="8" t="s">
        <v>1</v>
      </c>
      <c r="B19" s="13" t="s">
        <v>2</v>
      </c>
      <c r="C19" s="10" t="s">
        <v>3</v>
      </c>
      <c r="D19" s="11" t="s">
        <v>4</v>
      </c>
      <c r="E19" s="12" t="s">
        <v>5</v>
      </c>
      <c r="F19" s="13" t="s">
        <v>6</v>
      </c>
      <c r="G19" s="14" t="s">
        <v>7</v>
      </c>
      <c r="H19" s="15" t="s">
        <v>8</v>
      </c>
      <c r="I19" s="16"/>
      <c r="J19" s="13" t="s">
        <v>9</v>
      </c>
      <c r="K19" s="15" t="s">
        <v>10</v>
      </c>
      <c r="L19" s="17"/>
      <c r="M19" s="16"/>
      <c r="N19" s="18" t="s">
        <v>41</v>
      </c>
    </row>
    <row r="20" spans="1:18" ht="51" x14ac:dyDescent="0.25">
      <c r="A20" s="19"/>
      <c r="B20" s="24"/>
      <c r="C20" s="21"/>
      <c r="D20" s="22"/>
      <c r="E20" s="23" t="s">
        <v>12</v>
      </c>
      <c r="F20" s="24"/>
      <c r="G20" s="25" t="s">
        <v>42</v>
      </c>
      <c r="H20" s="25" t="s">
        <v>14</v>
      </c>
      <c r="I20" s="25" t="s">
        <v>15</v>
      </c>
      <c r="J20" s="24"/>
      <c r="K20" s="25" t="s">
        <v>16</v>
      </c>
      <c r="L20" s="26" t="s">
        <v>17</v>
      </c>
      <c r="M20" s="25" t="s">
        <v>18</v>
      </c>
      <c r="N20" s="27"/>
    </row>
    <row r="21" spans="1:18" x14ac:dyDescent="0.25">
      <c r="A21" s="61"/>
      <c r="B21" s="62"/>
      <c r="C21" s="63"/>
      <c r="D21" s="63"/>
      <c r="E21" s="64"/>
      <c r="F21" s="63"/>
      <c r="G21" s="63"/>
      <c r="H21" s="63"/>
      <c r="I21" s="63"/>
      <c r="J21" s="63"/>
      <c r="K21" s="63"/>
      <c r="L21" s="63"/>
      <c r="M21" s="63"/>
      <c r="N21" s="65"/>
    </row>
    <row r="22" spans="1:18" ht="18" x14ac:dyDescent="0.25">
      <c r="A22" s="66" t="s">
        <v>43</v>
      </c>
      <c r="B22" s="67" t="s">
        <v>44</v>
      </c>
      <c r="C22" s="68"/>
      <c r="D22" s="68"/>
      <c r="E22" s="69">
        <f>SUBTOTAL(9,E23:E56)</f>
        <v>70630.157969999986</v>
      </c>
      <c r="F22" s="70"/>
      <c r="G22" s="70"/>
      <c r="H22" s="70"/>
      <c r="I22" s="70"/>
      <c r="J22" s="70"/>
      <c r="K22" s="71">
        <f>MIN(K23:K55)</f>
        <v>40189</v>
      </c>
      <c r="L22" s="71">
        <f>MIN(L23:L55)</f>
        <v>40448</v>
      </c>
      <c r="M22" s="71">
        <f>MAX(M23:M55)</f>
        <v>42474</v>
      </c>
      <c r="N22" s="72"/>
    </row>
    <row r="23" spans="1:18" ht="38.25" x14ac:dyDescent="0.25">
      <c r="A23" s="28" t="s">
        <v>45</v>
      </c>
      <c r="B23" s="53" t="s">
        <v>46</v>
      </c>
      <c r="C23" s="30" t="s">
        <v>21</v>
      </c>
      <c r="D23" s="30">
        <v>1</v>
      </c>
      <c r="E23" s="73">
        <f>SUBTOTAL(9,E24:E24)</f>
        <v>3974.2649799999999</v>
      </c>
      <c r="F23" s="30">
        <v>8666</v>
      </c>
      <c r="G23" s="30" t="s">
        <v>36</v>
      </c>
      <c r="H23" s="32">
        <v>0</v>
      </c>
      <c r="I23" s="32">
        <f>1-H23</f>
        <v>1</v>
      </c>
      <c r="J23" s="30" t="s">
        <v>24</v>
      </c>
      <c r="K23" s="74">
        <v>40389</v>
      </c>
      <c r="L23" s="74">
        <v>40638</v>
      </c>
      <c r="M23" s="74">
        <v>41639</v>
      </c>
      <c r="N23" s="34" t="s">
        <v>30</v>
      </c>
    </row>
    <row r="24" spans="1:18" x14ac:dyDescent="0.25">
      <c r="A24" s="55"/>
      <c r="B24" s="75" t="s">
        <v>47</v>
      </c>
      <c r="C24" s="39"/>
      <c r="D24" s="39"/>
      <c r="E24" s="76">
        <f>4026.25-51.98502</f>
        <v>3974.2649799999999</v>
      </c>
      <c r="F24" s="39"/>
      <c r="G24" s="39"/>
      <c r="H24" s="39"/>
      <c r="I24" s="39"/>
      <c r="J24" s="41"/>
      <c r="K24" s="77"/>
      <c r="L24" s="77"/>
      <c r="M24" s="77"/>
      <c r="N24" s="43"/>
      <c r="P24" s="5">
        <f>Q24/R24</f>
        <v>5.1606250970216316E-2</v>
      </c>
      <c r="Q24" s="6">
        <v>7247.2</v>
      </c>
      <c r="R24" s="7">
        <v>140432.6</v>
      </c>
    </row>
    <row r="25" spans="1:18" ht="38.25" x14ac:dyDescent="0.25">
      <c r="A25" s="28" t="s">
        <v>48</v>
      </c>
      <c r="B25" s="53" t="s">
        <v>46</v>
      </c>
      <c r="C25" s="30" t="s">
        <v>21</v>
      </c>
      <c r="D25" s="30">
        <v>1</v>
      </c>
      <c r="E25" s="73">
        <f>SUBTOTAL(9,E26:E26)</f>
        <v>3604.2300000000005</v>
      </c>
      <c r="F25" s="30">
        <v>8666</v>
      </c>
      <c r="G25" s="30" t="s">
        <v>36</v>
      </c>
      <c r="H25" s="32">
        <v>0</v>
      </c>
      <c r="I25" s="32">
        <f>1-H25</f>
        <v>1</v>
      </c>
      <c r="J25" s="30" t="s">
        <v>24</v>
      </c>
      <c r="K25" s="74">
        <v>40193</v>
      </c>
      <c r="L25" s="74">
        <v>40508</v>
      </c>
      <c r="M25" s="74">
        <v>41115</v>
      </c>
      <c r="N25" s="34" t="s">
        <v>30</v>
      </c>
    </row>
    <row r="26" spans="1:18" ht="25.5" x14ac:dyDescent="0.25">
      <c r="A26" s="55"/>
      <c r="B26" s="75" t="s">
        <v>49</v>
      </c>
      <c r="C26" s="39"/>
      <c r="D26" s="39"/>
      <c r="E26" s="76">
        <f>3136.3+387.05+80.88</f>
        <v>3604.2300000000005</v>
      </c>
      <c r="F26" s="39"/>
      <c r="G26" s="39"/>
      <c r="H26" s="39"/>
      <c r="I26" s="39"/>
      <c r="J26" s="41"/>
      <c r="K26" s="77"/>
      <c r="L26" s="77"/>
      <c r="M26" s="77"/>
      <c r="N26" s="43"/>
      <c r="P26" s="5">
        <f>Q26/R26</f>
        <v>3.6294991333921042E-2</v>
      </c>
      <c r="Q26" s="6">
        <v>5097</v>
      </c>
      <c r="R26" s="7">
        <v>140432.6</v>
      </c>
    </row>
    <row r="27" spans="1:18" ht="38.25" x14ac:dyDescent="0.25">
      <c r="A27" s="28" t="s">
        <v>50</v>
      </c>
      <c r="B27" s="53" t="s">
        <v>46</v>
      </c>
      <c r="C27" s="30" t="s">
        <v>21</v>
      </c>
      <c r="D27" s="30">
        <v>1</v>
      </c>
      <c r="E27" s="73">
        <f>SUBTOTAL(9,E28:E28)</f>
        <v>1111.4126400000002</v>
      </c>
      <c r="F27" s="30">
        <v>8666</v>
      </c>
      <c r="G27" s="30" t="s">
        <v>36</v>
      </c>
      <c r="H27" s="32">
        <v>0</v>
      </c>
      <c r="I27" s="32">
        <f>1-H27</f>
        <v>1</v>
      </c>
      <c r="J27" s="30" t="s">
        <v>24</v>
      </c>
      <c r="K27" s="74">
        <v>40303</v>
      </c>
      <c r="L27" s="74">
        <v>40448</v>
      </c>
      <c r="M27" s="74">
        <v>41456</v>
      </c>
      <c r="N27" s="34" t="s">
        <v>30</v>
      </c>
    </row>
    <row r="28" spans="1:18" x14ac:dyDescent="0.25">
      <c r="A28" s="55"/>
      <c r="B28" s="75" t="s">
        <v>51</v>
      </c>
      <c r="C28" s="39"/>
      <c r="D28" s="39"/>
      <c r="E28" s="76">
        <f>2366.01-1000-354.7198+51.98502+1.41862+46.7188</f>
        <v>1111.4126400000002</v>
      </c>
      <c r="F28" s="39"/>
      <c r="G28" s="39"/>
      <c r="H28" s="39"/>
      <c r="I28" s="39"/>
      <c r="J28" s="41"/>
      <c r="K28" s="77"/>
      <c r="L28" s="77"/>
      <c r="M28" s="77"/>
      <c r="N28" s="43"/>
      <c r="P28" s="5">
        <f>Q28/R28</f>
        <v>3.3498632084003284E-2</v>
      </c>
      <c r="Q28" s="6">
        <v>4704.3</v>
      </c>
      <c r="R28" s="7">
        <v>140432.6</v>
      </c>
    </row>
    <row r="29" spans="1:18" ht="38.25" x14ac:dyDescent="0.25">
      <c r="A29" s="28" t="s">
        <v>52</v>
      </c>
      <c r="B29" s="53" t="s">
        <v>46</v>
      </c>
      <c r="C29" s="30"/>
      <c r="D29" s="30"/>
      <c r="E29" s="73">
        <f>SUBTOTAL(9,E30:E32)</f>
        <v>8186.1</v>
      </c>
      <c r="F29" s="30" t="s">
        <v>53</v>
      </c>
      <c r="G29" s="30" t="s">
        <v>36</v>
      </c>
      <c r="H29" s="32">
        <v>0.86022446500000005</v>
      </c>
      <c r="I29" s="32">
        <f>1-H29</f>
        <v>0.13977553499999995</v>
      </c>
      <c r="J29" s="30" t="s">
        <v>24</v>
      </c>
      <c r="K29" s="74">
        <f>L29-90</f>
        <v>41884</v>
      </c>
      <c r="L29" s="74">
        <v>41974</v>
      </c>
      <c r="M29" s="74">
        <f>L29+500</f>
        <v>42474</v>
      </c>
      <c r="N29" s="34" t="s">
        <v>26</v>
      </c>
    </row>
    <row r="30" spans="1:18" x14ac:dyDescent="0.25">
      <c r="A30" s="55"/>
      <c r="B30" s="78" t="s">
        <v>54</v>
      </c>
      <c r="C30" s="79"/>
      <c r="D30" s="79"/>
      <c r="E30" s="76">
        <v>4443.12</v>
      </c>
      <c r="F30" s="39"/>
      <c r="G30" s="39"/>
      <c r="H30" s="39"/>
      <c r="I30" s="39"/>
      <c r="J30" s="41"/>
      <c r="K30" s="77"/>
      <c r="L30" s="77"/>
      <c r="M30" s="77"/>
      <c r="N30" s="43"/>
      <c r="P30" s="5">
        <f t="shared" ref="P30:P34" si="0">Q30/R30</f>
        <v>2.2074646485217817E-2</v>
      </c>
      <c r="Q30" s="6">
        <v>3100</v>
      </c>
      <c r="R30" s="7">
        <v>140432.6</v>
      </c>
    </row>
    <row r="31" spans="1:18" x14ac:dyDescent="0.25">
      <c r="A31" s="55"/>
      <c r="B31" s="78" t="s">
        <v>55</v>
      </c>
      <c r="C31" s="79"/>
      <c r="D31" s="79"/>
      <c r="E31" s="76">
        <v>3742.98</v>
      </c>
      <c r="F31" s="39"/>
      <c r="G31" s="39"/>
      <c r="H31" s="39"/>
      <c r="I31" s="39"/>
      <c r="J31" s="41"/>
      <c r="K31" s="77"/>
      <c r="L31" s="77"/>
      <c r="M31" s="77"/>
      <c r="N31" s="43"/>
      <c r="P31" s="5">
        <f t="shared" si="0"/>
        <v>3.9982881467693396E-2</v>
      </c>
      <c r="Q31" s="6">
        <v>5614.9</v>
      </c>
      <c r="R31" s="7">
        <v>140432.6</v>
      </c>
    </row>
    <row r="32" spans="1:18" ht="38.25" x14ac:dyDescent="0.25">
      <c r="A32" s="28" t="s">
        <v>56</v>
      </c>
      <c r="B32" s="53" t="s">
        <v>46</v>
      </c>
      <c r="C32" s="30"/>
      <c r="D32" s="30"/>
      <c r="E32" s="73">
        <f>SUBTOTAL(9,E33:E34)</f>
        <v>13800.21</v>
      </c>
      <c r="F32" s="30" t="s">
        <v>53</v>
      </c>
      <c r="G32" s="30" t="s">
        <v>36</v>
      </c>
      <c r="H32" s="32">
        <v>0.86022446500000005</v>
      </c>
      <c r="I32" s="32">
        <f>1-H32</f>
        <v>0.13977553499999995</v>
      </c>
      <c r="J32" s="30" t="s">
        <v>24</v>
      </c>
      <c r="K32" s="74">
        <f>L32-90</f>
        <v>41731</v>
      </c>
      <c r="L32" s="74">
        <v>41821</v>
      </c>
      <c r="M32" s="74">
        <f>L32+600</f>
        <v>42421</v>
      </c>
      <c r="N32" s="34" t="s">
        <v>26</v>
      </c>
    </row>
    <row r="33" spans="1:18" x14ac:dyDescent="0.25">
      <c r="A33" s="55"/>
      <c r="B33" s="78" t="s">
        <v>57</v>
      </c>
      <c r="C33" s="79"/>
      <c r="D33" s="79"/>
      <c r="E33" s="76">
        <f>5402.61+609.68+1000+300+2300-387.05-662.77+603.83-80.87</f>
        <v>9085.43</v>
      </c>
      <c r="F33" s="39"/>
      <c r="G33" s="39"/>
      <c r="H33" s="39"/>
      <c r="I33" s="39"/>
      <c r="J33" s="41"/>
      <c r="K33" s="77"/>
      <c r="L33" s="77"/>
      <c r="M33" s="77"/>
      <c r="N33" s="43"/>
      <c r="P33" s="5">
        <f t="shared" si="0"/>
        <v>3.8839984448055503E-2</v>
      </c>
      <c r="Q33" s="6">
        <v>5454.4</v>
      </c>
      <c r="R33" s="7">
        <v>140432.6</v>
      </c>
    </row>
    <row r="34" spans="1:18" x14ac:dyDescent="0.25">
      <c r="A34" s="55"/>
      <c r="B34" s="78" t="s">
        <v>58</v>
      </c>
      <c r="C34" s="79"/>
      <c r="D34" s="79"/>
      <c r="E34" s="76">
        <v>4714.78</v>
      </c>
      <c r="F34" s="39"/>
      <c r="G34" s="39"/>
      <c r="H34" s="39"/>
      <c r="I34" s="39"/>
      <c r="J34" s="41"/>
      <c r="K34" s="77"/>
      <c r="L34" s="77"/>
      <c r="M34" s="77"/>
      <c r="N34" s="43"/>
      <c r="P34" s="5">
        <f t="shared" si="0"/>
        <v>9.3126524752799554E-3</v>
      </c>
      <c r="Q34" s="6">
        <v>1307.8</v>
      </c>
      <c r="R34" s="7">
        <v>140432.6</v>
      </c>
    </row>
    <row r="35" spans="1:18" ht="38.25" x14ac:dyDescent="0.25">
      <c r="A35" s="28" t="s">
        <v>59</v>
      </c>
      <c r="B35" s="53" t="s">
        <v>46</v>
      </c>
      <c r="C35" s="30" t="s">
        <v>21</v>
      </c>
      <c r="D35" s="30">
        <v>1</v>
      </c>
      <c r="E35" s="73">
        <f>SUBTOTAL(9,E36:E39)</f>
        <v>1824.4640900000002</v>
      </c>
      <c r="F35" s="30">
        <v>8666</v>
      </c>
      <c r="G35" s="30" t="s">
        <v>36</v>
      </c>
      <c r="H35" s="32">
        <v>0</v>
      </c>
      <c r="I35" s="32">
        <f>1-H35</f>
        <v>1</v>
      </c>
      <c r="J35" s="30" t="s">
        <v>24</v>
      </c>
      <c r="K35" s="74">
        <v>40441</v>
      </c>
      <c r="L35" s="74">
        <v>40648</v>
      </c>
      <c r="M35" s="74">
        <v>41013</v>
      </c>
      <c r="N35" s="34" t="s">
        <v>30</v>
      </c>
    </row>
    <row r="36" spans="1:18" ht="25.5" x14ac:dyDescent="0.25">
      <c r="A36" s="55"/>
      <c r="B36" s="75" t="s">
        <v>60</v>
      </c>
      <c r="C36" s="39"/>
      <c r="D36" s="39"/>
      <c r="E36" s="76">
        <f>1028.73-95.765</f>
        <v>932.96500000000003</v>
      </c>
      <c r="F36" s="39"/>
      <c r="G36" s="39"/>
      <c r="H36" s="39"/>
      <c r="I36" s="39"/>
      <c r="J36" s="41"/>
      <c r="K36" s="77"/>
      <c r="L36" s="77"/>
      <c r="M36" s="77"/>
      <c r="N36" s="43"/>
      <c r="P36" s="5">
        <f t="shared" ref="P36:P39" si="1">Q36/R36</f>
        <v>1.4564994168020816E-2</v>
      </c>
      <c r="Q36" s="6">
        <v>2045.4</v>
      </c>
      <c r="R36" s="7">
        <v>140432.6</v>
      </c>
    </row>
    <row r="37" spans="1:18" x14ac:dyDescent="0.25">
      <c r="A37" s="55"/>
      <c r="B37" s="75" t="s">
        <v>61</v>
      </c>
      <c r="C37" s="39"/>
      <c r="D37" s="39"/>
      <c r="E37" s="76">
        <f>445.16-151.87851</f>
        <v>293.28149000000002</v>
      </c>
      <c r="F37" s="39"/>
      <c r="G37" s="39"/>
      <c r="H37" s="39"/>
      <c r="I37" s="39"/>
      <c r="J37" s="41"/>
      <c r="K37" s="77"/>
      <c r="L37" s="77"/>
      <c r="M37" s="77"/>
      <c r="N37" s="43"/>
      <c r="P37" s="5">
        <f t="shared" si="1"/>
        <v>6.3026676142149329E-3</v>
      </c>
      <c r="Q37" s="6">
        <v>885.1</v>
      </c>
      <c r="R37" s="7">
        <v>140432.6</v>
      </c>
    </row>
    <row r="38" spans="1:18" x14ac:dyDescent="0.25">
      <c r="A38" s="55"/>
      <c r="B38" s="75" t="s">
        <v>62</v>
      </c>
      <c r="C38" s="39"/>
      <c r="D38" s="39"/>
      <c r="E38" s="76">
        <f>410.1-145.31221</f>
        <v>264.78779000000003</v>
      </c>
      <c r="F38" s="39"/>
      <c r="G38" s="39"/>
      <c r="H38" s="39"/>
      <c r="I38" s="39"/>
      <c r="J38" s="41"/>
      <c r="K38" s="77"/>
      <c r="L38" s="77"/>
      <c r="M38" s="77"/>
      <c r="N38" s="43"/>
      <c r="P38" s="5">
        <f t="shared" si="1"/>
        <v>5.8063441109827774E-3</v>
      </c>
      <c r="Q38" s="6">
        <v>815.4</v>
      </c>
      <c r="R38" s="7">
        <v>140432.6</v>
      </c>
    </row>
    <row r="39" spans="1:18" x14ac:dyDescent="0.25">
      <c r="A39" s="55"/>
      <c r="B39" s="75" t="s">
        <v>63</v>
      </c>
      <c r="C39" s="39"/>
      <c r="D39" s="39"/>
      <c r="E39" s="76">
        <f>461.05-127.62019</f>
        <v>333.42981000000003</v>
      </c>
      <c r="F39" s="39"/>
      <c r="G39" s="39"/>
      <c r="H39" s="39"/>
      <c r="I39" s="39"/>
      <c r="J39" s="41"/>
      <c r="K39" s="77"/>
      <c r="L39" s="77"/>
      <c r="M39" s="77"/>
      <c r="N39" s="43"/>
      <c r="P39" s="5">
        <f t="shared" si="1"/>
        <v>6.5276865912900564E-3</v>
      </c>
      <c r="Q39" s="6">
        <v>916.7</v>
      </c>
      <c r="R39" s="7">
        <v>140432.6</v>
      </c>
    </row>
    <row r="40" spans="1:18" ht="38.25" x14ac:dyDescent="0.25">
      <c r="A40" s="28" t="s">
        <v>64</v>
      </c>
      <c r="B40" s="53" t="s">
        <v>46</v>
      </c>
      <c r="C40" s="30" t="s">
        <v>21</v>
      </c>
      <c r="D40" s="30">
        <v>1</v>
      </c>
      <c r="E40" s="73">
        <f>SUBTOTAL(9,E41:E41)</f>
        <v>12641.92</v>
      </c>
      <c r="F40" s="30" t="s">
        <v>65</v>
      </c>
      <c r="G40" s="30" t="s">
        <v>36</v>
      </c>
      <c r="H40" s="32">
        <v>1</v>
      </c>
      <c r="I40" s="32">
        <f>1-H40</f>
        <v>0</v>
      </c>
      <c r="J40" s="30" t="s">
        <v>24</v>
      </c>
      <c r="K40" s="74">
        <v>41205</v>
      </c>
      <c r="L40" s="74">
        <v>41282</v>
      </c>
      <c r="M40" s="74">
        <v>41737</v>
      </c>
      <c r="N40" s="34" t="s">
        <v>30</v>
      </c>
    </row>
    <row r="41" spans="1:18" x14ac:dyDescent="0.25">
      <c r="A41" s="55"/>
      <c r="B41" s="80" t="s">
        <v>66</v>
      </c>
      <c r="C41" s="39"/>
      <c r="D41" s="39"/>
      <c r="E41" s="76">
        <v>12641.92</v>
      </c>
      <c r="F41" s="39"/>
      <c r="G41" s="39"/>
      <c r="H41" s="39"/>
      <c r="I41" s="39"/>
      <c r="J41" s="41"/>
      <c r="K41" s="77"/>
      <c r="L41" s="77"/>
      <c r="M41" s="77"/>
      <c r="N41" s="43"/>
      <c r="P41" s="5">
        <f t="shared" ref="P41:P54" si="2">Q41/R41</f>
        <v>0.17218046237127277</v>
      </c>
      <c r="Q41" s="6">
        <v>24179.75</v>
      </c>
      <c r="R41" s="7">
        <v>140432.6</v>
      </c>
    </row>
    <row r="42" spans="1:18" ht="38.25" x14ac:dyDescent="0.25">
      <c r="A42" s="28" t="s">
        <v>67</v>
      </c>
      <c r="B42" s="53" t="s">
        <v>46</v>
      </c>
      <c r="C42" s="30" t="s">
        <v>21</v>
      </c>
      <c r="D42" s="30">
        <v>1</v>
      </c>
      <c r="E42" s="73">
        <f>SUBTOTAL(9,E43:E43)</f>
        <v>7335.84</v>
      </c>
      <c r="F42" s="30" t="s">
        <v>53</v>
      </c>
      <c r="G42" s="30" t="s">
        <v>36</v>
      </c>
      <c r="H42" s="32">
        <v>1</v>
      </c>
      <c r="I42" s="32">
        <f>1-H42</f>
        <v>0</v>
      </c>
      <c r="J42" s="30" t="s">
        <v>24</v>
      </c>
      <c r="K42" s="74">
        <f>L42-90</f>
        <v>41609</v>
      </c>
      <c r="L42" s="74">
        <v>41699</v>
      </c>
      <c r="M42" s="74">
        <f>L42+540</f>
        <v>42239</v>
      </c>
      <c r="N42" s="34" t="s">
        <v>26</v>
      </c>
    </row>
    <row r="43" spans="1:18" ht="25.5" x14ac:dyDescent="0.25">
      <c r="A43" s="55"/>
      <c r="B43" s="78" t="s">
        <v>68</v>
      </c>
      <c r="C43" s="79"/>
      <c r="D43" s="79"/>
      <c r="E43" s="76">
        <v>7335.84</v>
      </c>
      <c r="F43" s="39"/>
      <c r="G43" s="39"/>
      <c r="H43" s="39"/>
      <c r="I43" s="39"/>
      <c r="J43" s="41"/>
      <c r="K43" s="77"/>
      <c r="L43" s="77"/>
      <c r="M43" s="77"/>
      <c r="N43" s="43"/>
      <c r="P43" s="5">
        <f t="shared" si="2"/>
        <v>9.4671037921394308E-2</v>
      </c>
      <c r="Q43" s="6">
        <v>13294.9</v>
      </c>
      <c r="R43" s="7">
        <v>140432.6</v>
      </c>
    </row>
    <row r="44" spans="1:18" ht="38.25" x14ac:dyDescent="0.25">
      <c r="A44" s="28" t="s">
        <v>69</v>
      </c>
      <c r="B44" s="53" t="s">
        <v>46</v>
      </c>
      <c r="C44" s="30" t="s">
        <v>21</v>
      </c>
      <c r="D44" s="30">
        <v>1</v>
      </c>
      <c r="E44" s="73">
        <f>SUBTOTAL(9,E45:E46)</f>
        <v>6717.7800000000007</v>
      </c>
      <c r="F44" s="30">
        <v>8666</v>
      </c>
      <c r="G44" s="30" t="s">
        <v>36</v>
      </c>
      <c r="H44" s="32">
        <v>0</v>
      </c>
      <c r="I44" s="32">
        <f>1-H44</f>
        <v>1</v>
      </c>
      <c r="J44" s="30" t="s">
        <v>24</v>
      </c>
      <c r="K44" s="74">
        <v>40820</v>
      </c>
      <c r="L44" s="74">
        <v>40984</v>
      </c>
      <c r="M44" s="74">
        <f>L44+660</f>
        <v>41644</v>
      </c>
      <c r="N44" s="34" t="s">
        <v>30</v>
      </c>
    </row>
    <row r="45" spans="1:18" x14ac:dyDescent="0.25">
      <c r="A45" s="55"/>
      <c r="B45" s="80" t="s">
        <v>70</v>
      </c>
      <c r="C45" s="39"/>
      <c r="D45" s="39"/>
      <c r="E45" s="76">
        <v>2891.92</v>
      </c>
      <c r="F45" s="39"/>
      <c r="G45" s="39"/>
      <c r="H45" s="39"/>
      <c r="I45" s="39"/>
      <c r="J45" s="41"/>
      <c r="K45" s="77"/>
      <c r="L45" s="77"/>
      <c r="M45" s="77"/>
      <c r="N45" s="43"/>
      <c r="P45" s="5">
        <f t="shared" si="2"/>
        <v>4.0944552760541354E-2</v>
      </c>
      <c r="Q45" s="6">
        <v>5749.95</v>
      </c>
      <c r="R45" s="7">
        <v>140432.6</v>
      </c>
    </row>
    <row r="46" spans="1:18" x14ac:dyDescent="0.25">
      <c r="A46" s="55"/>
      <c r="B46" s="80" t="s">
        <v>71</v>
      </c>
      <c r="C46" s="39"/>
      <c r="D46" s="39"/>
      <c r="E46" s="76">
        <v>3825.86</v>
      </c>
      <c r="F46" s="39"/>
      <c r="G46" s="39"/>
      <c r="H46" s="39"/>
      <c r="I46" s="39"/>
      <c r="J46" s="41"/>
      <c r="K46" s="77"/>
      <c r="L46" s="77"/>
      <c r="M46" s="77"/>
      <c r="N46" s="43"/>
      <c r="P46" s="5">
        <f t="shared" si="2"/>
        <v>2.6051643279409481E-2</v>
      </c>
      <c r="Q46" s="6">
        <v>3658.5</v>
      </c>
      <c r="R46" s="7">
        <v>140432.6</v>
      </c>
    </row>
    <row r="47" spans="1:18" ht="38.25" x14ac:dyDescent="0.25">
      <c r="A47" s="28" t="s">
        <v>72</v>
      </c>
      <c r="B47" s="53" t="s">
        <v>46</v>
      </c>
      <c r="C47" s="30" t="s">
        <v>21</v>
      </c>
      <c r="D47" s="30">
        <v>1</v>
      </c>
      <c r="E47" s="73">
        <f>SUBTOTAL(9,E48:E50)</f>
        <v>1596.1327000000001</v>
      </c>
      <c r="F47" s="30">
        <v>8666</v>
      </c>
      <c r="G47" s="30" t="s">
        <v>36</v>
      </c>
      <c r="H47" s="32">
        <v>0</v>
      </c>
      <c r="I47" s="32">
        <f>1-H47</f>
        <v>1</v>
      </c>
      <c r="J47" s="30" t="s">
        <v>24</v>
      </c>
      <c r="K47" s="74">
        <v>40837</v>
      </c>
      <c r="L47" s="74">
        <v>40906</v>
      </c>
      <c r="M47" s="74">
        <v>41319</v>
      </c>
      <c r="N47" s="34" t="s">
        <v>30</v>
      </c>
    </row>
    <row r="48" spans="1:18" ht="25.5" x14ac:dyDescent="0.25">
      <c r="A48" s="55"/>
      <c r="B48" s="80" t="s">
        <v>73</v>
      </c>
      <c r="C48" s="39"/>
      <c r="D48" s="39"/>
      <c r="E48" s="76">
        <f>490.02-74.4585</f>
        <v>415.56149999999997</v>
      </c>
      <c r="F48" s="39"/>
      <c r="G48" s="39"/>
      <c r="H48" s="39"/>
      <c r="I48" s="39"/>
      <c r="J48" s="41"/>
      <c r="K48" s="77"/>
      <c r="L48" s="77"/>
      <c r="M48" s="77"/>
      <c r="N48" s="43"/>
      <c r="P48" s="5">
        <f t="shared" si="2"/>
        <v>6.0883299176971726E-3</v>
      </c>
      <c r="Q48" s="6">
        <v>855</v>
      </c>
      <c r="R48" s="7">
        <v>140432.6</v>
      </c>
    </row>
    <row r="49" spans="1:18" x14ac:dyDescent="0.25">
      <c r="A49" s="55"/>
      <c r="B49" s="80" t="s">
        <v>74</v>
      </c>
      <c r="C49" s="39"/>
      <c r="D49" s="39"/>
      <c r="E49" s="76">
        <f>662.77+0.44744+138.92056-46.7188</f>
        <v>755.41920000000005</v>
      </c>
      <c r="F49" s="39"/>
      <c r="G49" s="39"/>
      <c r="H49" s="39"/>
      <c r="I49" s="39"/>
      <c r="J49" s="41"/>
      <c r="K49" s="77"/>
      <c r="L49" s="77"/>
      <c r="M49" s="77"/>
      <c r="N49" s="43"/>
      <c r="P49" s="5">
        <f t="shared" si="2"/>
        <v>1.7517300114076075E-2</v>
      </c>
      <c r="Q49" s="6">
        <v>2460</v>
      </c>
      <c r="R49" s="7">
        <v>140432.6</v>
      </c>
    </row>
    <row r="50" spans="1:18" ht="25.5" x14ac:dyDescent="0.25">
      <c r="A50" s="55"/>
      <c r="B50" s="80" t="s">
        <v>75</v>
      </c>
      <c r="C50" s="39"/>
      <c r="D50" s="39"/>
      <c r="E50" s="76">
        <f>564.52-0.44744-138.92056</f>
        <v>425.15199999999993</v>
      </c>
      <c r="F50" s="39"/>
      <c r="G50" s="39"/>
      <c r="H50" s="39"/>
      <c r="I50" s="39"/>
      <c r="J50" s="41"/>
      <c r="K50" s="77"/>
      <c r="L50" s="77"/>
      <c r="M50" s="77"/>
      <c r="N50" s="43"/>
      <c r="P50" s="5">
        <f t="shared" si="2"/>
        <v>1.6487624668346239E-2</v>
      </c>
      <c r="Q50" s="6">
        <v>2315.4</v>
      </c>
      <c r="R50" s="7">
        <v>140432.6</v>
      </c>
    </row>
    <row r="51" spans="1:18" ht="38.25" x14ac:dyDescent="0.25">
      <c r="A51" s="28" t="s">
        <v>76</v>
      </c>
      <c r="B51" s="53" t="s">
        <v>46</v>
      </c>
      <c r="C51" s="30" t="s">
        <v>21</v>
      </c>
      <c r="D51" s="30">
        <v>1</v>
      </c>
      <c r="E51" s="73">
        <f>SUBTOTAL(9,E52:E52)</f>
        <v>264.91900999999996</v>
      </c>
      <c r="F51" s="30">
        <v>8666</v>
      </c>
      <c r="G51" s="30" t="s">
        <v>36</v>
      </c>
      <c r="H51" s="32">
        <v>0</v>
      </c>
      <c r="I51" s="32">
        <f>1-H51</f>
        <v>1</v>
      </c>
      <c r="J51" s="30" t="s">
        <v>24</v>
      </c>
      <c r="K51" s="74">
        <v>40189</v>
      </c>
      <c r="L51" s="74">
        <v>41097</v>
      </c>
      <c r="M51" s="74">
        <v>40624</v>
      </c>
      <c r="N51" s="34" t="s">
        <v>30</v>
      </c>
    </row>
    <row r="52" spans="1:18" ht="38.25" x14ac:dyDescent="0.25">
      <c r="A52" s="55"/>
      <c r="B52" s="80" t="s">
        <v>77</v>
      </c>
      <c r="C52" s="39"/>
      <c r="D52" s="39"/>
      <c r="E52" s="76">
        <f>595.68-300-29.34237-1.41862</f>
        <v>264.91900999999996</v>
      </c>
      <c r="F52" s="39"/>
      <c r="G52" s="39"/>
      <c r="H52" s="39"/>
      <c r="I52" s="39"/>
      <c r="J52" s="41"/>
      <c r="K52" s="77"/>
      <c r="L52" s="77"/>
      <c r="M52" s="77"/>
      <c r="N52" s="43"/>
      <c r="P52" s="5">
        <f t="shared" si="2"/>
        <v>5.8034957695008139E-2</v>
      </c>
      <c r="Q52" s="6">
        <v>8150</v>
      </c>
      <c r="R52" s="7">
        <v>140432.6</v>
      </c>
    </row>
    <row r="53" spans="1:18" ht="38.25" x14ac:dyDescent="0.25">
      <c r="A53" s="28" t="s">
        <v>78</v>
      </c>
      <c r="B53" s="53" t="s">
        <v>46</v>
      </c>
      <c r="C53" s="30" t="s">
        <v>21</v>
      </c>
      <c r="D53" s="30">
        <v>1</v>
      </c>
      <c r="E53" s="73">
        <f>SUBTOTAL(9,E54:E54)</f>
        <v>5222.9679999999998</v>
      </c>
      <c r="F53" s="30" t="s">
        <v>53</v>
      </c>
      <c r="G53" s="30" t="s">
        <v>36</v>
      </c>
      <c r="H53" s="32">
        <v>1</v>
      </c>
      <c r="I53" s="32">
        <f>1-H53</f>
        <v>0</v>
      </c>
      <c r="J53" s="30" t="s">
        <v>24</v>
      </c>
      <c r="K53" s="74">
        <f>L53-90</f>
        <v>41884</v>
      </c>
      <c r="L53" s="74">
        <v>41974</v>
      </c>
      <c r="M53" s="74">
        <f>L53+420</f>
        <v>42394</v>
      </c>
      <c r="N53" s="34" t="s">
        <v>26</v>
      </c>
    </row>
    <row r="54" spans="1:18" x14ac:dyDescent="0.25">
      <c r="A54" s="81"/>
      <c r="B54" s="78" t="s">
        <v>79</v>
      </c>
      <c r="C54" s="79"/>
      <c r="D54" s="79"/>
      <c r="E54" s="76">
        <v>5222.9679999999998</v>
      </c>
      <c r="F54" s="79"/>
      <c r="G54" s="39"/>
      <c r="H54" s="82"/>
      <c r="I54" s="82"/>
      <c r="J54" s="83"/>
      <c r="K54" s="84"/>
      <c r="L54" s="84"/>
      <c r="M54" s="84"/>
      <c r="N54" s="85"/>
      <c r="P54" s="5">
        <f t="shared" si="2"/>
        <v>5.298556033285718E-2</v>
      </c>
      <c r="Q54" s="6">
        <v>7440.9</v>
      </c>
      <c r="R54" s="7">
        <v>140432.6</v>
      </c>
    </row>
    <row r="55" spans="1:18" ht="38.25" x14ac:dyDescent="0.25">
      <c r="A55" s="28" t="s">
        <v>80</v>
      </c>
      <c r="B55" s="53" t="s">
        <v>46</v>
      </c>
      <c r="C55" s="30" t="s">
        <v>21</v>
      </c>
      <c r="D55" s="30">
        <v>1</v>
      </c>
      <c r="E55" s="73">
        <f>SUBTOTAL(9,E56:E56)</f>
        <v>4349.9165499999999</v>
      </c>
      <c r="F55" s="30">
        <v>8666</v>
      </c>
      <c r="G55" s="30" t="s">
        <v>36</v>
      </c>
      <c r="H55" s="32">
        <v>0</v>
      </c>
      <c r="I55" s="32">
        <f>1-H55</f>
        <v>1</v>
      </c>
      <c r="J55" s="30" t="s">
        <v>24</v>
      </c>
      <c r="K55" s="74">
        <v>40834</v>
      </c>
      <c r="L55" s="74">
        <v>40919</v>
      </c>
      <c r="M55" s="74">
        <v>41398</v>
      </c>
      <c r="N55" s="34" t="s">
        <v>30</v>
      </c>
    </row>
    <row r="56" spans="1:18" ht="25.5" x14ac:dyDescent="0.25">
      <c r="A56" s="81"/>
      <c r="B56" s="78" t="s">
        <v>81</v>
      </c>
      <c r="C56" s="79"/>
      <c r="D56" s="79"/>
      <c r="E56" s="76">
        <f>5670.82-2300+624.37675+354.7198</f>
        <v>4349.9165499999999</v>
      </c>
      <c r="F56" s="79"/>
      <c r="G56" s="39"/>
      <c r="H56" s="82"/>
      <c r="I56" s="82"/>
      <c r="J56" s="83"/>
      <c r="K56" s="84"/>
      <c r="L56" s="84"/>
      <c r="M56" s="84"/>
      <c r="N56" s="85"/>
      <c r="P56" s="5">
        <f t="shared" ref="P56" si="3">Q56/R56</f>
        <v>8.0289049693589673E-2</v>
      </c>
      <c r="Q56" s="6">
        <v>11275.2</v>
      </c>
      <c r="R56" s="7">
        <v>140432.6</v>
      </c>
    </row>
    <row r="57" spans="1:18" ht="16.5" thickBot="1" x14ac:dyDescent="0.3">
      <c r="A57" s="86"/>
      <c r="B57" s="87" t="s">
        <v>82</v>
      </c>
      <c r="C57" s="88"/>
      <c r="D57" s="88"/>
      <c r="E57" s="89">
        <f>SUBTOTAL(9,E23:E56)</f>
        <v>70630.157969999986</v>
      </c>
      <c r="F57" s="88"/>
      <c r="G57" s="88"/>
      <c r="H57" s="49">
        <f>SUMPRODUCT(H23:H56,$E$23:$E$56)</f>
        <v>44113.889757074146</v>
      </c>
      <c r="I57" s="49">
        <f>SUMPRODUCT(I23:I56,$E$23:$E$56)</f>
        <v>26516.268212925846</v>
      </c>
      <c r="J57" s="90"/>
      <c r="K57" s="51">
        <f>MIN(K22:K56)</f>
        <v>40189</v>
      </c>
      <c r="L57" s="51">
        <f>MIN(L22:L56)</f>
        <v>40448</v>
      </c>
      <c r="M57" s="51">
        <f>MAX(M22:M56)</f>
        <v>42474</v>
      </c>
      <c r="N57" s="91"/>
      <c r="P57" s="5">
        <f>SUM(P19:P56)</f>
        <v>0.83006225050308802</v>
      </c>
    </row>
    <row r="58" spans="1:18" ht="15.75" x14ac:dyDescent="0.25">
      <c r="A58" s="92"/>
      <c r="B58" s="93"/>
      <c r="C58" s="92"/>
      <c r="D58" s="92"/>
      <c r="E58" s="94">
        <f>'[1]%'!L9</f>
        <v>70630.157999999996</v>
      </c>
      <c r="F58" s="92"/>
      <c r="G58" s="92"/>
      <c r="H58" s="94">
        <f>'[1]%'!J9</f>
        <v>44113.89</v>
      </c>
      <c r="I58" s="94">
        <f>'[1]%'!K9</f>
        <v>26516.268</v>
      </c>
      <c r="J58" s="95">
        <f>H57-H58</f>
        <v>-2.4292585294460878E-4</v>
      </c>
      <c r="K58" s="96"/>
      <c r="L58" s="96"/>
      <c r="M58" s="96"/>
      <c r="N58" s="92"/>
    </row>
    <row r="59" spans="1:18" ht="18.75" thickBot="1" x14ac:dyDescent="0.3">
      <c r="A59" s="97" t="s">
        <v>83</v>
      </c>
      <c r="B59" s="98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9"/>
    </row>
    <row r="60" spans="1:18" ht="25.5" x14ac:dyDescent="0.25">
      <c r="A60" s="100" t="s">
        <v>1</v>
      </c>
      <c r="B60" s="101" t="s">
        <v>2</v>
      </c>
      <c r="C60" s="102" t="s">
        <v>3</v>
      </c>
      <c r="D60" s="103" t="s">
        <v>4</v>
      </c>
      <c r="E60" s="104" t="s">
        <v>5</v>
      </c>
      <c r="F60" s="101" t="s">
        <v>6</v>
      </c>
      <c r="G60" s="105" t="s">
        <v>7</v>
      </c>
      <c r="H60" s="106" t="s">
        <v>8</v>
      </c>
      <c r="I60" s="107"/>
      <c r="J60" s="101" t="s">
        <v>9</v>
      </c>
      <c r="K60" s="106" t="s">
        <v>10</v>
      </c>
      <c r="L60" s="108"/>
      <c r="M60" s="107"/>
      <c r="N60" s="109" t="s">
        <v>41</v>
      </c>
    </row>
    <row r="61" spans="1:18" ht="51" x14ac:dyDescent="0.25">
      <c r="A61" s="110"/>
      <c r="B61" s="111"/>
      <c r="C61" s="112"/>
      <c r="D61" s="113"/>
      <c r="E61" s="23" t="s">
        <v>12</v>
      </c>
      <c r="F61" s="111"/>
      <c r="G61" s="114" t="s">
        <v>42</v>
      </c>
      <c r="H61" s="114" t="s">
        <v>14</v>
      </c>
      <c r="I61" s="114" t="s">
        <v>15</v>
      </c>
      <c r="J61" s="111"/>
      <c r="K61" s="114" t="s">
        <v>16</v>
      </c>
      <c r="L61" s="115" t="s">
        <v>17</v>
      </c>
      <c r="M61" s="114" t="s">
        <v>18</v>
      </c>
      <c r="N61" s="116"/>
    </row>
    <row r="62" spans="1:18" ht="18" x14ac:dyDescent="0.25">
      <c r="A62" s="117" t="s">
        <v>84</v>
      </c>
      <c r="B62" s="118" t="s">
        <v>85</v>
      </c>
      <c r="C62" s="119"/>
      <c r="D62" s="119"/>
      <c r="E62" s="120">
        <f>SUBTOTAL(9,E63:E65)</f>
        <v>2500</v>
      </c>
      <c r="F62" s="121"/>
      <c r="G62" s="121"/>
      <c r="H62" s="121"/>
      <c r="I62" s="121"/>
      <c r="J62" s="121"/>
      <c r="K62" s="71">
        <f>MIN(K63:K65)</f>
        <v>41306</v>
      </c>
      <c r="L62" s="71">
        <f>MIN(L63:L65)</f>
        <v>41366</v>
      </c>
      <c r="M62" s="71">
        <f>MAX(M63:M65)</f>
        <v>42725</v>
      </c>
      <c r="N62" s="122"/>
    </row>
    <row r="63" spans="1:18" x14ac:dyDescent="0.25">
      <c r="A63" s="123" t="s">
        <v>86</v>
      </c>
      <c r="B63" s="124" t="str">
        <f>'[1]%'!I12</f>
        <v>Engenharia e administração (UGP)</v>
      </c>
      <c r="C63" s="125"/>
      <c r="D63" s="125"/>
      <c r="E63" s="126">
        <f>'[1]%'!L12</f>
        <v>2077</v>
      </c>
      <c r="F63" s="125" t="s">
        <v>87</v>
      </c>
      <c r="G63" s="30" t="s">
        <v>36</v>
      </c>
      <c r="H63" s="127">
        <v>1</v>
      </c>
      <c r="I63" s="32">
        <f>1-H63</f>
        <v>0</v>
      </c>
      <c r="J63" s="125" t="s">
        <v>24</v>
      </c>
      <c r="K63" s="74"/>
      <c r="L63" s="74">
        <v>41366</v>
      </c>
      <c r="M63" s="74">
        <v>42359</v>
      </c>
      <c r="N63" s="128" t="s">
        <v>30</v>
      </c>
    </row>
    <row r="64" spans="1:18" x14ac:dyDescent="0.25">
      <c r="A64" s="123" t="s">
        <v>88</v>
      </c>
      <c r="B64" s="124" t="str">
        <f>'[1]%'!I13</f>
        <v>Auditoria externa</v>
      </c>
      <c r="C64" s="125"/>
      <c r="D64" s="125"/>
      <c r="E64" s="126">
        <f>'[1]%'!L13</f>
        <v>223</v>
      </c>
      <c r="F64" s="125" t="s">
        <v>87</v>
      </c>
      <c r="G64" s="30" t="s">
        <v>36</v>
      </c>
      <c r="H64" s="127">
        <v>1</v>
      </c>
      <c r="I64" s="32">
        <f>1-H64</f>
        <v>0</v>
      </c>
      <c r="J64" s="125" t="s">
        <v>24</v>
      </c>
      <c r="K64" s="74">
        <f>L64-60</f>
        <v>41306</v>
      </c>
      <c r="L64" s="74">
        <v>41366</v>
      </c>
      <c r="M64" s="74">
        <v>42359</v>
      </c>
      <c r="N64" s="128" t="s">
        <v>30</v>
      </c>
    </row>
    <row r="65" spans="1:17" s="4" customFormat="1" ht="25.5" x14ac:dyDescent="0.25">
      <c r="A65" s="123" t="s">
        <v>89</v>
      </c>
      <c r="B65" s="124" t="s">
        <v>90</v>
      </c>
      <c r="C65" s="125"/>
      <c r="D65" s="125"/>
      <c r="E65" s="126">
        <f>('[1]%'!L14+'[1]%'!L15)</f>
        <v>200</v>
      </c>
      <c r="F65" s="125" t="s">
        <v>91</v>
      </c>
      <c r="G65" s="30" t="s">
        <v>23</v>
      </c>
      <c r="H65" s="127">
        <v>1</v>
      </c>
      <c r="I65" s="32">
        <f>1-H65</f>
        <v>0</v>
      </c>
      <c r="J65" s="125" t="s">
        <v>24</v>
      </c>
      <c r="K65" s="74">
        <f>L65-30</f>
        <v>41792</v>
      </c>
      <c r="L65" s="74">
        <v>41822</v>
      </c>
      <c r="M65" s="74">
        <v>42725</v>
      </c>
      <c r="N65" s="128" t="s">
        <v>26</v>
      </c>
      <c r="P65" s="5"/>
      <c r="Q65" s="6"/>
    </row>
    <row r="66" spans="1:17" s="4" customFormat="1" ht="16.5" thickBot="1" x14ac:dyDescent="0.3">
      <c r="A66" s="129"/>
      <c r="B66" s="87" t="s">
        <v>92</v>
      </c>
      <c r="C66" s="130"/>
      <c r="D66" s="130"/>
      <c r="E66" s="131">
        <f>SUBTOTAL(9,E63:E65)</f>
        <v>2500</v>
      </c>
      <c r="F66" s="88"/>
      <c r="G66" s="88"/>
      <c r="H66" s="49">
        <f>SUMPRODUCT(H63:H65,$E$63:$E$65)</f>
        <v>2500</v>
      </c>
      <c r="I66" s="49">
        <f>SUMPRODUCT(I63:I65,$E$63:$E$65)</f>
        <v>0</v>
      </c>
      <c r="J66" s="90"/>
      <c r="K66" s="51">
        <f>MIN(K63:K65)</f>
        <v>41306</v>
      </c>
      <c r="L66" s="51">
        <f>MIN(L63:L65)</f>
        <v>41366</v>
      </c>
      <c r="M66" s="51">
        <f>MAX(M63:M65)</f>
        <v>42725</v>
      </c>
      <c r="N66" s="132"/>
      <c r="P66" s="5"/>
      <c r="Q66" s="6"/>
    </row>
    <row r="67" spans="1:17" s="4" customFormat="1" x14ac:dyDescent="0.25">
      <c r="A67" s="133"/>
      <c r="B67" s="59"/>
      <c r="C67" s="58"/>
      <c r="D67" s="58"/>
      <c r="E67" s="134">
        <f>'[1]%'!L11</f>
        <v>2500</v>
      </c>
      <c r="F67" s="58"/>
      <c r="G67" s="135"/>
      <c r="H67" s="60">
        <f>'[1]%'!J11</f>
        <v>2500</v>
      </c>
      <c r="I67" s="60">
        <f>'[1]%'!K11</f>
        <v>0</v>
      </c>
      <c r="J67" s="60"/>
      <c r="K67" s="58"/>
      <c r="L67" s="58"/>
      <c r="M67" s="58"/>
      <c r="N67" s="58"/>
      <c r="P67" s="5"/>
      <c r="Q67" s="6"/>
    </row>
    <row r="68" spans="1:17" s="4" customFormat="1" ht="18.75" thickBot="1" x14ac:dyDescent="0.3">
      <c r="A68" s="97" t="s">
        <v>93</v>
      </c>
      <c r="B68" s="59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P68" s="5"/>
      <c r="Q68" s="6"/>
    </row>
    <row r="69" spans="1:17" s="4" customFormat="1" ht="21" thickBot="1" x14ac:dyDescent="0.3">
      <c r="A69" s="136" t="s">
        <v>94</v>
      </c>
      <c r="B69" s="137" t="str">
        <f>'[1]%'!I10</f>
        <v>Contingências</v>
      </c>
      <c r="C69" s="138"/>
      <c r="D69" s="138"/>
      <c r="E69" s="139">
        <f>I69+H69</f>
        <v>7387.9530000000004</v>
      </c>
      <c r="F69" s="138"/>
      <c r="G69" s="138"/>
      <c r="H69" s="140">
        <f>'[1]%'!J10</f>
        <v>7387.9530000000004</v>
      </c>
      <c r="I69" s="141">
        <f>'[1]%'!K10</f>
        <v>0</v>
      </c>
      <c r="J69" s="138"/>
      <c r="K69" s="142"/>
      <c r="L69" s="142">
        <v>41275</v>
      </c>
      <c r="M69" s="142">
        <v>42705</v>
      </c>
      <c r="N69" s="143"/>
      <c r="P69" s="5"/>
      <c r="Q69" s="6"/>
    </row>
    <row r="70" spans="1:17" s="4" customFormat="1" ht="13.5" thickBot="1" x14ac:dyDescent="0.3">
      <c r="A70" s="58"/>
      <c r="B70" s="59"/>
      <c r="C70" s="58"/>
      <c r="D70" s="58"/>
      <c r="E70" s="58"/>
      <c r="F70" s="58"/>
      <c r="G70" s="58"/>
      <c r="H70" s="60"/>
      <c r="I70" s="60"/>
      <c r="J70" s="58"/>
      <c r="K70" s="58"/>
      <c r="L70" s="58"/>
      <c r="M70" s="58"/>
      <c r="N70" s="58"/>
      <c r="P70" s="5"/>
      <c r="Q70" s="6"/>
    </row>
    <row r="71" spans="1:17" s="4" customFormat="1" ht="21" thickBot="1" x14ac:dyDescent="0.3">
      <c r="A71" s="144" t="s">
        <v>95</v>
      </c>
      <c r="B71" s="145"/>
      <c r="C71" s="138"/>
      <c r="D71" s="138"/>
      <c r="E71" s="146">
        <f>E8+E16+E57+E66+E69</f>
        <v>147759.95262099997</v>
      </c>
      <c r="F71" s="147"/>
      <c r="G71" s="147"/>
      <c r="H71" s="146">
        <f>H8+H16+H57+H66+H69</f>
        <v>88655.99540807413</v>
      </c>
      <c r="I71" s="146">
        <f>I8+I16+I57+I66+I69</f>
        <v>59103.957212925845</v>
      </c>
      <c r="J71" s="147"/>
      <c r="K71" s="142">
        <f>MIN(K4:K70)</f>
        <v>40189</v>
      </c>
      <c r="L71" s="142">
        <f>MIN(L4:L70)</f>
        <v>40448</v>
      </c>
      <c r="M71" s="142">
        <f>MAX(M4:M70)</f>
        <v>42725</v>
      </c>
      <c r="N71" s="143"/>
      <c r="P71" s="5"/>
      <c r="Q71" s="6"/>
    </row>
    <row r="72" spans="1:17" s="4" customFormat="1" x14ac:dyDescent="0.25">
      <c r="A72" s="148"/>
      <c r="B72" s="149"/>
      <c r="C72" s="148"/>
      <c r="D72" s="148"/>
      <c r="E72" s="150">
        <f>'[1]%'!L16</f>
        <v>147759.95300000001</v>
      </c>
      <c r="F72" s="148"/>
      <c r="G72" s="148"/>
      <c r="H72" s="60">
        <f>'[1]%'!J16</f>
        <v>88655.995999999999</v>
      </c>
      <c r="I72" s="60">
        <f>'[1]%'!K16</f>
        <v>59103.957000000002</v>
      </c>
      <c r="J72" s="148"/>
      <c r="K72" s="148"/>
      <c r="L72" s="148"/>
      <c r="M72" s="148"/>
      <c r="N72" s="148"/>
      <c r="P72" s="5"/>
      <c r="Q72" s="6"/>
    </row>
    <row r="73" spans="1:17" s="4" customFormat="1" x14ac:dyDescent="0.25">
      <c r="A73" s="148"/>
      <c r="B73" s="149"/>
      <c r="C73" s="148"/>
      <c r="D73" s="148"/>
      <c r="E73" s="148"/>
      <c r="F73" s="148"/>
      <c r="G73" s="148"/>
      <c r="H73" s="151"/>
      <c r="I73" s="151"/>
      <c r="J73" s="148"/>
      <c r="K73" s="148"/>
      <c r="L73" s="148"/>
      <c r="M73" s="148"/>
      <c r="N73" s="148"/>
      <c r="P73" s="5"/>
      <c r="Q73" s="6"/>
    </row>
  </sheetData>
  <mergeCells count="28">
    <mergeCell ref="N60:N61"/>
    <mergeCell ref="A71:B71"/>
    <mergeCell ref="A60:A61"/>
    <mergeCell ref="B60:B61"/>
    <mergeCell ref="F60:F61"/>
    <mergeCell ref="H60:I60"/>
    <mergeCell ref="J60:J61"/>
    <mergeCell ref="K60:M60"/>
    <mergeCell ref="N11:N12"/>
    <mergeCell ref="A19:A20"/>
    <mergeCell ref="B19:B20"/>
    <mergeCell ref="F19:F20"/>
    <mergeCell ref="H19:I19"/>
    <mergeCell ref="J19:J20"/>
    <mergeCell ref="K19:M19"/>
    <mergeCell ref="N19:N20"/>
    <mergeCell ref="A11:A12"/>
    <mergeCell ref="B11:B12"/>
    <mergeCell ref="F11:F12"/>
    <mergeCell ref="H11:I11"/>
    <mergeCell ref="J11:J12"/>
    <mergeCell ref="K11:M11"/>
    <mergeCell ref="A2:A3"/>
    <mergeCell ref="F2:F3"/>
    <mergeCell ref="H2:I2"/>
    <mergeCell ref="J2:J3"/>
    <mergeCell ref="K2:M2"/>
    <mergeCell ref="N2:N3"/>
  </mergeCells>
  <conditionalFormatting sqref="K31:M31 K34:M36 K52:M52 K57:M59 K39:M45 K47:M48 K1:M10 K16:M27 M11:M15 K61:M1048576 K29:M29">
    <cfRule type="cellIs" dxfId="16" priority="17" stopIfTrue="1" operator="lessThan">
      <formula>TODAY()</formula>
    </cfRule>
  </conditionalFormatting>
  <conditionalFormatting sqref="K28:M28">
    <cfRule type="cellIs" dxfId="15" priority="16" stopIfTrue="1" operator="lessThan">
      <formula>TODAY()</formula>
    </cfRule>
  </conditionalFormatting>
  <conditionalFormatting sqref="K30:M30">
    <cfRule type="cellIs" dxfId="14" priority="15" stopIfTrue="1" operator="lessThan">
      <formula>TODAY()</formula>
    </cfRule>
  </conditionalFormatting>
  <conditionalFormatting sqref="K33:M33">
    <cfRule type="cellIs" dxfId="13" priority="14" stopIfTrue="1" operator="lessThan">
      <formula>TODAY()</formula>
    </cfRule>
  </conditionalFormatting>
  <conditionalFormatting sqref="K50:M50">
    <cfRule type="cellIs" dxfId="12" priority="13" stopIfTrue="1" operator="lessThan">
      <formula>TODAY()</formula>
    </cfRule>
  </conditionalFormatting>
  <conditionalFormatting sqref="K53 M53">
    <cfRule type="cellIs" dxfId="11" priority="12" stopIfTrue="1" operator="lessThan">
      <formula>TODAY()</formula>
    </cfRule>
  </conditionalFormatting>
  <conditionalFormatting sqref="K49:M49">
    <cfRule type="cellIs" dxfId="10" priority="11" stopIfTrue="1" operator="lessThan">
      <formula>TODAY()</formula>
    </cfRule>
  </conditionalFormatting>
  <conditionalFormatting sqref="K54:M54">
    <cfRule type="cellIs" dxfId="9" priority="10" stopIfTrue="1" operator="lessThan">
      <formula>TODAY()</formula>
    </cfRule>
  </conditionalFormatting>
  <conditionalFormatting sqref="K55:M55">
    <cfRule type="cellIs" dxfId="8" priority="9" stopIfTrue="1" operator="lessThan">
      <formula>TODAY()</formula>
    </cfRule>
  </conditionalFormatting>
  <conditionalFormatting sqref="K60:M60">
    <cfRule type="cellIs" dxfId="7" priority="8" stopIfTrue="1" operator="lessThan">
      <formula>TODAY()</formula>
    </cfRule>
  </conditionalFormatting>
  <conditionalFormatting sqref="K37:M38">
    <cfRule type="cellIs" dxfId="6" priority="7" stopIfTrue="1" operator="lessThan">
      <formula>TODAY()</formula>
    </cfRule>
  </conditionalFormatting>
  <conditionalFormatting sqref="K56:M56">
    <cfRule type="cellIs" dxfId="5" priority="6" stopIfTrue="1" operator="lessThan">
      <formula>TODAY()</formula>
    </cfRule>
  </conditionalFormatting>
  <conditionalFormatting sqref="K46:M46">
    <cfRule type="cellIs" dxfId="4" priority="5" stopIfTrue="1" operator="lessThan">
      <formula>TODAY()</formula>
    </cfRule>
  </conditionalFormatting>
  <conditionalFormatting sqref="K11:L15">
    <cfRule type="cellIs" dxfId="3" priority="4" stopIfTrue="1" operator="lessThan">
      <formula>TODAY()</formula>
    </cfRule>
  </conditionalFormatting>
  <conditionalFormatting sqref="K51:M51">
    <cfRule type="cellIs" dxfId="2" priority="3" stopIfTrue="1" operator="lessThan">
      <formula>TODAY()</formula>
    </cfRule>
  </conditionalFormatting>
  <conditionalFormatting sqref="K32:M32">
    <cfRule type="cellIs" dxfId="1" priority="2" stopIfTrue="1" operator="lessThan">
      <formula>TODAY()</formula>
    </cfRule>
  </conditionalFormatting>
  <conditionalFormatting sqref="L53">
    <cfRule type="cellIs" dxfId="0" priority="1" stopIfTrue="1" operator="lessThan">
      <formula>TODAY()</formula>
    </cfRule>
  </conditionalFormatting>
  <dataValidations count="2">
    <dataValidation type="list" allowBlank="1" showInputMessage="1" showErrorMessage="1" sqref="N4:N71">
      <formula1>$O$4:$O$7</formula1>
    </dataValidation>
    <dataValidation allowBlank="1" showInputMessage="1" showErrorMessage="1" sqref="N72:N100"/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0D3511B73E04F4AB4EB079BDB06E476" ma:contentTypeVersion="0" ma:contentTypeDescription="A content type to manage public (operations) IDB documents" ma:contentTypeScope="" ma:versionID="aa5604fb81bb2b256a5f7e2dc8d763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38247005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2813/OC-BR</Approval_x0020_Number>
    <Document_x0020_Author xmlns="9c571b2f-e523-4ab2-ba2e-09e151a03ef4">Larrea, Sylvia Virginia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BR-L1303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Plan&lt;/USER_STAGE&gt;&lt;PD_OBJ_TYPE&gt;0&lt;/PD_OBJ_TYPE&gt;&lt;MAKERECORD&gt;N&lt;/MAKERECORD&gt;&lt;PD_FILEPT_NO&gt;PO-BR-L1303-GS&lt;/PD_FILEPT_NO&gt;&lt;/Data&gt;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87495CC3-C8BB-4CD6-96CC-E94C5A558B07}"/>
</file>

<file path=customXml/itemProps2.xml><?xml version="1.0" encoding="utf-8"?>
<ds:datastoreItem xmlns:ds="http://schemas.openxmlformats.org/officeDocument/2006/customXml" ds:itemID="{3C208437-B8C0-4C45-B4DE-DE127996A6BF}"/>
</file>

<file path=customXml/itemProps3.xml><?xml version="1.0" encoding="utf-8"?>
<ds:datastoreItem xmlns:ds="http://schemas.openxmlformats.org/officeDocument/2006/customXml" ds:itemID="{67473E9B-914E-48A8-A850-43107DADF3C1}"/>
</file>

<file path=customXml/itemProps4.xml><?xml version="1.0" encoding="utf-8"?>
<ds:datastoreItem xmlns:ds="http://schemas.openxmlformats.org/officeDocument/2006/customXml" ds:itemID="{450A8215-6CAE-4FD9-95DC-F88F1C652487}"/>
</file>

<file path=customXml/itemProps5.xml><?xml version="1.0" encoding="utf-8"?>
<ds:datastoreItem xmlns:ds="http://schemas.openxmlformats.org/officeDocument/2006/customXml" ds:itemID="{6BA58111-118E-4422-9712-DA73E54DE7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- 2813_OC-BR; BR-L1303</dc:title>
  <dc:creator>Test</dc:creator>
  <cp:lastModifiedBy>Test</cp:lastModifiedBy>
  <dcterms:created xsi:type="dcterms:W3CDTF">2013-11-18T20:40:54Z</dcterms:created>
  <dcterms:modified xsi:type="dcterms:W3CDTF">2013-11-18T20:42:59Z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0x01010046CF21643EE8D14686A648AA6DAD08920040D3511B73E04F4AB4EB079BDB06E476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