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 defaultThemeVersion="124226"/>
  <bookViews>
    <workbookView xWindow="0" yWindow="60" windowWidth="19440" windowHeight="11700" tabRatio="885" firstSheet="1" activeTab="1"/>
  </bookViews>
  <sheets>
    <sheet name="Quadro de Custos do ProgramaBID" sheetId="36" state="hidden" r:id="rId1"/>
    <sheet name="1.Usos&amp;Fontes" sheetId="2" r:id="rId2"/>
    <sheet name="2.Cronograma Fisico POA" sheetId="26" r:id="rId3"/>
    <sheet name="3.Cronograma Financeiro POA" sheetId="31" r:id="rId4"/>
    <sheet name="4.Cronograma Fisico PEP" sheetId="17" r:id="rId5"/>
    <sheet name="5.Cronograma Financeiro PEP " sheetId="29" r:id="rId6"/>
    <sheet name="6.Plano de Aquisições Ano 1-2" sheetId="28" state="hidden" r:id="rId7"/>
    <sheet name="Plan3" sheetId="35" state="hidden" r:id="rId8"/>
    <sheet name="7.Plano de Aquisições Total" sheetId="13" state="hidden" r:id="rId9"/>
    <sheet name="8. Matriz de riscos" sheetId="33" state="hidden" r:id="rId10"/>
    <sheet name="Plan2" sheetId="34" state="hidden" r:id="rId11"/>
    <sheet name="Sheet1" sheetId="37" r:id="rId12"/>
    <sheet name="Sheet2" sheetId="38" r:id="rId13"/>
  </sheets>
  <definedNames>
    <definedName name="_xlnm.Print_Area" localSheetId="1">'1.Usos&amp;Fontes'!$A$3:$I$49</definedName>
    <definedName name="_xlnm.Print_Area" localSheetId="2">'2.Cronograma Fisico POA'!$A$1:$I$43</definedName>
    <definedName name="_xlnm.Print_Area" localSheetId="3">'3.Cronograma Financeiro POA'!$A$1:$Y$49</definedName>
    <definedName name="_xlnm.Print_Area" localSheetId="4">'4.Cronograma Fisico PEP'!$A$1:$M$42</definedName>
    <definedName name="_xlnm.Print_Area" localSheetId="5">'5.Cronograma Financeiro PEP '!$A$1:$AX$86</definedName>
    <definedName name="_xlnm.Print_Area" localSheetId="6">'6.Plano de Aquisições Ano 1-2'!$A$1:$J$47</definedName>
    <definedName name="_xlnm.Print_Area" localSheetId="8">'7.Plano de Aquisições Total'!$A$1:$M$115</definedName>
    <definedName name="_xlnm.Print_Titles" localSheetId="5">'5.Cronograma Financeiro PEP '!$1:$8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2" l="1"/>
  <c r="E34" i="2"/>
  <c r="H21" i="2"/>
  <c r="H20" i="2"/>
  <c r="H19" i="2"/>
  <c r="H34" i="2"/>
  <c r="M22" i="17" l="1"/>
  <c r="AM25" i="29"/>
  <c r="AI25" i="29"/>
  <c r="AE25" i="29"/>
  <c r="AF25" i="29" s="1"/>
  <c r="G25" i="29"/>
  <c r="K25" i="29"/>
  <c r="O25" i="29"/>
  <c r="S25" i="29"/>
  <c r="T25" i="29" s="1"/>
  <c r="W25" i="29"/>
  <c r="AA25" i="29"/>
  <c r="AG25" i="29"/>
  <c r="AK25" i="29"/>
  <c r="AO25" i="29"/>
  <c r="AP25" i="29"/>
  <c r="C46" i="29"/>
  <c r="G46" i="29"/>
  <c r="C47" i="29"/>
  <c r="G47" i="29"/>
  <c r="E46" i="29"/>
  <c r="I46" i="29"/>
  <c r="E47" i="29"/>
  <c r="I47" i="29"/>
  <c r="I25" i="29"/>
  <c r="M25" i="29"/>
  <c r="N25" i="29"/>
  <c r="Q25" i="29"/>
  <c r="U25" i="29"/>
  <c r="V25" i="29"/>
  <c r="Y25" i="29"/>
  <c r="AC25" i="29"/>
  <c r="AD25" i="29"/>
  <c r="W10" i="31"/>
  <c r="V46" i="31"/>
  <c r="N46" i="31" s="1"/>
  <c r="V47" i="31"/>
  <c r="K47" i="31" s="1"/>
  <c r="T47" i="31"/>
  <c r="T46" i="31"/>
  <c r="T11" i="31"/>
  <c r="J11" i="31" s="1"/>
  <c r="T12" i="31"/>
  <c r="T13" i="31"/>
  <c r="T14" i="31"/>
  <c r="T15" i="31"/>
  <c r="J15" i="31" s="1"/>
  <c r="T10" i="31"/>
  <c r="I25" i="31"/>
  <c r="N45" i="31"/>
  <c r="J13" i="31"/>
  <c r="J45" i="29"/>
  <c r="V45" i="31"/>
  <c r="K45" i="31" s="1"/>
  <c r="L45" i="31"/>
  <c r="AZ45" i="29"/>
  <c r="I45" i="29"/>
  <c r="AZ46" i="29"/>
  <c r="J46" i="29" s="1"/>
  <c r="AZ47" i="29"/>
  <c r="J47" i="29" s="1"/>
  <c r="AZ31" i="29"/>
  <c r="I31" i="29"/>
  <c r="AZ32" i="29"/>
  <c r="I32" i="29"/>
  <c r="J32" i="29" s="1"/>
  <c r="AZ33" i="29"/>
  <c r="I33" i="29"/>
  <c r="J33" i="29"/>
  <c r="AU33" i="29" s="1"/>
  <c r="AZ34" i="29"/>
  <c r="J34" i="29" s="1"/>
  <c r="I34" i="29"/>
  <c r="AZ35" i="29"/>
  <c r="I35" i="29"/>
  <c r="AZ36" i="29"/>
  <c r="AD36" i="29" s="1"/>
  <c r="I36" i="29"/>
  <c r="AZ37" i="29"/>
  <c r="I37" i="29"/>
  <c r="J37" i="29"/>
  <c r="AZ38" i="29"/>
  <c r="J38" i="29" s="1"/>
  <c r="I38" i="29"/>
  <c r="AZ39" i="29"/>
  <c r="I39" i="29"/>
  <c r="AZ40" i="29"/>
  <c r="I40" i="29"/>
  <c r="J40" i="29" s="1"/>
  <c r="AZ41" i="29"/>
  <c r="I41" i="29"/>
  <c r="J41" i="29"/>
  <c r="AZ42" i="29"/>
  <c r="J42" i="29" s="1"/>
  <c r="I42" i="29"/>
  <c r="AZ18" i="29"/>
  <c r="J18" i="29" s="1"/>
  <c r="I18" i="29"/>
  <c r="AZ19" i="29"/>
  <c r="I19" i="29"/>
  <c r="AZ20" i="29"/>
  <c r="I20" i="29"/>
  <c r="J20" i="29" s="1"/>
  <c r="AZ21" i="29"/>
  <c r="I21" i="29"/>
  <c r="J21" i="29"/>
  <c r="AZ22" i="29"/>
  <c r="J22" i="29" s="1"/>
  <c r="I22" i="29"/>
  <c r="AZ23" i="29"/>
  <c r="I23" i="29"/>
  <c r="AZ24" i="29"/>
  <c r="I24" i="29"/>
  <c r="J24" i="29" s="1"/>
  <c r="AZ25" i="29"/>
  <c r="AL25" i="29" s="1"/>
  <c r="AZ26" i="29"/>
  <c r="I26" i="29"/>
  <c r="J26" i="29" s="1"/>
  <c r="AZ27" i="29"/>
  <c r="I27" i="29"/>
  <c r="J27" i="29"/>
  <c r="AZ28" i="29"/>
  <c r="J28" i="29" s="1"/>
  <c r="I28" i="29"/>
  <c r="AZ10" i="29"/>
  <c r="I10" i="29"/>
  <c r="AZ11" i="29"/>
  <c r="I11" i="29"/>
  <c r="J11" i="29" s="1"/>
  <c r="AZ12" i="29"/>
  <c r="I12" i="29"/>
  <c r="J12" i="29"/>
  <c r="AZ13" i="29"/>
  <c r="J13" i="29" s="1"/>
  <c r="I13" i="29"/>
  <c r="AZ14" i="29"/>
  <c r="I14" i="29"/>
  <c r="AZ15" i="29"/>
  <c r="I15" i="29"/>
  <c r="J15" i="29" s="1"/>
  <c r="E31" i="29"/>
  <c r="F31" i="29"/>
  <c r="E32" i="29"/>
  <c r="F32" i="29" s="1"/>
  <c r="E33" i="29"/>
  <c r="F33" i="29"/>
  <c r="E34" i="29"/>
  <c r="F34" i="29" s="1"/>
  <c r="E35" i="29"/>
  <c r="F35" i="29"/>
  <c r="E36" i="29"/>
  <c r="F36" i="29" s="1"/>
  <c r="E37" i="29"/>
  <c r="F37" i="29"/>
  <c r="E38" i="29"/>
  <c r="F38" i="29" s="1"/>
  <c r="E39" i="29"/>
  <c r="E40" i="29"/>
  <c r="F40" i="29" s="1"/>
  <c r="E41" i="29"/>
  <c r="F41" i="29"/>
  <c r="E42" i="29"/>
  <c r="F42" i="29" s="1"/>
  <c r="E45" i="29"/>
  <c r="E18" i="29"/>
  <c r="E19" i="29"/>
  <c r="E20" i="29"/>
  <c r="F20" i="29" s="1"/>
  <c r="E21" i="29"/>
  <c r="F21" i="29" s="1"/>
  <c r="E22" i="29"/>
  <c r="E23" i="29"/>
  <c r="E24" i="29"/>
  <c r="F24" i="29" s="1"/>
  <c r="E25" i="29"/>
  <c r="F25" i="29" s="1"/>
  <c r="E26" i="29"/>
  <c r="F26" i="29" s="1"/>
  <c r="E27" i="29"/>
  <c r="F27" i="29" s="1"/>
  <c r="E28" i="29"/>
  <c r="E10" i="29"/>
  <c r="E11" i="29"/>
  <c r="F11" i="29"/>
  <c r="E12" i="29"/>
  <c r="F12" i="29" s="1"/>
  <c r="E13" i="29"/>
  <c r="F13" i="29"/>
  <c r="E14" i="29"/>
  <c r="E15" i="29"/>
  <c r="F15" i="29"/>
  <c r="C46" i="31"/>
  <c r="F46" i="31"/>
  <c r="I46" i="31"/>
  <c r="L46" i="31"/>
  <c r="C47" i="31"/>
  <c r="F47" i="31"/>
  <c r="H47" i="31" s="1"/>
  <c r="I47" i="31"/>
  <c r="J47" i="31" s="1"/>
  <c r="L47" i="31"/>
  <c r="O47" i="31"/>
  <c r="W47" i="31"/>
  <c r="V18" i="31"/>
  <c r="I18" i="31"/>
  <c r="K18" i="31"/>
  <c r="V19" i="31"/>
  <c r="K19" i="31" s="1"/>
  <c r="I19" i="31"/>
  <c r="V20" i="31"/>
  <c r="K20" i="31" s="1"/>
  <c r="I20" i="31"/>
  <c r="V21" i="31"/>
  <c r="H21" i="31" s="1"/>
  <c r="I21" i="31"/>
  <c r="V22" i="31"/>
  <c r="E22" i="31" s="1"/>
  <c r="I22" i="31"/>
  <c r="V23" i="31"/>
  <c r="K23" i="31" s="1"/>
  <c r="I23" i="31"/>
  <c r="V24" i="31"/>
  <c r="K24" i="31" s="1"/>
  <c r="I24" i="31"/>
  <c r="V25" i="31"/>
  <c r="K25" i="31" s="1"/>
  <c r="V26" i="31"/>
  <c r="K26" i="31" s="1"/>
  <c r="I26" i="31"/>
  <c r="V27" i="31"/>
  <c r="I27" i="31"/>
  <c r="K27" i="31" s="1"/>
  <c r="V28" i="31"/>
  <c r="I28" i="31"/>
  <c r="K28" i="31"/>
  <c r="V10" i="31"/>
  <c r="K10" i="31" s="1"/>
  <c r="I10" i="31"/>
  <c r="J10" i="31" s="1"/>
  <c r="V11" i="31"/>
  <c r="K11" i="31" s="1"/>
  <c r="I11" i="31"/>
  <c r="V12" i="31"/>
  <c r="I12" i="31"/>
  <c r="V13" i="31"/>
  <c r="I13" i="31"/>
  <c r="K13" i="31"/>
  <c r="V14" i="31"/>
  <c r="K14" i="31" s="1"/>
  <c r="I14" i="31"/>
  <c r="V15" i="31"/>
  <c r="K15" i="31" s="1"/>
  <c r="I15" i="31"/>
  <c r="AO45" i="29"/>
  <c r="AO46" i="29"/>
  <c r="AO47" i="29"/>
  <c r="AY45" i="29"/>
  <c r="AM45" i="29"/>
  <c r="AN45" i="29" s="1"/>
  <c r="AY46" i="29"/>
  <c r="D46" i="29" s="1"/>
  <c r="AM46" i="29"/>
  <c r="AY47" i="29"/>
  <c r="H47" i="29" s="1"/>
  <c r="AM47" i="29"/>
  <c r="AO31" i="29"/>
  <c r="AO32" i="29"/>
  <c r="AP32" i="29"/>
  <c r="AO33" i="29"/>
  <c r="AP33" i="29" s="1"/>
  <c r="AO34" i="29"/>
  <c r="AP34" i="29"/>
  <c r="AO35" i="29"/>
  <c r="AO36" i="29"/>
  <c r="AP36" i="29"/>
  <c r="AO37" i="29"/>
  <c r="AP37" i="29" s="1"/>
  <c r="AO38" i="29"/>
  <c r="AP38" i="29"/>
  <c r="AO39" i="29"/>
  <c r="AO40" i="29"/>
  <c r="AP40" i="29"/>
  <c r="AO41" i="29"/>
  <c r="AP41" i="29" s="1"/>
  <c r="AO42" i="29"/>
  <c r="AP42" i="29"/>
  <c r="AY31" i="29"/>
  <c r="AM31" i="29"/>
  <c r="AN31" i="29"/>
  <c r="AY32" i="29"/>
  <c r="AN32" i="29" s="1"/>
  <c r="AM32" i="29"/>
  <c r="AY33" i="29"/>
  <c r="AM33" i="29"/>
  <c r="AY34" i="29"/>
  <c r="AM34" i="29"/>
  <c r="AN34" i="29" s="1"/>
  <c r="AY35" i="29"/>
  <c r="AM35" i="29"/>
  <c r="AN35" i="29"/>
  <c r="AY36" i="29"/>
  <c r="AN36" i="29" s="1"/>
  <c r="AM36" i="29"/>
  <c r="AY37" i="29"/>
  <c r="AN37" i="29" s="1"/>
  <c r="AM37" i="29"/>
  <c r="AY38" i="29"/>
  <c r="AM38" i="29"/>
  <c r="AN38" i="29" s="1"/>
  <c r="AY39" i="29"/>
  <c r="AM39" i="29"/>
  <c r="AN39" i="29"/>
  <c r="AY40" i="29"/>
  <c r="AN40" i="29" s="1"/>
  <c r="AM40" i="29"/>
  <c r="AY41" i="29"/>
  <c r="AN41" i="29" s="1"/>
  <c r="AM41" i="29"/>
  <c r="AY42" i="29"/>
  <c r="AM42" i="29"/>
  <c r="AN42" i="29" s="1"/>
  <c r="AO18" i="29"/>
  <c r="AP18" i="29"/>
  <c r="AO19" i="29"/>
  <c r="AO20" i="29"/>
  <c r="AP20" i="29"/>
  <c r="AO21" i="29"/>
  <c r="AP21" i="29" s="1"/>
  <c r="AO22" i="29"/>
  <c r="AP22" i="29"/>
  <c r="AO23" i="29"/>
  <c r="AO24" i="29"/>
  <c r="AP24" i="29"/>
  <c r="AO26" i="29"/>
  <c r="AP26" i="29" s="1"/>
  <c r="AO27" i="29"/>
  <c r="AP27" i="29"/>
  <c r="AO28" i="29"/>
  <c r="AP28" i="29" s="1"/>
  <c r="AY18" i="29"/>
  <c r="AN18" i="29" s="1"/>
  <c r="AM18" i="29"/>
  <c r="AY19" i="29"/>
  <c r="AM19" i="29"/>
  <c r="AN19" i="29" s="1"/>
  <c r="AY20" i="29"/>
  <c r="AM20" i="29"/>
  <c r="AN20" i="29"/>
  <c r="AY21" i="29"/>
  <c r="AN21" i="29" s="1"/>
  <c r="AM21" i="29"/>
  <c r="AY22" i="29"/>
  <c r="AN22" i="29" s="1"/>
  <c r="AM22" i="29"/>
  <c r="AY23" i="29"/>
  <c r="AM23" i="29"/>
  <c r="AN23" i="29" s="1"/>
  <c r="AY24" i="29"/>
  <c r="AM24" i="29"/>
  <c r="AN24" i="29"/>
  <c r="AY25" i="29"/>
  <c r="H25" i="29" s="1"/>
  <c r="AY26" i="29"/>
  <c r="AM26" i="29"/>
  <c r="AN26" i="29"/>
  <c r="AY27" i="29"/>
  <c r="AN27" i="29" s="1"/>
  <c r="AM27" i="29"/>
  <c r="AY28" i="29"/>
  <c r="AM28" i="29"/>
  <c r="AO10" i="29"/>
  <c r="AO11" i="29"/>
  <c r="AP11" i="29" s="1"/>
  <c r="AO12" i="29"/>
  <c r="AP12" i="29" s="1"/>
  <c r="AO13" i="29"/>
  <c r="AP13" i="29" s="1"/>
  <c r="AO14" i="29"/>
  <c r="AO15" i="29"/>
  <c r="AP15" i="29" s="1"/>
  <c r="AY10" i="29"/>
  <c r="AJ10" i="29" s="1"/>
  <c r="AM10" i="29"/>
  <c r="AY11" i="29"/>
  <c r="AN11" i="29" s="1"/>
  <c r="AM11" i="29"/>
  <c r="AY12" i="29"/>
  <c r="AM12" i="29"/>
  <c r="AN12" i="29" s="1"/>
  <c r="AY13" i="29"/>
  <c r="AM13" i="29"/>
  <c r="AN13" i="29"/>
  <c r="AY14" i="29"/>
  <c r="AJ14" i="29" s="1"/>
  <c r="AM14" i="29"/>
  <c r="AY15" i="29"/>
  <c r="AN15" i="29" s="1"/>
  <c r="AM15" i="29"/>
  <c r="AK10" i="29"/>
  <c r="AK11" i="29"/>
  <c r="AL11" i="29"/>
  <c r="AK12" i="29"/>
  <c r="AL12" i="29" s="1"/>
  <c r="AK13" i="29"/>
  <c r="AL13" i="29"/>
  <c r="AK14" i="29"/>
  <c r="AK15" i="29"/>
  <c r="AL15" i="29"/>
  <c r="AI10" i="29"/>
  <c r="AI11" i="29"/>
  <c r="AJ11" i="29"/>
  <c r="AI12" i="29"/>
  <c r="AJ12" i="29" s="1"/>
  <c r="AI13" i="29"/>
  <c r="AJ13" i="29"/>
  <c r="AI14" i="29"/>
  <c r="AI15" i="29"/>
  <c r="AJ15" i="29"/>
  <c r="AK18" i="29"/>
  <c r="AL18" i="29"/>
  <c r="AK19" i="29"/>
  <c r="AK20" i="29"/>
  <c r="AL20" i="29"/>
  <c r="AK21" i="29"/>
  <c r="AL21" i="29" s="1"/>
  <c r="AK22" i="29"/>
  <c r="AL22" i="29"/>
  <c r="AK23" i="29"/>
  <c r="AK24" i="29"/>
  <c r="AL24" i="29"/>
  <c r="AK26" i="29"/>
  <c r="AL26" i="29" s="1"/>
  <c r="AK27" i="29"/>
  <c r="AL27" i="29"/>
  <c r="AK28" i="29"/>
  <c r="AL28" i="29" s="1"/>
  <c r="AI18" i="29"/>
  <c r="AJ18" i="29"/>
  <c r="AI19" i="29"/>
  <c r="AJ19" i="29" s="1"/>
  <c r="AI20" i="29"/>
  <c r="AJ20" i="29"/>
  <c r="AI21" i="29"/>
  <c r="AJ21" i="29" s="1"/>
  <c r="AI22" i="29"/>
  <c r="AJ22" i="29"/>
  <c r="AI23" i="29"/>
  <c r="AJ23" i="29" s="1"/>
  <c r="AI24" i="29"/>
  <c r="AJ24" i="29"/>
  <c r="AI26" i="29"/>
  <c r="AJ26" i="29" s="1"/>
  <c r="AI27" i="29"/>
  <c r="AJ27" i="29"/>
  <c r="AI28" i="29"/>
  <c r="AK31" i="29"/>
  <c r="AK32" i="29"/>
  <c r="AL32" i="29"/>
  <c r="AK33" i="29"/>
  <c r="AL33" i="29" s="1"/>
  <c r="AK34" i="29"/>
  <c r="AL34" i="29"/>
  <c r="AK35" i="29"/>
  <c r="AK36" i="29"/>
  <c r="AK37" i="29"/>
  <c r="AL37" i="29" s="1"/>
  <c r="AK38" i="29"/>
  <c r="AL38" i="29"/>
  <c r="AK39" i="29"/>
  <c r="AK40" i="29"/>
  <c r="AL40" i="29"/>
  <c r="AK41" i="29"/>
  <c r="AL41" i="29" s="1"/>
  <c r="AK42" i="29"/>
  <c r="AL42" i="29"/>
  <c r="AI31" i="29"/>
  <c r="AJ31" i="29" s="1"/>
  <c r="AI32" i="29"/>
  <c r="AJ32" i="29" s="1"/>
  <c r="AI33" i="29"/>
  <c r="AI34" i="29"/>
  <c r="AJ34" i="29" s="1"/>
  <c r="AI35" i="29"/>
  <c r="AJ35" i="29" s="1"/>
  <c r="AI36" i="29"/>
  <c r="AJ36" i="29" s="1"/>
  <c r="AI37" i="29"/>
  <c r="AJ37" i="29" s="1"/>
  <c r="AI38" i="29"/>
  <c r="AJ38" i="29" s="1"/>
  <c r="AI39" i="29"/>
  <c r="AJ39" i="29" s="1"/>
  <c r="AI40" i="29"/>
  <c r="AJ40" i="29" s="1"/>
  <c r="AI41" i="29"/>
  <c r="AJ41" i="29" s="1"/>
  <c r="AI42" i="29"/>
  <c r="AJ42" i="29" s="1"/>
  <c r="AK45" i="29"/>
  <c r="AL45" i="29"/>
  <c r="AK46" i="29"/>
  <c r="AK47" i="29"/>
  <c r="AI45" i="29"/>
  <c r="AJ45" i="29" s="1"/>
  <c r="AI46" i="29"/>
  <c r="AI47" i="29"/>
  <c r="AJ47" i="29" s="1"/>
  <c r="AG45" i="29"/>
  <c r="AH45" i="29" s="1"/>
  <c r="AG46" i="29"/>
  <c r="AH46" i="29"/>
  <c r="AG47" i="29"/>
  <c r="AH47" i="29" s="1"/>
  <c r="AE45" i="29"/>
  <c r="AF45" i="29" s="1"/>
  <c r="AE46" i="29"/>
  <c r="AE47" i="29"/>
  <c r="AF47" i="29" s="1"/>
  <c r="AG31" i="29"/>
  <c r="AH31" i="29"/>
  <c r="AG32" i="29"/>
  <c r="AH32" i="29" s="1"/>
  <c r="AG33" i="29"/>
  <c r="AH33" i="29"/>
  <c r="AG34" i="29"/>
  <c r="AH34" i="29" s="1"/>
  <c r="AG35" i="29"/>
  <c r="AH35" i="29"/>
  <c r="AG36" i="29"/>
  <c r="AH36" i="29" s="1"/>
  <c r="AG37" i="29"/>
  <c r="AH37" i="29"/>
  <c r="AG38" i="29"/>
  <c r="AH38" i="29" s="1"/>
  <c r="AG39" i="29"/>
  <c r="AG40" i="29"/>
  <c r="AH40" i="29" s="1"/>
  <c r="AG41" i="29"/>
  <c r="AH41" i="29"/>
  <c r="AG42" i="29"/>
  <c r="AH42" i="29" s="1"/>
  <c r="AE31" i="29"/>
  <c r="AF31" i="29" s="1"/>
  <c r="AE32" i="29"/>
  <c r="AF32" i="29" s="1"/>
  <c r="AE33" i="29"/>
  <c r="AE34" i="29"/>
  <c r="AF34" i="29" s="1"/>
  <c r="AE35" i="29"/>
  <c r="AF35" i="29" s="1"/>
  <c r="AE36" i="29"/>
  <c r="AF36" i="29" s="1"/>
  <c r="AE37" i="29"/>
  <c r="AF37" i="29" s="1"/>
  <c r="AE38" i="29"/>
  <c r="AF38" i="29" s="1"/>
  <c r="AE39" i="29"/>
  <c r="AF39" i="29" s="1"/>
  <c r="AE40" i="29"/>
  <c r="AF40" i="29" s="1"/>
  <c r="AS40" i="29" s="1"/>
  <c r="AW40" i="29" s="1"/>
  <c r="AE41" i="29"/>
  <c r="AF41" i="29" s="1"/>
  <c r="AE42" i="29"/>
  <c r="AF42" i="29" s="1"/>
  <c r="AG18" i="29"/>
  <c r="AH18" i="29" s="1"/>
  <c r="AG19" i="29"/>
  <c r="AH19" i="29"/>
  <c r="AG20" i="29"/>
  <c r="AH20" i="29" s="1"/>
  <c r="AG21" i="29"/>
  <c r="AH21" i="29"/>
  <c r="AG22" i="29"/>
  <c r="AH22" i="29" s="1"/>
  <c r="AG23" i="29"/>
  <c r="AH23" i="29"/>
  <c r="AG24" i="29"/>
  <c r="AH24" i="29" s="1"/>
  <c r="AG26" i="29"/>
  <c r="AH26" i="29"/>
  <c r="AG27" i="29"/>
  <c r="AH27" i="29" s="1"/>
  <c r="AG28" i="29"/>
  <c r="AH28" i="29"/>
  <c r="AE18" i="29"/>
  <c r="AF18" i="29" s="1"/>
  <c r="AE19" i="29"/>
  <c r="AF19" i="29" s="1"/>
  <c r="AE20" i="29"/>
  <c r="AF20" i="29" s="1"/>
  <c r="AE21" i="29"/>
  <c r="AF21" i="29" s="1"/>
  <c r="AE22" i="29"/>
  <c r="AF22" i="29" s="1"/>
  <c r="AE23" i="29"/>
  <c r="AF23" i="29" s="1"/>
  <c r="AE24" i="29"/>
  <c r="AF24" i="29" s="1"/>
  <c r="AE26" i="29"/>
  <c r="AF26" i="29" s="1"/>
  <c r="AE27" i="29"/>
  <c r="AF27" i="29" s="1"/>
  <c r="AE28" i="29"/>
  <c r="AF28" i="29" s="1"/>
  <c r="AG10" i="29"/>
  <c r="AH10" i="29"/>
  <c r="AG11" i="29"/>
  <c r="AH11" i="29"/>
  <c r="AG12" i="29"/>
  <c r="AH12" i="29"/>
  <c r="AG13" i="29"/>
  <c r="AH13" i="29"/>
  <c r="AG14" i="29"/>
  <c r="AH14" i="29"/>
  <c r="AG15" i="29"/>
  <c r="AH15" i="29"/>
  <c r="AE10" i="29"/>
  <c r="AF10" i="29" s="1"/>
  <c r="AF16" i="29" s="1"/>
  <c r="AE11" i="29"/>
  <c r="AF11" i="29" s="1"/>
  <c r="AE12" i="29"/>
  <c r="AF12" i="29" s="1"/>
  <c r="AE13" i="29"/>
  <c r="AF13" i="29" s="1"/>
  <c r="AE14" i="29"/>
  <c r="AF14" i="29" s="1"/>
  <c r="AE15" i="29"/>
  <c r="AF15" i="29" s="1"/>
  <c r="AC10" i="29"/>
  <c r="AD10" i="29"/>
  <c r="AC11" i="29"/>
  <c r="AD11" i="29"/>
  <c r="AC12" i="29"/>
  <c r="AD12" i="29"/>
  <c r="AC13" i="29"/>
  <c r="AD13" i="29"/>
  <c r="AC14" i="29"/>
  <c r="AD14" i="29"/>
  <c r="AC15" i="29"/>
  <c r="AD15" i="29"/>
  <c r="AC18" i="29"/>
  <c r="AD18" i="29" s="1"/>
  <c r="AC19" i="29"/>
  <c r="AC20" i="29"/>
  <c r="AD20" i="29" s="1"/>
  <c r="AC21" i="29"/>
  <c r="AD21" i="29" s="1"/>
  <c r="AC22" i="29"/>
  <c r="AD22" i="29" s="1"/>
  <c r="AC23" i="29"/>
  <c r="AD23" i="29" s="1"/>
  <c r="AC24" i="29"/>
  <c r="AD24" i="29" s="1"/>
  <c r="AC26" i="29"/>
  <c r="AD26" i="29" s="1"/>
  <c r="AC27" i="29"/>
  <c r="AD27" i="29" s="1"/>
  <c r="AC28" i="29"/>
  <c r="AD28" i="29" s="1"/>
  <c r="AC31" i="29"/>
  <c r="AD31" i="29"/>
  <c r="AC32" i="29"/>
  <c r="AD32" i="29"/>
  <c r="AC33" i="29"/>
  <c r="AD33" i="29"/>
  <c r="AC34" i="29"/>
  <c r="AD34" i="29"/>
  <c r="AC35" i="29"/>
  <c r="AD35" i="29"/>
  <c r="AC36" i="29"/>
  <c r="AC37" i="29"/>
  <c r="AD37" i="29"/>
  <c r="AC38" i="29"/>
  <c r="AD38" i="29"/>
  <c r="AC39" i="29"/>
  <c r="AC40" i="29"/>
  <c r="AD40" i="29"/>
  <c r="AC41" i="29"/>
  <c r="AD41" i="29"/>
  <c r="AC42" i="29"/>
  <c r="AD42" i="29"/>
  <c r="AC45" i="29"/>
  <c r="AD45" i="29" s="1"/>
  <c r="AC46" i="29"/>
  <c r="AD46" i="29" s="1"/>
  <c r="AC47" i="29"/>
  <c r="AD47" i="29" s="1"/>
  <c r="AA45" i="29"/>
  <c r="AB45" i="29"/>
  <c r="AA46" i="29"/>
  <c r="AA47" i="29"/>
  <c r="AB47" i="29"/>
  <c r="AA31" i="29"/>
  <c r="AB31" i="29" s="1"/>
  <c r="AA32" i="29"/>
  <c r="AB32" i="29" s="1"/>
  <c r="AA33" i="29"/>
  <c r="AA34" i="29"/>
  <c r="AB34" i="29" s="1"/>
  <c r="AA35" i="29"/>
  <c r="AB35" i="29" s="1"/>
  <c r="AA36" i="29"/>
  <c r="AB36" i="29" s="1"/>
  <c r="AA37" i="29"/>
  <c r="AB37" i="29" s="1"/>
  <c r="AA38" i="29"/>
  <c r="AB38" i="29" s="1"/>
  <c r="AA39" i="29"/>
  <c r="AB39" i="29" s="1"/>
  <c r="AA40" i="29"/>
  <c r="AB40" i="29" s="1"/>
  <c r="AA41" i="29"/>
  <c r="AB41" i="29" s="1"/>
  <c r="AA42" i="29"/>
  <c r="AB42" i="29" s="1"/>
  <c r="AA18" i="29"/>
  <c r="AB18" i="29"/>
  <c r="AA19" i="29"/>
  <c r="AB19" i="29"/>
  <c r="AA20" i="29"/>
  <c r="AB20" i="29"/>
  <c r="AA21" i="29"/>
  <c r="AB21" i="29"/>
  <c r="AA22" i="29"/>
  <c r="AB22" i="29"/>
  <c r="AA23" i="29"/>
  <c r="AB23" i="29"/>
  <c r="AA24" i="29"/>
  <c r="AB24" i="29"/>
  <c r="AA26" i="29"/>
  <c r="AB26" i="29"/>
  <c r="AA27" i="29"/>
  <c r="AB27" i="29"/>
  <c r="AA28" i="29"/>
  <c r="AB28" i="29"/>
  <c r="AA10" i="29"/>
  <c r="AB10" i="29" s="1"/>
  <c r="AA11" i="29"/>
  <c r="AB11" i="29" s="1"/>
  <c r="AA12" i="29"/>
  <c r="AB12" i="29" s="1"/>
  <c r="AA13" i="29"/>
  <c r="AB13" i="29" s="1"/>
  <c r="AA14" i="29"/>
  <c r="AB14" i="29" s="1"/>
  <c r="AA15" i="29"/>
  <c r="AB15" i="29" s="1"/>
  <c r="Y10" i="29"/>
  <c r="Z10" i="29"/>
  <c r="Y11" i="29"/>
  <c r="Z11" i="29"/>
  <c r="Y12" i="29"/>
  <c r="Z12" i="29"/>
  <c r="Y13" i="29"/>
  <c r="Z13" i="29"/>
  <c r="Y14" i="29"/>
  <c r="Z14" i="29"/>
  <c r="Y15" i="29"/>
  <c r="Z15" i="29"/>
  <c r="Y18" i="29"/>
  <c r="Z18" i="29" s="1"/>
  <c r="Y19" i="29"/>
  <c r="Y20" i="29"/>
  <c r="Z20" i="29" s="1"/>
  <c r="AU20" i="29" s="1"/>
  <c r="Y21" i="29"/>
  <c r="Z21" i="29" s="1"/>
  <c r="Y22" i="29"/>
  <c r="Z22" i="29" s="1"/>
  <c r="Y23" i="29"/>
  <c r="Z23" i="29" s="1"/>
  <c r="Y24" i="29"/>
  <c r="Z24" i="29" s="1"/>
  <c r="AU24" i="29" s="1"/>
  <c r="Y26" i="29"/>
  <c r="Z26" i="29" s="1"/>
  <c r="Y27" i="29"/>
  <c r="Z27" i="29" s="1"/>
  <c r="Y28" i="29"/>
  <c r="Z28" i="29" s="1"/>
  <c r="Y31" i="29"/>
  <c r="Z31" i="29"/>
  <c r="Y32" i="29"/>
  <c r="Z32" i="29"/>
  <c r="Y33" i="29"/>
  <c r="Z33" i="29"/>
  <c r="Y34" i="29"/>
  <c r="Z34" i="29"/>
  <c r="Y35" i="29"/>
  <c r="Z35" i="29"/>
  <c r="Y36" i="29"/>
  <c r="Y37" i="29"/>
  <c r="Z37" i="29"/>
  <c r="Y38" i="29"/>
  <c r="Z38" i="29"/>
  <c r="Y39" i="29"/>
  <c r="Y40" i="29"/>
  <c r="Z40" i="29"/>
  <c r="Y41" i="29"/>
  <c r="Z41" i="29"/>
  <c r="Y42" i="29"/>
  <c r="Z42" i="29"/>
  <c r="Y45" i="29"/>
  <c r="Z45" i="29"/>
  <c r="Y46" i="29"/>
  <c r="Y47" i="29"/>
  <c r="Z47" i="29" s="1"/>
  <c r="W45" i="29"/>
  <c r="X45" i="29"/>
  <c r="W46" i="29"/>
  <c r="W47" i="29"/>
  <c r="X47" i="29"/>
  <c r="W31" i="29"/>
  <c r="X31" i="29" s="1"/>
  <c r="W32" i="29"/>
  <c r="X32" i="29"/>
  <c r="W33" i="29"/>
  <c r="W34" i="29"/>
  <c r="X34" i="29" s="1"/>
  <c r="W35" i="29"/>
  <c r="X35" i="29" s="1"/>
  <c r="W36" i="29"/>
  <c r="X36" i="29"/>
  <c r="W37" i="29"/>
  <c r="X37" i="29" s="1"/>
  <c r="W38" i="29"/>
  <c r="X38" i="29" s="1"/>
  <c r="W39" i="29"/>
  <c r="X39" i="29" s="1"/>
  <c r="W40" i="29"/>
  <c r="X40" i="29"/>
  <c r="W41" i="29"/>
  <c r="X41" i="29" s="1"/>
  <c r="W42" i="29"/>
  <c r="X42" i="29" s="1"/>
  <c r="AS42" i="29" s="1"/>
  <c r="W18" i="29"/>
  <c r="X18" i="29"/>
  <c r="W19" i="29"/>
  <c r="X19" i="29"/>
  <c r="W20" i="29"/>
  <c r="X20" i="29"/>
  <c r="W21" i="29"/>
  <c r="X21" i="29"/>
  <c r="W22" i="29"/>
  <c r="X22" i="29"/>
  <c r="W23" i="29"/>
  <c r="X23" i="29"/>
  <c r="W24" i="29"/>
  <c r="X24" i="29"/>
  <c r="W26" i="29"/>
  <c r="X26" i="29"/>
  <c r="W27" i="29"/>
  <c r="X27" i="29"/>
  <c r="W28" i="29"/>
  <c r="X28" i="29"/>
  <c r="W10" i="29"/>
  <c r="X10" i="29"/>
  <c r="W11" i="29"/>
  <c r="X11" i="29" s="1"/>
  <c r="W12" i="29"/>
  <c r="X12" i="29" s="1"/>
  <c r="W13" i="29"/>
  <c r="X13" i="29" s="1"/>
  <c r="W14" i="29"/>
  <c r="X14" i="29"/>
  <c r="W15" i="29"/>
  <c r="X15" i="29" s="1"/>
  <c r="U45" i="29"/>
  <c r="V45" i="29"/>
  <c r="U46" i="29"/>
  <c r="V46" i="29"/>
  <c r="U47" i="29"/>
  <c r="U31" i="29"/>
  <c r="V31" i="29"/>
  <c r="U32" i="29"/>
  <c r="V32" i="29" s="1"/>
  <c r="U33" i="29"/>
  <c r="V33" i="29" s="1"/>
  <c r="U34" i="29"/>
  <c r="V34" i="29" s="1"/>
  <c r="U35" i="29"/>
  <c r="V35" i="29"/>
  <c r="U36" i="29"/>
  <c r="U37" i="29"/>
  <c r="V37" i="29" s="1"/>
  <c r="AU37" i="29" s="1"/>
  <c r="U38" i="29"/>
  <c r="V38" i="29" s="1"/>
  <c r="U39" i="29"/>
  <c r="U40" i="29"/>
  <c r="V40" i="29" s="1"/>
  <c r="U41" i="29"/>
  <c r="V41" i="29" s="1"/>
  <c r="AU41" i="29" s="1"/>
  <c r="U42" i="29"/>
  <c r="V42" i="29" s="1"/>
  <c r="S45" i="29"/>
  <c r="T45" i="29" s="1"/>
  <c r="S46" i="29"/>
  <c r="T46" i="29"/>
  <c r="S47" i="29"/>
  <c r="T47" i="29" s="1"/>
  <c r="S31" i="29"/>
  <c r="T31" i="29" s="1"/>
  <c r="S32" i="29"/>
  <c r="T32" i="29" s="1"/>
  <c r="S33" i="29"/>
  <c r="T33" i="29"/>
  <c r="S34" i="29"/>
  <c r="T34" i="29" s="1"/>
  <c r="S35" i="29"/>
  <c r="T35" i="29" s="1"/>
  <c r="S36" i="29"/>
  <c r="T36" i="29" s="1"/>
  <c r="S37" i="29"/>
  <c r="T37" i="29"/>
  <c r="S38" i="29"/>
  <c r="T38" i="29"/>
  <c r="S39" i="29"/>
  <c r="T39" i="29"/>
  <c r="S40" i="29"/>
  <c r="T40" i="29"/>
  <c r="S41" i="29"/>
  <c r="T41" i="29"/>
  <c r="S42" i="29"/>
  <c r="T42" i="29"/>
  <c r="U18" i="29"/>
  <c r="V18" i="29" s="1"/>
  <c r="U19" i="29"/>
  <c r="V19" i="29" s="1"/>
  <c r="U20" i="29"/>
  <c r="V20" i="29" s="1"/>
  <c r="U21" i="29"/>
  <c r="V21" i="29" s="1"/>
  <c r="U22" i="29"/>
  <c r="V22" i="29" s="1"/>
  <c r="U23" i="29"/>
  <c r="V23" i="29" s="1"/>
  <c r="U24" i="29"/>
  <c r="V24" i="29" s="1"/>
  <c r="U26" i="29"/>
  <c r="V26" i="29" s="1"/>
  <c r="U27" i="29"/>
  <c r="V27" i="29" s="1"/>
  <c r="U28" i="29"/>
  <c r="V28" i="29" s="1"/>
  <c r="S18" i="29"/>
  <c r="T18" i="29"/>
  <c r="S19" i="29"/>
  <c r="T19" i="29"/>
  <c r="S20" i="29"/>
  <c r="T20" i="29"/>
  <c r="S21" i="29"/>
  <c r="T21" i="29"/>
  <c r="S22" i="29"/>
  <c r="T22" i="29"/>
  <c r="S23" i="29"/>
  <c r="T23" i="29"/>
  <c r="S24" i="29"/>
  <c r="T24" i="29"/>
  <c r="S26" i="29"/>
  <c r="T26" i="29"/>
  <c r="S27" i="29"/>
  <c r="T27" i="29"/>
  <c r="S28" i="29"/>
  <c r="T28" i="29"/>
  <c r="U10" i="29"/>
  <c r="V10" i="29" s="1"/>
  <c r="V16" i="29" s="1"/>
  <c r="U11" i="29"/>
  <c r="V11" i="29" s="1"/>
  <c r="U12" i="29"/>
  <c r="V12" i="29" s="1"/>
  <c r="U13" i="29"/>
  <c r="V13" i="29" s="1"/>
  <c r="U14" i="29"/>
  <c r="V14" i="29" s="1"/>
  <c r="U15" i="29"/>
  <c r="V15" i="29" s="1"/>
  <c r="S10" i="29"/>
  <c r="T10" i="29"/>
  <c r="S11" i="29"/>
  <c r="T11" i="29"/>
  <c r="S12" i="29"/>
  <c r="T12" i="29"/>
  <c r="S13" i="29"/>
  <c r="T13" i="29"/>
  <c r="S14" i="29"/>
  <c r="T14" i="29"/>
  <c r="S15" i="29"/>
  <c r="T15" i="29"/>
  <c r="Q10" i="29"/>
  <c r="R10" i="29" s="1"/>
  <c r="Q11" i="29"/>
  <c r="R11" i="29" s="1"/>
  <c r="Q12" i="29"/>
  <c r="R12" i="29" s="1"/>
  <c r="AU12" i="29" s="1"/>
  <c r="AW12" i="29" s="1"/>
  <c r="AX12" i="29" s="1"/>
  <c r="Q13" i="29"/>
  <c r="R13" i="29" s="1"/>
  <c r="Q14" i="29"/>
  <c r="R14" i="29" s="1"/>
  <c r="Q15" i="29"/>
  <c r="R15" i="29" s="1"/>
  <c r="Q18" i="29"/>
  <c r="R18" i="29"/>
  <c r="Q19" i="29"/>
  <c r="R19" i="29"/>
  <c r="Q20" i="29"/>
  <c r="R20" i="29"/>
  <c r="Q21" i="29"/>
  <c r="R21" i="29"/>
  <c r="Q22" i="29"/>
  <c r="R22" i="29"/>
  <c r="Q23" i="29"/>
  <c r="R23" i="29"/>
  <c r="Q24" i="29"/>
  <c r="R24" i="29"/>
  <c r="Q26" i="29"/>
  <c r="R26" i="29"/>
  <c r="AU26" i="29" s="1"/>
  <c r="Q27" i="29"/>
  <c r="R27" i="29"/>
  <c r="Q28" i="29"/>
  <c r="R28" i="29"/>
  <c r="Q31" i="29"/>
  <c r="R31" i="29" s="1"/>
  <c r="Q32" i="29"/>
  <c r="R32" i="29" s="1"/>
  <c r="Q33" i="29"/>
  <c r="R33" i="29" s="1"/>
  <c r="Q34" i="29"/>
  <c r="R34" i="29" s="1"/>
  <c r="AU34" i="29" s="1"/>
  <c r="Q35" i="29"/>
  <c r="R35" i="29" s="1"/>
  <c r="Q36" i="29"/>
  <c r="R36" i="29" s="1"/>
  <c r="Q37" i="29"/>
  <c r="R37" i="29" s="1"/>
  <c r="Q38" i="29"/>
  <c r="R38" i="29" s="1"/>
  <c r="AU38" i="29" s="1"/>
  <c r="Q39" i="29"/>
  <c r="Q40" i="29"/>
  <c r="R40" i="29" s="1"/>
  <c r="Q41" i="29"/>
  <c r="R41" i="29" s="1"/>
  <c r="Q42" i="29"/>
  <c r="R42" i="29" s="1"/>
  <c r="AU42" i="29" s="1"/>
  <c r="Q45" i="29"/>
  <c r="R45" i="29"/>
  <c r="Q46" i="29"/>
  <c r="R46" i="29"/>
  <c r="Q47" i="29"/>
  <c r="R47" i="29"/>
  <c r="O45" i="29"/>
  <c r="P45" i="29" s="1"/>
  <c r="O46" i="29"/>
  <c r="O47" i="29"/>
  <c r="P47" i="29" s="1"/>
  <c r="O31" i="29"/>
  <c r="P31" i="29"/>
  <c r="P43" i="29" s="1"/>
  <c r="O32" i="29"/>
  <c r="P32" i="29"/>
  <c r="O33" i="29"/>
  <c r="P33" i="29"/>
  <c r="O34" i="29"/>
  <c r="P34" i="29"/>
  <c r="O35" i="29"/>
  <c r="P35" i="29"/>
  <c r="O36" i="29"/>
  <c r="P36" i="29"/>
  <c r="O37" i="29"/>
  <c r="P37" i="29"/>
  <c r="O38" i="29"/>
  <c r="P38" i="29"/>
  <c r="O39" i="29"/>
  <c r="P39" i="29"/>
  <c r="O40" i="29"/>
  <c r="P40" i="29"/>
  <c r="O41" i="29"/>
  <c r="P41" i="29"/>
  <c r="O42" i="29"/>
  <c r="P42" i="29"/>
  <c r="O18" i="29"/>
  <c r="P18" i="29" s="1"/>
  <c r="O19" i="29"/>
  <c r="O20" i="29"/>
  <c r="P20" i="29" s="1"/>
  <c r="O21" i="29"/>
  <c r="P21" i="29" s="1"/>
  <c r="O22" i="29"/>
  <c r="P22" i="29" s="1"/>
  <c r="O23" i="29"/>
  <c r="O24" i="29"/>
  <c r="P24" i="29" s="1"/>
  <c r="O26" i="29"/>
  <c r="P26" i="29" s="1"/>
  <c r="O27" i="29"/>
  <c r="P27" i="29" s="1"/>
  <c r="O28" i="29"/>
  <c r="O10" i="29"/>
  <c r="P10" i="29"/>
  <c r="O11" i="29"/>
  <c r="P11" i="29"/>
  <c r="O12" i="29"/>
  <c r="P12" i="29"/>
  <c r="O13" i="29"/>
  <c r="P13" i="29"/>
  <c r="O14" i="29"/>
  <c r="P14" i="29"/>
  <c r="O15" i="29"/>
  <c r="P15" i="29"/>
  <c r="M10" i="29"/>
  <c r="N10" i="29" s="1"/>
  <c r="N16" i="29" s="1"/>
  <c r="M11" i="29"/>
  <c r="N11" i="29" s="1"/>
  <c r="M12" i="29"/>
  <c r="N12" i="29" s="1"/>
  <c r="M13" i="29"/>
  <c r="N13" i="29" s="1"/>
  <c r="AU13" i="29" s="1"/>
  <c r="M14" i="29"/>
  <c r="N14" i="29" s="1"/>
  <c r="M15" i="29"/>
  <c r="N15" i="29" s="1"/>
  <c r="M18" i="29"/>
  <c r="N18" i="29"/>
  <c r="M19" i="29"/>
  <c r="N19" i="29"/>
  <c r="M20" i="29"/>
  <c r="N20" i="29"/>
  <c r="M21" i="29"/>
  <c r="N21" i="29"/>
  <c r="M22" i="29"/>
  <c r="N22" i="29"/>
  <c r="M23" i="29"/>
  <c r="N23" i="29"/>
  <c r="M24" i="29"/>
  <c r="N24" i="29"/>
  <c r="M26" i="29"/>
  <c r="N26" i="29"/>
  <c r="M27" i="29"/>
  <c r="N27" i="29"/>
  <c r="M28" i="29"/>
  <c r="N28" i="29"/>
  <c r="M31" i="29"/>
  <c r="N31" i="29" s="1"/>
  <c r="M32" i="29"/>
  <c r="N32" i="29" s="1"/>
  <c r="M33" i="29"/>
  <c r="N33" i="29" s="1"/>
  <c r="M34" i="29"/>
  <c r="N34" i="29" s="1"/>
  <c r="M35" i="29"/>
  <c r="N35" i="29" s="1"/>
  <c r="M36" i="29"/>
  <c r="M37" i="29"/>
  <c r="N37" i="29" s="1"/>
  <c r="M38" i="29"/>
  <c r="N38" i="29" s="1"/>
  <c r="M39" i="29"/>
  <c r="M40" i="29"/>
  <c r="N40" i="29" s="1"/>
  <c r="M41" i="29"/>
  <c r="N41" i="29" s="1"/>
  <c r="M42" i="29"/>
  <c r="N42" i="29" s="1"/>
  <c r="M45" i="29"/>
  <c r="N45" i="29"/>
  <c r="M46" i="29"/>
  <c r="M47" i="29"/>
  <c r="K45" i="29"/>
  <c r="L45" i="29" s="1"/>
  <c r="K46" i="29"/>
  <c r="K47" i="29"/>
  <c r="L47" i="29" s="1"/>
  <c r="K31" i="29"/>
  <c r="L31" i="29"/>
  <c r="K32" i="29"/>
  <c r="L32" i="29"/>
  <c r="K33" i="29"/>
  <c r="L33" i="29"/>
  <c r="K34" i="29"/>
  <c r="L34" i="29"/>
  <c r="K35" i="29"/>
  <c r="L35" i="29"/>
  <c r="K36" i="29"/>
  <c r="L36" i="29"/>
  <c r="K37" i="29"/>
  <c r="L37" i="29"/>
  <c r="K38" i="29"/>
  <c r="L38" i="29"/>
  <c r="K39" i="29"/>
  <c r="L39" i="29"/>
  <c r="K40" i="29"/>
  <c r="L40" i="29"/>
  <c r="K41" i="29"/>
  <c r="L41" i="29"/>
  <c r="K42" i="29"/>
  <c r="L42" i="29"/>
  <c r="K18" i="29"/>
  <c r="L18" i="29" s="1"/>
  <c r="K19" i="29"/>
  <c r="L19" i="29" s="1"/>
  <c r="K20" i="29"/>
  <c r="L20" i="29" s="1"/>
  <c r="K21" i="29"/>
  <c r="L21" i="29" s="1"/>
  <c r="K22" i="29"/>
  <c r="L22" i="29" s="1"/>
  <c r="K23" i="29"/>
  <c r="L23" i="29" s="1"/>
  <c r="K24" i="29"/>
  <c r="L24" i="29" s="1"/>
  <c r="K26" i="29"/>
  <c r="L26" i="29" s="1"/>
  <c r="K27" i="29"/>
  <c r="L27" i="29" s="1"/>
  <c r="K28" i="29"/>
  <c r="L28" i="29" s="1"/>
  <c r="K10" i="29"/>
  <c r="L10" i="29"/>
  <c r="K11" i="29"/>
  <c r="L11" i="29"/>
  <c r="K12" i="29"/>
  <c r="L12" i="29"/>
  <c r="K13" i="29"/>
  <c r="L13" i="29"/>
  <c r="K14" i="29"/>
  <c r="L14" i="29"/>
  <c r="K15" i="29"/>
  <c r="L15" i="29"/>
  <c r="G45" i="29"/>
  <c r="G31" i="29"/>
  <c r="H31" i="29"/>
  <c r="G32" i="29"/>
  <c r="H32" i="29"/>
  <c r="G33" i="29"/>
  <c r="H33" i="29"/>
  <c r="G34" i="29"/>
  <c r="H34" i="29"/>
  <c r="G35" i="29"/>
  <c r="H35" i="29"/>
  <c r="G36" i="29"/>
  <c r="H36" i="29"/>
  <c r="G37" i="29"/>
  <c r="H37" i="29"/>
  <c r="G38" i="29"/>
  <c r="H38" i="29"/>
  <c r="G39" i="29"/>
  <c r="H39" i="29"/>
  <c r="G40" i="29"/>
  <c r="H40" i="29"/>
  <c r="G41" i="29"/>
  <c r="H41" i="29"/>
  <c r="G42" i="29"/>
  <c r="H42" i="29"/>
  <c r="G18" i="29"/>
  <c r="H18" i="29" s="1"/>
  <c r="G19" i="29"/>
  <c r="H19" i="29" s="1"/>
  <c r="G20" i="29"/>
  <c r="G21" i="29"/>
  <c r="H21" i="29" s="1"/>
  <c r="G22" i="29"/>
  <c r="H22" i="29" s="1"/>
  <c r="G23" i="29"/>
  <c r="H23" i="29" s="1"/>
  <c r="G24" i="29"/>
  <c r="G26" i="29"/>
  <c r="H26" i="29" s="1"/>
  <c r="G27" i="29"/>
  <c r="H27" i="29" s="1"/>
  <c r="G28" i="29"/>
  <c r="H28" i="29" s="1"/>
  <c r="G10" i="29"/>
  <c r="H10" i="29"/>
  <c r="G11" i="29"/>
  <c r="H11" i="29"/>
  <c r="AS11" i="29" s="1"/>
  <c r="AW11" i="29" s="1"/>
  <c r="AX11" i="29" s="1"/>
  <c r="G12" i="29"/>
  <c r="H12" i="29"/>
  <c r="G13" i="29"/>
  <c r="H13" i="29"/>
  <c r="AS13" i="29" s="1"/>
  <c r="G14" i="29"/>
  <c r="H14" i="29"/>
  <c r="G15" i="29"/>
  <c r="H15" i="29"/>
  <c r="AS15" i="29" s="1"/>
  <c r="AW15" i="29" s="1"/>
  <c r="AX15" i="29" s="1"/>
  <c r="C45" i="29"/>
  <c r="D45" i="29" s="1"/>
  <c r="C31" i="29"/>
  <c r="D31" i="29"/>
  <c r="C32" i="29"/>
  <c r="D32" i="29"/>
  <c r="AS32" i="29" s="1"/>
  <c r="C33" i="29"/>
  <c r="D33" i="29"/>
  <c r="C34" i="29"/>
  <c r="D34" i="29"/>
  <c r="C35" i="29"/>
  <c r="D35" i="29"/>
  <c r="AS35" i="29" s="1"/>
  <c r="C36" i="29"/>
  <c r="D36" i="29"/>
  <c r="C37" i="29"/>
  <c r="D37" i="29"/>
  <c r="AS37" i="29" s="1"/>
  <c r="AW37" i="29" s="1"/>
  <c r="C38" i="29"/>
  <c r="D38" i="29"/>
  <c r="C39" i="29"/>
  <c r="D39" i="29"/>
  <c r="AS39" i="29" s="1"/>
  <c r="C40" i="29"/>
  <c r="D40" i="29"/>
  <c r="C41" i="29"/>
  <c r="D41" i="29"/>
  <c r="AS41" i="29" s="1"/>
  <c r="AW41" i="29" s="1"/>
  <c r="AX41" i="29" s="1"/>
  <c r="C42" i="29"/>
  <c r="D42" i="29"/>
  <c r="C25" i="29"/>
  <c r="C18" i="29"/>
  <c r="C19" i="29"/>
  <c r="D19" i="29" s="1"/>
  <c r="C20" i="29"/>
  <c r="D20" i="29" s="1"/>
  <c r="C21" i="29"/>
  <c r="D21" i="29" s="1"/>
  <c r="C22" i="29"/>
  <c r="D22" i="29" s="1"/>
  <c r="AS22" i="29" s="1"/>
  <c r="C23" i="29"/>
  <c r="D23" i="29" s="1"/>
  <c r="C24" i="29"/>
  <c r="D24" i="29" s="1"/>
  <c r="C26" i="29"/>
  <c r="D26" i="29" s="1"/>
  <c r="C27" i="29"/>
  <c r="D27" i="29" s="1"/>
  <c r="AS27" i="29" s="1"/>
  <c r="AW27" i="29" s="1"/>
  <c r="AX27" i="29" s="1"/>
  <c r="C28" i="29"/>
  <c r="D28" i="29" s="1"/>
  <c r="C10" i="29"/>
  <c r="D10" i="29"/>
  <c r="C11" i="29"/>
  <c r="D11" i="29"/>
  <c r="C12" i="29"/>
  <c r="D12" i="29"/>
  <c r="AS12" i="29" s="1"/>
  <c r="C13" i="29"/>
  <c r="D13" i="29"/>
  <c r="C14" i="29"/>
  <c r="D14" i="29"/>
  <c r="C15" i="29"/>
  <c r="D15" i="29"/>
  <c r="J23" i="36"/>
  <c r="I23" i="36"/>
  <c r="H23" i="36"/>
  <c r="G23" i="36"/>
  <c r="F23" i="36"/>
  <c r="M32" i="17"/>
  <c r="M23" i="17"/>
  <c r="AS34" i="29"/>
  <c r="AX37" i="29"/>
  <c r="AS38" i="29"/>
  <c r="AU40" i="29"/>
  <c r="AX40" i="29"/>
  <c r="AU11" i="29"/>
  <c r="AW13" i="29"/>
  <c r="AX13" i="29" s="1"/>
  <c r="AU15" i="29"/>
  <c r="AS26" i="29"/>
  <c r="AW26" i="29" s="1"/>
  <c r="AX26" i="29" s="1"/>
  <c r="AS21" i="29"/>
  <c r="AU27" i="29"/>
  <c r="A11" i="29"/>
  <c r="B11" i="29"/>
  <c r="A12" i="29"/>
  <c r="B12" i="29"/>
  <c r="A13" i="29"/>
  <c r="B13" i="29"/>
  <c r="A14" i="29"/>
  <c r="B14" i="29"/>
  <c r="A15" i="29"/>
  <c r="B15" i="29"/>
  <c r="AQ47" i="29"/>
  <c r="AQ45" i="29"/>
  <c r="AQ32" i="29"/>
  <c r="AQ33" i="29"/>
  <c r="AQ34" i="29"/>
  <c r="AQ35" i="29"/>
  <c r="AQ36" i="29"/>
  <c r="AQ37" i="29"/>
  <c r="AQ38" i="29"/>
  <c r="AQ39" i="29"/>
  <c r="AQ40" i="29"/>
  <c r="AQ41" i="29"/>
  <c r="AQ42" i="29"/>
  <c r="AQ31" i="29"/>
  <c r="AQ21" i="29"/>
  <c r="AQ26" i="29"/>
  <c r="AQ11" i="29"/>
  <c r="AQ12" i="29"/>
  <c r="AQ13" i="29"/>
  <c r="AQ14" i="29"/>
  <c r="AQ15" i="29"/>
  <c r="AQ10" i="29"/>
  <c r="C10" i="31"/>
  <c r="F10" i="31"/>
  <c r="L10" i="31"/>
  <c r="M10" i="31" s="1"/>
  <c r="O10" i="31"/>
  <c r="D10" i="31"/>
  <c r="N10" i="31"/>
  <c r="N16" i="31" s="1"/>
  <c r="L11" i="31"/>
  <c r="M11" i="31" s="1"/>
  <c r="N11" i="31"/>
  <c r="L12" i="31"/>
  <c r="M12" i="31" s="1"/>
  <c r="N12" i="31"/>
  <c r="L13" i="31"/>
  <c r="M13" i="31" s="1"/>
  <c r="N13" i="31"/>
  <c r="L14" i="31"/>
  <c r="N14" i="31"/>
  <c r="L15" i="31"/>
  <c r="M15" i="31" s="1"/>
  <c r="N15" i="31"/>
  <c r="L18" i="31"/>
  <c r="N18" i="31" s="1"/>
  <c r="S18" i="31" s="1"/>
  <c r="L19" i="31"/>
  <c r="N19" i="31" s="1"/>
  <c r="L20" i="31"/>
  <c r="N20" i="31" s="1"/>
  <c r="S20" i="31" s="1"/>
  <c r="L21" i="31"/>
  <c r="N21" i="31" s="1"/>
  <c r="L22" i="31"/>
  <c r="L23" i="31"/>
  <c r="L24" i="31"/>
  <c r="N24" i="31" s="1"/>
  <c r="S24" i="31" s="1"/>
  <c r="L25" i="31"/>
  <c r="N25" i="31" s="1"/>
  <c r="L26" i="31"/>
  <c r="N26" i="31" s="1"/>
  <c r="S26" i="31" s="1"/>
  <c r="L27" i="31"/>
  <c r="N27" i="31" s="1"/>
  <c r="L28" i="31"/>
  <c r="N28" i="31" s="1"/>
  <c r="V31" i="31"/>
  <c r="N31" i="31" s="1"/>
  <c r="L31" i="31"/>
  <c r="V32" i="31"/>
  <c r="L32" i="31"/>
  <c r="V33" i="31"/>
  <c r="L33" i="31"/>
  <c r="V34" i="31"/>
  <c r="H34" i="31" s="1"/>
  <c r="L34" i="31"/>
  <c r="N34" i="31"/>
  <c r="V35" i="31"/>
  <c r="N35" i="31" s="1"/>
  <c r="L35" i="31"/>
  <c r="V36" i="31"/>
  <c r="L36" i="31"/>
  <c r="V37" i="31"/>
  <c r="L37" i="31"/>
  <c r="V38" i="31"/>
  <c r="H38" i="31" s="1"/>
  <c r="L38" i="31"/>
  <c r="N38" i="31"/>
  <c r="V39" i="31"/>
  <c r="N39" i="31" s="1"/>
  <c r="L39" i="31"/>
  <c r="V40" i="31"/>
  <c r="L40" i="31"/>
  <c r="V41" i="31"/>
  <c r="L41" i="31"/>
  <c r="V42" i="31"/>
  <c r="H42" i="31" s="1"/>
  <c r="S42" i="31" s="1"/>
  <c r="L42" i="31"/>
  <c r="N42" i="31"/>
  <c r="C11" i="31"/>
  <c r="F11" i="31"/>
  <c r="O11" i="31"/>
  <c r="C12" i="31"/>
  <c r="O12" i="31" s="1"/>
  <c r="F12" i="31"/>
  <c r="C13" i="31"/>
  <c r="O13" i="31" s="1"/>
  <c r="F13" i="31"/>
  <c r="C14" i="31"/>
  <c r="F14" i="31"/>
  <c r="C15" i="31"/>
  <c r="F15" i="31"/>
  <c r="O15" i="31"/>
  <c r="T45" i="31"/>
  <c r="T18" i="31"/>
  <c r="M18" i="31" s="1"/>
  <c r="T19" i="31"/>
  <c r="G19" i="31" s="1"/>
  <c r="T20" i="31"/>
  <c r="M20" i="31" s="1"/>
  <c r="T21" i="31"/>
  <c r="T22" i="31"/>
  <c r="M22" i="31" s="1"/>
  <c r="T23" i="31"/>
  <c r="T24" i="31"/>
  <c r="M24" i="31" s="1"/>
  <c r="T25" i="31"/>
  <c r="T26" i="31"/>
  <c r="M26" i="31" s="1"/>
  <c r="T27" i="31"/>
  <c r="G27" i="31" s="1"/>
  <c r="T28" i="31"/>
  <c r="M28" i="31" s="1"/>
  <c r="T31" i="31"/>
  <c r="M31" i="31"/>
  <c r="T32" i="31"/>
  <c r="M32" i="31"/>
  <c r="T33" i="31"/>
  <c r="T34" i="31"/>
  <c r="M34" i="31"/>
  <c r="T35" i="31"/>
  <c r="M35" i="31"/>
  <c r="T36" i="31"/>
  <c r="D36" i="31" s="1"/>
  <c r="T37" i="31"/>
  <c r="T38" i="31"/>
  <c r="M38" i="31"/>
  <c r="T39" i="31"/>
  <c r="M39" i="31"/>
  <c r="T40" i="31"/>
  <c r="M40" i="31"/>
  <c r="T41" i="31"/>
  <c r="T42" i="31"/>
  <c r="M42" i="31"/>
  <c r="I45" i="31"/>
  <c r="I31" i="31"/>
  <c r="K31" i="31"/>
  <c r="I32" i="31"/>
  <c r="J32" i="31" s="1"/>
  <c r="I33" i="31"/>
  <c r="K33" i="31"/>
  <c r="I34" i="31"/>
  <c r="K34" i="31"/>
  <c r="I35" i="31"/>
  <c r="K35" i="31"/>
  <c r="I36" i="31"/>
  <c r="J36" i="31" s="1"/>
  <c r="I37" i="31"/>
  <c r="K37" i="31"/>
  <c r="I38" i="31"/>
  <c r="K38" i="31"/>
  <c r="I39" i="31"/>
  <c r="K39" i="31"/>
  <c r="I40" i="31"/>
  <c r="J40" i="31" s="1"/>
  <c r="I41" i="31"/>
  <c r="K41" i="31"/>
  <c r="I42" i="31"/>
  <c r="K42" i="31"/>
  <c r="J18" i="31"/>
  <c r="J20" i="31"/>
  <c r="J22" i="31"/>
  <c r="J24" i="31"/>
  <c r="J28" i="31"/>
  <c r="J31" i="31"/>
  <c r="J33" i="31"/>
  <c r="J34" i="31"/>
  <c r="J35" i="31"/>
  <c r="J37" i="31"/>
  <c r="J38" i="31"/>
  <c r="J39" i="31"/>
  <c r="J41" i="31"/>
  <c r="J42" i="31"/>
  <c r="F45" i="31"/>
  <c r="H45" i="31"/>
  <c r="H10" i="31"/>
  <c r="H11" i="31"/>
  <c r="H12" i="31"/>
  <c r="H13" i="31"/>
  <c r="H15" i="31"/>
  <c r="F18" i="31"/>
  <c r="H18" i="31"/>
  <c r="F19" i="31"/>
  <c r="H19" i="31"/>
  <c r="F20" i="31"/>
  <c r="H20" i="31"/>
  <c r="F21" i="31"/>
  <c r="F22" i="31"/>
  <c r="F23" i="31"/>
  <c r="F24" i="31"/>
  <c r="H24" i="31"/>
  <c r="F25" i="31"/>
  <c r="H25" i="31"/>
  <c r="F26" i="31"/>
  <c r="H26" i="31"/>
  <c r="F27" i="31"/>
  <c r="H27" i="31"/>
  <c r="F28" i="31"/>
  <c r="H28" i="31"/>
  <c r="F31" i="31"/>
  <c r="H31" i="31" s="1"/>
  <c r="F32" i="31"/>
  <c r="F33" i="31"/>
  <c r="F34" i="31"/>
  <c r="F35" i="31"/>
  <c r="H35" i="31" s="1"/>
  <c r="F36" i="31"/>
  <c r="F37" i="31"/>
  <c r="F38" i="31"/>
  <c r="F39" i="31"/>
  <c r="H39" i="31" s="1"/>
  <c r="S39" i="31" s="1"/>
  <c r="F40" i="31"/>
  <c r="F41" i="31"/>
  <c r="F42" i="31"/>
  <c r="E10" i="31"/>
  <c r="G10" i="31" s="1"/>
  <c r="E11" i="31"/>
  <c r="E12" i="31"/>
  <c r="G12" i="31" s="1"/>
  <c r="E13" i="31"/>
  <c r="E14" i="31"/>
  <c r="G14" i="31" s="1"/>
  <c r="E15" i="31"/>
  <c r="G47" i="31"/>
  <c r="G46" i="31"/>
  <c r="G48" i="31" s="1"/>
  <c r="G45" i="31"/>
  <c r="G20" i="31"/>
  <c r="G23" i="31"/>
  <c r="G24" i="31"/>
  <c r="G28" i="31"/>
  <c r="G32" i="31"/>
  <c r="Q32" i="31" s="1"/>
  <c r="G34" i="31"/>
  <c r="G38" i="31"/>
  <c r="G40" i="31"/>
  <c r="G42" i="31"/>
  <c r="C45" i="31"/>
  <c r="E45" i="31" s="1"/>
  <c r="S45" i="31" s="1"/>
  <c r="C18" i="31"/>
  <c r="O18" i="31" s="1"/>
  <c r="E18" i="31"/>
  <c r="C19" i="31"/>
  <c r="E19" i="31"/>
  <c r="S19" i="31" s="1"/>
  <c r="C20" i="31"/>
  <c r="E20" i="31"/>
  <c r="C21" i="31"/>
  <c r="E21" i="31"/>
  <c r="C22" i="31"/>
  <c r="C23" i="31"/>
  <c r="E23" i="31"/>
  <c r="C24" i="31"/>
  <c r="E24" i="31"/>
  <c r="C25" i="31"/>
  <c r="E25" i="31"/>
  <c r="S25" i="31" s="1"/>
  <c r="C26" i="31"/>
  <c r="E26" i="31"/>
  <c r="C27" i="31"/>
  <c r="E27" i="31"/>
  <c r="C28" i="31"/>
  <c r="E28" i="31"/>
  <c r="C31" i="31"/>
  <c r="E31" i="31" s="1"/>
  <c r="C32" i="31"/>
  <c r="C33" i="31"/>
  <c r="C34" i="31"/>
  <c r="E34" i="31" s="1"/>
  <c r="C35" i="31"/>
  <c r="E35" i="31" s="1"/>
  <c r="C36" i="31"/>
  <c r="C37" i="31"/>
  <c r="C38" i="31"/>
  <c r="E38" i="31" s="1"/>
  <c r="C39" i="31"/>
  <c r="E39" i="31" s="1"/>
  <c r="C40" i="31"/>
  <c r="D40" i="31" s="1"/>
  <c r="Q40" i="31" s="1"/>
  <c r="C41" i="31"/>
  <c r="C42" i="31"/>
  <c r="E42" i="31" s="1"/>
  <c r="D11" i="31"/>
  <c r="D12" i="31"/>
  <c r="D14" i="31"/>
  <c r="D15" i="31"/>
  <c r="D47" i="31"/>
  <c r="D46" i="31"/>
  <c r="D45" i="31"/>
  <c r="D18" i="31"/>
  <c r="D20" i="31"/>
  <c r="D22" i="31"/>
  <c r="D24" i="31"/>
  <c r="D26" i="31"/>
  <c r="D28" i="31"/>
  <c r="Q28" i="31" s="1"/>
  <c r="X28" i="31" s="1"/>
  <c r="Y28" i="31" s="1"/>
  <c r="D31" i="31"/>
  <c r="D32" i="31"/>
  <c r="D35" i="31"/>
  <c r="D39" i="31"/>
  <c r="Q20" i="31"/>
  <c r="X20" i="31" s="1"/>
  <c r="Y20" i="31" s="1"/>
  <c r="Q24" i="31"/>
  <c r="X24" i="31" s="1"/>
  <c r="Y24" i="31" s="1"/>
  <c r="S27" i="31"/>
  <c r="S28" i="31"/>
  <c r="W11" i="31"/>
  <c r="W16" i="31" s="1"/>
  <c r="W12" i="31"/>
  <c r="W13" i="31"/>
  <c r="W14" i="31"/>
  <c r="W15" i="31"/>
  <c r="W18" i="31"/>
  <c r="W19" i="31"/>
  <c r="W20" i="31"/>
  <c r="W23" i="31"/>
  <c r="W24" i="31"/>
  <c r="W25" i="31"/>
  <c r="W26" i="31"/>
  <c r="W27" i="31"/>
  <c r="W28" i="31"/>
  <c r="W31" i="31"/>
  <c r="W32" i="31"/>
  <c r="W33" i="31"/>
  <c r="W34" i="31"/>
  <c r="W35" i="31"/>
  <c r="W36" i="31"/>
  <c r="W37" i="31"/>
  <c r="W38" i="31"/>
  <c r="W39" i="31"/>
  <c r="W41" i="31"/>
  <c r="W42" i="31"/>
  <c r="V48" i="31"/>
  <c r="V16" i="31"/>
  <c r="V43" i="31"/>
  <c r="V29" i="31"/>
  <c r="U10" i="31"/>
  <c r="U11" i="31"/>
  <c r="U16" i="31" s="1"/>
  <c r="U12" i="31"/>
  <c r="U13" i="31"/>
  <c r="U14" i="31"/>
  <c r="U15" i="31"/>
  <c r="U47" i="31"/>
  <c r="U46" i="31"/>
  <c r="U45" i="31"/>
  <c r="U18" i="31"/>
  <c r="U20" i="31"/>
  <c r="U21" i="31"/>
  <c r="U22" i="31"/>
  <c r="U24" i="31"/>
  <c r="U25" i="31"/>
  <c r="U26" i="31"/>
  <c r="U28" i="31"/>
  <c r="U31" i="31"/>
  <c r="U32" i="31"/>
  <c r="U33" i="31"/>
  <c r="U34" i="31"/>
  <c r="U35" i="31"/>
  <c r="U37" i="31"/>
  <c r="U38" i="31"/>
  <c r="U39" i="31"/>
  <c r="U40" i="31"/>
  <c r="U41" i="31"/>
  <c r="U42" i="31"/>
  <c r="T16" i="31"/>
  <c r="T48" i="31"/>
  <c r="T29" i="31"/>
  <c r="I16" i="2"/>
  <c r="F16" i="2" s="1"/>
  <c r="C16" i="2"/>
  <c r="P18" i="31" s="1"/>
  <c r="I8" i="2"/>
  <c r="C8" i="2" s="1"/>
  <c r="P10" i="31" s="1"/>
  <c r="I10" i="2"/>
  <c r="F10" i="2" s="1"/>
  <c r="I18" i="2"/>
  <c r="F18" i="2" s="1"/>
  <c r="AT20" i="29"/>
  <c r="I24" i="2"/>
  <c r="C24" i="2" s="1"/>
  <c r="I25" i="2"/>
  <c r="C25" i="2" s="1"/>
  <c r="P27" i="31" s="1"/>
  <c r="I17" i="2"/>
  <c r="C17" i="2" s="1"/>
  <c r="A46" i="29"/>
  <c r="B46" i="29"/>
  <c r="I44" i="2"/>
  <c r="F44" i="2" s="1"/>
  <c r="C44" i="2"/>
  <c r="AR46" i="29" s="1"/>
  <c r="G44" i="2"/>
  <c r="AV46" i="29" s="1"/>
  <c r="A47" i="29"/>
  <c r="B47" i="29"/>
  <c r="I45" i="2"/>
  <c r="C45" i="2" s="1"/>
  <c r="G45" i="2"/>
  <c r="AV47" i="29" s="1"/>
  <c r="A32" i="29"/>
  <c r="B32" i="29"/>
  <c r="I30" i="2"/>
  <c r="C30" i="2"/>
  <c r="AR32" i="29"/>
  <c r="F30" i="2"/>
  <c r="AT32" i="29" s="1"/>
  <c r="G30" i="2"/>
  <c r="AV32" i="29" s="1"/>
  <c r="A33" i="29"/>
  <c r="B33" i="29"/>
  <c r="I31" i="2"/>
  <c r="F31" i="2" s="1"/>
  <c r="AT33" i="29"/>
  <c r="G31" i="2"/>
  <c r="AV33" i="29" s="1"/>
  <c r="A34" i="29"/>
  <c r="B34" i="29"/>
  <c r="I32" i="2"/>
  <c r="C32" i="2" s="1"/>
  <c r="F32" i="2"/>
  <c r="AT34" i="29" s="1"/>
  <c r="G32" i="2"/>
  <c r="AV34" i="29" s="1"/>
  <c r="A35" i="29"/>
  <c r="B35" i="29"/>
  <c r="I33" i="2"/>
  <c r="C33" i="2" s="1"/>
  <c r="AR35" i="29" s="1"/>
  <c r="G33" i="2"/>
  <c r="AV35" i="29"/>
  <c r="A36" i="29"/>
  <c r="B36" i="29"/>
  <c r="I34" i="2"/>
  <c r="F34" i="2" s="1"/>
  <c r="AT36" i="29" s="1"/>
  <c r="C34" i="2"/>
  <c r="AR36" i="29" s="1"/>
  <c r="G34" i="2"/>
  <c r="AV36" i="29" s="1"/>
  <c r="A37" i="29"/>
  <c r="B37" i="29"/>
  <c r="I35" i="2"/>
  <c r="F35" i="2" s="1"/>
  <c r="AT37" i="29"/>
  <c r="G35" i="2"/>
  <c r="AV37" i="29" s="1"/>
  <c r="A38" i="29"/>
  <c r="B38" i="29"/>
  <c r="I36" i="2"/>
  <c r="C36" i="2" s="1"/>
  <c r="G36" i="2"/>
  <c r="AV38" i="29" s="1"/>
  <c r="A39" i="29"/>
  <c r="B39" i="29"/>
  <c r="I37" i="2"/>
  <c r="C37" i="2" s="1"/>
  <c r="AR39" i="29" s="1"/>
  <c r="G37" i="2"/>
  <c r="AV39" i="29"/>
  <c r="A40" i="29"/>
  <c r="B40" i="29"/>
  <c r="I38" i="2"/>
  <c r="C38" i="2"/>
  <c r="AR40" i="29" s="1"/>
  <c r="F38" i="2"/>
  <c r="AT40" i="29" s="1"/>
  <c r="G38" i="2"/>
  <c r="AV40" i="29" s="1"/>
  <c r="A41" i="29"/>
  <c r="B41" i="29"/>
  <c r="I39" i="2"/>
  <c r="F39" i="2" s="1"/>
  <c r="R41" i="31" s="1"/>
  <c r="G39" i="2"/>
  <c r="AV41" i="29" s="1"/>
  <c r="A42" i="29"/>
  <c r="B42" i="29"/>
  <c r="I40" i="2"/>
  <c r="C40" i="2" s="1"/>
  <c r="G40" i="2"/>
  <c r="AV42" i="29" s="1"/>
  <c r="G17" i="2"/>
  <c r="AV19" i="29" s="1"/>
  <c r="G18" i="2"/>
  <c r="AV20" i="29" s="1"/>
  <c r="I19" i="2"/>
  <c r="C19" i="2" s="1"/>
  <c r="AR21" i="29" s="1"/>
  <c r="G19" i="2"/>
  <c r="AV21" i="29"/>
  <c r="I20" i="2"/>
  <c r="C20" i="2" s="1"/>
  <c r="G20" i="2"/>
  <c r="AV22" i="29" s="1"/>
  <c r="I21" i="2"/>
  <c r="F21" i="2" s="1"/>
  <c r="AT23" i="29"/>
  <c r="G21" i="2"/>
  <c r="AV23" i="29" s="1"/>
  <c r="I22" i="2"/>
  <c r="C22" i="2"/>
  <c r="AR24" i="29" s="1"/>
  <c r="F22" i="2"/>
  <c r="AT24" i="29" s="1"/>
  <c r="G22" i="2"/>
  <c r="AV24" i="29"/>
  <c r="I23" i="2"/>
  <c r="C23" i="2" s="1"/>
  <c r="F23" i="2"/>
  <c r="AT25" i="29" s="1"/>
  <c r="G23" i="2"/>
  <c r="AV25" i="29" s="1"/>
  <c r="F24" i="2"/>
  <c r="AT26" i="29" s="1"/>
  <c r="G24" i="2"/>
  <c r="AV26" i="29" s="1"/>
  <c r="G25" i="2"/>
  <c r="AV27" i="29" s="1"/>
  <c r="I26" i="2"/>
  <c r="C26" i="2" s="1"/>
  <c r="F26" i="2"/>
  <c r="AT28" i="29" s="1"/>
  <c r="G26" i="2"/>
  <c r="AV28" i="29"/>
  <c r="F8" i="2"/>
  <c r="AT10" i="29" s="1"/>
  <c r="AR10" i="29"/>
  <c r="I9" i="2"/>
  <c r="F9" i="2" s="1"/>
  <c r="B27" i="29"/>
  <c r="I43" i="2"/>
  <c r="F43" i="2" s="1"/>
  <c r="I29" i="2"/>
  <c r="F29" i="2"/>
  <c r="AT31" i="29" s="1"/>
  <c r="I11" i="2"/>
  <c r="F11" i="2" s="1"/>
  <c r="I12" i="2"/>
  <c r="F12" i="2"/>
  <c r="AT14" i="29" s="1"/>
  <c r="I13" i="2"/>
  <c r="F13" i="2" s="1"/>
  <c r="C29" i="2"/>
  <c r="AR31" i="29"/>
  <c r="C12" i="2"/>
  <c r="AR14" i="29"/>
  <c r="C13" i="2"/>
  <c r="AR15" i="29" s="1"/>
  <c r="G5" i="36"/>
  <c r="J5" i="36"/>
  <c r="J6" i="36"/>
  <c r="J7" i="36"/>
  <c r="G9" i="36"/>
  <c r="J9" i="36"/>
  <c r="G11" i="36"/>
  <c r="J11" i="36" s="1"/>
  <c r="G13" i="36"/>
  <c r="J13" i="36"/>
  <c r="F14" i="2"/>
  <c r="F5" i="36" s="1"/>
  <c r="F27" i="2"/>
  <c r="F6" i="36" s="1"/>
  <c r="F41" i="2"/>
  <c r="F7" i="36" s="1"/>
  <c r="F9" i="36"/>
  <c r="I9" i="36"/>
  <c r="F11" i="36"/>
  <c r="I11" i="36" s="1"/>
  <c r="E9" i="36"/>
  <c r="H9" i="36" s="1"/>
  <c r="F13" i="36"/>
  <c r="E13" i="36" s="1"/>
  <c r="O45" i="31"/>
  <c r="O42" i="31"/>
  <c r="O41" i="31"/>
  <c r="O40" i="31"/>
  <c r="O39" i="31"/>
  <c r="O37" i="31"/>
  <c r="O36" i="31"/>
  <c r="O34" i="31"/>
  <c r="O33" i="31"/>
  <c r="O32" i="31"/>
  <c r="O28" i="31"/>
  <c r="O27" i="31"/>
  <c r="O26" i="31"/>
  <c r="O25" i="31"/>
  <c r="O24" i="31"/>
  <c r="O23" i="31"/>
  <c r="O22" i="31"/>
  <c r="O21" i="31"/>
  <c r="O20" i="31"/>
  <c r="O19" i="31"/>
  <c r="G41" i="26"/>
  <c r="R20" i="31"/>
  <c r="R23" i="31"/>
  <c r="P21" i="31"/>
  <c r="D25" i="2"/>
  <c r="M24" i="17"/>
  <c r="G25" i="26"/>
  <c r="B24" i="28"/>
  <c r="A24" i="28"/>
  <c r="A27" i="29"/>
  <c r="B25" i="26"/>
  <c r="B24" i="17" s="1"/>
  <c r="A24" i="17"/>
  <c r="B27" i="31"/>
  <c r="A27" i="31"/>
  <c r="A25" i="26"/>
  <c r="I13" i="36"/>
  <c r="M9" i="36"/>
  <c r="O5" i="2"/>
  <c r="P5" i="2"/>
  <c r="Q5" i="2"/>
  <c r="O2" i="2"/>
  <c r="K4" i="2"/>
  <c r="K12" i="2"/>
  <c r="Q2" i="2"/>
  <c r="P2" i="2"/>
  <c r="F46" i="2"/>
  <c r="H49" i="2" s="1"/>
  <c r="C46" i="2"/>
  <c r="C14" i="2"/>
  <c r="C27" i="2"/>
  <c r="C41" i="2"/>
  <c r="D24" i="2"/>
  <c r="D45" i="2"/>
  <c r="N3" i="2"/>
  <c r="A13" i="28"/>
  <c r="B13" i="28"/>
  <c r="D13" i="28"/>
  <c r="H13" i="28" s="1"/>
  <c r="E13" i="28"/>
  <c r="D13" i="2"/>
  <c r="G12" i="2"/>
  <c r="AV15" i="29"/>
  <c r="M13" i="17"/>
  <c r="B13" i="17"/>
  <c r="A13" i="17"/>
  <c r="D8" i="2"/>
  <c r="D9" i="2"/>
  <c r="D10" i="2"/>
  <c r="D11" i="2"/>
  <c r="D12" i="2"/>
  <c r="G13" i="2"/>
  <c r="G8" i="2"/>
  <c r="G9" i="2"/>
  <c r="G10" i="2"/>
  <c r="AV12" i="29" s="1"/>
  <c r="G11" i="2"/>
  <c r="R10" i="31"/>
  <c r="P15" i="31"/>
  <c r="B15" i="31"/>
  <c r="B14" i="26"/>
  <c r="G24" i="26"/>
  <c r="G26" i="26"/>
  <c r="B24" i="26"/>
  <c r="B26" i="26"/>
  <c r="A24" i="26"/>
  <c r="A26" i="26"/>
  <c r="E25" i="28"/>
  <c r="H25" i="28" s="1"/>
  <c r="D25" i="28"/>
  <c r="F25" i="28" s="1"/>
  <c r="B23" i="28"/>
  <c r="D23" i="28"/>
  <c r="E23" i="28"/>
  <c r="H23" i="28" s="1"/>
  <c r="F23" i="28" s="1"/>
  <c r="B25" i="28"/>
  <c r="A23" i="28"/>
  <c r="A25" i="28"/>
  <c r="E15" i="28"/>
  <c r="D15" i="28"/>
  <c r="H15" i="28"/>
  <c r="G15" i="28" s="1"/>
  <c r="E16" i="28"/>
  <c r="E17" i="28"/>
  <c r="H17" i="28" s="1"/>
  <c r="E18" i="28"/>
  <c r="E19" i="28"/>
  <c r="E20" i="28"/>
  <c r="E21" i="28"/>
  <c r="E22" i="28"/>
  <c r="D16" i="28"/>
  <c r="D17" i="28"/>
  <c r="D18" i="28"/>
  <c r="D19" i="28"/>
  <c r="D20" i="28"/>
  <c r="D21" i="28"/>
  <c r="D22" i="28"/>
  <c r="D8" i="28"/>
  <c r="H8" i="28" s="1"/>
  <c r="E8" i="28"/>
  <c r="E9" i="28"/>
  <c r="E10" i="28"/>
  <c r="E11" i="28"/>
  <c r="E12" i="28"/>
  <c r="G12" i="28" s="1"/>
  <c r="D9" i="28"/>
  <c r="D10" i="28"/>
  <c r="D11" i="28"/>
  <c r="D12" i="28"/>
  <c r="F12" i="28" s="1"/>
  <c r="B9" i="28"/>
  <c r="B10" i="28"/>
  <c r="B11" i="28"/>
  <c r="B12" i="28"/>
  <c r="A9" i="28"/>
  <c r="A10" i="28"/>
  <c r="A11" i="28"/>
  <c r="A12" i="28"/>
  <c r="M25" i="17"/>
  <c r="B23" i="17"/>
  <c r="B25" i="17"/>
  <c r="A23" i="17"/>
  <c r="A25" i="17"/>
  <c r="D16" i="2"/>
  <c r="D17" i="2"/>
  <c r="D18" i="2"/>
  <c r="D19" i="2"/>
  <c r="D20" i="2"/>
  <c r="D21" i="2"/>
  <c r="D22" i="2"/>
  <c r="D23" i="2"/>
  <c r="D26" i="2"/>
  <c r="G16" i="2"/>
  <c r="AV18" i="29"/>
  <c r="B26" i="29"/>
  <c r="B28" i="29"/>
  <c r="A26" i="29"/>
  <c r="A28" i="29"/>
  <c r="M9" i="17"/>
  <c r="B11" i="17"/>
  <c r="B12" i="17"/>
  <c r="A11" i="17"/>
  <c r="A12" i="17"/>
  <c r="G16" i="26"/>
  <c r="G13" i="26"/>
  <c r="B13" i="26"/>
  <c r="A13" i="26"/>
  <c r="P24" i="31"/>
  <c r="P31" i="31"/>
  <c r="P32" i="31"/>
  <c r="P35" i="31"/>
  <c r="P39" i="31"/>
  <c r="P40" i="31"/>
  <c r="R24" i="31"/>
  <c r="R28" i="31"/>
  <c r="R32" i="31"/>
  <c r="R33" i="31"/>
  <c r="R37" i="31"/>
  <c r="R40" i="31"/>
  <c r="G29" i="2"/>
  <c r="G43" i="2"/>
  <c r="D29" i="2"/>
  <c r="D30" i="2"/>
  <c r="D31" i="2"/>
  <c r="D32" i="2"/>
  <c r="D33" i="2"/>
  <c r="D34" i="2"/>
  <c r="D35" i="2"/>
  <c r="D36" i="2"/>
  <c r="D37" i="2"/>
  <c r="D38" i="2"/>
  <c r="D39" i="2"/>
  <c r="D40" i="2"/>
  <c r="D43" i="2"/>
  <c r="D44" i="2"/>
  <c r="P14" i="31"/>
  <c r="B28" i="31"/>
  <c r="B26" i="31"/>
  <c r="A28" i="31"/>
  <c r="A26" i="31"/>
  <c r="B14" i="31"/>
  <c r="A14" i="31"/>
  <c r="B36" i="34"/>
  <c r="A36" i="34"/>
  <c r="B35" i="34"/>
  <c r="A35" i="34"/>
  <c r="B34" i="34"/>
  <c r="A34" i="34"/>
  <c r="B33" i="34"/>
  <c r="A33" i="34"/>
  <c r="B32" i="34"/>
  <c r="A32" i="34"/>
  <c r="B31" i="34"/>
  <c r="A31" i="34"/>
  <c r="B30" i="34"/>
  <c r="A30" i="34"/>
  <c r="B29" i="34"/>
  <c r="A29" i="34"/>
  <c r="B28" i="34"/>
  <c r="A28" i="34"/>
  <c r="B27" i="34"/>
  <c r="A27" i="34"/>
  <c r="B26" i="34"/>
  <c r="A26" i="34"/>
  <c r="B25" i="34"/>
  <c r="A25" i="34"/>
  <c r="B24" i="34"/>
  <c r="A24" i="34"/>
  <c r="B23" i="34"/>
  <c r="A23" i="34"/>
  <c r="B22" i="34"/>
  <c r="A22" i="34"/>
  <c r="B21" i="34"/>
  <c r="A21" i="34"/>
  <c r="B20" i="34"/>
  <c r="A20" i="34"/>
  <c r="B19" i="34"/>
  <c r="A19" i="34"/>
  <c r="B18" i="34"/>
  <c r="A18" i="34"/>
  <c r="B17" i="34"/>
  <c r="A17" i="34"/>
  <c r="B16" i="34"/>
  <c r="A16" i="34"/>
  <c r="B15" i="34"/>
  <c r="A15" i="34"/>
  <c r="B14" i="34"/>
  <c r="A14" i="34"/>
  <c r="B13" i="34"/>
  <c r="A13" i="34"/>
  <c r="B12" i="34"/>
  <c r="A12" i="34"/>
  <c r="B11" i="34"/>
  <c r="A11" i="34"/>
  <c r="B10" i="34"/>
  <c r="A10" i="34"/>
  <c r="B9" i="34"/>
  <c r="A9" i="34"/>
  <c r="B8" i="34"/>
  <c r="A8" i="34"/>
  <c r="B7" i="34"/>
  <c r="A7" i="34"/>
  <c r="B6" i="34"/>
  <c r="A6" i="34"/>
  <c r="I6" i="33"/>
  <c r="I7" i="33"/>
  <c r="I8" i="33"/>
  <c r="I9" i="33"/>
  <c r="I10" i="33"/>
  <c r="I5" i="33"/>
  <c r="G5" i="33"/>
  <c r="G6" i="33"/>
  <c r="G7" i="33"/>
  <c r="G8" i="33"/>
  <c r="G9" i="33"/>
  <c r="G10" i="33"/>
  <c r="M15" i="17"/>
  <c r="E41" i="28"/>
  <c r="E42" i="28"/>
  <c r="E40" i="28"/>
  <c r="E28" i="28"/>
  <c r="E29" i="28"/>
  <c r="E30" i="28"/>
  <c r="E31" i="28"/>
  <c r="E32" i="28"/>
  <c r="E33" i="28"/>
  <c r="E34" i="28"/>
  <c r="E35" i="28"/>
  <c r="E36" i="28"/>
  <c r="E37" i="28"/>
  <c r="E38" i="28"/>
  <c r="E27" i="28"/>
  <c r="D40" i="28"/>
  <c r="D38" i="28"/>
  <c r="D28" i="28"/>
  <c r="D29" i="28"/>
  <c r="D30" i="28"/>
  <c r="D31" i="28"/>
  <c r="D32" i="28"/>
  <c r="D33" i="28"/>
  <c r="D34" i="28"/>
  <c r="D35" i="28"/>
  <c r="D36" i="28"/>
  <c r="D37" i="28"/>
  <c r="D27" i="28"/>
  <c r="H16" i="28"/>
  <c r="F16" i="28" s="1"/>
  <c r="H19" i="28"/>
  <c r="H20" i="28"/>
  <c r="F20" i="28" s="1"/>
  <c r="H12" i="28"/>
  <c r="H11" i="28"/>
  <c r="F11" i="28" s="1"/>
  <c r="H21" i="28"/>
  <c r="F21" i="28" s="1"/>
  <c r="G17" i="28"/>
  <c r="H36" i="28"/>
  <c r="F36" i="28"/>
  <c r="H34" i="28"/>
  <c r="F34" i="28"/>
  <c r="H32" i="28"/>
  <c r="G32" i="28" s="1"/>
  <c r="F32" i="28"/>
  <c r="H30" i="28"/>
  <c r="F30" i="28"/>
  <c r="H28" i="28"/>
  <c r="F28" i="28"/>
  <c r="G34" i="28"/>
  <c r="H10" i="28"/>
  <c r="H18" i="28"/>
  <c r="G18" i="28" s="1"/>
  <c r="H35" i="28"/>
  <c r="F35" i="28" s="1"/>
  <c r="H38" i="28"/>
  <c r="G11" i="28"/>
  <c r="G20" i="28"/>
  <c r="G16" i="28"/>
  <c r="H9" i="28"/>
  <c r="G9" i="28"/>
  <c r="B41" i="28"/>
  <c r="B42" i="28"/>
  <c r="B40" i="28"/>
  <c r="B28" i="28"/>
  <c r="B29" i="28"/>
  <c r="B30" i="28"/>
  <c r="B31" i="28"/>
  <c r="B32" i="28"/>
  <c r="B33" i="28"/>
  <c r="B34" i="28"/>
  <c r="B35" i="28"/>
  <c r="B36" i="28"/>
  <c r="B37" i="28"/>
  <c r="B38" i="28"/>
  <c r="B27" i="28"/>
  <c r="B16" i="28"/>
  <c r="B17" i="28"/>
  <c r="B18" i="28"/>
  <c r="B19" i="28"/>
  <c r="B20" i="28"/>
  <c r="B21" i="28"/>
  <c r="B22" i="28"/>
  <c r="B15" i="28"/>
  <c r="B8" i="28"/>
  <c r="A40" i="28"/>
  <c r="A41" i="28"/>
  <c r="A42" i="28"/>
  <c r="B39" i="28"/>
  <c r="A39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B26" i="28"/>
  <c r="A26" i="28"/>
  <c r="A22" i="28"/>
  <c r="A21" i="28"/>
  <c r="A20" i="28"/>
  <c r="A15" i="28"/>
  <c r="A16" i="28"/>
  <c r="A17" i="28"/>
  <c r="A18" i="28"/>
  <c r="A19" i="28"/>
  <c r="B14" i="28"/>
  <c r="A14" i="28"/>
  <c r="A8" i="28"/>
  <c r="B7" i="28"/>
  <c r="A7" i="28"/>
  <c r="G30" i="28"/>
  <c r="F17" i="28"/>
  <c r="G28" i="28"/>
  <c r="G36" i="28"/>
  <c r="F9" i="28"/>
  <c r="AJ60" i="31"/>
  <c r="B2" i="31"/>
  <c r="B46" i="31"/>
  <c r="B47" i="31"/>
  <c r="A46" i="31"/>
  <c r="A47" i="31"/>
  <c r="B45" i="31"/>
  <c r="A45" i="31"/>
  <c r="B44" i="31"/>
  <c r="A44" i="31"/>
  <c r="B32" i="31"/>
  <c r="B33" i="31"/>
  <c r="B34" i="31"/>
  <c r="B35" i="31"/>
  <c r="B36" i="31"/>
  <c r="B37" i="31"/>
  <c r="B38" i="31"/>
  <c r="B39" i="31"/>
  <c r="B40" i="31"/>
  <c r="B41" i="31"/>
  <c r="B42" i="31"/>
  <c r="A32" i="31"/>
  <c r="A33" i="31"/>
  <c r="A34" i="31"/>
  <c r="A35" i="31"/>
  <c r="A36" i="31"/>
  <c r="A37" i="31"/>
  <c r="A38" i="31"/>
  <c r="A39" i="31"/>
  <c r="A40" i="31"/>
  <c r="A41" i="31"/>
  <c r="A42" i="31"/>
  <c r="A31" i="31"/>
  <c r="B31" i="31"/>
  <c r="B30" i="31"/>
  <c r="B27" i="26" s="1"/>
  <c r="A30" i="31"/>
  <c r="B19" i="31"/>
  <c r="B20" i="31"/>
  <c r="B21" i="31"/>
  <c r="B22" i="31"/>
  <c r="B23" i="31"/>
  <c r="B24" i="31"/>
  <c r="B25" i="31"/>
  <c r="A19" i="31"/>
  <c r="A20" i="31"/>
  <c r="A21" i="31"/>
  <c r="A22" i="31"/>
  <c r="A23" i="31"/>
  <c r="A24" i="31"/>
  <c r="A25" i="31"/>
  <c r="B18" i="31"/>
  <c r="A18" i="31"/>
  <c r="B17" i="31"/>
  <c r="A17" i="31"/>
  <c r="B9" i="31"/>
  <c r="A9" i="31"/>
  <c r="B10" i="31"/>
  <c r="B11" i="31"/>
  <c r="B12" i="31"/>
  <c r="B13" i="31"/>
  <c r="A10" i="31"/>
  <c r="A11" i="31"/>
  <c r="A12" i="31"/>
  <c r="A13" i="31"/>
  <c r="T44" i="31"/>
  <c r="B8" i="17"/>
  <c r="B9" i="17"/>
  <c r="B10" i="17"/>
  <c r="A8" i="17"/>
  <c r="A9" i="17"/>
  <c r="A10" i="17"/>
  <c r="B10" i="26"/>
  <c r="B11" i="26"/>
  <c r="B12" i="26"/>
  <c r="A10" i="26"/>
  <c r="A11" i="26"/>
  <c r="A12" i="26"/>
  <c r="M10" i="17"/>
  <c r="M11" i="17"/>
  <c r="I50" i="29"/>
  <c r="M50" i="29"/>
  <c r="Q50" i="29"/>
  <c r="U50" i="29"/>
  <c r="Y50" i="29"/>
  <c r="AC50" i="29"/>
  <c r="AG50" i="29"/>
  <c r="AK50" i="29"/>
  <c r="AO50" i="29"/>
  <c r="B2" i="17"/>
  <c r="B45" i="29"/>
  <c r="A45" i="29"/>
  <c r="B44" i="29"/>
  <c r="A44" i="29"/>
  <c r="B31" i="29"/>
  <c r="A31" i="29"/>
  <c r="B30" i="29"/>
  <c r="A30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0" i="29"/>
  <c r="A10" i="29"/>
  <c r="B9" i="29"/>
  <c r="A9" i="29"/>
  <c r="B2" i="29"/>
  <c r="M31" i="17"/>
  <c r="M33" i="17"/>
  <c r="M34" i="17"/>
  <c r="M35" i="17"/>
  <c r="M36" i="17"/>
  <c r="M37" i="17"/>
  <c r="M38" i="17"/>
  <c r="B2" i="26"/>
  <c r="G31" i="26"/>
  <c r="G32" i="26"/>
  <c r="G23" i="26"/>
  <c r="AV31" i="29"/>
  <c r="AV43" i="29" s="1"/>
  <c r="AV45" i="29"/>
  <c r="AV10" i="29"/>
  <c r="AV11" i="29"/>
  <c r="AV16" i="29" s="1"/>
  <c r="AV13" i="29"/>
  <c r="A17" i="26"/>
  <c r="A8" i="26"/>
  <c r="B8" i="26"/>
  <c r="B101" i="13"/>
  <c r="A101" i="13"/>
  <c r="A14" i="17"/>
  <c r="B7" i="17"/>
  <c r="A7" i="17"/>
  <c r="B15" i="26"/>
  <c r="B14" i="17" s="1"/>
  <c r="A15" i="26"/>
  <c r="M12" i="17"/>
  <c r="M8" i="17"/>
  <c r="B9" i="26"/>
  <c r="A9" i="26"/>
  <c r="B97" i="13"/>
  <c r="A97" i="13"/>
  <c r="B96" i="13"/>
  <c r="A96" i="13"/>
  <c r="B85" i="13"/>
  <c r="A85" i="13"/>
  <c r="B84" i="13"/>
  <c r="A84" i="13"/>
  <c r="A8" i="13"/>
  <c r="A78" i="13"/>
  <c r="G43" i="26"/>
  <c r="B43" i="26"/>
  <c r="A43" i="26"/>
  <c r="G42" i="26"/>
  <c r="B42" i="26"/>
  <c r="A42" i="26"/>
  <c r="B41" i="26"/>
  <c r="A41" i="26"/>
  <c r="B40" i="26"/>
  <c r="A40" i="26"/>
  <c r="G39" i="26"/>
  <c r="B39" i="26"/>
  <c r="A39" i="26"/>
  <c r="G38" i="26"/>
  <c r="B38" i="26"/>
  <c r="A38" i="26"/>
  <c r="B37" i="26"/>
  <c r="A37" i="26"/>
  <c r="G36" i="26"/>
  <c r="B36" i="26"/>
  <c r="A36" i="26"/>
  <c r="G35" i="26"/>
  <c r="B35" i="26"/>
  <c r="A35" i="26"/>
  <c r="G34" i="26"/>
  <c r="B34" i="26"/>
  <c r="A34" i="26"/>
  <c r="G33" i="26"/>
  <c r="B33" i="26"/>
  <c r="A33" i="26"/>
  <c r="B32" i="26"/>
  <c r="A32" i="26"/>
  <c r="B31" i="26"/>
  <c r="A31" i="26"/>
  <c r="G30" i="26"/>
  <c r="B30" i="26"/>
  <c r="A30" i="26"/>
  <c r="G29" i="26"/>
  <c r="B29" i="26"/>
  <c r="A29" i="26"/>
  <c r="G28" i="26"/>
  <c r="B28" i="26"/>
  <c r="A28" i="26"/>
  <c r="A27" i="26"/>
  <c r="B23" i="26"/>
  <c r="A23" i="26"/>
  <c r="G22" i="26"/>
  <c r="B22" i="26"/>
  <c r="A22" i="26"/>
  <c r="G21" i="26"/>
  <c r="B21" i="26"/>
  <c r="A21" i="26"/>
  <c r="G20" i="26"/>
  <c r="B20" i="26"/>
  <c r="A20" i="26"/>
  <c r="G19" i="26"/>
  <c r="B19" i="26"/>
  <c r="A19" i="26"/>
  <c r="G18" i="26"/>
  <c r="B18" i="26"/>
  <c r="A18" i="26"/>
  <c r="G17" i="26"/>
  <c r="B17" i="26"/>
  <c r="B16" i="26"/>
  <c r="A16" i="26"/>
  <c r="B39" i="13"/>
  <c r="B107" i="13"/>
  <c r="A107" i="13"/>
  <c r="B72" i="13"/>
  <c r="B73" i="13"/>
  <c r="B74" i="13"/>
  <c r="B111" i="13"/>
  <c r="A111" i="13"/>
  <c r="A72" i="13"/>
  <c r="A73" i="13"/>
  <c r="A74" i="13"/>
  <c r="B106" i="13"/>
  <c r="A106" i="13"/>
  <c r="A40" i="13"/>
  <c r="A41" i="13"/>
  <c r="A42" i="13"/>
  <c r="A43" i="13"/>
  <c r="A44" i="13"/>
  <c r="A45" i="13"/>
  <c r="A46" i="13"/>
  <c r="B40" i="13"/>
  <c r="B41" i="13"/>
  <c r="B42" i="13"/>
  <c r="B43" i="13"/>
  <c r="B44" i="13"/>
  <c r="B45" i="13"/>
  <c r="B46" i="13"/>
  <c r="A39" i="13"/>
  <c r="B35" i="13"/>
  <c r="B82" i="13" s="1"/>
  <c r="A35" i="13"/>
  <c r="A82" i="13"/>
  <c r="B34" i="13"/>
  <c r="B81" i="13" s="1"/>
  <c r="A34" i="13"/>
  <c r="A81" i="13"/>
  <c r="B33" i="13"/>
  <c r="B32" i="13"/>
  <c r="B31" i="13"/>
  <c r="B30" i="13"/>
  <c r="B29" i="13"/>
  <c r="B28" i="13"/>
  <c r="B27" i="13"/>
  <c r="B26" i="13"/>
  <c r="B25" i="13"/>
  <c r="B24" i="13"/>
  <c r="B22" i="13"/>
  <c r="B21" i="13"/>
  <c r="B20" i="13"/>
  <c r="B19" i="13"/>
  <c r="B23" i="13"/>
  <c r="B15" i="13"/>
  <c r="B80" i="13"/>
  <c r="B16" i="13"/>
  <c r="B17" i="13"/>
  <c r="B18" i="13"/>
  <c r="B14" i="13"/>
  <c r="B9" i="13"/>
  <c r="B10" i="13"/>
  <c r="B79" i="13" s="1"/>
  <c r="B11" i="13"/>
  <c r="B13" i="13"/>
  <c r="B8" i="13"/>
  <c r="B78" i="13" s="1"/>
  <c r="A28" i="13"/>
  <c r="A29" i="13"/>
  <c r="A30" i="13"/>
  <c r="A31" i="13"/>
  <c r="A32" i="13"/>
  <c r="A33" i="13"/>
  <c r="A27" i="13"/>
  <c r="A25" i="13"/>
  <c r="A26" i="13"/>
  <c r="A24" i="13"/>
  <c r="A20" i="13"/>
  <c r="A21" i="13"/>
  <c r="A22" i="13"/>
  <c r="A19" i="13"/>
  <c r="A15" i="13"/>
  <c r="A80" i="13" s="1"/>
  <c r="A16" i="13"/>
  <c r="A17" i="13"/>
  <c r="A18" i="13"/>
  <c r="A14" i="13"/>
  <c r="A9" i="13"/>
  <c r="A10" i="13"/>
  <c r="A79" i="13"/>
  <c r="A11" i="13"/>
  <c r="A12" i="13"/>
  <c r="A13" i="13"/>
  <c r="B98" i="13"/>
  <c r="B99" i="13"/>
  <c r="B100" i="13"/>
  <c r="B102" i="13"/>
  <c r="B103" i="13"/>
  <c r="A98" i="13"/>
  <c r="A99" i="13"/>
  <c r="A100" i="13"/>
  <c r="A102" i="13"/>
  <c r="A103" i="13"/>
  <c r="B67" i="13"/>
  <c r="A67" i="13"/>
  <c r="B64" i="13"/>
  <c r="B63" i="13"/>
  <c r="A63" i="13"/>
  <c r="A64" i="13"/>
  <c r="B59" i="13"/>
  <c r="A59" i="13"/>
  <c r="B53" i="13"/>
  <c r="B54" i="13"/>
  <c r="B55" i="13"/>
  <c r="B56" i="13"/>
  <c r="A56" i="13"/>
  <c r="A53" i="13"/>
  <c r="A54" i="13"/>
  <c r="A55" i="13"/>
  <c r="B49" i="13"/>
  <c r="A49" i="13"/>
  <c r="B47" i="13"/>
  <c r="A47" i="13"/>
  <c r="B37" i="13"/>
  <c r="B38" i="13"/>
  <c r="A37" i="13"/>
  <c r="A38" i="13"/>
  <c r="A23" i="13"/>
  <c r="M41" i="17"/>
  <c r="M42" i="17"/>
  <c r="M40" i="17"/>
  <c r="M27" i="17"/>
  <c r="M28" i="17"/>
  <c r="M29" i="17"/>
  <c r="M30" i="17"/>
  <c r="M17" i="17"/>
  <c r="M18" i="17"/>
  <c r="M20" i="17"/>
  <c r="M21" i="17"/>
  <c r="M16" i="17"/>
  <c r="B42" i="17"/>
  <c r="A42" i="17"/>
  <c r="B41" i="17"/>
  <c r="A41" i="17"/>
  <c r="B40" i="17"/>
  <c r="A40" i="17"/>
  <c r="B39" i="17"/>
  <c r="A39" i="17"/>
  <c r="B38" i="17"/>
  <c r="A38" i="17"/>
  <c r="B37" i="17"/>
  <c r="A37" i="17"/>
  <c r="B36" i="17"/>
  <c r="A36" i="17"/>
  <c r="B35" i="17"/>
  <c r="A35" i="17"/>
  <c r="B34" i="17"/>
  <c r="A34" i="17"/>
  <c r="B33" i="17"/>
  <c r="A33" i="17"/>
  <c r="B32" i="17"/>
  <c r="A32" i="17"/>
  <c r="B31" i="17"/>
  <c r="A31" i="17"/>
  <c r="B30" i="17"/>
  <c r="A30" i="17"/>
  <c r="B29" i="17"/>
  <c r="A29" i="17"/>
  <c r="B28" i="17"/>
  <c r="A28" i="17"/>
  <c r="B27" i="17"/>
  <c r="A27" i="17"/>
  <c r="B26" i="17"/>
  <c r="A26" i="17"/>
  <c r="B22" i="17"/>
  <c r="A22" i="17"/>
  <c r="B21" i="17"/>
  <c r="A21" i="17"/>
  <c r="B20" i="17"/>
  <c r="A20" i="17"/>
  <c r="B19" i="17"/>
  <c r="A19" i="17"/>
  <c r="B18" i="17"/>
  <c r="A18" i="17"/>
  <c r="B17" i="17"/>
  <c r="A17" i="17"/>
  <c r="B16" i="17"/>
  <c r="A16" i="17"/>
  <c r="B15" i="17"/>
  <c r="A15" i="17"/>
  <c r="B95" i="13"/>
  <c r="A95" i="13"/>
  <c r="B94" i="13"/>
  <c r="A94" i="13"/>
  <c r="B93" i="13"/>
  <c r="A93" i="13"/>
  <c r="B105" i="13"/>
  <c r="A105" i="13"/>
  <c r="B104" i="13"/>
  <c r="A104" i="13"/>
  <c r="B71" i="13"/>
  <c r="A71" i="13"/>
  <c r="B70" i="13"/>
  <c r="A70" i="13"/>
  <c r="B69" i="13"/>
  <c r="A69" i="13"/>
  <c r="B68" i="13"/>
  <c r="A68" i="13"/>
  <c r="B66" i="13"/>
  <c r="A66" i="13"/>
  <c r="B65" i="13"/>
  <c r="A65" i="13"/>
  <c r="B62" i="13"/>
  <c r="A62" i="13"/>
  <c r="B61" i="13"/>
  <c r="B89" i="13"/>
  <c r="A61" i="13"/>
  <c r="A89" i="13"/>
  <c r="B60" i="13"/>
  <c r="B88" i="13"/>
  <c r="A60" i="13"/>
  <c r="A88" i="13"/>
  <c r="B58" i="13"/>
  <c r="B87" i="13"/>
  <c r="A58" i="13"/>
  <c r="A87" i="13"/>
  <c r="B57" i="13"/>
  <c r="B86" i="13"/>
  <c r="A57" i="13"/>
  <c r="A86" i="13"/>
  <c r="B52" i="13"/>
  <c r="A52" i="13"/>
  <c r="B51" i="13"/>
  <c r="A51" i="13"/>
  <c r="B50" i="13"/>
  <c r="A50" i="13"/>
  <c r="B48" i="13"/>
  <c r="A48" i="13"/>
  <c r="B36" i="13"/>
  <c r="B83" i="13"/>
  <c r="A36" i="13"/>
  <c r="A83" i="13"/>
  <c r="AV14" i="29"/>
  <c r="H42" i="2"/>
  <c r="G42" i="2"/>
  <c r="M19" i="17"/>
  <c r="G9" i="26"/>
  <c r="G11" i="26"/>
  <c r="G12" i="26"/>
  <c r="G14" i="26"/>
  <c r="G10" i="26"/>
  <c r="N46" i="29" l="1"/>
  <c r="AP46" i="29"/>
  <c r="W46" i="31"/>
  <c r="H46" i="31"/>
  <c r="H48" i="31" s="1"/>
  <c r="Z46" i="29"/>
  <c r="Z48" i="29" s="1"/>
  <c r="AL46" i="29"/>
  <c r="AL48" i="29" s="1"/>
  <c r="AT46" i="29"/>
  <c r="R46" i="31"/>
  <c r="L46" i="29"/>
  <c r="AJ46" i="29"/>
  <c r="AJ48" i="29" s="1"/>
  <c r="AN46" i="29"/>
  <c r="D42" i="2"/>
  <c r="E42" i="2" s="1"/>
  <c r="P46" i="31"/>
  <c r="U48" i="31"/>
  <c r="L48" i="29"/>
  <c r="X46" i="29"/>
  <c r="X48" i="29" s="1"/>
  <c r="AB46" i="29"/>
  <c r="AF46" i="29"/>
  <c r="H46" i="29"/>
  <c r="AS46" i="29" s="1"/>
  <c r="H22" i="28"/>
  <c r="G22" i="28" s="1"/>
  <c r="E49" i="2"/>
  <c r="U36" i="31"/>
  <c r="U43" i="31" s="1"/>
  <c r="G36" i="31"/>
  <c r="Q36" i="31" s="1"/>
  <c r="M36" i="31"/>
  <c r="O6" i="2"/>
  <c r="T43" i="31"/>
  <c r="T49" i="31" s="1"/>
  <c r="AS36" i="29"/>
  <c r="V44" i="31"/>
  <c r="I46" i="2"/>
  <c r="I42" i="2" s="1"/>
  <c r="V47" i="29"/>
  <c r="AL47" i="29"/>
  <c r="AP47" i="29"/>
  <c r="E47" i="31"/>
  <c r="S47" i="31" s="1"/>
  <c r="F47" i="29"/>
  <c r="N47" i="31"/>
  <c r="N48" i="31" s="1"/>
  <c r="F45" i="2"/>
  <c r="AT47" i="29" s="1"/>
  <c r="N47" i="29"/>
  <c r="H23" i="31"/>
  <c r="S23" i="31" s="1"/>
  <c r="N23" i="31"/>
  <c r="K22" i="31"/>
  <c r="H22" i="31"/>
  <c r="AV29" i="29"/>
  <c r="W22" i="31"/>
  <c r="W29" i="31" s="1"/>
  <c r="N22" i="31"/>
  <c r="S21" i="31"/>
  <c r="V49" i="31"/>
  <c r="AU21" i="29"/>
  <c r="AW21" i="29" s="1"/>
  <c r="AX21" i="29" s="1"/>
  <c r="W21" i="31"/>
  <c r="N29" i="29"/>
  <c r="F19" i="2"/>
  <c r="AT21" i="29" s="1"/>
  <c r="K21" i="31"/>
  <c r="R36" i="31"/>
  <c r="P36" i="31"/>
  <c r="V36" i="29"/>
  <c r="V43" i="29" s="1"/>
  <c r="AL36" i="29"/>
  <c r="N36" i="29"/>
  <c r="N43" i="29" s="1"/>
  <c r="Z36" i="29"/>
  <c r="J36" i="29"/>
  <c r="M13" i="36"/>
  <c r="H13" i="36"/>
  <c r="AR22" i="29"/>
  <c r="P22" i="31"/>
  <c r="AR34" i="29"/>
  <c r="P34" i="31"/>
  <c r="AV44" i="29"/>
  <c r="AV48" i="29"/>
  <c r="AR26" i="29"/>
  <c r="P26" i="31"/>
  <c r="G8" i="28"/>
  <c r="F8" i="28"/>
  <c r="I7" i="36"/>
  <c r="E7" i="36"/>
  <c r="H7" i="36" s="1"/>
  <c r="M7" i="36"/>
  <c r="L7" i="36"/>
  <c r="R13" i="31"/>
  <c r="AT13" i="29"/>
  <c r="AR47" i="29"/>
  <c r="P47" i="31"/>
  <c r="AT45" i="29"/>
  <c r="R45" i="31"/>
  <c r="G38" i="28"/>
  <c r="F38" i="28"/>
  <c r="G10" i="28"/>
  <c r="F10" i="28"/>
  <c r="H37" i="28"/>
  <c r="G37" i="28" s="1"/>
  <c r="F37" i="28"/>
  <c r="H33" i="28"/>
  <c r="G33" i="28" s="1"/>
  <c r="H29" i="28"/>
  <c r="G29" i="28" s="1"/>
  <c r="F29" i="28"/>
  <c r="H27" i="28"/>
  <c r="F27" i="28" s="1"/>
  <c r="G35" i="28"/>
  <c r="G31" i="28"/>
  <c r="F18" i="28"/>
  <c r="G21" i="28"/>
  <c r="G13" i="28"/>
  <c r="F13" i="28"/>
  <c r="E6" i="36"/>
  <c r="I6" i="36"/>
  <c r="R15" i="31"/>
  <c r="AT15" i="29"/>
  <c r="AT11" i="29"/>
  <c r="R11" i="31"/>
  <c r="P25" i="31"/>
  <c r="AR25" i="29"/>
  <c r="AR19" i="29"/>
  <c r="P19" i="31"/>
  <c r="AT18" i="29"/>
  <c r="R18" i="31"/>
  <c r="AR28" i="29"/>
  <c r="P28" i="31"/>
  <c r="AR42" i="29"/>
  <c r="P42" i="31"/>
  <c r="H31" i="28"/>
  <c r="F31" i="28" s="1"/>
  <c r="F19" i="28"/>
  <c r="G19" i="28"/>
  <c r="F14" i="36"/>
  <c r="I5" i="36"/>
  <c r="E5" i="36"/>
  <c r="H5" i="36" s="1"/>
  <c r="J14" i="36"/>
  <c r="AR38" i="29"/>
  <c r="P38" i="31"/>
  <c r="R12" i="31"/>
  <c r="AT12" i="29"/>
  <c r="D18" i="29"/>
  <c r="AQ18" i="29"/>
  <c r="U44" i="31"/>
  <c r="M20" i="2"/>
  <c r="M8" i="2"/>
  <c r="M35" i="2"/>
  <c r="R31" i="31"/>
  <c r="G25" i="28"/>
  <c r="G23" i="28"/>
  <c r="I14" i="2"/>
  <c r="G14" i="36"/>
  <c r="O31" i="31"/>
  <c r="O35" i="31"/>
  <c r="C10" i="2"/>
  <c r="AT41" i="29"/>
  <c r="F36" i="2"/>
  <c r="F33" i="2"/>
  <c r="C31" i="2"/>
  <c r="AR27" i="29"/>
  <c r="C18" i="2"/>
  <c r="D48" i="31"/>
  <c r="S35" i="31"/>
  <c r="S31" i="31"/>
  <c r="J27" i="31"/>
  <c r="G35" i="31"/>
  <c r="Q35" i="31" s="1"/>
  <c r="X35" i="31" s="1"/>
  <c r="Y35" i="31" s="1"/>
  <c r="J25" i="31"/>
  <c r="M25" i="31"/>
  <c r="G25" i="31"/>
  <c r="D25" i="31"/>
  <c r="M21" i="31"/>
  <c r="G21" i="31"/>
  <c r="J21" i="31"/>
  <c r="D21" i="31"/>
  <c r="Q21" i="31" s="1"/>
  <c r="X21" i="31" s="1"/>
  <c r="Y21" i="31" s="1"/>
  <c r="O14" i="31"/>
  <c r="H14" i="31"/>
  <c r="N41" i="31"/>
  <c r="M41" i="31"/>
  <c r="N36" i="31"/>
  <c r="K36" i="31"/>
  <c r="H36" i="31"/>
  <c r="E36" i="31"/>
  <c r="N29" i="31"/>
  <c r="AQ27" i="29"/>
  <c r="D16" i="29"/>
  <c r="P28" i="29"/>
  <c r="AQ28" i="29"/>
  <c r="P23" i="29"/>
  <c r="AS23" i="29" s="1"/>
  <c r="AQ23" i="29"/>
  <c r="P19" i="29"/>
  <c r="AS19" i="29" s="1"/>
  <c r="AQ19" i="29"/>
  <c r="AL39" i="29"/>
  <c r="J39" i="29"/>
  <c r="AP39" i="29"/>
  <c r="F39" i="29"/>
  <c r="AH39" i="29"/>
  <c r="Z39" i="29"/>
  <c r="V39" i="29"/>
  <c r="AD39" i="29"/>
  <c r="R39" i="29"/>
  <c r="R43" i="29" s="1"/>
  <c r="N39" i="29"/>
  <c r="G13" i="31"/>
  <c r="S13" i="31"/>
  <c r="J43" i="31"/>
  <c r="G31" i="31"/>
  <c r="N40" i="31"/>
  <c r="K40" i="31"/>
  <c r="H40" i="31"/>
  <c r="E40" i="31"/>
  <c r="M44" i="2"/>
  <c r="F22" i="28"/>
  <c r="R34" i="31"/>
  <c r="F15" i="28"/>
  <c r="R14" i="31"/>
  <c r="I27" i="2"/>
  <c r="R26" i="31"/>
  <c r="E11" i="36"/>
  <c r="C21" i="2"/>
  <c r="F20" i="2"/>
  <c r="F40" i="2"/>
  <c r="F37" i="2"/>
  <c r="C35" i="2"/>
  <c r="AR18" i="29"/>
  <c r="D13" i="31"/>
  <c r="S38" i="31"/>
  <c r="S34" i="31"/>
  <c r="E29" i="31"/>
  <c r="G15" i="31"/>
  <c r="Q15" i="31" s="1"/>
  <c r="S15" i="31"/>
  <c r="G11" i="31"/>
  <c r="Q11" i="31" s="1"/>
  <c r="X11" i="31" s="1"/>
  <c r="Y11" i="31" s="1"/>
  <c r="E16" i="31"/>
  <c r="S11" i="31"/>
  <c r="H41" i="31"/>
  <c r="G41" i="31"/>
  <c r="H37" i="31"/>
  <c r="G37" i="31"/>
  <c r="H33" i="31"/>
  <c r="G33" i="31"/>
  <c r="S12" i="31"/>
  <c r="G39" i="31"/>
  <c r="Q39" i="31" s="1"/>
  <c r="X39" i="31" s="1"/>
  <c r="Y39" i="31" s="1"/>
  <c r="N37" i="31"/>
  <c r="M37" i="31"/>
  <c r="N32" i="31"/>
  <c r="K32" i="31"/>
  <c r="K43" i="31" s="1"/>
  <c r="H32" i="31"/>
  <c r="E32" i="31"/>
  <c r="V29" i="29"/>
  <c r="AW42" i="29"/>
  <c r="AX42" i="29" s="1"/>
  <c r="AF43" i="29"/>
  <c r="AS31" i="29"/>
  <c r="D43" i="29"/>
  <c r="P46" i="29"/>
  <c r="P48" i="29" s="1"/>
  <c r="AQ46" i="29"/>
  <c r="R16" i="29"/>
  <c r="AC10" i="31"/>
  <c r="M37" i="2"/>
  <c r="R25" i="31"/>
  <c r="I41" i="2"/>
  <c r="L9" i="36"/>
  <c r="L13" i="36"/>
  <c r="R21" i="31"/>
  <c r="C11" i="2"/>
  <c r="C9" i="2"/>
  <c r="C43" i="2"/>
  <c r="F17" i="2"/>
  <c r="C39" i="2"/>
  <c r="F25" i="2"/>
  <c r="W40" i="31"/>
  <c r="W43" i="31" s="1"/>
  <c r="E41" i="31"/>
  <c r="S41" i="31" s="1"/>
  <c r="D41" i="31"/>
  <c r="E37" i="31"/>
  <c r="D37" i="31"/>
  <c r="Q37" i="31" s="1"/>
  <c r="E33" i="31"/>
  <c r="D33" i="31"/>
  <c r="D43" i="31" s="1"/>
  <c r="G16" i="31"/>
  <c r="Q10" i="31"/>
  <c r="M27" i="31"/>
  <c r="D27" i="31"/>
  <c r="U27" i="31"/>
  <c r="M23" i="31"/>
  <c r="J23" i="31"/>
  <c r="D23" i="31"/>
  <c r="U23" i="31"/>
  <c r="M19" i="31"/>
  <c r="M29" i="31" s="1"/>
  <c r="J19" i="31"/>
  <c r="D19" i="31"/>
  <c r="U19" i="31"/>
  <c r="U29" i="31" s="1"/>
  <c r="N33" i="31"/>
  <c r="M33" i="31"/>
  <c r="AQ22" i="29"/>
  <c r="AW38" i="29"/>
  <c r="AX38" i="29" s="1"/>
  <c r="AW34" i="29"/>
  <c r="AX34" i="29" s="1"/>
  <c r="H24" i="29"/>
  <c r="AS24" i="29" s="1"/>
  <c r="AW24" i="29" s="1"/>
  <c r="AX24" i="29" s="1"/>
  <c r="AQ24" i="29"/>
  <c r="H20" i="29"/>
  <c r="AQ20" i="29"/>
  <c r="O38" i="31"/>
  <c r="S10" i="31"/>
  <c r="D42" i="31"/>
  <c r="Q42" i="31" s="1"/>
  <c r="X42" i="31" s="1"/>
  <c r="Y42" i="31" s="1"/>
  <c r="D38" i="31"/>
  <c r="Q38" i="31" s="1"/>
  <c r="X38" i="31" s="1"/>
  <c r="Y38" i="31" s="1"/>
  <c r="D34" i="31"/>
  <c r="Q34" i="31" s="1"/>
  <c r="X34" i="31" s="1"/>
  <c r="Y34" i="31" s="1"/>
  <c r="D16" i="31"/>
  <c r="G26" i="31"/>
  <c r="Q26" i="31" s="1"/>
  <c r="X26" i="31" s="1"/>
  <c r="Y26" i="31" s="1"/>
  <c r="G22" i="31"/>
  <c r="Q22" i="31" s="1"/>
  <c r="G18" i="31"/>
  <c r="J26" i="31"/>
  <c r="AQ25" i="29"/>
  <c r="D25" i="29"/>
  <c r="H43" i="29"/>
  <c r="L43" i="29"/>
  <c r="T16" i="29"/>
  <c r="V48" i="29"/>
  <c r="H16" i="29"/>
  <c r="L16" i="29"/>
  <c r="P16" i="29"/>
  <c r="R48" i="29"/>
  <c r="T43" i="29"/>
  <c r="T48" i="29"/>
  <c r="M45" i="31"/>
  <c r="J45" i="31"/>
  <c r="N48" i="29"/>
  <c r="AU32" i="29"/>
  <c r="AW32" i="29" s="1"/>
  <c r="AX32" i="29" s="1"/>
  <c r="T29" i="29"/>
  <c r="X16" i="29"/>
  <c r="AB16" i="29"/>
  <c r="Z16" i="29"/>
  <c r="AD43" i="29"/>
  <c r="AD16" i="29"/>
  <c r="AF29" i="29"/>
  <c r="F19" i="29"/>
  <c r="AL19" i="29"/>
  <c r="J19" i="29"/>
  <c r="AP19" i="29"/>
  <c r="AD19" i="29"/>
  <c r="AD29" i="29" s="1"/>
  <c r="Z19" i="29"/>
  <c r="Z43" i="29"/>
  <c r="AB48" i="29"/>
  <c r="AD48" i="29"/>
  <c r="AH16" i="29"/>
  <c r="AH43" i="29"/>
  <c r="AF48" i="29"/>
  <c r="AH48" i="29"/>
  <c r="AJ43" i="29"/>
  <c r="AN33" i="29"/>
  <c r="AJ33" i="29"/>
  <c r="AF33" i="29"/>
  <c r="AB33" i="29"/>
  <c r="AB43" i="29" s="1"/>
  <c r="X33" i="29"/>
  <c r="AS33" i="29" s="1"/>
  <c r="AW33" i="29" s="1"/>
  <c r="AX33" i="29" s="1"/>
  <c r="K46" i="31"/>
  <c r="K48" i="31" s="1"/>
  <c r="O46" i="31"/>
  <c r="AJ16" i="29"/>
  <c r="AN28" i="29"/>
  <c r="AJ28" i="29"/>
  <c r="K29" i="31"/>
  <c r="F43" i="29"/>
  <c r="AL35" i="29"/>
  <c r="J35" i="29"/>
  <c r="AP35" i="29"/>
  <c r="J48" i="29"/>
  <c r="AU47" i="29"/>
  <c r="K12" i="31"/>
  <c r="J12" i="31"/>
  <c r="J16" i="31" s="1"/>
  <c r="AP14" i="29"/>
  <c r="AL14" i="29"/>
  <c r="J14" i="29"/>
  <c r="F14" i="29"/>
  <c r="AL31" i="29"/>
  <c r="J31" i="29"/>
  <c r="AP31" i="29"/>
  <c r="AP43" i="29" s="1"/>
  <c r="F45" i="29"/>
  <c r="AP45" i="29"/>
  <c r="AP48" i="29" s="1"/>
  <c r="AN43" i="29"/>
  <c r="H45" i="29"/>
  <c r="K16" i="31"/>
  <c r="AP10" i="29"/>
  <c r="AP16" i="29" s="1"/>
  <c r="AL10" i="29"/>
  <c r="AL16" i="29" s="1"/>
  <c r="J10" i="29"/>
  <c r="F10" i="29"/>
  <c r="F23" i="29"/>
  <c r="AL23" i="29"/>
  <c r="J23" i="29"/>
  <c r="J29" i="29" s="1"/>
  <c r="AP23" i="29"/>
  <c r="J14" i="31"/>
  <c r="Q14" i="31" s="1"/>
  <c r="M14" i="31"/>
  <c r="M16" i="31" s="1"/>
  <c r="J46" i="31"/>
  <c r="Q46" i="31" s="1"/>
  <c r="M46" i="31"/>
  <c r="AN14" i="29"/>
  <c r="AS14" i="29" s="1"/>
  <c r="AN10" i="29"/>
  <c r="AN47" i="29"/>
  <c r="F28" i="29"/>
  <c r="AU28" i="29" s="1"/>
  <c r="F22" i="29"/>
  <c r="AU22" i="29" s="1"/>
  <c r="AW22" i="29" s="1"/>
  <c r="AX22" i="29" s="1"/>
  <c r="F18" i="29"/>
  <c r="E46" i="31"/>
  <c r="F46" i="29"/>
  <c r="D47" i="29"/>
  <c r="P25" i="29"/>
  <c r="AJ25" i="29"/>
  <c r="W45" i="31"/>
  <c r="Z25" i="29"/>
  <c r="AU25" i="29" s="1"/>
  <c r="R25" i="29"/>
  <c r="R29" i="29" s="1"/>
  <c r="J25" i="29"/>
  <c r="AB25" i="29"/>
  <c r="AB29" i="29" s="1"/>
  <c r="L25" i="29"/>
  <c r="L29" i="29" s="1"/>
  <c r="AN25" i="29"/>
  <c r="AN29" i="29" s="1"/>
  <c r="AH25" i="29"/>
  <c r="AH29" i="29" s="1"/>
  <c r="M47" i="31"/>
  <c r="Q47" i="31" s="1"/>
  <c r="X25" i="29"/>
  <c r="X29" i="29" s="1"/>
  <c r="AN48" i="29" l="1"/>
  <c r="AU46" i="29"/>
  <c r="AW46" i="29" s="1"/>
  <c r="AX46" i="29" s="1"/>
  <c r="L50" i="29"/>
  <c r="AJ29" i="29"/>
  <c r="AJ50" i="29" s="1"/>
  <c r="J29" i="31"/>
  <c r="Q25" i="31"/>
  <c r="X25" i="31" s="1"/>
  <c r="Y25" i="31" s="1"/>
  <c r="U49" i="31"/>
  <c r="M43" i="31"/>
  <c r="R47" i="31"/>
  <c r="AU23" i="29"/>
  <c r="AW23" i="29" s="1"/>
  <c r="AX23" i="29" s="1"/>
  <c r="AL29" i="29"/>
  <c r="AP29" i="29"/>
  <c r="H29" i="31"/>
  <c r="X22" i="31"/>
  <c r="Y22" i="31" s="1"/>
  <c r="S22" i="31"/>
  <c r="S29" i="31" s="1"/>
  <c r="S36" i="31"/>
  <c r="X36" i="31" s="1"/>
  <c r="Y36" i="31" s="1"/>
  <c r="Z36" i="31" s="1"/>
  <c r="AF56" i="31" s="1"/>
  <c r="AD61" i="31" s="1"/>
  <c r="AU36" i="29"/>
  <c r="V50" i="29"/>
  <c r="M36" i="2"/>
  <c r="M38" i="2" s="1"/>
  <c r="N36" i="2" s="1"/>
  <c r="N43" i="31"/>
  <c r="N49" i="31" s="1"/>
  <c r="AD73" i="31"/>
  <c r="AD65" i="31"/>
  <c r="S16" i="31"/>
  <c r="X47" i="31"/>
  <c r="Y47" i="31" s="1"/>
  <c r="AC12" i="31"/>
  <c r="AD10" i="31"/>
  <c r="K26" i="2"/>
  <c r="M18" i="2"/>
  <c r="M10" i="2"/>
  <c r="N8" i="2"/>
  <c r="E14" i="36"/>
  <c r="L14" i="36" s="1"/>
  <c r="H6" i="36"/>
  <c r="M6" i="36"/>
  <c r="W44" i="31"/>
  <c r="W48" i="31"/>
  <c r="W49" i="31" s="1"/>
  <c r="F16" i="29"/>
  <c r="AU10" i="29"/>
  <c r="K49" i="31"/>
  <c r="J43" i="29"/>
  <c r="AU31" i="29"/>
  <c r="AU35" i="29"/>
  <c r="AW35" i="29" s="1"/>
  <c r="AX35" i="29" s="1"/>
  <c r="N50" i="29"/>
  <c r="AS25" i="29"/>
  <c r="AW25" i="29" s="1"/>
  <c r="AX25" i="29" s="1"/>
  <c r="G29" i="31"/>
  <c r="G49" i="31" s="1"/>
  <c r="Q18" i="31"/>
  <c r="Q19" i="31"/>
  <c r="X19" i="31" s="1"/>
  <c r="Y19" i="31" s="1"/>
  <c r="Q23" i="31"/>
  <c r="X23" i="31" s="1"/>
  <c r="Y23" i="31" s="1"/>
  <c r="Q27" i="31"/>
  <c r="X27" i="31" s="1"/>
  <c r="Y27" i="31" s="1"/>
  <c r="S37" i="31"/>
  <c r="X37" i="31" s="1"/>
  <c r="Y37" i="31" s="1"/>
  <c r="AT19" i="29"/>
  <c r="R19" i="31"/>
  <c r="AW31" i="29"/>
  <c r="AS43" i="29"/>
  <c r="X43" i="29"/>
  <c r="X50" i="29" s="1"/>
  <c r="S32" i="31"/>
  <c r="X32" i="31" s="1"/>
  <c r="Y32" i="31" s="1"/>
  <c r="E43" i="31"/>
  <c r="P37" i="31"/>
  <c r="AR37" i="29"/>
  <c r="P23" i="31"/>
  <c r="AR23" i="29"/>
  <c r="S40" i="31"/>
  <c r="X40" i="31" s="1"/>
  <c r="Y40" i="31" s="1"/>
  <c r="G43" i="31"/>
  <c r="Q31" i="31"/>
  <c r="D29" i="31"/>
  <c r="D49" i="31" s="1"/>
  <c r="AU39" i="29"/>
  <c r="AW39" i="29" s="1"/>
  <c r="AX39" i="29" s="1"/>
  <c r="AR41" i="29"/>
  <c r="P41" i="31"/>
  <c r="AR13" i="29"/>
  <c r="P13" i="31"/>
  <c r="R38" i="31"/>
  <c r="AT38" i="29"/>
  <c r="S46" i="31"/>
  <c r="S48" i="31" s="1"/>
  <c r="E48" i="31"/>
  <c r="J16" i="29"/>
  <c r="AP50" i="29"/>
  <c r="AL43" i="29"/>
  <c r="AL50" i="29" s="1"/>
  <c r="AH50" i="29"/>
  <c r="AD50" i="29"/>
  <c r="Z29" i="29"/>
  <c r="Z50" i="29" s="1"/>
  <c r="J48" i="31"/>
  <c r="J49" i="31" s="1"/>
  <c r="Q45" i="31"/>
  <c r="R50" i="29"/>
  <c r="P29" i="29"/>
  <c r="P50" i="29" s="1"/>
  <c r="Q33" i="31"/>
  <c r="Q41" i="31"/>
  <c r="X41" i="31" s="1"/>
  <c r="Y41" i="31" s="1"/>
  <c r="P45" i="31"/>
  <c r="AR45" i="29"/>
  <c r="H43" i="31"/>
  <c r="AT39" i="29"/>
  <c r="R39" i="31"/>
  <c r="M11" i="36"/>
  <c r="H11" i="36"/>
  <c r="H14" i="36" s="1"/>
  <c r="AS28" i="29"/>
  <c r="AW28" i="29" s="1"/>
  <c r="AX28" i="29" s="1"/>
  <c r="S14" i="31"/>
  <c r="X14" i="31" s="1"/>
  <c r="Y14" i="31" s="1"/>
  <c r="H16" i="31"/>
  <c r="H49" i="31" s="1"/>
  <c r="Q12" i="31"/>
  <c r="X12" i="31" s="1"/>
  <c r="Y12" i="31" s="1"/>
  <c r="AR33" i="29"/>
  <c r="P33" i="31"/>
  <c r="P12" i="31"/>
  <c r="AR12" i="29"/>
  <c r="L11" i="36"/>
  <c r="AS18" i="29"/>
  <c r="D29" i="29"/>
  <c r="AS47" i="29"/>
  <c r="AW47" i="29" s="1"/>
  <c r="AX47" i="29" s="1"/>
  <c r="D48" i="29"/>
  <c r="E49" i="31"/>
  <c r="AT22" i="29"/>
  <c r="R22" i="31"/>
  <c r="AR20" i="29"/>
  <c r="P20" i="31"/>
  <c r="H48" i="29"/>
  <c r="H50" i="29" s="1"/>
  <c r="AS45" i="29"/>
  <c r="AU18" i="29"/>
  <c r="AU29" i="29" s="1"/>
  <c r="F29" i="29"/>
  <c r="AN16" i="29"/>
  <c r="AN50" i="29" s="1"/>
  <c r="F48" i="29"/>
  <c r="AU45" i="29"/>
  <c r="AU14" i="29"/>
  <c r="AW14" i="29" s="1"/>
  <c r="AX14" i="29" s="1"/>
  <c r="AF50" i="29"/>
  <c r="AB50" i="29"/>
  <c r="AU19" i="29"/>
  <c r="AW19" i="29" s="1"/>
  <c r="AX19" i="29" s="1"/>
  <c r="M48" i="31"/>
  <c r="M49" i="31" s="1"/>
  <c r="T50" i="29"/>
  <c r="AS20" i="29"/>
  <c r="AW20" i="29" s="1"/>
  <c r="AX20" i="29" s="1"/>
  <c r="H29" i="29"/>
  <c r="X10" i="31"/>
  <c r="S33" i="31"/>
  <c r="S43" i="31" s="1"/>
  <c r="R27" i="31"/>
  <c r="AT27" i="29"/>
  <c r="P11" i="31"/>
  <c r="AR11" i="29"/>
  <c r="X15" i="31"/>
  <c r="Y15" i="31" s="1"/>
  <c r="Q13" i="31"/>
  <c r="X13" i="31" s="1"/>
  <c r="Y13" i="31" s="1"/>
  <c r="R42" i="31"/>
  <c r="AT42" i="29"/>
  <c r="AS10" i="29"/>
  <c r="AT35" i="29"/>
  <c r="R35" i="31"/>
  <c r="I49" i="2"/>
  <c r="K14" i="2"/>
  <c r="M9" i="2"/>
  <c r="N9" i="2" s="1"/>
  <c r="I14" i="36"/>
  <c r="L6" i="36"/>
  <c r="G27" i="28"/>
  <c r="F33" i="28"/>
  <c r="M45" i="2"/>
  <c r="F50" i="29" l="1"/>
  <c r="F57" i="29" s="1"/>
  <c r="AU48" i="29"/>
  <c r="AD58" i="31"/>
  <c r="AD59" i="31"/>
  <c r="AD60" i="31"/>
  <c r="AD63" i="31"/>
  <c r="AD67" i="31"/>
  <c r="AD70" i="31"/>
  <c r="AD66" i="31"/>
  <c r="AC39" i="31"/>
  <c r="AD64" i="31"/>
  <c r="AD62" i="31"/>
  <c r="AD68" i="31"/>
  <c r="AI53" i="29"/>
  <c r="J50" i="29"/>
  <c r="AD71" i="31"/>
  <c r="AD69" i="31"/>
  <c r="AD72" i="31"/>
  <c r="AU57" i="29"/>
  <c r="AW36" i="29"/>
  <c r="AX36" i="29" s="1"/>
  <c r="X16" i="31"/>
  <c r="Y10" i="31"/>
  <c r="Y16" i="31" s="1"/>
  <c r="N35" i="2"/>
  <c r="N37" i="2"/>
  <c r="AS48" i="29"/>
  <c r="AW45" i="29"/>
  <c r="X45" i="31"/>
  <c r="Q48" i="31"/>
  <c r="M14" i="36"/>
  <c r="AX31" i="29"/>
  <c r="AW43" i="29"/>
  <c r="AU16" i="29"/>
  <c r="AU51" i="29" s="1"/>
  <c r="K48" i="2"/>
  <c r="C49" i="2"/>
  <c r="F49" i="2"/>
  <c r="X31" i="31"/>
  <c r="Q43" i="31"/>
  <c r="S49" i="31"/>
  <c r="S54" i="31" s="1"/>
  <c r="X33" i="31"/>
  <c r="Y33" i="31" s="1"/>
  <c r="AU43" i="29"/>
  <c r="X46" i="31"/>
  <c r="Y46" i="31" s="1"/>
  <c r="X18" i="31"/>
  <c r="Q29" i="31"/>
  <c r="AS16" i="29"/>
  <c r="AW10" i="29"/>
  <c r="Q16" i="31"/>
  <c r="D50" i="29"/>
  <c r="AS29" i="29"/>
  <c r="AW18" i="29"/>
  <c r="M46" i="2"/>
  <c r="N45" i="2" s="1"/>
  <c r="K53" i="29"/>
  <c r="M27" i="2"/>
  <c r="S53" i="29" l="1"/>
  <c r="I57" i="29"/>
  <c r="J57" i="29" s="1"/>
  <c r="M57" i="29" s="1"/>
  <c r="N57" i="29" s="1"/>
  <c r="Q57" i="29" s="1"/>
  <c r="R57" i="29" s="1"/>
  <c r="U57" i="29" s="1"/>
  <c r="V57" i="29" s="1"/>
  <c r="Y57" i="29" s="1"/>
  <c r="AS50" i="29"/>
  <c r="Q49" i="31"/>
  <c r="Q53" i="31" s="1"/>
  <c r="AX43" i="29"/>
  <c r="AA53" i="29"/>
  <c r="AQ51" i="29"/>
  <c r="Y45" i="31"/>
  <c r="X48" i="31"/>
  <c r="X44" i="31"/>
  <c r="N19" i="2"/>
  <c r="N20" i="2"/>
  <c r="AC11" i="31"/>
  <c r="AD11" i="31" s="1"/>
  <c r="AW29" i="29"/>
  <c r="AX18" i="29"/>
  <c r="AX29" i="29" s="1"/>
  <c r="N18" i="2"/>
  <c r="U53" i="31"/>
  <c r="AW48" i="29"/>
  <c r="AW44" i="29"/>
  <c r="AX45" i="29"/>
  <c r="M49" i="2"/>
  <c r="N44" i="2"/>
  <c r="W53" i="31"/>
  <c r="AQ52" i="29"/>
  <c r="AX10" i="29"/>
  <c r="AX16" i="29" s="1"/>
  <c r="AW16" i="29"/>
  <c r="AW51" i="29" s="1"/>
  <c r="Y18" i="31"/>
  <c r="X29" i="31"/>
  <c r="Y31" i="31"/>
  <c r="Y43" i="31" s="1"/>
  <c r="X43" i="31"/>
  <c r="AV50" i="29"/>
  <c r="AR50" i="29" l="1"/>
  <c r="X49" i="31"/>
  <c r="X53" i="31" s="1"/>
  <c r="R54" i="31" s="1"/>
  <c r="C53" i="29"/>
  <c r="AQ53" i="29" s="1"/>
  <c r="AX44" i="29"/>
  <c r="AX48" i="29"/>
  <c r="AC38" i="31"/>
  <c r="AT51" i="29"/>
  <c r="Y29" i="31"/>
  <c r="AA18" i="31"/>
  <c r="AC22" i="31"/>
  <c r="N27" i="2"/>
  <c r="Y48" i="31"/>
  <c r="Y44" i="31"/>
  <c r="AC46" i="31"/>
  <c r="P53" i="31" l="1"/>
  <c r="AC20" i="31"/>
  <c r="Y49" i="31"/>
  <c r="Z47" i="31" s="1"/>
  <c r="AC40" i="31"/>
  <c r="AD39" i="31" s="1"/>
  <c r="AD37" i="31"/>
  <c r="AC47" i="31"/>
  <c r="AC48" i="31" s="1"/>
  <c r="AD38" i="31" l="1"/>
  <c r="AC29" i="31"/>
  <c r="AD47" i="31"/>
  <c r="Y53" i="31"/>
  <c r="AA16" i="31"/>
  <c r="AA43" i="31"/>
  <c r="AD46" i="31"/>
  <c r="AA30" i="31"/>
  <c r="AD21" i="31" l="1"/>
  <c r="AD22" i="31"/>
  <c r="AC51" i="31"/>
  <c r="AD20" i="31"/>
  <c r="AD29" i="31" l="1"/>
</calcChain>
</file>

<file path=xl/comments1.xml><?xml version="1.0" encoding="utf-8"?>
<comments xmlns="http://schemas.openxmlformats.org/spreadsheetml/2006/main">
  <authors>
    <author>Felipe Alexander Cardoso L da Silva</author>
  </authors>
  <commentList>
    <comment ref="H10" authorId="0">
      <text>
        <r>
          <rPr>
            <b/>
            <sz val="9"/>
            <color indexed="81"/>
            <rFont val="Segoe UI"/>
            <family val="2"/>
          </rPr>
          <t>Felipe Alexander Cardoso L da Silva:</t>
        </r>
        <r>
          <rPr>
            <sz val="9"/>
            <color indexed="81"/>
            <rFont val="Segoe UI"/>
            <family val="2"/>
          </rPr>
          <t xml:space="preserve">
Valor do previsto no print 1050.000,00</t>
        </r>
      </text>
    </comment>
  </commentList>
</comments>
</file>

<file path=xl/sharedStrings.xml><?xml version="1.0" encoding="utf-8"?>
<sst xmlns="http://schemas.openxmlformats.org/spreadsheetml/2006/main" count="659" uniqueCount="299">
  <si>
    <t>Produtos</t>
  </si>
  <si>
    <t>Ano 1</t>
  </si>
  <si>
    <t>Ano 2</t>
  </si>
  <si>
    <t>Ano 4</t>
  </si>
  <si>
    <t>BID</t>
  </si>
  <si>
    <t>%</t>
  </si>
  <si>
    <t>U$$</t>
  </si>
  <si>
    <t>Ano 3</t>
  </si>
  <si>
    <t>TOTAL</t>
  </si>
  <si>
    <t>TOTAL POR ANO</t>
  </si>
  <si>
    <t>R$</t>
  </si>
  <si>
    <t>Ano 5</t>
  </si>
  <si>
    <t>Quadro de Investimentos - Usos e Fontes</t>
  </si>
  <si>
    <t>CRONOGRAMA ANUAL DE DESEMBOLSO</t>
  </si>
  <si>
    <t>Situação do projeto ouTR</t>
  </si>
  <si>
    <t>OBRAS</t>
  </si>
  <si>
    <t>Ativ.</t>
  </si>
  <si>
    <t xml:space="preserve">Descrição </t>
  </si>
  <si>
    <t>Método</t>
  </si>
  <si>
    <t>Quant. Lotes</t>
  </si>
  <si>
    <t>Nº Processo</t>
  </si>
  <si>
    <t>Valor Estimado
US$</t>
  </si>
  <si>
    <t>Compo-nente</t>
  </si>
  <si>
    <t>Revisão</t>
  </si>
  <si>
    <t>DATAS</t>
  </si>
  <si>
    <t xml:space="preserve">Comentários </t>
  </si>
  <si>
    <t>Publicação do Edital</t>
  </si>
  <si>
    <t>Assinatura Contrato</t>
  </si>
  <si>
    <t>BENS</t>
  </si>
  <si>
    <t>CONSULTORIA</t>
  </si>
  <si>
    <t>Data de Inicio do Programa</t>
  </si>
  <si>
    <t>(1) Método de Aquisição: (a) BID: LPI = Licitação Pública Internacional; LPN = Licitação Pública Nacional; CP = Comparação de Preços; CD = Contratação Direta; SBQC = Seleção Baseada na Qualidade e Custo; SQC = Seleção Baseada nas Qualificações dos Consultores; SBMC = Seleção Baseada no Menor Custo; CI = Consultor Individual. (b) Lei 8666: CC = Carta Convite; TP = Tomada de Preço; CPN = Concorrência Pública Nacional; PE = Pregão Eletrônico; ART = Ata de Registro de Preços; PP = Pregão Presencial; CD = Contratação Direta.Concorrência Pública Internacional.</t>
  </si>
  <si>
    <t>(2) Revisões BID: EXA = Ex Ante; EXP = Ex-Post.</t>
  </si>
  <si>
    <t>Conclusão do Contrato</t>
  </si>
  <si>
    <t>Publicação do Anúncio de Aquisição</t>
  </si>
  <si>
    <t>1.1</t>
  </si>
  <si>
    <t>1.2</t>
  </si>
  <si>
    <t>2.1</t>
  </si>
  <si>
    <t>2.2</t>
  </si>
  <si>
    <t>3.1</t>
  </si>
  <si>
    <t>1° SEMESTRE</t>
  </si>
  <si>
    <t>2° SEMESTRE</t>
  </si>
  <si>
    <t>FONTE</t>
  </si>
  <si>
    <t>2.7</t>
  </si>
  <si>
    <t>2.8</t>
  </si>
  <si>
    <t>1.3</t>
  </si>
  <si>
    <t>1.4</t>
  </si>
  <si>
    <t>1.5</t>
  </si>
  <si>
    <t>1.6</t>
  </si>
  <si>
    <t>PEP - Plano de Execução do Projeto</t>
  </si>
  <si>
    <t>Total U$$</t>
  </si>
  <si>
    <t>I</t>
  </si>
  <si>
    <t xml:space="preserve">II </t>
  </si>
  <si>
    <t>POA - Plano de Execução do Projeto</t>
  </si>
  <si>
    <t>III</t>
  </si>
  <si>
    <t>SERVIÇOS OUTROS QUE NÃO CONSULTORIA</t>
  </si>
  <si>
    <t>IV</t>
  </si>
  <si>
    <t>Redação do Plano de Monitoria e Avaliação do Programa</t>
  </si>
  <si>
    <t>COMPONENTE 1  - FORTALECIMENTO INSTITUCIONAL</t>
  </si>
  <si>
    <t xml:space="preserve">Fortalecimento Institucional da  ADASA : Marco Legal e  Tarifário para a gestão de resíduos sólidos </t>
  </si>
  <si>
    <t>Fortalecimento Institucional  SEMARH - Sistema Distrital de Informações Ambientais</t>
  </si>
  <si>
    <t>Fortalecimento Institucional - IBRAM - Melhoria dos processos de licenciamento</t>
  </si>
  <si>
    <t xml:space="preserve"> Fortalecimento Institucional do SLU - Automatização de processos</t>
  </si>
  <si>
    <t xml:space="preserve"> Fortalecimento  Institucional SEDEST</t>
  </si>
  <si>
    <t xml:space="preserve"> Fortalecimento Institucional CORSAP DF/GO</t>
  </si>
  <si>
    <t>GDF</t>
  </si>
  <si>
    <t>2.3</t>
  </si>
  <si>
    <t>2.4</t>
  </si>
  <si>
    <t>2.5</t>
  </si>
  <si>
    <t>2.6</t>
  </si>
  <si>
    <t>Reforma e recapacitação da unidade de Compostagem do Psul</t>
  </si>
  <si>
    <t>Programa de capacitação e assistência técnica a cooperativas e catadores em Centros de Triagem por 2 anos, completando os 5 anos planejados.</t>
  </si>
  <si>
    <t>Programa de capacitação e assistência Técnica dos Catadores que optarem para migração em outros setores da economia</t>
  </si>
  <si>
    <t>Construção de Centros de Triagem</t>
  </si>
  <si>
    <t>Reforma e recapacitação da  unidade  de Compostagem da  Asa Sul - L4</t>
  </si>
  <si>
    <t>Projeto  de implantação do Esporte para o Desenvolvimento da Vila Estrutural</t>
  </si>
  <si>
    <t>Elaboração de projetos  para centro de transbordo</t>
  </si>
  <si>
    <t>Fechamento do lixão do Jóquei e Recuperação Ambiental</t>
  </si>
  <si>
    <t xml:space="preserve">COMPONENTE 3  -  READEQUAÇÃO URBANA DO CONDOMÍNIO PÔR DO SOL 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</si>
  <si>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</si>
  <si>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</si>
  <si>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</si>
  <si>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</si>
  <si>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</si>
  <si>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</si>
  <si>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</si>
  <si>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</si>
  <si>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</si>
  <si>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</si>
  <si>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</si>
  <si>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 xml:space="preserve"> Rede de Drenagem  Pluvial - Bacia IV C  </t>
  </si>
  <si>
    <t>Rede de Microdrenagem</t>
  </si>
  <si>
    <t>Saneamento Básico - água e esgoto</t>
  </si>
  <si>
    <t>Pavimentação das Vias Arteriais, Coletoras e Locais</t>
  </si>
  <si>
    <t>Mobilidade e Acessibilidade</t>
  </si>
  <si>
    <t>Programa de Reassentamento</t>
  </si>
  <si>
    <t>Ações de  Recuperação de Áreas Degradadas  (RAA)</t>
  </si>
  <si>
    <t>Estudos e Projetos de Recuperação Ambiental e Sondagem</t>
  </si>
  <si>
    <t>Programa de Educação Sanitária e Ambiental  (RAA)</t>
  </si>
  <si>
    <t>Equipamentos sociais (Escola, CRAS, C. Comunitário, Creche, P. Policial)</t>
  </si>
  <si>
    <t>Capacitação para a geração  de emprego e renda</t>
  </si>
  <si>
    <t>Reassentamento - 400 casas populares</t>
  </si>
  <si>
    <t xml:space="preserve">GERENCIAMENTO E MONITORAMENTO </t>
  </si>
  <si>
    <t>4.1</t>
  </si>
  <si>
    <t>4.2</t>
  </si>
  <si>
    <t>4.3</t>
  </si>
  <si>
    <t>Gerenciamento e Monitoramento do Programaa</t>
  </si>
  <si>
    <t>Taxas</t>
  </si>
  <si>
    <t>Imprevistos (4,2%).</t>
  </si>
  <si>
    <t>PROGRAMA BRASILIA SUSTENTAVEL II</t>
  </si>
  <si>
    <t>1° TRIMESTRE</t>
  </si>
  <si>
    <t>2° TRIMESTRE</t>
  </si>
  <si>
    <t>3° TRIMESTRE</t>
  </si>
  <si>
    <t>4° TRIMESTRE</t>
  </si>
  <si>
    <t>Verif</t>
  </si>
  <si>
    <t>MATRIZ DE INVESTIMENTOS</t>
  </si>
  <si>
    <t>Cronograma Financeiro POA</t>
  </si>
  <si>
    <t>Cronograma Físico POA</t>
  </si>
  <si>
    <t>Usos&amp;Fontes</t>
  </si>
  <si>
    <t>Cronograma Físico PEP</t>
  </si>
  <si>
    <t>Cronograma Financeiro PEP</t>
  </si>
  <si>
    <t xml:space="preserve">TOTAL </t>
  </si>
  <si>
    <t>Bens</t>
  </si>
  <si>
    <t>Consultorias</t>
  </si>
  <si>
    <t>Obras Civis</t>
  </si>
  <si>
    <t>COMPONENTES / ATIVIDADES</t>
  </si>
  <si>
    <t>Categoria de Gastos</t>
  </si>
  <si>
    <t>US$</t>
  </si>
  <si>
    <t>Obras</t>
  </si>
  <si>
    <t>Componente 1</t>
  </si>
  <si>
    <t>Componente 2</t>
  </si>
  <si>
    <t>Componente 3</t>
  </si>
  <si>
    <t>Componente 4</t>
  </si>
  <si>
    <t>PRODUTOS</t>
  </si>
  <si>
    <t>TOTAL GERAL  PARA O ANO 1</t>
  </si>
  <si>
    <t>CATEGORIA DE GASTOS</t>
  </si>
  <si>
    <t>Componente 1 – Fortalecimento Institucional</t>
  </si>
  <si>
    <t>Componente 2 – Gestão de Resíduos Sólidos e Inserção Social</t>
  </si>
  <si>
    <t>Componente 3 – Readequação Urbana do Condomínio Pôr do Sol</t>
  </si>
  <si>
    <t>Gerenciamento e Monitoramento do Programa</t>
  </si>
  <si>
    <t>-</t>
  </si>
  <si>
    <t>T O T A L</t>
  </si>
  <si>
    <t>EAP</t>
  </si>
  <si>
    <t>DATAS ESTIMADAS</t>
  </si>
  <si>
    <t>TOTAL
%</t>
  </si>
  <si>
    <t>ATIVIDADES</t>
  </si>
  <si>
    <t>SEM 1</t>
  </si>
  <si>
    <t>SEM 2</t>
  </si>
  <si>
    <t>SEM 3</t>
  </si>
  <si>
    <t>SEM 4</t>
  </si>
  <si>
    <t>SEM 5</t>
  </si>
  <si>
    <t>SEM 6</t>
  </si>
  <si>
    <t>SEM 7</t>
  </si>
  <si>
    <t>SEM 8</t>
  </si>
  <si>
    <t>SEM 9</t>
  </si>
  <si>
    <t>SEM 10</t>
  </si>
  <si>
    <t>MATRIZ DE AVALIAÇÃO DE RISCOS</t>
  </si>
  <si>
    <t>No.</t>
  </si>
  <si>
    <t>Tipo de Risco</t>
  </si>
  <si>
    <t>Impacto</t>
  </si>
  <si>
    <t>Valor</t>
  </si>
  <si>
    <t>Nivel</t>
  </si>
  <si>
    <t>6 a 9</t>
  </si>
  <si>
    <t>Arranjo Institucional</t>
  </si>
  <si>
    <t>Cronograma</t>
  </si>
  <si>
    <t>Lesgislação para PDRI</t>
  </si>
  <si>
    <t>Descrição do Risco</t>
  </si>
  <si>
    <t>3 a 4</t>
  </si>
  <si>
    <t>1 a 2</t>
  </si>
  <si>
    <t xml:space="preserve">  1-3</t>
  </si>
  <si>
    <t xml:space="preserve">Execução Orçamentaria </t>
  </si>
  <si>
    <t>C/P</t>
  </si>
  <si>
    <t>Prob.</t>
  </si>
  <si>
    <t>Classif.</t>
  </si>
  <si>
    <t>Classif. do Risco</t>
  </si>
  <si>
    <t>C-3</t>
  </si>
  <si>
    <t>C-2</t>
  </si>
  <si>
    <t>Pode comprometer as atividades de gerenciamernto do Programa, bem como a execução das atividades dos Componentes C-2 (envolvendo SLU, ADASA e SEMARH (regulação, planejamento e execução), e C-3 relacionado à atribuições de planejamento, execução e supervisão de obras; bem como relação entre, IBRAM, CODHAB, e SEDEST.</t>
  </si>
  <si>
    <t>Elaboração Projetos para C-2 e C-3</t>
  </si>
  <si>
    <t>Atraso na contratação de consultoria para a elaboração de projetos básicos e executivo relacionados à recapacitação das Usina P-Sul e Usina de Compostagem da Asa Sul, podem possibilidade média ou alta de riscos</t>
  </si>
  <si>
    <t>Não adoção das medidas legais propostas para a execução do PDRI afetaria cronograma de execução, relacionamento institucional com BID e o alcance da ação.</t>
  </si>
  <si>
    <t>Riscos associados aos itens 1,2,3 e 4 .</t>
  </si>
  <si>
    <t>Não há motivos suficientes para crer em riscos que comprometam o resultados. Há disponibilidade financeira.</t>
  </si>
  <si>
    <t>C-2 
C-3</t>
  </si>
  <si>
    <t xml:space="preserve">Escopo  </t>
  </si>
  <si>
    <t>Fragilidades na definição do escopo das atividades de apoio a gestão de resíduos sólidos( - o que fazer? Prioridades? Quem planeja, quem executa?); Recuperação de áreas degradadas e fechamento do Aterro do Jóquei, podem afetar cronograma de elaboraçaõ de projetos e implementação das obras.</t>
  </si>
  <si>
    <t>C-4</t>
  </si>
  <si>
    <t>MATRIZ DE RESPONSABILIDADE</t>
  </si>
  <si>
    <t>EXECUÇÃO DA ATIVIDADE</t>
  </si>
  <si>
    <t>SUPERVISÃO MONITORAMENTO</t>
  </si>
  <si>
    <t>PLANEJAMENTO/ PROJETOS/TRs</t>
  </si>
  <si>
    <t>ADASA</t>
  </si>
  <si>
    <t>UGP/ADASA</t>
  </si>
  <si>
    <t>SEMARH</t>
  </si>
  <si>
    <t>UGP/SEMARH</t>
  </si>
  <si>
    <t>SEMARH/IBRAM</t>
  </si>
  <si>
    <t>IBRAM</t>
  </si>
  <si>
    <t>SLU</t>
  </si>
  <si>
    <t>UGP/SLU</t>
  </si>
  <si>
    <t>SEDEST</t>
  </si>
  <si>
    <t>UGP/SEDEST</t>
  </si>
  <si>
    <t>SEMARH/SLU</t>
  </si>
  <si>
    <t>SEDEST/SLU</t>
  </si>
  <si>
    <t>Sec. Esporte/Educ.</t>
  </si>
  <si>
    <t>Sec. Esporte</t>
  </si>
  <si>
    <t>UGP/Sec. Esporte</t>
  </si>
  <si>
    <t>SLU/NOCAVAP</t>
  </si>
  <si>
    <t>SLU/NOVACAP</t>
  </si>
  <si>
    <t>NOVACAP</t>
  </si>
  <si>
    <t>NOVACAP/SO</t>
  </si>
  <si>
    <t>UGP/NOVACAP</t>
  </si>
  <si>
    <t>SEDHAB/CODHAB</t>
  </si>
  <si>
    <t>UGP/SEDAHB</t>
  </si>
  <si>
    <t>SEMARH/</t>
  </si>
  <si>
    <t>UGP</t>
  </si>
  <si>
    <t>COORDENAÇÃO E GESTÃO</t>
  </si>
  <si>
    <t>ESCOPO (EAP)</t>
  </si>
  <si>
    <t>COMPONENTE</t>
  </si>
  <si>
    <t>TEMPO</t>
  </si>
  <si>
    <t>DURAÇÃO</t>
  </si>
  <si>
    <t>ENTREGA</t>
  </si>
  <si>
    <t>AVANÇO (%)</t>
  </si>
  <si>
    <t>CUSTO</t>
  </si>
  <si>
    <t>TIPO DE LICITAÇÃO</t>
  </si>
  <si>
    <t>NIVEL DE RISCO</t>
  </si>
  <si>
    <t xml:space="preserve">COMPRAS </t>
  </si>
  <si>
    <t>RISCOS</t>
  </si>
  <si>
    <t>RESPONSÁVEL</t>
  </si>
  <si>
    <t>DIVULGAÇÃO</t>
  </si>
  <si>
    <t>INSTITUIÇÃO</t>
  </si>
  <si>
    <t>COMUNICAÇÃO</t>
  </si>
  <si>
    <t xml:space="preserve">COMPONENTE 1 </t>
  </si>
  <si>
    <t>COMPONENTE 2</t>
  </si>
  <si>
    <t>COMPONENTE 3</t>
  </si>
  <si>
    <t>GERENCIAMENTO</t>
  </si>
  <si>
    <t>261 dias</t>
  </si>
  <si>
    <t>ORÇAMENTO US$</t>
  </si>
  <si>
    <t>Fortalecimento Institucional  SEMA - Sistema Distrital de Informações Ambientais</t>
  </si>
  <si>
    <t>2.9</t>
  </si>
  <si>
    <t xml:space="preserve"> Projeto de Educação Ambiental para a Coleta Seletiva</t>
  </si>
  <si>
    <t>2.10</t>
  </si>
  <si>
    <t>Cotação de compra Banco Central????/2015 US$</t>
  </si>
  <si>
    <t>VALOR PARA SE RETIRAR DE IMPREVISTOS</t>
  </si>
  <si>
    <t>          11,998,332</t>
  </si>
  <si>
    <t>          17,985,047</t>
  </si>
  <si>
    <t>Apoio ao Sistema de gestão dos resíduos sólidos do SLU</t>
  </si>
  <si>
    <t xml:space="preserve"> Pagamento dos serviços prestados pelos catadores de materiais reciclados e reutlizáveis por 5 anos</t>
  </si>
  <si>
    <t>Construção de  561 casas populares</t>
  </si>
  <si>
    <t>2.11</t>
  </si>
  <si>
    <t>Categoría/Componente</t>
  </si>
  <si>
    <t xml:space="preserve">           En miles de US$</t>
  </si>
  <si>
    <t>En porcentajes (%)</t>
  </si>
  <si>
    <t>Local</t>
  </si>
  <si>
    <t>1.2 Supervision</t>
  </si>
  <si>
    <t>Obras BID comp 3</t>
  </si>
  <si>
    <t>Obras BID comp2</t>
  </si>
  <si>
    <t>Estudos e Projetos BID</t>
  </si>
  <si>
    <t>Estudos e Projetos GDF</t>
  </si>
  <si>
    <t>Obras GDF Comp2</t>
  </si>
  <si>
    <t>Obras GDF Comp 2</t>
  </si>
  <si>
    <t>Gerenciamento e Monitoramento do Programa e Supervisão do Programa</t>
  </si>
  <si>
    <t>I. Costos directos (incluye estudios y proyectos especificos)</t>
  </si>
  <si>
    <t>1.1 Fortalecimiento Institucional GDF</t>
  </si>
  <si>
    <t>1.2 Gestión de Residuos Sólidos e Inclusión Social</t>
  </si>
  <si>
    <t>1.3  Readecuación Urbana del CPDS</t>
  </si>
  <si>
    <t>II. Costos concurrentes</t>
  </si>
  <si>
    <t>2.1 Apoio al Generencimento del Proyecto y Fiscalisacion</t>
  </si>
  <si>
    <t>III. Sin asignación específica</t>
  </si>
  <si>
    <t>3.1 Contingencias</t>
  </si>
  <si>
    <t>IV. Costos financieros</t>
  </si>
  <si>
    <t>4.1 Tasas</t>
  </si>
  <si>
    <t>Em miles BRL</t>
  </si>
  <si>
    <t>Cambio dolar US$ 1 =</t>
  </si>
  <si>
    <t>ANO I</t>
  </si>
  <si>
    <t>1º SEM</t>
  </si>
  <si>
    <t>2º SEM</t>
  </si>
  <si>
    <t>ANO II</t>
  </si>
  <si>
    <t>ANO III</t>
  </si>
  <si>
    <t>ANO IV</t>
  </si>
  <si>
    <t>ANO V</t>
  </si>
  <si>
    <t>Financiamiento</t>
  </si>
  <si>
    <t>Año 1</t>
  </si>
  <si>
    <t>Año 2</t>
  </si>
  <si>
    <t>Año 3</t>
  </si>
  <si>
    <t>Año 4</t>
  </si>
  <si>
    <t>BID (Capital Ordinario)</t>
  </si>
  <si>
    <t>Total</t>
  </si>
  <si>
    <t>GDF (Local)</t>
  </si>
  <si>
    <t>Año 5</t>
  </si>
  <si>
    <t>TOTAL GERAL  SEMESTRE</t>
  </si>
  <si>
    <t>TOTAL GERAL POR ANO BID</t>
  </si>
  <si>
    <t>TOTAL GERAL POR ANO GDF</t>
  </si>
  <si>
    <t>TOTAL GERAL POR ANO</t>
  </si>
  <si>
    <r>
      <t xml:space="preserve">COMPONENTE 2  - GESTÃO DE RESÍDUOS SÓLIDOS E </t>
    </r>
    <r>
      <rPr>
        <b/>
        <sz val="8"/>
        <color rgb="FFFF0000"/>
        <rFont val="Arial"/>
        <family val="2"/>
      </rPr>
      <t>INCLUSÃO</t>
    </r>
    <r>
      <rPr>
        <b/>
        <sz val="8"/>
        <color rgb="FF000000"/>
        <rFont val="Arial"/>
        <family val="2"/>
      </rPr>
      <t xml:space="preserve"> SOCIAL </t>
    </r>
  </si>
  <si>
    <t>Fortalecimento Institucional NOVACAP - Melhoria do Parque Tecnologico e automatizacao de processos</t>
  </si>
  <si>
    <r>
      <t xml:space="preserve">Fortalecimento Institucional dos </t>
    </r>
    <r>
      <rPr>
        <sz val="8"/>
        <color rgb="FFFF0000"/>
        <rFont val="Arial"/>
        <family val="2"/>
      </rPr>
      <t>SEDESTMIDH</t>
    </r>
    <r>
      <rPr>
        <sz val="8"/>
        <rFont val="Arial"/>
        <family val="2"/>
      </rPr>
      <t xml:space="preserve"> - Aqusição de Computadores</t>
    </r>
  </si>
  <si>
    <r>
      <t xml:space="preserve"> Fortalecimento Institucional </t>
    </r>
    <r>
      <rPr>
        <sz val="8"/>
        <color rgb="FFFF0000"/>
        <rFont val="Arial"/>
        <family val="2"/>
      </rPr>
      <t>SINESP</t>
    </r>
  </si>
  <si>
    <t>Avaliacao e monitoramento</t>
  </si>
  <si>
    <t xml:space="preserve">Construção de centros de transbordo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</si>
</sst>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_-;\-* #,##0_-;_-* &quot;-&quot;??_-;_-@_-"/>
    <numFmt numFmtId="166" formatCode="_-* #,##0.0000_-;\-* #,##0.0000_-;_-* &quot;-&quot;??_-;_-@_-"/>
    <numFmt numFmtId="167" formatCode="[$-416]d\ \ mmmm\,\ yyyy;@"/>
    <numFmt numFmtId="168" formatCode="#,##0.00_ ;\-#,##0.00\ "/>
    <numFmt numFmtId="169" formatCode="0.0%"/>
    <numFmt numFmtId="170" formatCode="_-* #,##0.0000_-;\-* #,##0.0000_-;_-* &quot;-&quot;????_-;_-@_-"/>
  </numFmts>
  <fonts count="5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1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u/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10000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8"/>
      <color theme="0" tint="-4.9989318521683403E-2"/>
      <name val="Arial"/>
      <family val="2"/>
    </font>
    <font>
      <b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u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rgb="FF000000"/>
      <name val="Arial"/>
      <family val="2"/>
    </font>
    <font>
      <b/>
      <u/>
      <sz val="12"/>
      <color rgb="FF000000"/>
      <name val="Arial"/>
      <family val="2"/>
    </font>
    <font>
      <sz val="10"/>
      <color theme="1"/>
      <name val="Times New Roman"/>
      <family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b/>
      <sz val="8"/>
      <color rgb="FF000000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sz val="8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FFFF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rgb="FF222222"/>
      <name val="Arial"/>
      <family val="2"/>
    </font>
    <font>
      <b/>
      <sz val="9"/>
      <color theme="1"/>
      <name val="Gotham Book"/>
    </font>
    <font>
      <b/>
      <sz val="8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9"/>
        <bgColor indexed="26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7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1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9" fillId="0" borderId="0"/>
    <xf numFmtId="164" fontId="8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" fillId="25" borderId="0" applyNumberFormat="0" applyBorder="0" applyAlignment="0" applyProtection="0"/>
  </cellStyleXfs>
  <cellXfs count="73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164" fontId="2" fillId="0" borderId="10" xfId="1" applyFont="1" applyBorder="1" applyAlignment="1">
      <alignment horizontal="center" vertical="center" wrapText="1"/>
    </xf>
    <xf numFmtId="164" fontId="0" fillId="0" borderId="0" xfId="0" applyNumberFormat="1"/>
    <xf numFmtId="0" fontId="7" fillId="7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/>
    <xf numFmtId="164" fontId="2" fillId="3" borderId="1" xfId="1" applyFont="1" applyFill="1" applyBorder="1" applyAlignment="1">
      <alignment horizontal="center" vertical="center" wrapText="1"/>
    </xf>
    <xf numFmtId="164" fontId="0" fillId="5" borderId="1" xfId="2" applyNumberFormat="1" applyFont="1" applyFill="1" applyBorder="1" applyAlignment="1" applyProtection="1">
      <alignment vertical="center"/>
      <protection locked="0"/>
    </xf>
    <xf numFmtId="0" fontId="7" fillId="7" borderId="1" xfId="0" applyFont="1" applyFill="1" applyBorder="1" applyAlignment="1"/>
    <xf numFmtId="164" fontId="13" fillId="10" borderId="1" xfId="0" applyNumberFormat="1" applyFont="1" applyFill="1" applyBorder="1"/>
    <xf numFmtId="164" fontId="13" fillId="10" borderId="1" xfId="0" applyNumberFormat="1" applyFont="1" applyFill="1" applyBorder="1" applyAlignment="1"/>
    <xf numFmtId="164" fontId="0" fillId="5" borderId="0" xfId="0" applyNumberFormat="1" applyFill="1"/>
    <xf numFmtId="0" fontId="0" fillId="3" borderId="0" xfId="0" applyFill="1"/>
    <xf numFmtId="164" fontId="0" fillId="0" borderId="0" xfId="0" applyNumberFormat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164" fontId="0" fillId="0" borderId="0" xfId="0" applyNumberFormat="1" applyFill="1"/>
    <xf numFmtId="0" fontId="1" fillId="2" borderId="0" xfId="0" applyFont="1" applyFill="1" applyBorder="1" applyAlignment="1">
      <alignment vertical="center" wrapText="1"/>
    </xf>
    <xf numFmtId="4" fontId="17" fillId="3" borderId="15" xfId="0" applyNumberFormat="1" applyFont="1" applyFill="1" applyBorder="1" applyAlignment="1">
      <alignment vertical="center" wrapText="1"/>
    </xf>
    <xf numFmtId="4" fontId="17" fillId="3" borderId="0" xfId="0" applyNumberFormat="1" applyFont="1" applyFill="1" applyBorder="1" applyAlignment="1">
      <alignment vertical="center" wrapText="1"/>
    </xf>
    <xf numFmtId="164" fontId="0" fillId="0" borderId="0" xfId="0" applyNumberFormat="1" applyFill="1" applyAlignment="1">
      <alignment vertical="center"/>
    </xf>
    <xf numFmtId="164" fontId="0" fillId="0" borderId="0" xfId="1" applyFont="1"/>
    <xf numFmtId="165" fontId="0" fillId="0" borderId="0" xfId="1" applyNumberFormat="1" applyFont="1" applyAlignment="1">
      <alignment vertical="center"/>
    </xf>
    <xf numFmtId="164" fontId="0" fillId="0" borderId="0" xfId="1" applyFont="1" applyAlignment="1">
      <alignment vertical="center"/>
    </xf>
    <xf numFmtId="164" fontId="0" fillId="0" borderId="0" xfId="1" applyFont="1" applyFill="1" applyAlignment="1">
      <alignment vertical="center"/>
    </xf>
    <xf numFmtId="0" fontId="0" fillId="0" borderId="0" xfId="0" applyAlignment="1">
      <alignment horizontal="right" vertical="center"/>
    </xf>
    <xf numFmtId="0" fontId="0" fillId="11" borderId="0" xfId="0" applyFill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164" fontId="19" fillId="0" borderId="6" xfId="0" applyNumberFormat="1" applyFont="1" applyFill="1" applyBorder="1" applyAlignment="1">
      <alignment vertical="center"/>
    </xf>
    <xf numFmtId="4" fontId="20" fillId="0" borderId="1" xfId="3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3" fillId="10" borderId="1" xfId="0" applyNumberFormat="1" applyFont="1" applyFill="1" applyBorder="1" applyAlignment="1">
      <alignment horizontal="center"/>
    </xf>
    <xf numFmtId="164" fontId="3" fillId="0" borderId="1" xfId="1" applyFont="1" applyBorder="1" applyAlignment="1">
      <alignment horizontal="left" vertical="center" wrapText="1"/>
    </xf>
    <xf numFmtId="167" fontId="22" fillId="0" borderId="0" xfId="0" applyNumberFormat="1" applyFont="1"/>
    <xf numFmtId="0" fontId="0" fillId="0" borderId="13" xfId="0" applyBorder="1" applyAlignment="1"/>
    <xf numFmtId="4" fontId="0" fillId="0" borderId="0" xfId="0" applyNumberFormat="1" applyFill="1" applyAlignment="1">
      <alignment vertical="center"/>
    </xf>
    <xf numFmtId="0" fontId="0" fillId="0" borderId="0" xfId="0"/>
    <xf numFmtId="164" fontId="3" fillId="0" borderId="1" xfId="1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164" fontId="2" fillId="0" borderId="1" xfId="1" applyFont="1" applyFill="1" applyBorder="1" applyAlignment="1">
      <alignment horizontal="left" vertical="center" wrapText="1"/>
    </xf>
    <xf numFmtId="0" fontId="0" fillId="12" borderId="0" xfId="0" applyFill="1"/>
    <xf numFmtId="164" fontId="0" fillId="12" borderId="0" xfId="0" applyNumberFormat="1" applyFill="1"/>
    <xf numFmtId="0" fontId="11" fillId="5" borderId="1" xfId="3" applyFont="1" applyFill="1" applyBorder="1" applyAlignment="1">
      <alignment horizontal="center" vertical="center" wrapText="1"/>
    </xf>
    <xf numFmtId="0" fontId="20" fillId="5" borderId="1" xfId="3" applyFont="1" applyFill="1" applyBorder="1" applyAlignment="1">
      <alignment horizontal="left" vertical="center" wrapText="1"/>
    </xf>
    <xf numFmtId="4" fontId="20" fillId="5" borderId="1" xfId="3" applyNumberFormat="1" applyFont="1" applyFill="1" applyBorder="1" applyAlignment="1">
      <alignment horizontal="center" vertical="center" wrapText="1"/>
    </xf>
    <xf numFmtId="167" fontId="20" fillId="5" borderId="1" xfId="3" applyNumberFormat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20" fillId="3" borderId="1" xfId="3" applyFont="1" applyFill="1" applyBorder="1" applyAlignment="1">
      <alignment horizontal="left" vertical="center" wrapText="1"/>
    </xf>
    <xf numFmtId="0" fontId="20" fillId="5" borderId="1" xfId="3" applyFont="1" applyFill="1" applyBorder="1" applyAlignment="1">
      <alignment horizontal="center" vertical="center" wrapText="1"/>
    </xf>
    <xf numFmtId="167" fontId="11" fillId="5" borderId="1" xfId="3" applyNumberFormat="1" applyFont="1" applyFill="1" applyBorder="1" applyAlignment="1">
      <alignment horizontal="center" vertical="center" wrapText="1"/>
    </xf>
    <xf numFmtId="0" fontId="20" fillId="3" borderId="1" xfId="3" applyFont="1" applyFill="1" applyBorder="1" applyAlignment="1">
      <alignment horizontal="center" vertical="center" wrapText="1"/>
    </xf>
    <xf numFmtId="4" fontId="20" fillId="3" borderId="1" xfId="3" applyNumberFormat="1" applyFont="1" applyFill="1" applyBorder="1" applyAlignment="1">
      <alignment horizontal="center" vertical="center" wrapText="1"/>
    </xf>
    <xf numFmtId="167" fontId="11" fillId="3" borderId="1" xfId="3" applyNumberFormat="1" applyFont="1" applyFill="1" applyBorder="1" applyAlignment="1">
      <alignment horizontal="center" vertical="center" wrapText="1"/>
    </xf>
    <xf numFmtId="167" fontId="20" fillId="3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1" fillId="14" borderId="1" xfId="3" applyFont="1" applyFill="1" applyBorder="1" applyAlignment="1">
      <alignment horizontal="center" vertical="center" wrapText="1"/>
    </xf>
    <xf numFmtId="0" fontId="20" fillId="14" borderId="1" xfId="3" applyFont="1" applyFill="1" applyBorder="1" applyAlignment="1">
      <alignment horizontal="left" vertical="center" wrapText="1"/>
    </xf>
    <xf numFmtId="0" fontId="20" fillId="14" borderId="1" xfId="3" applyFont="1" applyFill="1" applyBorder="1" applyAlignment="1">
      <alignment horizontal="center" vertical="center" wrapText="1"/>
    </xf>
    <xf numFmtId="4" fontId="20" fillId="14" borderId="1" xfId="3" applyNumberFormat="1" applyFont="1" applyFill="1" applyBorder="1" applyAlignment="1">
      <alignment horizontal="center" vertical="center" wrapText="1"/>
    </xf>
    <xf numFmtId="167" fontId="11" fillId="14" borderId="1" xfId="3" applyNumberFormat="1" applyFont="1" applyFill="1" applyBorder="1" applyAlignment="1">
      <alignment horizontal="center" vertical="center" wrapText="1"/>
    </xf>
    <xf numFmtId="167" fontId="20" fillId="14" borderId="1" xfId="3" applyNumberFormat="1" applyFont="1" applyFill="1" applyBorder="1" applyAlignment="1">
      <alignment horizontal="center" vertical="center" wrapText="1"/>
    </xf>
    <xf numFmtId="0" fontId="0" fillId="14" borderId="0" xfId="0" applyFill="1"/>
    <xf numFmtId="0" fontId="0" fillId="14" borderId="0" xfId="0" applyFill="1" applyAlignment="1">
      <alignment horizontal="center"/>
    </xf>
    <xf numFmtId="167" fontId="22" fillId="14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23" fillId="8" borderId="1" xfId="3" applyFont="1" applyFill="1" applyBorder="1" applyAlignment="1">
      <alignment horizontal="center" vertical="center" wrapText="1"/>
    </xf>
    <xf numFmtId="0" fontId="11" fillId="14" borderId="10" xfId="3" applyFont="1" applyFill="1" applyBorder="1" applyAlignment="1">
      <alignment horizontal="center" vertical="center" wrapText="1"/>
    </xf>
    <xf numFmtId="0" fontId="11" fillId="14" borderId="1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5" borderId="10" xfId="3" applyFont="1" applyFill="1" applyBorder="1" applyAlignment="1">
      <alignment horizontal="center" vertical="center" wrapText="1"/>
    </xf>
    <xf numFmtId="0" fontId="11" fillId="5" borderId="11" xfId="3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0" borderId="0" xfId="0" applyFont="1" applyFill="1" applyAlignment="1"/>
    <xf numFmtId="164" fontId="7" fillId="0" borderId="0" xfId="1" applyFont="1" applyFill="1" applyAlignment="1"/>
    <xf numFmtId="0" fontId="0" fillId="0" borderId="0" xfId="0" applyFill="1" applyAlignment="1">
      <alignment horizontal="center"/>
    </xf>
    <xf numFmtId="167" fontId="22" fillId="0" borderId="0" xfId="0" applyNumberFormat="1" applyFont="1" applyFill="1"/>
    <xf numFmtId="0" fontId="24" fillId="0" borderId="0" xfId="0" applyFont="1" applyFill="1" applyAlignment="1"/>
    <xf numFmtId="0" fontId="11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3" applyFont="1" applyFill="1" applyBorder="1" applyAlignment="1">
      <alignment horizontal="center" vertical="center" wrapText="1"/>
    </xf>
    <xf numFmtId="0" fontId="23" fillId="8" borderId="1" xfId="3" applyFont="1" applyFill="1" applyBorder="1" applyAlignment="1">
      <alignment horizontal="center" vertical="center" wrapText="1"/>
    </xf>
    <xf numFmtId="167" fontId="20" fillId="0" borderId="1" xfId="3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1" fillId="5" borderId="10" xfId="3" applyFont="1" applyFill="1" applyBorder="1" applyAlignment="1">
      <alignment horizontal="center" vertical="center" wrapText="1"/>
    </xf>
    <xf numFmtId="0" fontId="11" fillId="5" borderId="11" xfId="3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164" fontId="3" fillId="0" borderId="2" xfId="1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0" fillId="15" borderId="0" xfId="0" applyFill="1"/>
    <xf numFmtId="0" fontId="0" fillId="3" borderId="0" xfId="0" applyFill="1" applyAlignment="1"/>
    <xf numFmtId="0" fontId="0" fillId="15" borderId="0" xfId="0" applyFill="1" applyAlignment="1"/>
    <xf numFmtId="164" fontId="0" fillId="15" borderId="0" xfId="0" applyNumberFormat="1" applyFill="1"/>
    <xf numFmtId="0" fontId="1" fillId="3" borderId="1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left" vertical="center" wrapText="1"/>
    </xf>
    <xf numFmtId="164" fontId="2" fillId="5" borderId="4" xfId="0" applyNumberFormat="1" applyFont="1" applyFill="1" applyBorder="1" applyAlignment="1" applyProtection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167" fontId="0" fillId="0" borderId="0" xfId="0" applyNumberFormat="1"/>
    <xf numFmtId="0" fontId="0" fillId="12" borderId="0" xfId="0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6" fillId="10" borderId="1" xfId="0" applyFont="1" applyFill="1" applyBorder="1" applyAlignment="1">
      <alignment horizontal="center" vertical="center" wrapText="1"/>
    </xf>
    <xf numFmtId="0" fontId="4" fillId="5" borderId="1" xfId="3" applyFont="1" applyFill="1" applyBorder="1" applyAlignment="1">
      <alignment horizontal="left" vertical="center" wrapText="1"/>
    </xf>
    <xf numFmtId="9" fontId="1" fillId="0" borderId="1" xfId="2" applyFont="1" applyFill="1" applyBorder="1" applyAlignment="1">
      <alignment horizontal="center" vertical="center" wrapText="1"/>
    </xf>
    <xf numFmtId="166" fontId="12" fillId="4" borderId="0" xfId="1" applyNumberFormat="1" applyFont="1" applyFill="1" applyAlignment="1">
      <alignment horizontal="center" vertical="center"/>
    </xf>
    <xf numFmtId="9" fontId="5" fillId="0" borderId="1" xfId="1" applyNumberFormat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 applyProtection="1">
      <alignment vertical="center" wrapText="1"/>
    </xf>
    <xf numFmtId="9" fontId="7" fillId="5" borderId="0" xfId="2" applyFont="1" applyFill="1"/>
    <xf numFmtId="9" fontId="7" fillId="0" borderId="0" xfId="2" applyFont="1" applyFill="1"/>
    <xf numFmtId="164" fontId="0" fillId="0" borderId="0" xfId="0" applyNumberFormat="1" applyFill="1" applyAlignment="1">
      <alignment horizontal="center"/>
    </xf>
    <xf numFmtId="0" fontId="0" fillId="0" borderId="0" xfId="0" applyBorder="1" applyAlignment="1"/>
    <xf numFmtId="0" fontId="0" fillId="3" borderId="0" xfId="0" applyFill="1" applyBorder="1" applyAlignment="1"/>
    <xf numFmtId="0" fontId="0" fillId="3" borderId="0" xfId="0" applyFill="1" applyBorder="1"/>
    <xf numFmtId="0" fontId="0" fillId="15" borderId="0" xfId="0" applyFill="1" applyBorder="1" applyAlignment="1"/>
    <xf numFmtId="0" fontId="0" fillId="15" borderId="0" xfId="0" applyFill="1" applyBorder="1"/>
    <xf numFmtId="4" fontId="17" fillId="0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164" fontId="3" fillId="0" borderId="4" xfId="1" applyFont="1" applyFill="1" applyBorder="1" applyAlignment="1" applyProtection="1">
      <alignment horizontal="left" vertical="center" wrapText="1"/>
    </xf>
    <xf numFmtId="9" fontId="5" fillId="0" borderId="4" xfId="1" applyNumberFormat="1" applyFont="1" applyFill="1" applyBorder="1" applyAlignment="1" applyProtection="1">
      <alignment vertical="center" wrapText="1"/>
    </xf>
    <xf numFmtId="9" fontId="5" fillId="0" borderId="4" xfId="1" applyNumberFormat="1" applyFont="1" applyFill="1" applyBorder="1" applyAlignment="1" applyProtection="1">
      <alignment horizontal="center" vertical="center" wrapText="1"/>
    </xf>
    <xf numFmtId="164" fontId="2" fillId="3" borderId="4" xfId="1" applyFont="1" applyFill="1" applyBorder="1" applyAlignment="1" applyProtection="1">
      <alignment horizontal="center" vertical="center" wrapText="1"/>
    </xf>
    <xf numFmtId="0" fontId="16" fillId="1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Protection="1"/>
    <xf numFmtId="164" fontId="13" fillId="10" borderId="1" xfId="0" applyNumberFormat="1" applyFont="1" applyFill="1" applyBorder="1" applyProtection="1"/>
    <xf numFmtId="0" fontId="7" fillId="7" borderId="1" xfId="0" applyFont="1" applyFill="1" applyBorder="1" applyAlignment="1" applyProtection="1"/>
    <xf numFmtId="164" fontId="13" fillId="10" borderId="1" xfId="0" applyNumberFormat="1" applyFont="1" applyFill="1" applyBorder="1" applyAlignment="1" applyProtection="1">
      <alignment horizontal="center"/>
    </xf>
    <xf numFmtId="164" fontId="13" fillId="10" borderId="1" xfId="0" applyNumberFormat="1" applyFont="1" applyFill="1" applyBorder="1" applyAlignment="1" applyProtection="1"/>
    <xf numFmtId="9" fontId="5" fillId="0" borderId="1" xfId="1" applyNumberFormat="1" applyFont="1" applyFill="1" applyBorder="1" applyAlignment="1" applyProtection="1">
      <alignment horizontal="center" vertical="center" wrapText="1"/>
    </xf>
    <xf numFmtId="164" fontId="2" fillId="0" borderId="1" xfId="1" applyFont="1" applyFill="1" applyBorder="1" applyAlignment="1" applyProtection="1">
      <alignment horizontal="center" vertical="center" wrapText="1"/>
    </xf>
    <xf numFmtId="164" fontId="16" fillId="10" borderId="1" xfId="0" applyNumberFormat="1" applyFont="1" applyFill="1" applyBorder="1" applyAlignment="1">
      <alignment horizontal="center" vertical="center" wrapText="1"/>
    </xf>
    <xf numFmtId="168" fontId="7" fillId="0" borderId="0" xfId="0" applyNumberFormat="1" applyFont="1" applyBorder="1" applyAlignment="1">
      <alignment horizontal="center"/>
    </xf>
    <xf numFmtId="0" fontId="25" fillId="10" borderId="19" xfId="0" applyFont="1" applyFill="1" applyBorder="1" applyAlignment="1">
      <alignment horizontal="center"/>
    </xf>
    <xf numFmtId="164" fontId="25" fillId="10" borderId="19" xfId="0" applyNumberFormat="1" applyFont="1" applyFill="1" applyBorder="1" applyAlignment="1">
      <alignment horizontal="center"/>
    </xf>
    <xf numFmtId="9" fontId="19" fillId="5" borderId="0" xfId="2" applyFont="1" applyFill="1"/>
    <xf numFmtId="0" fontId="26" fillId="0" borderId="0" xfId="0" applyFont="1" applyFill="1"/>
    <xf numFmtId="0" fontId="26" fillId="0" borderId="0" xfId="0" applyFont="1" applyFill="1" applyAlignment="1">
      <alignment horizontal="center"/>
    </xf>
    <xf numFmtId="164" fontId="25" fillId="0" borderId="0" xfId="0" applyNumberFormat="1" applyFont="1" applyFill="1"/>
    <xf numFmtId="0" fontId="26" fillId="0" borderId="0" xfId="0" applyFont="1"/>
    <xf numFmtId="164" fontId="26" fillId="0" borderId="0" xfId="0" applyNumberFormat="1" applyFont="1"/>
    <xf numFmtId="9" fontId="19" fillId="0" borderId="0" xfId="2" applyFont="1" applyFill="1"/>
    <xf numFmtId="164" fontId="26" fillId="0" borderId="0" xfId="0" applyNumberFormat="1" applyFont="1" applyFill="1"/>
    <xf numFmtId="164" fontId="27" fillId="3" borderId="4" xfId="1" applyFont="1" applyFill="1" applyBorder="1" applyAlignment="1" applyProtection="1">
      <alignment horizontal="center" vertical="center" wrapText="1"/>
    </xf>
    <xf numFmtId="164" fontId="28" fillId="3" borderId="4" xfId="1" applyFont="1" applyFill="1" applyBorder="1" applyAlignment="1" applyProtection="1">
      <alignment horizontal="center" vertical="center" wrapText="1"/>
    </xf>
    <xf numFmtId="164" fontId="26" fillId="0" borderId="4" xfId="1" applyFont="1" applyBorder="1" applyAlignment="1" applyProtection="1">
      <alignment vertical="center"/>
    </xf>
    <xf numFmtId="164" fontId="26" fillId="5" borderId="4" xfId="1" applyFont="1" applyFill="1" applyBorder="1" applyAlignment="1" applyProtection="1">
      <alignment vertical="center"/>
    </xf>
    <xf numFmtId="164" fontId="26" fillId="0" borderId="1" xfId="1" applyFont="1" applyFill="1" applyBorder="1" applyAlignment="1" applyProtection="1">
      <alignment vertical="center"/>
    </xf>
    <xf numFmtId="164" fontId="26" fillId="0" borderId="1" xfId="1" applyFont="1" applyBorder="1" applyAlignment="1">
      <alignment vertical="center"/>
    </xf>
    <xf numFmtId="164" fontId="26" fillId="5" borderId="4" xfId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4" fillId="10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6" fillId="10" borderId="1" xfId="0" applyFont="1" applyFill="1" applyBorder="1" applyAlignment="1">
      <alignment horizontal="center" vertical="center" wrapText="1"/>
    </xf>
    <xf numFmtId="164" fontId="19" fillId="0" borderId="0" xfId="0" applyNumberFormat="1" applyFont="1" applyFill="1"/>
    <xf numFmtId="164" fontId="19" fillId="0" borderId="0" xfId="0" applyNumberFormat="1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9" fontId="0" fillId="0" borderId="0" xfId="2" applyFont="1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4" fillId="10" borderId="0" xfId="0" applyFont="1" applyFill="1" applyAlignment="1">
      <alignment horizontal="center"/>
    </xf>
    <xf numFmtId="164" fontId="3" fillId="16" borderId="2" xfId="1" applyFont="1" applyFill="1" applyBorder="1" applyAlignment="1">
      <alignment horizontal="center" vertical="center" wrapText="1"/>
    </xf>
    <xf numFmtId="164" fontId="3" fillId="16" borderId="1" xfId="1" applyFont="1" applyFill="1" applyBorder="1" applyAlignment="1">
      <alignment horizontal="center" vertical="center" wrapText="1"/>
    </xf>
    <xf numFmtId="164" fontId="3" fillId="16" borderId="1" xfId="1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4" fillId="0" borderId="20" xfId="0" applyFont="1" applyBorder="1" applyAlignment="1">
      <alignment horizontal="left" vertical="center" wrapText="1"/>
    </xf>
    <xf numFmtId="164" fontId="3" fillId="16" borderId="12" xfId="1" applyFont="1" applyFill="1" applyBorder="1" applyAlignment="1">
      <alignment horizontal="center" vertical="center" wrapText="1"/>
    </xf>
    <xf numFmtId="9" fontId="5" fillId="0" borderId="17" xfId="1" applyNumberFormat="1" applyFont="1" applyFill="1" applyBorder="1" applyAlignment="1" applyProtection="1">
      <alignment vertical="center" wrapText="1"/>
    </xf>
    <xf numFmtId="9" fontId="5" fillId="0" borderId="17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164" fontId="3" fillId="16" borderId="5" xfId="1" applyFont="1" applyFill="1" applyBorder="1" applyAlignment="1">
      <alignment horizontal="left" vertical="center" wrapText="1"/>
    </xf>
    <xf numFmtId="164" fontId="3" fillId="16" borderId="4" xfId="1" applyFont="1" applyFill="1" applyBorder="1" applyAlignment="1">
      <alignment horizontal="left" vertical="center" wrapText="1"/>
    </xf>
    <xf numFmtId="9" fontId="1" fillId="0" borderId="7" xfId="2" applyFont="1" applyBorder="1" applyAlignment="1">
      <alignment horizontal="center" vertical="center" wrapText="1"/>
    </xf>
    <xf numFmtId="164" fontId="26" fillId="5" borderId="1" xfId="2" applyNumberFormat="1" applyFont="1" applyFill="1" applyBorder="1" applyAlignment="1" applyProtection="1">
      <alignment vertical="center"/>
      <protection locked="0"/>
    </xf>
    <xf numFmtId="164" fontId="26" fillId="5" borderId="12" xfId="2" applyNumberFormat="1" applyFont="1" applyFill="1" applyBorder="1" applyAlignment="1" applyProtection="1">
      <alignment vertical="center"/>
      <protection locked="0"/>
    </xf>
    <xf numFmtId="169" fontId="0" fillId="0" borderId="0" xfId="2" applyNumberFormat="1" applyFont="1" applyAlignment="1">
      <alignment vertical="center"/>
    </xf>
    <xf numFmtId="169" fontId="0" fillId="0" borderId="0" xfId="2" applyNumberFormat="1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2" xfId="0" applyFont="1" applyFill="1" applyBorder="1" applyAlignment="1">
      <alignment vertical="center" wrapText="1"/>
    </xf>
    <xf numFmtId="0" fontId="31" fillId="17" borderId="21" xfId="0" applyFont="1" applyFill="1" applyBorder="1" applyAlignment="1">
      <alignment vertical="center" wrapText="1"/>
    </xf>
    <xf numFmtId="0" fontId="31" fillId="17" borderId="21" xfId="0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30" fillId="0" borderId="21" xfId="0" applyFont="1" applyBorder="1" applyAlignment="1">
      <alignment horizontal="center" vertical="center" wrapText="1"/>
    </xf>
    <xf numFmtId="10" fontId="0" fillId="0" borderId="0" xfId="2" applyNumberFormat="1" applyFont="1" applyAlignment="1">
      <alignment horizontal="center" vertical="center"/>
    </xf>
    <xf numFmtId="10" fontId="31" fillId="17" borderId="21" xfId="0" applyNumberFormat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" fontId="23" fillId="8" borderId="1" xfId="3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10" fontId="0" fillId="0" borderId="0" xfId="2" applyNumberFormat="1" applyFont="1" applyFill="1" applyAlignment="1">
      <alignment vertical="center"/>
    </xf>
    <xf numFmtId="0" fontId="35" fillId="17" borderId="12" xfId="0" applyFont="1" applyFill="1" applyBorder="1" applyAlignment="1">
      <alignment horizontal="center" vertical="center" wrapText="1"/>
    </xf>
    <xf numFmtId="0" fontId="35" fillId="17" borderId="11" xfId="0" applyFont="1" applyFill="1" applyBorder="1" applyAlignment="1">
      <alignment horizontal="center" vertical="center" wrapText="1"/>
    </xf>
    <xf numFmtId="0" fontId="37" fillId="0" borderId="4" xfId="0" applyFont="1" applyBorder="1" applyAlignment="1">
      <alignment vertical="center" wrapText="1"/>
    </xf>
    <xf numFmtId="4" fontId="37" fillId="0" borderId="5" xfId="0" applyNumberFormat="1" applyFont="1" applyBorder="1" applyAlignment="1">
      <alignment horizontal="right" vertical="center"/>
    </xf>
    <xf numFmtId="10" fontId="37" fillId="0" borderId="5" xfId="0" applyNumberFormat="1" applyFont="1" applyBorder="1" applyAlignment="1">
      <alignment horizontal="right" vertical="center"/>
    </xf>
    <xf numFmtId="0" fontId="34" fillId="0" borderId="5" xfId="0" applyFont="1" applyBorder="1" applyAlignment="1">
      <alignment vertical="center"/>
    </xf>
    <xf numFmtId="0" fontId="37" fillId="0" borderId="5" xfId="0" applyFont="1" applyBorder="1" applyAlignment="1">
      <alignment horizontal="right" vertical="center" wrapText="1"/>
    </xf>
    <xf numFmtId="0" fontId="36" fillId="17" borderId="4" xfId="0" applyFont="1" applyFill="1" applyBorder="1" applyAlignment="1">
      <alignment horizontal="center" vertical="center" wrapText="1"/>
    </xf>
    <xf numFmtId="4" fontId="37" fillId="17" borderId="5" xfId="0" applyNumberFormat="1" applyFont="1" applyFill="1" applyBorder="1" applyAlignment="1">
      <alignment horizontal="right" vertical="center"/>
    </xf>
    <xf numFmtId="0" fontId="36" fillId="17" borderId="5" xfId="0" applyFont="1" applyFill="1" applyBorder="1" applyAlignment="1">
      <alignment horizontal="right" vertical="center"/>
    </xf>
    <xf numFmtId="0" fontId="7" fillId="5" borderId="0" xfId="0" applyFont="1" applyFill="1" applyAlignment="1"/>
    <xf numFmtId="0" fontId="0" fillId="5" borderId="0" xfId="0" applyFill="1" applyAlignment="1">
      <alignment vertical="center"/>
    </xf>
    <xf numFmtId="164" fontId="3" fillId="5" borderId="1" xfId="1" applyFont="1" applyFill="1" applyBorder="1" applyAlignment="1">
      <alignment horizontal="left" vertical="center" wrapText="1"/>
    </xf>
    <xf numFmtId="0" fontId="0" fillId="5" borderId="0" xfId="0" applyFill="1"/>
    <xf numFmtId="165" fontId="3" fillId="16" borderId="1" xfId="1" applyNumberFormat="1" applyFont="1" applyFill="1" applyBorder="1" applyAlignment="1">
      <alignment horizontal="left" vertical="center" wrapText="1"/>
    </xf>
    <xf numFmtId="165" fontId="3" fillId="16" borderId="4" xfId="1" applyNumberFormat="1" applyFont="1" applyFill="1" applyBorder="1" applyAlignment="1">
      <alignment horizontal="left" vertical="center" wrapText="1"/>
    </xf>
    <xf numFmtId="165" fontId="26" fillId="3" borderId="0" xfId="1" applyNumberFormat="1" applyFont="1" applyFill="1"/>
    <xf numFmtId="165" fontId="27" fillId="3" borderId="6" xfId="1" applyNumberFormat="1" applyFont="1" applyFill="1" applyBorder="1" applyAlignment="1" applyProtection="1">
      <alignment vertical="center"/>
      <protection locked="0"/>
    </xf>
    <xf numFmtId="165" fontId="26" fillId="3" borderId="6" xfId="1" applyNumberFormat="1" applyFont="1" applyFill="1" applyBorder="1" applyAlignment="1" applyProtection="1">
      <alignment vertical="center"/>
      <protection locked="0"/>
    </xf>
    <xf numFmtId="0" fontId="1" fillId="18" borderId="0" xfId="0" applyFont="1" applyFill="1" applyBorder="1" applyAlignment="1">
      <alignment horizontal="center" vertical="center" wrapText="1"/>
    </xf>
    <xf numFmtId="0" fontId="1" fillId="18" borderId="0" xfId="0" applyFont="1" applyFill="1" applyBorder="1" applyAlignment="1">
      <alignment vertical="center" wrapText="1"/>
    </xf>
    <xf numFmtId="165" fontId="18" fillId="18" borderId="0" xfId="1" applyNumberFormat="1" applyFont="1" applyFill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165" fontId="38" fillId="0" borderId="1" xfId="0" applyNumberFormat="1" applyFont="1" applyBorder="1" applyAlignment="1">
      <alignment horizontal="left" vertical="center" wrapText="1"/>
    </xf>
    <xf numFmtId="164" fontId="11" fillId="0" borderId="1" xfId="1" applyFont="1" applyFill="1" applyBorder="1" applyAlignment="1">
      <alignment horizontal="center" vertical="center" wrapText="1"/>
    </xf>
    <xf numFmtId="164" fontId="20" fillId="0" borderId="1" xfId="3" applyNumberFormat="1" applyFont="1" applyFill="1" applyBorder="1" applyAlignment="1">
      <alignment horizontal="center" vertical="center" wrapText="1"/>
    </xf>
    <xf numFmtId="0" fontId="0" fillId="20" borderId="25" xfId="0" applyNumberFormat="1" applyFont="1" applyFill="1" applyBorder="1" applyAlignment="1" applyProtection="1">
      <alignment horizontal="left" vertical="top"/>
      <protection locked="0"/>
    </xf>
    <xf numFmtId="0" fontId="0" fillId="20" borderId="27" xfId="0" applyNumberFormat="1" applyFont="1" applyFill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wrapText="1"/>
      <protection locked="0"/>
    </xf>
    <xf numFmtId="0" fontId="40" fillId="19" borderId="30" xfId="0" applyFont="1" applyFill="1" applyBorder="1" applyAlignment="1" applyProtection="1">
      <alignment horizontal="center" vertical="center"/>
      <protection locked="0"/>
    </xf>
    <xf numFmtId="0" fontId="40" fillId="19" borderId="31" xfId="0" applyFont="1" applyFill="1" applyBorder="1" applyAlignment="1" applyProtection="1">
      <alignment horizontal="center" vertical="center"/>
      <protection locked="0"/>
    </xf>
    <xf numFmtId="0" fontId="41" fillId="0" borderId="27" xfId="0" applyFont="1" applyFill="1" applyBorder="1" applyAlignment="1" applyProtection="1">
      <alignment horizontal="center" vertical="center"/>
      <protection locked="0"/>
    </xf>
    <xf numFmtId="0" fontId="0" fillId="0" borderId="28" xfId="0" applyFont="1" applyFill="1" applyBorder="1" applyAlignment="1" applyProtection="1">
      <alignment horizontal="center" vertical="center"/>
      <protection locked="0"/>
    </xf>
    <xf numFmtId="0" fontId="41" fillId="0" borderId="32" xfId="0" applyFont="1" applyFill="1" applyBorder="1" applyAlignment="1" applyProtection="1">
      <alignment horizontal="center" vertical="center"/>
      <protection locked="0"/>
    </xf>
    <xf numFmtId="0" fontId="42" fillId="0" borderId="27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" fontId="0" fillId="0" borderId="28" xfId="0" applyNumberFormat="1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>
      <alignment horizontal="center" vertical="center" wrapText="1"/>
    </xf>
    <xf numFmtId="0" fontId="23" fillId="8" borderId="1" xfId="3" applyFont="1" applyFill="1" applyBorder="1" applyAlignment="1">
      <alignment horizontal="center" vertical="center" wrapText="1"/>
    </xf>
    <xf numFmtId="0" fontId="23" fillId="8" borderId="12" xfId="3" applyFont="1" applyFill="1" applyBorder="1" applyAlignment="1">
      <alignment horizontal="center" vertical="center" wrapText="1"/>
    </xf>
    <xf numFmtId="0" fontId="0" fillId="20" borderId="33" xfId="0" applyNumberFormat="1" applyFont="1" applyFill="1" applyBorder="1" applyAlignment="1" applyProtection="1">
      <alignment horizontal="left" vertical="top"/>
      <protection locked="0"/>
    </xf>
    <xf numFmtId="0" fontId="43" fillId="21" borderId="27" xfId="0" applyFont="1" applyFill="1" applyBorder="1" applyAlignment="1" applyProtection="1">
      <alignment horizontal="center" vertical="center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20" borderId="33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27" xfId="0" applyNumberFormat="1" applyFont="1" applyFill="1" applyBorder="1" applyAlignment="1" applyProtection="1">
      <alignment horizontal="left" vertical="center"/>
      <protection locked="0"/>
    </xf>
    <xf numFmtId="0" fontId="0" fillId="20" borderId="33" xfId="0" applyNumberFormat="1" applyFont="1" applyFill="1" applyBorder="1" applyAlignment="1" applyProtection="1">
      <alignment horizontal="left" vertical="center"/>
      <protection locked="0"/>
    </xf>
    <xf numFmtId="0" fontId="0" fillId="20" borderId="25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/>
    <xf numFmtId="0" fontId="0" fillId="0" borderId="21" xfId="0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left" vertical="center" wrapText="1"/>
    </xf>
    <xf numFmtId="0" fontId="0" fillId="0" borderId="21" xfId="0" applyBorder="1"/>
    <xf numFmtId="0" fontId="0" fillId="0" borderId="21" xfId="0" applyBorder="1" applyAlignment="1">
      <alignment vertical="center"/>
    </xf>
    <xf numFmtId="0" fontId="0" fillId="3" borderId="21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39" fillId="5" borderId="8" xfId="0" applyFont="1" applyFill="1" applyBorder="1" applyAlignment="1">
      <alignment horizontal="center" vertical="center" wrapText="1"/>
    </xf>
    <xf numFmtId="0" fontId="25" fillId="10" borderId="19" xfId="0" applyFont="1" applyFill="1" applyBorder="1" applyAlignment="1">
      <alignment horizontal="center"/>
    </xf>
    <xf numFmtId="0" fontId="0" fillId="0" borderId="0" xfId="0" applyAlignment="1">
      <alignment textRotation="90"/>
    </xf>
    <xf numFmtId="0" fontId="0" fillId="22" borderId="40" xfId="0" applyFill="1" applyBorder="1" applyAlignment="1">
      <alignment horizontal="center" vertical="center" textRotation="90"/>
    </xf>
    <xf numFmtId="0" fontId="0" fillId="22" borderId="43" xfId="0" applyFill="1" applyBorder="1" applyAlignment="1">
      <alignment horizontal="center" vertical="center" textRotation="90"/>
    </xf>
    <xf numFmtId="0" fontId="0" fillId="22" borderId="45" xfId="0" applyFill="1" applyBorder="1" applyAlignment="1">
      <alignment horizontal="center" vertical="center" textRotation="90"/>
    </xf>
    <xf numFmtId="0" fontId="0" fillId="22" borderId="41" xfId="0" applyFill="1" applyBorder="1" applyAlignment="1">
      <alignment horizontal="center" vertical="center" textRotation="90"/>
    </xf>
    <xf numFmtId="0" fontId="7" fillId="23" borderId="42" xfId="0" applyFont="1" applyFill="1" applyBorder="1" applyAlignment="1">
      <alignment horizontal="center"/>
    </xf>
    <xf numFmtId="0" fontId="7" fillId="23" borderId="12" xfId="0" applyFont="1" applyFill="1" applyBorder="1" applyAlignment="1">
      <alignment horizontal="center"/>
    </xf>
    <xf numFmtId="0" fontId="7" fillId="23" borderId="44" xfId="0" applyFont="1" applyFill="1" applyBorder="1" applyAlignment="1">
      <alignment horizontal="center"/>
    </xf>
    <xf numFmtId="0" fontId="7" fillId="23" borderId="46" xfId="0" applyFont="1" applyFill="1" applyBorder="1" applyAlignment="1">
      <alignment horizontal="center"/>
    </xf>
    <xf numFmtId="0" fontId="0" fillId="22" borderId="39" xfId="0" applyFont="1" applyFill="1" applyBorder="1" applyAlignment="1">
      <alignment horizontal="center" vertical="center" textRotation="90"/>
    </xf>
    <xf numFmtId="0" fontId="0" fillId="22" borderId="49" xfId="0" applyFont="1" applyFill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center" vertical="center" wrapText="1"/>
    </xf>
    <xf numFmtId="0" fontId="0" fillId="22" borderId="50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22" borderId="51" xfId="0" applyFill="1" applyBorder="1" applyAlignment="1">
      <alignment horizontal="center" vertical="center" textRotation="90"/>
    </xf>
    <xf numFmtId="0" fontId="0" fillId="22" borderId="22" xfId="0" applyFill="1" applyBorder="1" applyAlignment="1">
      <alignment horizontal="center" vertical="center" textRotation="90"/>
    </xf>
    <xf numFmtId="0" fontId="26" fillId="0" borderId="36" xfId="0" applyFont="1" applyBorder="1"/>
    <xf numFmtId="14" fontId="26" fillId="0" borderId="38" xfId="0" applyNumberFormat="1" applyFont="1" applyBorder="1"/>
    <xf numFmtId="0" fontId="26" fillId="0" borderId="52" xfId="0" applyFont="1" applyBorder="1"/>
    <xf numFmtId="0" fontId="26" fillId="0" borderId="53" xfId="0" applyFont="1" applyBorder="1"/>
    <xf numFmtId="0" fontId="26" fillId="0" borderId="39" xfId="0" applyFont="1" applyBorder="1"/>
    <xf numFmtId="0" fontId="26" fillId="0" borderId="40" xfId="0" applyFont="1" applyBorder="1"/>
    <xf numFmtId="0" fontId="4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51" xfId="0" applyFont="1" applyBorder="1"/>
    <xf numFmtId="0" fontId="26" fillId="0" borderId="54" xfId="0" applyFont="1" applyBorder="1"/>
    <xf numFmtId="0" fontId="26" fillId="0" borderId="38" xfId="0" applyFont="1" applyBorder="1"/>
    <xf numFmtId="0" fontId="26" fillId="0" borderId="13" xfId="0" applyFont="1" applyBorder="1"/>
    <xf numFmtId="0" fontId="26" fillId="0" borderId="0" xfId="0" applyFont="1" applyBorder="1"/>
    <xf numFmtId="0" fontId="26" fillId="0" borderId="14" xfId="0" applyFont="1" applyBorder="1"/>
    <xf numFmtId="0" fontId="0" fillId="22" borderId="17" xfId="0" applyFill="1" applyBorder="1" applyAlignment="1">
      <alignment horizontal="center" vertical="center" textRotation="90"/>
    </xf>
    <xf numFmtId="164" fontId="26" fillId="0" borderId="42" xfId="1" applyFont="1" applyBorder="1" applyAlignment="1" applyProtection="1">
      <alignment vertical="center"/>
    </xf>
    <xf numFmtId="164" fontId="26" fillId="0" borderId="55" xfId="1" applyFont="1" applyBorder="1" applyAlignment="1" applyProtection="1">
      <alignment vertical="center"/>
    </xf>
    <xf numFmtId="164" fontId="26" fillId="0" borderId="55" xfId="1" applyFont="1" applyFill="1" applyBorder="1" applyAlignment="1" applyProtection="1">
      <alignment vertical="center"/>
    </xf>
    <xf numFmtId="164" fontId="26" fillId="0" borderId="55" xfId="1" applyFont="1" applyBorder="1" applyAlignment="1">
      <alignment vertical="center"/>
    </xf>
    <xf numFmtId="164" fontId="26" fillId="0" borderId="43" xfId="1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44" fillId="0" borderId="10" xfId="1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22" fillId="0" borderId="0" xfId="0" applyNumberFormat="1" applyFont="1" applyFill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47" fillId="0" borderId="0" xfId="0" applyFont="1" applyAlignment="1">
      <alignment vertical="center"/>
    </xf>
    <xf numFmtId="164" fontId="12" fillId="0" borderId="0" xfId="1" applyFont="1" applyAlignment="1">
      <alignment vertical="center"/>
    </xf>
    <xf numFmtId="0" fontId="7" fillId="0" borderId="0" xfId="0" applyFont="1" applyFill="1" applyAlignment="1">
      <alignment horizontal="left" vertical="center"/>
    </xf>
    <xf numFmtId="0" fontId="11" fillId="0" borderId="1" xfId="3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9" fontId="11" fillId="0" borderId="1" xfId="2" applyFont="1" applyFill="1" applyBorder="1" applyAlignment="1">
      <alignment horizontal="center" vertical="center" wrapText="1"/>
    </xf>
    <xf numFmtId="164" fontId="20" fillId="0" borderId="10" xfId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164" fontId="20" fillId="0" borderId="1" xfId="1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/>
    </xf>
    <xf numFmtId="164" fontId="19" fillId="6" borderId="0" xfId="0" applyNumberFormat="1" applyFont="1" applyFill="1"/>
    <xf numFmtId="164" fontId="0" fillId="6" borderId="0" xfId="0" applyNumberFormat="1" applyFill="1"/>
    <xf numFmtId="0" fontId="7" fillId="0" borderId="0" xfId="0" applyFont="1" applyFill="1" applyAlignment="1">
      <alignment horizontal="left" vertical="center"/>
    </xf>
    <xf numFmtId="0" fontId="11" fillId="0" borderId="1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9" fontId="5" fillId="0" borderId="9" xfId="1" applyNumberFormat="1" applyFont="1" applyFill="1" applyBorder="1" applyAlignment="1" applyProtection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left" vertical="center" wrapText="1"/>
    </xf>
    <xf numFmtId="164" fontId="3" fillId="16" borderId="58" xfId="1" applyFont="1" applyFill="1" applyBorder="1" applyAlignment="1">
      <alignment horizontal="center" vertical="center" wrapText="1"/>
    </xf>
    <xf numFmtId="164" fontId="26" fillId="5" borderId="58" xfId="2" applyNumberFormat="1" applyFont="1" applyFill="1" applyBorder="1" applyAlignment="1" applyProtection="1">
      <alignment vertical="center"/>
      <protection locked="0"/>
    </xf>
    <xf numFmtId="9" fontId="5" fillId="0" borderId="58" xfId="1" applyNumberFormat="1" applyFont="1" applyFill="1" applyBorder="1" applyAlignment="1" applyProtection="1">
      <alignment vertical="center" wrapText="1"/>
    </xf>
    <xf numFmtId="9" fontId="5" fillId="0" borderId="58" xfId="1" applyNumberFormat="1" applyFont="1" applyFill="1" applyBorder="1" applyAlignment="1" applyProtection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165" fontId="3" fillId="16" borderId="3" xfId="1" applyNumberFormat="1" applyFont="1" applyFill="1" applyBorder="1" applyAlignment="1">
      <alignment horizontal="left" vertical="center" wrapText="1"/>
    </xf>
    <xf numFmtId="164" fontId="3" fillId="16" borderId="3" xfId="1" applyFont="1" applyFill="1" applyBorder="1" applyAlignment="1">
      <alignment horizontal="left" vertical="center" wrapText="1"/>
    </xf>
    <xf numFmtId="165" fontId="3" fillId="16" borderId="58" xfId="1" applyNumberFormat="1" applyFont="1" applyFill="1" applyBorder="1" applyAlignment="1">
      <alignment horizontal="left" vertical="center" wrapText="1"/>
    </xf>
    <xf numFmtId="164" fontId="3" fillId="16" borderId="58" xfId="1" applyFont="1" applyFill="1" applyBorder="1" applyAlignment="1">
      <alignment horizontal="left" vertical="center" wrapText="1"/>
    </xf>
    <xf numFmtId="164" fontId="3" fillId="0" borderId="58" xfId="1" applyFont="1" applyBorder="1" applyAlignment="1">
      <alignment horizontal="left" vertical="center" wrapText="1"/>
    </xf>
    <xf numFmtId="164" fontId="7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169" fontId="12" fillId="0" borderId="0" xfId="2" applyNumberFormat="1" applyFont="1" applyAlignment="1">
      <alignment vertical="center"/>
    </xf>
    <xf numFmtId="164" fontId="12" fillId="0" borderId="0" xfId="0" applyNumberFormat="1" applyFont="1" applyFill="1" applyAlignment="1">
      <alignment vertical="center"/>
    </xf>
    <xf numFmtId="4" fontId="12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0" fontId="7" fillId="26" borderId="21" xfId="0" applyFont="1" applyFill="1" applyBorder="1"/>
    <xf numFmtId="0" fontId="7" fillId="26" borderId="61" xfId="0" applyFont="1" applyFill="1" applyBorder="1"/>
    <xf numFmtId="0" fontId="7" fillId="26" borderId="59" xfId="0" applyFont="1" applyFill="1" applyBorder="1"/>
    <xf numFmtId="3" fontId="0" fillId="0" borderId="0" xfId="0" applyNumberFormat="1"/>
    <xf numFmtId="0" fontId="0" fillId="4" borderId="0" xfId="0" applyFill="1" applyAlignment="1">
      <alignment vertical="center"/>
    </xf>
    <xf numFmtId="164" fontId="0" fillId="4" borderId="0" xfId="1" applyFont="1" applyFill="1" applyAlignment="1">
      <alignment vertical="center"/>
    </xf>
    <xf numFmtId="164" fontId="0" fillId="4" borderId="0" xfId="0" applyNumberFormat="1" applyFill="1" applyAlignment="1">
      <alignment vertical="center"/>
    </xf>
    <xf numFmtId="169" fontId="0" fillId="4" borderId="0" xfId="2" applyNumberFormat="1" applyFont="1" applyFill="1" applyAlignment="1">
      <alignment vertical="center"/>
    </xf>
    <xf numFmtId="4" fontId="0" fillId="4" borderId="0" xfId="0" applyNumberForma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5" fillId="0" borderId="1" xfId="2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horizontal="center" vertical="center" wrapText="1"/>
    </xf>
    <xf numFmtId="9" fontId="11" fillId="5" borderId="1" xfId="2" applyFont="1" applyFill="1" applyBorder="1" applyAlignment="1">
      <alignment horizontal="center" vertical="center" wrapText="1"/>
    </xf>
    <xf numFmtId="164" fontId="20" fillId="5" borderId="10" xfId="1" applyFont="1" applyFill="1" applyBorder="1" applyAlignment="1">
      <alignment horizontal="center" vertical="center" wrapText="1"/>
    </xf>
    <xf numFmtId="4" fontId="20" fillId="5" borderId="12" xfId="0" applyNumberFormat="1" applyFont="1" applyFill="1" applyBorder="1" applyAlignment="1">
      <alignment horizontal="right" vertical="center" wrapText="1"/>
    </xf>
    <xf numFmtId="164" fontId="0" fillId="5" borderId="0" xfId="0" applyNumberFormat="1" applyFill="1" applyAlignment="1">
      <alignment vertical="center"/>
    </xf>
    <xf numFmtId="164" fontId="20" fillId="5" borderId="1" xfId="1" applyFont="1" applyFill="1" applyBorder="1" applyAlignment="1">
      <alignment horizontal="left" vertical="center" wrapText="1"/>
    </xf>
    <xf numFmtId="4" fontId="20" fillId="5" borderId="1" xfId="0" applyNumberFormat="1" applyFont="1" applyFill="1" applyBorder="1" applyAlignment="1">
      <alignment horizontal="right" vertical="center" wrapText="1"/>
    </xf>
    <xf numFmtId="164" fontId="0" fillId="5" borderId="0" xfId="1" applyFont="1" applyFill="1" applyAlignment="1">
      <alignment vertical="center"/>
    </xf>
    <xf numFmtId="169" fontId="0" fillId="5" borderId="0" xfId="2" applyNumberFormat="1" applyFont="1" applyFill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9" fontId="5" fillId="5" borderId="1" xfId="2" applyFont="1" applyFill="1" applyBorder="1" applyAlignment="1">
      <alignment horizontal="center" vertical="center" wrapText="1"/>
    </xf>
    <xf numFmtId="164" fontId="2" fillId="5" borderId="10" xfId="1" applyFont="1" applyFill="1" applyBorder="1" applyAlignment="1">
      <alignment horizontal="center" vertical="center" wrapText="1"/>
    </xf>
    <xf numFmtId="164" fontId="2" fillId="5" borderId="1" xfId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0" fillId="5" borderId="0" xfId="0" applyFont="1" applyFill="1" applyAlignment="1">
      <alignment vertical="center"/>
    </xf>
    <xf numFmtId="0" fontId="50" fillId="5" borderId="0" xfId="0" applyFont="1" applyFill="1"/>
    <xf numFmtId="170" fontId="7" fillId="5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20" fillId="16" borderId="1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 wrapText="1"/>
    </xf>
    <xf numFmtId="9" fontId="11" fillId="16" borderId="1" xfId="2" applyFont="1" applyFill="1" applyBorder="1" applyAlignment="1">
      <alignment horizontal="center" vertical="center" wrapText="1"/>
    </xf>
    <xf numFmtId="164" fontId="20" fillId="16" borderId="1" xfId="1" applyFont="1" applyFill="1" applyBorder="1" applyAlignment="1">
      <alignment horizontal="left" vertical="center" wrapText="1"/>
    </xf>
    <xf numFmtId="4" fontId="20" fillId="16" borderId="1" xfId="0" applyNumberFormat="1" applyFont="1" applyFill="1" applyBorder="1" applyAlignment="1">
      <alignment horizontal="right" vertical="center" wrapText="1"/>
    </xf>
    <xf numFmtId="164" fontId="20" fillId="22" borderId="10" xfId="1" applyFont="1" applyFill="1" applyBorder="1" applyAlignment="1">
      <alignment horizontal="center" vertical="center" wrapText="1"/>
    </xf>
    <xf numFmtId="164" fontId="2" fillId="22" borderId="10" xfId="1" applyFont="1" applyFill="1" applyBorder="1" applyAlignment="1">
      <alignment horizontal="center" vertical="center" wrapText="1"/>
    </xf>
    <xf numFmtId="164" fontId="44" fillId="22" borderId="10" xfId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4" fontId="0" fillId="0" borderId="21" xfId="0" applyNumberFormat="1" applyFill="1" applyBorder="1" applyAlignment="1">
      <alignment horizontal="center"/>
    </xf>
    <xf numFmtId="0" fontId="0" fillId="16" borderId="0" xfId="0" applyFill="1" applyBorder="1"/>
    <xf numFmtId="9" fontId="0" fillId="0" borderId="21" xfId="0" applyNumberFormat="1" applyBorder="1" applyAlignment="1">
      <alignment horizontal="center" vertical="center"/>
    </xf>
    <xf numFmtId="164" fontId="0" fillId="16" borderId="61" xfId="0" applyNumberFormat="1" applyFill="1" applyBorder="1" applyAlignment="1">
      <alignment horizontal="center" vertical="center"/>
    </xf>
    <xf numFmtId="9" fontId="0" fillId="16" borderId="61" xfId="0" applyNumberFormat="1" applyFill="1" applyBorder="1" applyAlignment="1">
      <alignment horizontal="center" vertical="center"/>
    </xf>
    <xf numFmtId="0" fontId="0" fillId="16" borderId="61" xfId="0" applyFill="1" applyBorder="1" applyAlignment="1">
      <alignment horizontal="center" vertical="center"/>
    </xf>
    <xf numFmtId="0" fontId="7" fillId="16" borderId="21" xfId="0" applyFont="1" applyFill="1" applyBorder="1" applyAlignment="1">
      <alignment horizontal="center" vertical="center"/>
    </xf>
    <xf numFmtId="9" fontId="7" fillId="16" borderId="21" xfId="0" applyNumberFormat="1" applyFont="1" applyFill="1" applyBorder="1" applyAlignment="1">
      <alignment horizontal="center" vertical="center"/>
    </xf>
    <xf numFmtId="164" fontId="0" fillId="16" borderId="21" xfId="0" applyNumberFormat="1" applyFont="1" applyFill="1" applyBorder="1" applyAlignment="1">
      <alignment horizontal="center" vertical="center"/>
    </xf>
    <xf numFmtId="4" fontId="0" fillId="0" borderId="21" xfId="0" applyNumberForma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 wrapText="1"/>
    </xf>
    <xf numFmtId="0" fontId="0" fillId="4" borderId="0" xfId="0" applyFill="1"/>
    <xf numFmtId="0" fontId="7" fillId="0" borderId="0" xfId="0" applyFont="1" applyBorder="1" applyAlignment="1">
      <alignment horizontal="center"/>
    </xf>
    <xf numFmtId="0" fontId="0" fillId="16" borderId="0" xfId="0" applyFill="1"/>
    <xf numFmtId="0" fontId="1" fillId="16" borderId="0" xfId="0" applyFont="1" applyFill="1" applyBorder="1" applyAlignment="1">
      <alignment vertical="center" wrapText="1"/>
    </xf>
    <xf numFmtId="164" fontId="14" fillId="16" borderId="0" xfId="0" applyNumberFormat="1" applyFont="1" applyFill="1"/>
    <xf numFmtId="164" fontId="0" fillId="16" borderId="0" xfId="0" applyNumberFormat="1" applyFill="1"/>
    <xf numFmtId="164" fontId="0" fillId="3" borderId="4" xfId="1" applyFont="1" applyFill="1" applyBorder="1" applyAlignment="1" applyProtection="1">
      <alignment vertical="center"/>
    </xf>
    <xf numFmtId="164" fontId="2" fillId="3" borderId="1" xfId="1" applyFont="1" applyFill="1" applyBorder="1" applyAlignment="1" applyProtection="1">
      <alignment horizontal="center" vertical="center" wrapText="1"/>
    </xf>
    <xf numFmtId="164" fontId="0" fillId="3" borderId="1" xfId="1" applyFont="1" applyFill="1" applyBorder="1" applyAlignment="1" applyProtection="1">
      <alignment vertical="center"/>
    </xf>
    <xf numFmtId="164" fontId="2" fillId="3" borderId="58" xfId="1" applyFont="1" applyFill="1" applyBorder="1" applyAlignment="1" applyProtection="1">
      <alignment horizontal="center" vertical="center" wrapText="1"/>
    </xf>
    <xf numFmtId="0" fontId="4" fillId="16" borderId="58" xfId="0" applyFont="1" applyFill="1" applyBorder="1" applyAlignment="1">
      <alignment horizontal="center" vertical="center" wrapText="1"/>
    </xf>
    <xf numFmtId="0" fontId="4" fillId="16" borderId="58" xfId="0" applyFont="1" applyFill="1" applyBorder="1" applyAlignment="1">
      <alignment horizontal="left" vertical="center" wrapText="1"/>
    </xf>
    <xf numFmtId="164" fontId="3" fillId="16" borderId="4" xfId="1" applyFont="1" applyFill="1" applyBorder="1" applyAlignment="1" applyProtection="1">
      <alignment horizontal="left" vertical="center" wrapText="1"/>
    </xf>
    <xf numFmtId="9" fontId="5" fillId="16" borderId="58" xfId="1" applyNumberFormat="1" applyFont="1" applyFill="1" applyBorder="1" applyAlignment="1" applyProtection="1">
      <alignment vertical="center" wrapText="1"/>
    </xf>
    <xf numFmtId="9" fontId="5" fillId="16" borderId="58" xfId="1" applyNumberFormat="1" applyFont="1" applyFill="1" applyBorder="1" applyAlignment="1" applyProtection="1">
      <alignment horizontal="center" vertical="center" wrapText="1"/>
    </xf>
    <xf numFmtId="165" fontId="3" fillId="16" borderId="4" xfId="1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4" fillId="10" borderId="0" xfId="0" applyFont="1" applyFill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26" borderId="53" xfId="0" applyFont="1" applyFill="1" applyBorder="1"/>
    <xf numFmtId="0" fontId="0" fillId="0" borderId="53" xfId="0" applyBorder="1"/>
    <xf numFmtId="9" fontId="0" fillId="0" borderId="53" xfId="0" applyNumberForma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164" fontId="0" fillId="0" borderId="53" xfId="0" applyNumberFormat="1" applyBorder="1" applyAlignment="1">
      <alignment horizontal="center" vertical="center"/>
    </xf>
    <xf numFmtId="0" fontId="0" fillId="16" borderId="68" xfId="0" applyFill="1" applyBorder="1" applyAlignment="1">
      <alignment horizontal="center" vertical="center"/>
    </xf>
    <xf numFmtId="0" fontId="7" fillId="16" borderId="53" xfId="0" applyFont="1" applyFill="1" applyBorder="1" applyAlignment="1">
      <alignment horizontal="center" vertical="center"/>
    </xf>
    <xf numFmtId="0" fontId="7" fillId="27" borderId="45" xfId="0" applyFont="1" applyFill="1" applyBorder="1"/>
    <xf numFmtId="0" fontId="0" fillId="27" borderId="69" xfId="0" applyFill="1" applyBorder="1"/>
    <xf numFmtId="0" fontId="0" fillId="27" borderId="70" xfId="0" applyFill="1" applyBorder="1"/>
    <xf numFmtId="3" fontId="0" fillId="27" borderId="71" xfId="0" applyNumberFormat="1" applyFill="1" applyBorder="1" applyAlignment="1">
      <alignment horizontal="center" vertical="center"/>
    </xf>
    <xf numFmtId="3" fontId="0" fillId="27" borderId="71" xfId="0" applyNumberFormat="1" applyFill="1" applyBorder="1"/>
    <xf numFmtId="9" fontId="0" fillId="27" borderId="71" xfId="0" applyNumberFormat="1" applyFill="1" applyBorder="1" applyAlignment="1">
      <alignment horizontal="center" vertical="center"/>
    </xf>
    <xf numFmtId="0" fontId="0" fillId="27" borderId="71" xfId="0" applyFill="1" applyBorder="1" applyAlignment="1">
      <alignment horizontal="center" vertical="center"/>
    </xf>
    <xf numFmtId="0" fontId="0" fillId="27" borderId="41" xfId="0" applyFill="1" applyBorder="1" applyAlignment="1">
      <alignment horizontal="center" vertical="center"/>
    </xf>
    <xf numFmtId="0" fontId="0" fillId="27" borderId="2" xfId="0" applyFill="1" applyBorder="1" applyAlignment="1">
      <alignment horizontal="left"/>
    </xf>
    <xf numFmtId="4" fontId="0" fillId="0" borderId="21" xfId="0" applyNumberFormat="1" applyFill="1" applyBorder="1" applyAlignment="1">
      <alignment horizontal="right" vertical="center"/>
    </xf>
    <xf numFmtId="0" fontId="51" fillId="27" borderId="58" xfId="0" applyFont="1" applyFill="1" applyBorder="1" applyAlignment="1">
      <alignment horizontal="justify" vertical="center" wrapText="1"/>
    </xf>
    <xf numFmtId="0" fontId="51" fillId="27" borderId="2" xfId="0" applyFont="1" applyFill="1" applyBorder="1" applyAlignment="1">
      <alignment horizontal="center" vertical="center" wrapText="1"/>
    </xf>
    <xf numFmtId="0" fontId="51" fillId="3" borderId="4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/>
    </xf>
    <xf numFmtId="164" fontId="16" fillId="10" borderId="58" xfId="0" applyNumberFormat="1" applyFont="1" applyFill="1" applyBorder="1" applyAlignment="1">
      <alignment horizontal="center" vertical="center" wrapText="1"/>
    </xf>
    <xf numFmtId="164" fontId="0" fillId="15" borderId="0" xfId="0" applyNumberFormat="1" applyFill="1" applyAlignment="1"/>
    <xf numFmtId="164" fontId="0" fillId="0" borderId="0" xfId="0" applyNumberFormat="1" applyAlignment="1"/>
    <xf numFmtId="164" fontId="17" fillId="3" borderId="15" xfId="1" applyFont="1" applyFill="1" applyBorder="1" applyAlignment="1">
      <alignment vertical="center" wrapText="1"/>
    </xf>
    <xf numFmtId="164" fontId="28" fillId="5" borderId="4" xfId="0" applyNumberFormat="1" applyFont="1" applyFill="1" applyBorder="1" applyAlignment="1" applyProtection="1">
      <alignment vertical="center" wrapText="1"/>
    </xf>
    <xf numFmtId="164" fontId="0" fillId="4" borderId="0" xfId="0" applyNumberFormat="1" applyFill="1" applyAlignment="1"/>
    <xf numFmtId="164" fontId="0" fillId="4" borderId="0" xfId="0" applyNumberFormat="1" applyFill="1"/>
    <xf numFmtId="4" fontId="17" fillId="4" borderId="15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horizontal="center"/>
    </xf>
    <xf numFmtId="164" fontId="2" fillId="0" borderId="4" xfId="0" applyNumberFormat="1" applyFont="1" applyFill="1" applyBorder="1" applyAlignment="1" applyProtection="1">
      <alignment vertical="center" wrapText="1"/>
    </xf>
    <xf numFmtId="164" fontId="27" fillId="0" borderId="4" xfId="1" applyFont="1" applyFill="1" applyBorder="1" applyAlignment="1" applyProtection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26" fillId="0" borderId="1" xfId="1" applyFont="1" applyFill="1" applyBorder="1" applyAlignment="1">
      <alignment vertical="center"/>
    </xf>
    <xf numFmtId="164" fontId="26" fillId="0" borderId="4" xfId="1" applyFont="1" applyFill="1" applyBorder="1" applyAlignment="1">
      <alignment vertical="center"/>
    </xf>
    <xf numFmtId="164" fontId="26" fillId="0" borderId="4" xfId="1" applyFont="1" applyFill="1" applyBorder="1" applyAlignment="1" applyProtection="1">
      <alignment vertical="center"/>
    </xf>
    <xf numFmtId="168" fontId="26" fillId="0" borderId="0" xfId="0" applyNumberFormat="1" applyFont="1" applyFill="1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3" fontId="51" fillId="3" borderId="5" xfId="0" applyNumberFormat="1" applyFont="1" applyFill="1" applyBorder="1" applyAlignment="1">
      <alignment horizontal="center" vertical="center" wrapText="1"/>
    </xf>
    <xf numFmtId="0" fontId="4" fillId="16" borderId="18" xfId="0" applyFont="1" applyFill="1" applyBorder="1" applyAlignment="1">
      <alignment horizontal="center" vertical="center" wrapText="1"/>
    </xf>
    <xf numFmtId="0" fontId="4" fillId="16" borderId="16" xfId="0" applyFont="1" applyFill="1" applyBorder="1" applyAlignment="1">
      <alignment horizontal="left" vertical="center" wrapText="1"/>
    </xf>
    <xf numFmtId="164" fontId="0" fillId="16" borderId="58" xfId="2" applyNumberFormat="1" applyFont="1" applyFill="1" applyBorder="1" applyAlignment="1" applyProtection="1">
      <alignment vertical="center"/>
      <protection locked="0"/>
    </xf>
    <xf numFmtId="9" fontId="5" fillId="16" borderId="1" xfId="1" applyNumberFormat="1" applyFont="1" applyFill="1" applyBorder="1" applyAlignment="1" applyProtection="1">
      <alignment vertical="center" wrapText="1"/>
    </xf>
    <xf numFmtId="9" fontId="5" fillId="16" borderId="1" xfId="1" applyNumberFormat="1" applyFont="1" applyFill="1" applyBorder="1" applyAlignment="1" applyProtection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9" fontId="5" fillId="16" borderId="1" xfId="2" applyFont="1" applyFill="1" applyBorder="1" applyAlignment="1">
      <alignment horizontal="center" vertical="center" wrapText="1"/>
    </xf>
    <xf numFmtId="164" fontId="2" fillId="16" borderId="10" xfId="1" applyFont="1" applyFill="1" applyBorder="1" applyAlignment="1">
      <alignment horizontal="center" vertical="center" wrapText="1"/>
    </xf>
    <xf numFmtId="4" fontId="2" fillId="16" borderId="1" xfId="0" applyNumberFormat="1" applyFont="1" applyFill="1" applyBorder="1" applyAlignment="1">
      <alignment horizontal="right" vertical="center" wrapText="1"/>
    </xf>
    <xf numFmtId="0" fontId="0" fillId="16" borderId="0" xfId="0" applyFont="1" applyFill="1" applyAlignment="1">
      <alignment vertical="center"/>
    </xf>
    <xf numFmtId="170" fontId="7" fillId="16" borderId="0" xfId="0" applyNumberFormat="1" applyFont="1" applyFill="1" applyAlignment="1">
      <alignment horizontal="left" vertical="center"/>
    </xf>
    <xf numFmtId="0" fontId="7" fillId="16" borderId="0" xfId="0" applyFont="1" applyFill="1" applyAlignment="1">
      <alignment horizontal="left" vertical="center"/>
    </xf>
    <xf numFmtId="164" fontId="0" fillId="16" borderId="0" xfId="1" applyFont="1" applyFill="1" applyAlignment="1">
      <alignment vertical="center"/>
    </xf>
    <xf numFmtId="0" fontId="38" fillId="16" borderId="58" xfId="0" applyFont="1" applyFill="1" applyBorder="1" applyAlignment="1">
      <alignment horizontal="left" vertical="center" wrapText="1"/>
    </xf>
    <xf numFmtId="0" fontId="0" fillId="16" borderId="0" xfId="0" applyFill="1" applyBorder="1" applyAlignment="1"/>
    <xf numFmtId="0" fontId="20" fillId="16" borderId="58" xfId="3" applyFont="1" applyFill="1" applyBorder="1" applyAlignment="1">
      <alignment horizontal="center" vertical="center" wrapText="1"/>
    </xf>
    <xf numFmtId="4" fontId="20" fillId="16" borderId="58" xfId="3" applyNumberFormat="1" applyFont="1" applyFill="1" applyBorder="1" applyAlignment="1">
      <alignment horizontal="center" vertical="center" wrapText="1"/>
    </xf>
    <xf numFmtId="164" fontId="20" fillId="16" borderId="58" xfId="3" applyNumberFormat="1" applyFont="1" applyFill="1" applyBorder="1" applyAlignment="1">
      <alignment horizontal="center" vertical="center" wrapText="1"/>
    </xf>
    <xf numFmtId="164" fontId="11" fillId="16" borderId="58" xfId="1" applyFont="1" applyFill="1" applyBorder="1" applyAlignment="1">
      <alignment horizontal="center" vertical="center" wrapText="1"/>
    </xf>
    <xf numFmtId="167" fontId="20" fillId="16" borderId="58" xfId="3" applyNumberFormat="1" applyFont="1" applyFill="1" applyBorder="1" applyAlignment="1">
      <alignment horizontal="center" vertical="center" wrapText="1"/>
    </xf>
    <xf numFmtId="0" fontId="11" fillId="16" borderId="58" xfId="3" applyFont="1" applyFill="1" applyBorder="1" applyAlignment="1">
      <alignment horizontal="center" vertical="center" wrapText="1"/>
    </xf>
    <xf numFmtId="0" fontId="0" fillId="16" borderId="0" xfId="0" applyFill="1" applyAlignment="1">
      <alignment horizontal="center"/>
    </xf>
    <xf numFmtId="167" fontId="22" fillId="16" borderId="0" xfId="0" applyNumberFormat="1" applyFont="1" applyFill="1"/>
    <xf numFmtId="167" fontId="0" fillId="16" borderId="0" xfId="0" applyNumberFormat="1" applyFill="1"/>
    <xf numFmtId="164" fontId="7" fillId="0" borderId="0" xfId="0" applyNumberFormat="1" applyFont="1" applyFill="1" applyAlignment="1"/>
    <xf numFmtId="0" fontId="4" fillId="4" borderId="1" xfId="0" applyFont="1" applyFill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left" vertical="center" wrapText="1"/>
    </xf>
    <xf numFmtId="164" fontId="3" fillId="4" borderId="1" xfId="1" applyFont="1" applyFill="1" applyBorder="1" applyAlignment="1">
      <alignment horizontal="left" vertical="center" wrapText="1"/>
    </xf>
    <xf numFmtId="165" fontId="27" fillId="4" borderId="6" xfId="1" applyNumberFormat="1" applyFont="1" applyFill="1" applyBorder="1" applyAlignment="1" applyProtection="1">
      <alignment vertical="center"/>
      <protection locked="0"/>
    </xf>
    <xf numFmtId="164" fontId="0" fillId="15" borderId="0" xfId="0" applyNumberFormat="1" applyFill="1" applyBorder="1"/>
    <xf numFmtId="0" fontId="4" fillId="16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left" vertical="center" wrapText="1"/>
    </xf>
    <xf numFmtId="164" fontId="2" fillId="16" borderId="4" xfId="0" applyNumberFormat="1" applyFont="1" applyFill="1" applyBorder="1" applyAlignment="1" applyProtection="1">
      <alignment vertical="center" wrapText="1"/>
    </xf>
    <xf numFmtId="164" fontId="27" fillId="16" borderId="4" xfId="1" applyFont="1" applyFill="1" applyBorder="1" applyAlignment="1" applyProtection="1">
      <alignment horizontal="center" vertical="center" wrapText="1"/>
    </xf>
    <xf numFmtId="164" fontId="2" fillId="16" borderId="1" xfId="1" applyFont="1" applyFill="1" applyBorder="1" applyAlignment="1" applyProtection="1">
      <alignment horizontal="center" vertical="center" wrapText="1"/>
    </xf>
    <xf numFmtId="164" fontId="26" fillId="16" borderId="1" xfId="1" applyFont="1" applyFill="1" applyBorder="1" applyAlignment="1" applyProtection="1">
      <alignment vertical="center"/>
    </xf>
    <xf numFmtId="164" fontId="26" fillId="16" borderId="4" xfId="1" applyFont="1" applyFill="1" applyBorder="1" applyAlignment="1" applyProtection="1">
      <alignment vertical="center"/>
    </xf>
    <xf numFmtId="164" fontId="0" fillId="16" borderId="0" xfId="0" applyNumberFormat="1" applyFill="1" applyAlignment="1"/>
    <xf numFmtId="0" fontId="0" fillId="27" borderId="6" xfId="0" applyFill="1" applyBorder="1" applyAlignment="1">
      <alignment horizontal="center" wrapText="1"/>
    </xf>
    <xf numFmtId="0" fontId="0" fillId="27" borderId="3" xfId="0" applyFill="1" applyBorder="1" applyAlignment="1">
      <alignment horizontal="center" wrapText="1"/>
    </xf>
    <xf numFmtId="0" fontId="7" fillId="26" borderId="10" xfId="30" applyFont="1" applyFill="1" applyBorder="1" applyAlignment="1">
      <alignment horizontal="center" vertical="center"/>
    </xf>
    <xf numFmtId="0" fontId="7" fillId="26" borderId="13" xfId="30" applyFont="1" applyFill="1" applyBorder="1" applyAlignment="1">
      <alignment horizontal="center" vertical="center"/>
    </xf>
    <xf numFmtId="0" fontId="7" fillId="26" borderId="62" xfId="30" applyFont="1" applyFill="1" applyBorder="1" applyAlignment="1">
      <alignment horizontal="center" vertical="center"/>
    </xf>
    <xf numFmtId="0" fontId="7" fillId="26" borderId="65" xfId="30" applyFont="1" applyFill="1" applyBorder="1" applyAlignment="1">
      <alignment horizontal="center" vertical="center"/>
    </xf>
    <xf numFmtId="0" fontId="7" fillId="26" borderId="59" xfId="30" applyFont="1" applyFill="1" applyBorder="1" applyAlignment="1">
      <alignment horizontal="center" vertical="center"/>
    </xf>
    <xf numFmtId="0" fontId="7" fillId="26" borderId="60" xfId="30" applyFont="1" applyFill="1" applyBorder="1" applyAlignment="1">
      <alignment horizontal="center" vertical="center"/>
    </xf>
    <xf numFmtId="0" fontId="0" fillId="16" borderId="66" xfId="0" applyFont="1" applyFill="1" applyBorder="1" applyAlignment="1">
      <alignment horizontal="left" vertical="top"/>
    </xf>
    <xf numFmtId="0" fontId="0" fillId="16" borderId="44" xfId="0" applyFont="1" applyFill="1" applyBorder="1" applyAlignment="1">
      <alignment horizontal="left" vertical="top"/>
    </xf>
    <xf numFmtId="0" fontId="0" fillId="16" borderId="35" xfId="0" applyFont="1" applyFill="1" applyBorder="1" applyAlignment="1">
      <alignment horizontal="left" vertical="top"/>
    </xf>
    <xf numFmtId="0" fontId="0" fillId="0" borderId="66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35" xfId="0" applyBorder="1" applyAlignment="1">
      <alignment horizontal="left"/>
    </xf>
    <xf numFmtId="0" fontId="17" fillId="0" borderId="66" xfId="0" applyFont="1" applyBorder="1" applyAlignment="1">
      <alignment horizontal="left"/>
    </xf>
    <xf numFmtId="0" fontId="17" fillId="0" borderId="44" xfId="0" applyFont="1" applyBorder="1" applyAlignment="1">
      <alignment horizontal="left"/>
    </xf>
    <xf numFmtId="0" fontId="17" fillId="0" borderId="35" xfId="0" applyFont="1" applyBorder="1" applyAlignment="1">
      <alignment horizontal="left"/>
    </xf>
    <xf numFmtId="0" fontId="0" fillId="16" borderId="66" xfId="0" applyFill="1" applyBorder="1" applyAlignment="1">
      <alignment horizontal="left" vertical="top"/>
    </xf>
    <xf numFmtId="0" fontId="0" fillId="16" borderId="44" xfId="0" applyFill="1" applyBorder="1" applyAlignment="1">
      <alignment horizontal="left" vertical="top"/>
    </xf>
    <xf numFmtId="0" fontId="0" fillId="16" borderId="35" xfId="0" applyFill="1" applyBorder="1" applyAlignment="1">
      <alignment horizontal="left" vertical="top"/>
    </xf>
    <xf numFmtId="0" fontId="7" fillId="24" borderId="66" xfId="0" applyFont="1" applyFill="1" applyBorder="1" applyAlignment="1">
      <alignment horizontal="left"/>
    </xf>
    <xf numFmtId="0" fontId="7" fillId="24" borderId="44" xfId="0" applyFont="1" applyFill="1" applyBorder="1" applyAlignment="1">
      <alignment horizontal="left"/>
    </xf>
    <xf numFmtId="0" fontId="7" fillId="24" borderId="67" xfId="0" applyFont="1" applyFill="1" applyBorder="1" applyAlignment="1">
      <alignment horizontal="left"/>
    </xf>
    <xf numFmtId="0" fontId="7" fillId="24" borderId="66" xfId="0" applyFont="1" applyFill="1" applyBorder="1" applyAlignment="1">
      <alignment horizontal="left" vertical="top"/>
    </xf>
    <xf numFmtId="0" fontId="7" fillId="24" borderId="44" xfId="0" applyFont="1" applyFill="1" applyBorder="1" applyAlignment="1">
      <alignment horizontal="left" vertical="top"/>
    </xf>
    <xf numFmtId="0" fontId="7" fillId="24" borderId="67" xfId="0" applyFont="1" applyFill="1" applyBorder="1" applyAlignment="1">
      <alignment horizontal="left" vertical="top"/>
    </xf>
    <xf numFmtId="0" fontId="7" fillId="26" borderId="63" xfId="0" applyFont="1" applyFill="1" applyBorder="1" applyAlignment="1">
      <alignment horizontal="center" vertical="center"/>
    </xf>
    <xf numFmtId="0" fontId="7" fillId="26" borderId="48" xfId="0" applyFont="1" applyFill="1" applyBorder="1" applyAlignment="1">
      <alignment horizontal="center" vertical="center"/>
    </xf>
    <xf numFmtId="0" fontId="7" fillId="26" borderId="64" xfId="0" applyFont="1" applyFill="1" applyBorder="1" applyAlignment="1">
      <alignment horizontal="center" vertical="center"/>
    </xf>
    <xf numFmtId="0" fontId="7" fillId="26" borderId="63" xfId="0" applyFont="1" applyFill="1" applyBorder="1" applyAlignment="1">
      <alignment horizontal="center"/>
    </xf>
    <xf numFmtId="0" fontId="7" fillId="26" borderId="48" xfId="0" applyFont="1" applyFill="1" applyBorder="1" applyAlignment="1">
      <alignment horizontal="center"/>
    </xf>
    <xf numFmtId="0" fontId="7" fillId="26" borderId="46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30" fillId="0" borderId="2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left" vertical="center"/>
    </xf>
    <xf numFmtId="4" fontId="7" fillId="5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9" fontId="11" fillId="0" borderId="1" xfId="2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9" fontId="5" fillId="0" borderId="1" xfId="2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2" fillId="4" borderId="14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3" fillId="10" borderId="0" xfId="0" applyFont="1" applyFill="1" applyAlignment="1">
      <alignment horizontal="center"/>
    </xf>
    <xf numFmtId="0" fontId="15" fillId="10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6" fillId="17" borderId="6" xfId="0" applyFont="1" applyFill="1" applyBorder="1" applyAlignment="1">
      <alignment vertical="center" wrapText="1"/>
    </xf>
    <xf numFmtId="0" fontId="36" fillId="17" borderId="3" xfId="0" applyFont="1" applyFill="1" applyBorder="1" applyAlignment="1">
      <alignment vertical="center" wrapText="1"/>
    </xf>
    <xf numFmtId="0" fontId="36" fillId="17" borderId="2" xfId="0" applyFont="1" applyFill="1" applyBorder="1" applyAlignment="1">
      <alignment vertical="center" wrapText="1"/>
    </xf>
    <xf numFmtId="0" fontId="14" fillId="10" borderId="0" xfId="0" applyFont="1" applyFill="1" applyAlignment="1">
      <alignment horizontal="center"/>
    </xf>
    <xf numFmtId="165" fontId="13" fillId="18" borderId="8" xfId="1" applyNumberFormat="1" applyFont="1" applyFill="1" applyBorder="1" applyAlignment="1">
      <alignment horizontal="center" vertical="center" wrapText="1"/>
    </xf>
    <xf numFmtId="165" fontId="13" fillId="18" borderId="8" xfId="1" applyNumberFormat="1" applyFont="1" applyFill="1" applyBorder="1" applyAlignment="1">
      <alignment horizontal="center" vertical="center"/>
    </xf>
    <xf numFmtId="165" fontId="13" fillId="18" borderId="7" xfId="1" applyNumberFormat="1" applyFont="1" applyFill="1" applyBorder="1" applyAlignment="1">
      <alignment horizontal="center" vertical="center"/>
    </xf>
    <xf numFmtId="165" fontId="1" fillId="3" borderId="6" xfId="0" applyNumberFormat="1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 wrapText="1"/>
    </xf>
    <xf numFmtId="0" fontId="39" fillId="5" borderId="10" xfId="0" applyFont="1" applyFill="1" applyBorder="1" applyAlignment="1">
      <alignment horizontal="center" vertical="center" wrapText="1"/>
    </xf>
    <xf numFmtId="0" fontId="39" fillId="5" borderId="11" xfId="0" applyFont="1" applyFill="1" applyBorder="1" applyAlignment="1">
      <alignment horizontal="center" vertical="center" wrapText="1"/>
    </xf>
    <xf numFmtId="0" fontId="39" fillId="5" borderId="7" xfId="0" applyFont="1" applyFill="1" applyBorder="1" applyAlignment="1">
      <alignment horizontal="center" vertical="center" wrapText="1"/>
    </xf>
    <xf numFmtId="0" fontId="39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5" fillId="10" borderId="19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3" fillId="8" borderId="0" xfId="0" applyFont="1" applyFill="1" applyBorder="1" applyAlignment="1">
      <alignment horizontal="center" vertical="center"/>
    </xf>
    <xf numFmtId="168" fontId="25" fillId="10" borderId="72" xfId="0" applyNumberFormat="1" applyFont="1" applyFill="1" applyBorder="1" applyAlignment="1">
      <alignment horizontal="center" vertical="center"/>
    </xf>
    <xf numFmtId="168" fontId="25" fillId="10" borderId="73" xfId="0" applyNumberFormat="1" applyFont="1" applyFill="1" applyBorder="1" applyAlignment="1">
      <alignment horizontal="center" vertical="center"/>
    </xf>
    <xf numFmtId="168" fontId="25" fillId="10" borderId="74" xfId="0" applyNumberFormat="1" applyFont="1" applyFill="1" applyBorder="1" applyAlignment="1">
      <alignment horizontal="center" vertical="center"/>
    </xf>
    <xf numFmtId="168" fontId="25" fillId="10" borderId="19" xfId="0" applyNumberFormat="1" applyFont="1" applyFill="1" applyBorder="1" applyAlignment="1">
      <alignment horizontal="center" vertical="center"/>
    </xf>
    <xf numFmtId="168" fontId="0" fillId="0" borderId="75" xfId="0" applyNumberFormat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3" fillId="8" borderId="1" xfId="3" applyFont="1" applyFill="1" applyBorder="1" applyAlignment="1">
      <alignment horizontal="center" vertical="center" wrapText="1"/>
    </xf>
    <xf numFmtId="0" fontId="23" fillId="8" borderId="12" xfId="3" applyFont="1" applyFill="1" applyBorder="1" applyAlignment="1">
      <alignment horizontal="center" vertical="center" wrapText="1"/>
    </xf>
    <xf numFmtId="0" fontId="23" fillId="8" borderId="4" xfId="3" applyFont="1" applyFill="1" applyBorder="1" applyAlignment="1">
      <alignment horizontal="center" vertical="center" wrapText="1"/>
    </xf>
    <xf numFmtId="0" fontId="15" fillId="13" borderId="6" xfId="3" applyFont="1" applyFill="1" applyBorder="1" applyAlignment="1">
      <alignment horizontal="left" vertical="center" wrapText="1"/>
    </xf>
    <xf numFmtId="0" fontId="15" fillId="13" borderId="3" xfId="3" applyFont="1" applyFill="1" applyBorder="1" applyAlignment="1">
      <alignment horizontal="left" vertical="center" wrapText="1"/>
    </xf>
    <xf numFmtId="0" fontId="15" fillId="13" borderId="2" xfId="3" applyFont="1" applyFill="1" applyBorder="1" applyAlignment="1">
      <alignment horizontal="left" vertical="center" wrapText="1"/>
    </xf>
    <xf numFmtId="4" fontId="23" fillId="8" borderId="6" xfId="3" applyNumberFormat="1" applyFont="1" applyFill="1" applyBorder="1" applyAlignment="1">
      <alignment horizontal="center" vertical="center" wrapText="1"/>
    </xf>
    <xf numFmtId="4" fontId="23" fillId="8" borderId="2" xfId="3" applyNumberFormat="1" applyFont="1" applyFill="1" applyBorder="1" applyAlignment="1">
      <alignment horizontal="center" vertical="center" wrapText="1"/>
    </xf>
    <xf numFmtId="0" fontId="19" fillId="24" borderId="21" xfId="0" applyFont="1" applyFill="1" applyBorder="1" applyAlignment="1">
      <alignment horizontal="center" vertical="center" textRotation="90" wrapText="1"/>
    </xf>
    <xf numFmtId="0" fontId="19" fillId="24" borderId="34" xfId="0" applyFont="1" applyFill="1" applyBorder="1" applyAlignment="1">
      <alignment horizontal="center" vertical="center" textRotation="90" wrapText="1"/>
    </xf>
    <xf numFmtId="0" fontId="7" fillId="23" borderId="47" xfId="0" applyFont="1" applyFill="1" applyBorder="1" applyAlignment="1">
      <alignment horizontal="center" vertical="center"/>
    </xf>
    <xf numFmtId="0" fontId="7" fillId="23" borderId="48" xfId="0" applyFont="1" applyFill="1" applyBorder="1" applyAlignment="1">
      <alignment horizontal="center" vertical="center"/>
    </xf>
    <xf numFmtId="0" fontId="7" fillId="23" borderId="36" xfId="0" applyFont="1" applyFill="1" applyBorder="1" applyAlignment="1">
      <alignment horizontal="center"/>
    </xf>
    <xf numFmtId="0" fontId="7" fillId="23" borderId="37" xfId="0" applyFont="1" applyFill="1" applyBorder="1" applyAlignment="1">
      <alignment horizontal="center"/>
    </xf>
    <xf numFmtId="0" fontId="7" fillId="23" borderId="38" xfId="0" applyFont="1" applyFill="1" applyBorder="1" applyAlignment="1">
      <alignment horizontal="center"/>
    </xf>
    <xf numFmtId="0" fontId="19" fillId="24" borderId="10" xfId="0" applyFont="1" applyFill="1" applyBorder="1" applyAlignment="1">
      <alignment horizontal="center" vertical="center" textRotation="90" wrapText="1"/>
    </xf>
    <xf numFmtId="0" fontId="19" fillId="24" borderId="8" xfId="0" applyFont="1" applyFill="1" applyBorder="1" applyAlignment="1">
      <alignment horizontal="center" vertical="center" textRotation="90" wrapText="1"/>
    </xf>
    <xf numFmtId="0" fontId="19" fillId="24" borderId="7" xfId="0" applyFont="1" applyFill="1" applyBorder="1" applyAlignment="1">
      <alignment horizontal="center" vertical="center" textRotation="90" wrapText="1"/>
    </xf>
    <xf numFmtId="0" fontId="19" fillId="24" borderId="12" xfId="0" applyFont="1" applyFill="1" applyBorder="1" applyAlignment="1">
      <alignment horizontal="center" vertical="center" textRotation="90" wrapText="1"/>
    </xf>
    <xf numFmtId="0" fontId="19" fillId="24" borderId="17" xfId="0" applyFont="1" applyFill="1" applyBorder="1" applyAlignment="1">
      <alignment horizontal="center" vertical="center" textRotation="90" wrapText="1"/>
    </xf>
    <xf numFmtId="0" fontId="11" fillId="3" borderId="6" xfId="3" applyFont="1" applyFill="1" applyBorder="1" applyAlignment="1">
      <alignment horizontal="center" vertical="center" wrapText="1"/>
    </xf>
    <xf numFmtId="0" fontId="11" fillId="3" borderId="2" xfId="3" applyFont="1" applyFill="1" applyBorder="1" applyAlignment="1">
      <alignment horizontal="center" vertical="center" wrapText="1"/>
    </xf>
    <xf numFmtId="0" fontId="15" fillId="13" borderId="7" xfId="3" applyFont="1" applyFill="1" applyBorder="1" applyAlignment="1">
      <alignment horizontal="left" vertical="center" wrapText="1"/>
    </xf>
    <xf numFmtId="0" fontId="15" fillId="13" borderId="14" xfId="3" applyFont="1" applyFill="1" applyBorder="1" applyAlignment="1">
      <alignment horizontal="left" vertical="center" wrapText="1"/>
    </xf>
    <xf numFmtId="0" fontId="15" fillId="13" borderId="5" xfId="3" applyFont="1" applyFill="1" applyBorder="1" applyAlignment="1">
      <alignment horizontal="left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" fontId="11" fillId="0" borderId="1" xfId="3" applyNumberFormat="1" applyFont="1" applyFill="1" applyBorder="1" applyAlignment="1">
      <alignment horizontal="center" vertical="center" wrapText="1"/>
    </xf>
    <xf numFmtId="4" fontId="11" fillId="0" borderId="12" xfId="3" applyNumberFormat="1" applyFont="1" applyFill="1" applyBorder="1" applyAlignment="1">
      <alignment horizontal="center" vertical="center" wrapText="1"/>
    </xf>
    <xf numFmtId="4" fontId="11" fillId="0" borderId="4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3" borderId="10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center" vertical="center" wrapText="1"/>
    </xf>
    <xf numFmtId="0" fontId="11" fillId="14" borderId="10" xfId="3" applyFont="1" applyFill="1" applyBorder="1" applyAlignment="1">
      <alignment horizontal="center" vertical="center" wrapText="1"/>
    </xf>
    <xf numFmtId="0" fontId="11" fillId="14" borderId="11" xfId="3" applyFont="1" applyFill="1" applyBorder="1" applyAlignment="1">
      <alignment horizontal="center" vertical="center" wrapText="1"/>
    </xf>
    <xf numFmtId="0" fontId="23" fillId="8" borderId="10" xfId="3" applyFont="1" applyFill="1" applyBorder="1" applyAlignment="1">
      <alignment horizontal="center" vertical="center" wrapText="1"/>
    </xf>
    <xf numFmtId="0" fontId="23" fillId="8" borderId="11" xfId="3" applyFont="1" applyFill="1" applyBorder="1" applyAlignment="1">
      <alignment horizontal="center" vertical="center" wrapText="1"/>
    </xf>
    <xf numFmtId="0" fontId="23" fillId="8" borderId="7" xfId="3" applyFont="1" applyFill="1" applyBorder="1" applyAlignment="1">
      <alignment horizontal="center" vertical="center" wrapText="1"/>
    </xf>
    <xf numFmtId="0" fontId="23" fillId="8" borderId="5" xfId="3" applyFont="1" applyFill="1" applyBorder="1" applyAlignment="1">
      <alignment horizontal="center" vertical="center" wrapText="1"/>
    </xf>
    <xf numFmtId="4" fontId="23" fillId="8" borderId="1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0" fillId="19" borderId="23" xfId="0" applyFont="1" applyFill="1" applyBorder="1" applyAlignment="1" applyProtection="1">
      <alignment horizontal="center" vertical="center"/>
      <protection locked="0"/>
    </xf>
    <xf numFmtId="0" fontId="40" fillId="19" borderId="24" xfId="0" applyFont="1" applyFill="1" applyBorder="1" applyAlignment="1" applyProtection="1">
      <alignment horizontal="center" vertical="center"/>
      <protection locked="0"/>
    </xf>
    <xf numFmtId="0" fontId="40" fillId="19" borderId="26" xfId="0" applyFont="1" applyFill="1" applyBorder="1" applyAlignment="1" applyProtection="1">
      <alignment horizontal="center" vertical="center" wrapText="1"/>
      <protection locked="0"/>
    </xf>
    <xf numFmtId="0" fontId="40" fillId="19" borderId="26" xfId="0" applyFont="1" applyFill="1" applyBorder="1" applyAlignment="1" applyProtection="1">
      <alignment horizontal="center" vertical="center"/>
      <protection locked="0"/>
    </xf>
    <xf numFmtId="0" fontId="40" fillId="19" borderId="29" xfId="0" applyFont="1" applyFill="1" applyBorder="1" applyAlignment="1" applyProtection="1">
      <alignment horizontal="center"/>
      <protection locked="0"/>
    </xf>
    <xf numFmtId="0" fontId="1" fillId="3" borderId="34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left" vertical="center" wrapText="1"/>
    </xf>
  </cellXfs>
  <cellStyles count="31">
    <cellStyle name="20% - Accent1" xfId="30" builtinId="30"/>
    <cellStyle name="Comma" xfId="1" builtinId="3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Normal 2" xfId="3"/>
    <cellStyle name="Normal 7" xfId="4"/>
    <cellStyle name="Percent" xfId="2" builtinId="5"/>
    <cellStyle name="Vírgula 2" xfId="5"/>
  </cellStyles>
  <dxfs count="76"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26"/>
          <bgColor indexed="9"/>
        </patternFill>
      </fill>
    </dxf>
    <dxf>
      <fill>
        <patternFill patternType="solid">
          <fgColor indexed="26"/>
          <bgColor indexed="9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49"/>
          <bgColor indexed="11"/>
        </patternFill>
      </fill>
    </dxf>
    <dxf>
      <font>
        <b/>
        <i val="0"/>
        <condense val="0"/>
        <extend val="0"/>
        <color indexed="12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6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53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 b="0">
                <a:solidFill>
                  <a:schemeClr val="tx1"/>
                </a:solidFill>
                <a:latin typeface="+mn-lt"/>
              </a:rPr>
              <a:t>Curva S do Projeto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dk1">
                  <a:tint val="885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'5.Cronograma Financeiro PEP '!$F$56:$Y$56</c:f>
              <c:strCache>
                <c:ptCount val="13"/>
                <c:pt idx="0">
                  <c:v>SEM 1</c:v>
                </c:pt>
                <c:pt idx="3">
                  <c:v>SEM 3</c:v>
                </c:pt>
                <c:pt idx="6">
                  <c:v>SEM 5</c:v>
                </c:pt>
                <c:pt idx="9">
                  <c:v>SEM 7</c:v>
                </c:pt>
                <c:pt idx="12">
                  <c:v>SEM 9</c:v>
                </c:pt>
              </c:strCache>
            </c:strRef>
          </c:cat>
          <c:val>
            <c:numRef>
              <c:f>'5.Cronograma Financeiro PEP '!$F$57:$Y$57</c:f>
              <c:numCache>
                <c:formatCode>_-* #,##0.00_-;\-* #,##0.00_-;_-* "-"??_-;_-@_-</c:formatCode>
                <c:ptCount val="15"/>
                <c:pt idx="0">
                  <c:v>0</c:v>
                </c:pt>
                <c:pt idx="3">
                  <c:v>28826152.149999999</c:v>
                </c:pt>
                <c:pt idx="6">
                  <c:v>64229360.5</c:v>
                </c:pt>
                <c:pt idx="9">
                  <c:v>86607097.300000012</c:v>
                </c:pt>
                <c:pt idx="12">
                  <c:v>94710699.100000024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hiLowLines>
        <c:marker val="1"/>
        <c:smooth val="0"/>
        <c:axId val="205444992"/>
        <c:axId val="208847232"/>
      </c:lineChart>
      <c:catAx>
        <c:axId val="20544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0">
                    <a:solidFill>
                      <a:schemeClr val="tx1"/>
                    </a:solidFill>
                    <a:latin typeface="+mn-lt"/>
                  </a:rPr>
                  <a:t>Tempo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847232"/>
        <c:crosses val="autoZero"/>
        <c:auto val="1"/>
        <c:lblAlgn val="ctr"/>
        <c:lblOffset val="100"/>
        <c:noMultiLvlLbl val="0"/>
      </c:catAx>
      <c:valAx>
        <c:axId val="2088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0">
                    <a:solidFill>
                      <a:schemeClr val="tx1"/>
                    </a:solidFill>
                    <a:latin typeface="+mn-lt"/>
                  </a:rPr>
                  <a:t>Custo</a:t>
                </a:r>
              </a:p>
            </c:rich>
          </c:tx>
          <c:layout>
            <c:manualLayout>
              <c:xMode val="edge"/>
              <c:yMode val="edge"/>
              <c:x val="2.2371364653243901E-2"/>
              <c:y val="0.423646781692217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44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58</xdr:row>
      <xdr:rowOff>71436</xdr:rowOff>
    </xdr:from>
    <xdr:to>
      <xdr:col>21</xdr:col>
      <xdr:colOff>952500</xdr:colOff>
      <xdr:row>83</xdr:row>
      <xdr:rowOff>171450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466261</xdr:colOff>
      <xdr:row>1</xdr:row>
      <xdr:rowOff>923192</xdr:rowOff>
    </xdr:from>
    <xdr:to>
      <xdr:col>19</xdr:col>
      <xdr:colOff>21983</xdr:colOff>
      <xdr:row>15</xdr:row>
      <xdr:rowOff>75860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5271" t="22899" r="22438" b="14467"/>
        <a:stretch/>
      </xdr:blipFill>
      <xdr:spPr>
        <a:xfrm>
          <a:off x="9397780" y="1113692"/>
          <a:ext cx="4882395" cy="4076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M23"/>
  <sheetViews>
    <sheetView topLeftCell="D1" workbookViewId="0">
      <selection activeCell="F21" sqref="F21"/>
    </sheetView>
  </sheetViews>
  <sheetFormatPr defaultRowHeight="15" x14ac:dyDescent="0.25"/>
  <cols>
    <col min="2" max="2" width="9.140625" customWidth="1"/>
    <col min="4" max="4" width="28.5703125" customWidth="1"/>
    <col min="5" max="5" width="14.28515625" bestFit="1" customWidth="1"/>
    <col min="6" max="6" width="18.7109375" customWidth="1"/>
    <col min="7" max="7" width="15.28515625" customWidth="1"/>
    <col min="8" max="8" width="20.140625" style="46" customWidth="1"/>
    <col min="9" max="10" width="15.28515625" style="46" customWidth="1"/>
    <col min="11" max="11" width="17" customWidth="1"/>
    <col min="12" max="12" width="10.140625" customWidth="1"/>
    <col min="13" max="13" width="10" customWidth="1"/>
  </cols>
  <sheetData>
    <row r="1" spans="1:13" x14ac:dyDescent="0.25">
      <c r="A1" s="533" t="s">
        <v>249</v>
      </c>
      <c r="B1" s="534"/>
      <c r="C1" s="534"/>
      <c r="D1" s="535"/>
      <c r="E1" s="557" t="s">
        <v>250</v>
      </c>
      <c r="F1" s="558"/>
      <c r="G1" s="559"/>
      <c r="H1" s="557" t="s">
        <v>271</v>
      </c>
      <c r="I1" s="558"/>
      <c r="J1" s="559"/>
      <c r="K1" s="560" t="s">
        <v>251</v>
      </c>
      <c r="L1" s="561"/>
      <c r="M1" s="562"/>
    </row>
    <row r="2" spans="1:13" x14ac:dyDescent="0.25">
      <c r="A2" s="536"/>
      <c r="B2" s="537"/>
      <c r="C2" s="537"/>
      <c r="D2" s="538"/>
      <c r="E2" s="374" t="s">
        <v>8</v>
      </c>
      <c r="F2" s="374" t="s">
        <v>4</v>
      </c>
      <c r="G2" s="374" t="s">
        <v>252</v>
      </c>
      <c r="H2" s="375" t="s">
        <v>8</v>
      </c>
      <c r="I2" s="375" t="s">
        <v>4</v>
      </c>
      <c r="J2" s="375" t="s">
        <v>252</v>
      </c>
      <c r="K2" s="375" t="s">
        <v>8</v>
      </c>
      <c r="L2" s="376" t="s">
        <v>4</v>
      </c>
      <c r="M2" s="452" t="s">
        <v>252</v>
      </c>
    </row>
    <row r="3" spans="1:13" hidden="1" x14ac:dyDescent="0.25">
      <c r="A3" s="542" t="s">
        <v>253</v>
      </c>
      <c r="B3" s="543"/>
      <c r="C3" s="543"/>
      <c r="D3" s="544"/>
      <c r="E3" s="281"/>
      <c r="F3" s="281"/>
      <c r="G3" s="281"/>
      <c r="H3" s="281"/>
      <c r="I3" s="281"/>
      <c r="J3" s="281"/>
      <c r="K3" s="281"/>
      <c r="L3" s="281"/>
      <c r="M3" s="453"/>
    </row>
    <row r="4" spans="1:13" x14ac:dyDescent="0.25">
      <c r="A4" s="551" t="s">
        <v>261</v>
      </c>
      <c r="B4" s="552"/>
      <c r="C4" s="552"/>
      <c r="D4" s="552"/>
      <c r="E4" s="552"/>
      <c r="F4" s="552"/>
      <c r="G4" s="552"/>
      <c r="H4" s="552"/>
      <c r="I4" s="552"/>
      <c r="J4" s="552"/>
      <c r="K4" s="552"/>
      <c r="L4" s="552"/>
      <c r="M4" s="553"/>
    </row>
    <row r="5" spans="1:13" x14ac:dyDescent="0.25">
      <c r="A5" s="542" t="s">
        <v>262</v>
      </c>
      <c r="B5" s="543"/>
      <c r="C5" s="543"/>
      <c r="D5" s="544"/>
      <c r="E5" s="408">
        <f>F5</f>
        <v>8000000</v>
      </c>
      <c r="F5" s="408">
        <f>'1.Usos&amp;Fontes'!F14:H14</f>
        <v>8000000</v>
      </c>
      <c r="G5" s="417">
        <f>0</f>
        <v>0</v>
      </c>
      <c r="H5" s="408">
        <f>E5*M15</f>
        <v>24000000</v>
      </c>
      <c r="I5" s="408">
        <f>F5*M15</f>
        <v>24000000</v>
      </c>
      <c r="J5" s="407">
        <f>G5*M15</f>
        <v>0</v>
      </c>
      <c r="K5" s="421">
        <v>1</v>
      </c>
      <c r="L5" s="421">
        <v>1</v>
      </c>
      <c r="M5" s="454">
        <v>0</v>
      </c>
    </row>
    <row r="6" spans="1:13" ht="27" customHeight="1" x14ac:dyDescent="0.25">
      <c r="A6" s="545" t="s">
        <v>263</v>
      </c>
      <c r="B6" s="546"/>
      <c r="C6" s="546"/>
      <c r="D6" s="547"/>
      <c r="E6" s="408">
        <f>F6+G6</f>
        <v>65948998</v>
      </c>
      <c r="F6" s="455">
        <f>'1.Usos&amp;Fontes'!F27:H27</f>
        <v>45305764</v>
      </c>
      <c r="G6" s="418">
        <v>20643234</v>
      </c>
      <c r="H6" s="408">
        <f>E6*M15</f>
        <v>197846994</v>
      </c>
      <c r="I6" s="408">
        <f>F6*M15</f>
        <v>135917292</v>
      </c>
      <c r="J6" s="408">
        <f>G6*M15</f>
        <v>61929702</v>
      </c>
      <c r="K6" s="421">
        <v>1</v>
      </c>
      <c r="L6" s="407">
        <f>F6*100/E6</f>
        <v>68.698184011832907</v>
      </c>
      <c r="M6" s="456">
        <f>G6*100/E6</f>
        <v>31.3018159881671</v>
      </c>
    </row>
    <row r="7" spans="1:13" x14ac:dyDescent="0.25">
      <c r="A7" s="542" t="s">
        <v>264</v>
      </c>
      <c r="B7" s="543"/>
      <c r="C7" s="543"/>
      <c r="D7" s="544"/>
      <c r="E7" s="408">
        <f>F7+G7</f>
        <v>57758872</v>
      </c>
      <c r="F7" s="408">
        <f>'1.Usos&amp;Fontes'!F41:H41</f>
        <v>37194236</v>
      </c>
      <c r="G7" s="457">
        <v>20564636</v>
      </c>
      <c r="H7" s="470">
        <f>E7*M15</f>
        <v>173276616</v>
      </c>
      <c r="I7" s="428">
        <f>F7*M15</f>
        <v>111582708</v>
      </c>
      <c r="J7" s="419">
        <f>G7*M15</f>
        <v>61693908</v>
      </c>
      <c r="K7" s="421">
        <v>1</v>
      </c>
      <c r="L7" s="407">
        <f>F7*100/E7</f>
        <v>64.395710497947391</v>
      </c>
      <c r="M7" s="458">
        <f>G7*100/F7</f>
        <v>55.289846523531224</v>
      </c>
    </row>
    <row r="8" spans="1:13" x14ac:dyDescent="0.25">
      <c r="A8" s="551" t="s">
        <v>265</v>
      </c>
      <c r="B8" s="552"/>
      <c r="C8" s="552"/>
      <c r="D8" s="552"/>
      <c r="E8" s="552"/>
      <c r="F8" s="552"/>
      <c r="G8" s="552"/>
      <c r="H8" s="552"/>
      <c r="I8" s="552"/>
      <c r="J8" s="552"/>
      <c r="K8" s="552"/>
      <c r="L8" s="552"/>
      <c r="M8" s="553"/>
    </row>
    <row r="9" spans="1:13" x14ac:dyDescent="0.25">
      <c r="A9" s="542" t="s">
        <v>266</v>
      </c>
      <c r="B9" s="543"/>
      <c r="C9" s="543"/>
      <c r="D9" s="544"/>
      <c r="E9" s="408">
        <f>F9+G9</f>
        <v>9455130</v>
      </c>
      <c r="F9" s="408">
        <f>'1.Usos&amp;Fontes'!H43</f>
        <v>9000000</v>
      </c>
      <c r="G9" s="408">
        <f>'1.Usos&amp;Fontes'!E43</f>
        <v>455130</v>
      </c>
      <c r="H9" s="408">
        <f>E9*M15</f>
        <v>28365390</v>
      </c>
      <c r="I9" s="408">
        <f>F9*M15</f>
        <v>27000000</v>
      </c>
      <c r="J9" s="408">
        <f>G9*M15</f>
        <v>1365390</v>
      </c>
      <c r="K9" s="421">
        <v>1</v>
      </c>
      <c r="L9" s="407">
        <f>F9*100/E9</f>
        <v>95.186422608679095</v>
      </c>
      <c r="M9" s="456">
        <f>G9*100/E9</f>
        <v>4.8135773913209023</v>
      </c>
    </row>
    <row r="10" spans="1:13" x14ac:dyDescent="0.25">
      <c r="A10" s="551" t="s">
        <v>267</v>
      </c>
      <c r="B10" s="552"/>
      <c r="C10" s="552"/>
      <c r="D10" s="552"/>
      <c r="E10" s="552"/>
      <c r="F10" s="552"/>
      <c r="G10" s="552"/>
      <c r="H10" s="552"/>
      <c r="I10" s="552"/>
      <c r="J10" s="552"/>
      <c r="K10" s="552"/>
      <c r="L10" s="552"/>
      <c r="M10" s="553"/>
    </row>
    <row r="11" spans="1:13" x14ac:dyDescent="0.25">
      <c r="A11" s="548" t="s">
        <v>268</v>
      </c>
      <c r="B11" s="549"/>
      <c r="C11" s="549"/>
      <c r="D11" s="550"/>
      <c r="E11" s="422">
        <f>F11+G11</f>
        <v>500000</v>
      </c>
      <c r="F11" s="422">
        <f>'1.Usos&amp;Fontes'!H45</f>
        <v>500000</v>
      </c>
      <c r="G11" s="422">
        <f>'1.Usos&amp;Fontes'!E45</f>
        <v>0</v>
      </c>
      <c r="H11" s="422">
        <f>E11*M15</f>
        <v>1500000</v>
      </c>
      <c r="I11" s="422">
        <f>F11*M15</f>
        <v>1500000</v>
      </c>
      <c r="J11" s="422">
        <f>G11*M15</f>
        <v>0</v>
      </c>
      <c r="K11" s="423">
        <v>1</v>
      </c>
      <c r="L11" s="424">
        <f>F11*100/E11</f>
        <v>100</v>
      </c>
      <c r="M11" s="459">
        <f>G11*100/E11</f>
        <v>0</v>
      </c>
    </row>
    <row r="12" spans="1:13" x14ac:dyDescent="0.25">
      <c r="A12" s="554" t="s">
        <v>269</v>
      </c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6"/>
    </row>
    <row r="13" spans="1:13" s="46" customFormat="1" x14ac:dyDescent="0.25">
      <c r="A13" s="539" t="s">
        <v>270</v>
      </c>
      <c r="B13" s="540"/>
      <c r="C13" s="540"/>
      <c r="D13" s="541"/>
      <c r="E13" s="427">
        <f>F13+G13</f>
        <v>0</v>
      </c>
      <c r="F13" s="427">
        <f>0</f>
        <v>0</v>
      </c>
      <c r="G13" s="427">
        <f>'1.Usos&amp;Fontes'!E44</f>
        <v>0</v>
      </c>
      <c r="H13" s="427">
        <f>E13*M15</f>
        <v>0</v>
      </c>
      <c r="I13" s="427">
        <f>F13*M15</f>
        <v>0</v>
      </c>
      <c r="J13" s="427">
        <f>G13*M15</f>
        <v>0</v>
      </c>
      <c r="K13" s="426">
        <v>1</v>
      </c>
      <c r="L13" s="425" t="e">
        <f>F13*100/E13</f>
        <v>#DIV/0!</v>
      </c>
      <c r="M13" s="460" t="e">
        <f>G13*100/E13</f>
        <v>#DIV/0!</v>
      </c>
    </row>
    <row r="14" spans="1:13" ht="15.75" thickBot="1" x14ac:dyDescent="0.3">
      <c r="A14" s="461" t="s">
        <v>8</v>
      </c>
      <c r="B14" s="462"/>
      <c r="C14" s="462"/>
      <c r="D14" s="463"/>
      <c r="E14" s="464">
        <f>F14+G14</f>
        <v>141663000</v>
      </c>
      <c r="F14" s="464">
        <f>F5+F6+F7+F9+F11</f>
        <v>100000000</v>
      </c>
      <c r="G14" s="464">
        <f>G5+G6+G7+G9+G11+G13</f>
        <v>41663000</v>
      </c>
      <c r="H14" s="465">
        <f>H5+H7+H9+H11+H13</f>
        <v>227142006</v>
      </c>
      <c r="I14" s="465">
        <f>I5+I6+I7+I9+I11</f>
        <v>300000000</v>
      </c>
      <c r="J14" s="465">
        <f>J5+J6+J7+J9+J11+J13</f>
        <v>124989000</v>
      </c>
      <c r="K14" s="466">
        <v>1</v>
      </c>
      <c r="L14" s="467">
        <f>F14*100/E14</f>
        <v>70.590062331025038</v>
      </c>
      <c r="M14" s="468">
        <f>G14*100/E14</f>
        <v>29.409937668974962</v>
      </c>
    </row>
    <row r="15" spans="1:13" ht="15.75" thickBot="1" x14ac:dyDescent="0.3">
      <c r="K15" s="531" t="s">
        <v>272</v>
      </c>
      <c r="L15" s="532"/>
      <c r="M15" s="469">
        <v>3</v>
      </c>
    </row>
    <row r="16" spans="1:13" x14ac:dyDescent="0.25">
      <c r="L16" s="420"/>
      <c r="M16" s="420"/>
    </row>
    <row r="19" spans="5:11" ht="15.75" thickBot="1" x14ac:dyDescent="0.3">
      <c r="F19" s="377"/>
    </row>
    <row r="20" spans="5:11" ht="24.75" thickBot="1" x14ac:dyDescent="0.3">
      <c r="E20" s="471" t="s">
        <v>280</v>
      </c>
      <c r="F20" s="472" t="s">
        <v>281</v>
      </c>
      <c r="G20" s="472" t="s">
        <v>282</v>
      </c>
      <c r="H20" s="472" t="s">
        <v>283</v>
      </c>
      <c r="I20" s="472" t="s">
        <v>284</v>
      </c>
      <c r="J20" s="472" t="s">
        <v>288</v>
      </c>
    </row>
    <row r="21" spans="5:11" ht="24.75" thickBot="1" x14ac:dyDescent="0.3">
      <c r="E21" s="473" t="s">
        <v>285</v>
      </c>
      <c r="F21" s="492">
        <v>9798774.1999999993</v>
      </c>
      <c r="G21" s="492">
        <v>37861506.5</v>
      </c>
      <c r="H21" s="492">
        <v>33766450.700000003</v>
      </c>
      <c r="I21" s="492">
        <v>7969666.7999999998</v>
      </c>
      <c r="J21" s="492">
        <v>10603601.800000001</v>
      </c>
      <c r="K21" s="377"/>
    </row>
    <row r="22" spans="5:11" ht="15.75" thickBot="1" x14ac:dyDescent="0.3">
      <c r="E22" s="473" t="s">
        <v>287</v>
      </c>
      <c r="F22" s="492">
        <v>7050049.4000000004</v>
      </c>
      <c r="G22" s="492">
        <v>15258308.6</v>
      </c>
      <c r="H22" s="492">
        <v>14855541.4</v>
      </c>
      <c r="I22" s="492">
        <v>6341097.7999999998</v>
      </c>
      <c r="J22" s="492">
        <v>6495002.7999999998</v>
      </c>
      <c r="K22" s="377"/>
    </row>
    <row r="23" spans="5:11" ht="15.75" thickBot="1" x14ac:dyDescent="0.3">
      <c r="E23" s="473" t="s">
        <v>286</v>
      </c>
      <c r="F23" s="492">
        <f>SUM(F21:F22)</f>
        <v>16848823.600000001</v>
      </c>
      <c r="G23" s="492">
        <f>SUM(G21:G22)</f>
        <v>53119815.100000001</v>
      </c>
      <c r="H23" s="492">
        <f>SUM(H21:H22)</f>
        <v>48621992.100000001</v>
      </c>
      <c r="I23" s="492">
        <f>SUM(I21:I22)</f>
        <v>14310764.6</v>
      </c>
      <c r="J23" s="492">
        <f>SUM(J21:J22)</f>
        <v>17098604.600000001</v>
      </c>
      <c r="K23" s="377"/>
    </row>
  </sheetData>
  <mergeCells count="16">
    <mergeCell ref="K15:L15"/>
    <mergeCell ref="A1:D2"/>
    <mergeCell ref="A13:D13"/>
    <mergeCell ref="A3:D3"/>
    <mergeCell ref="A5:D5"/>
    <mergeCell ref="A6:D6"/>
    <mergeCell ref="A7:D7"/>
    <mergeCell ref="A9:D9"/>
    <mergeCell ref="A11:D11"/>
    <mergeCell ref="A10:M10"/>
    <mergeCell ref="A12:M12"/>
    <mergeCell ref="E1:G1"/>
    <mergeCell ref="K1:M1"/>
    <mergeCell ref="A8:M8"/>
    <mergeCell ref="A4:M4"/>
    <mergeCell ref="H1:J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D12" sqref="D12"/>
    </sheetView>
  </sheetViews>
  <sheetFormatPr defaultColWidth="8.85546875" defaultRowHeight="15" x14ac:dyDescent="0.25"/>
  <cols>
    <col min="1" max="1" width="4" customWidth="1"/>
    <col min="2" max="2" width="5.140625" style="46" customWidth="1"/>
    <col min="3" max="3" width="35.42578125" customWidth="1"/>
    <col min="4" max="4" width="66.42578125" customWidth="1"/>
    <col min="5" max="5" width="8.28515625" customWidth="1"/>
    <col min="6" max="6" width="8.140625" customWidth="1"/>
    <col min="7" max="7" width="7.85546875" customWidth="1"/>
    <col min="8" max="8" width="9.85546875" customWidth="1"/>
    <col min="9" max="9" width="10.140625" customWidth="1"/>
    <col min="14" max="14" width="9.140625" customWidth="1"/>
  </cols>
  <sheetData>
    <row r="1" spans="1:16" ht="15.75" thickBot="1" x14ac:dyDescent="0.3"/>
    <row r="2" spans="1:16" ht="15.75" thickBot="1" x14ac:dyDescent="0.3">
      <c r="A2" s="731" t="s">
        <v>156</v>
      </c>
      <c r="B2" s="731"/>
      <c r="C2" s="731"/>
      <c r="D2" s="731"/>
      <c r="E2" s="731"/>
      <c r="F2" s="731"/>
      <c r="G2" s="731"/>
      <c r="H2" s="731"/>
      <c r="I2" s="731"/>
    </row>
    <row r="3" spans="1:16" ht="15.75" customHeight="1" thickBot="1" x14ac:dyDescent="0.3">
      <c r="A3" s="732" t="s">
        <v>157</v>
      </c>
      <c r="B3" s="732" t="s">
        <v>171</v>
      </c>
      <c r="C3" s="733" t="s">
        <v>158</v>
      </c>
      <c r="D3" s="733" t="s">
        <v>166</v>
      </c>
      <c r="E3" s="734" t="s">
        <v>159</v>
      </c>
      <c r="F3" s="734" t="s">
        <v>172</v>
      </c>
      <c r="G3" s="734" t="s">
        <v>173</v>
      </c>
      <c r="H3" s="735" t="s">
        <v>174</v>
      </c>
      <c r="I3" s="735"/>
    </row>
    <row r="4" spans="1:16" ht="15.75" thickBot="1" x14ac:dyDescent="0.3">
      <c r="A4" s="732"/>
      <c r="B4" s="732"/>
      <c r="C4" s="733"/>
      <c r="D4" s="733"/>
      <c r="E4" s="734"/>
      <c r="F4" s="734"/>
      <c r="G4" s="734"/>
      <c r="H4" s="257" t="s">
        <v>160</v>
      </c>
      <c r="I4" s="258" t="s">
        <v>161</v>
      </c>
    </row>
    <row r="5" spans="1:16" ht="75" x14ac:dyDescent="0.25">
      <c r="A5" s="254">
        <v>1</v>
      </c>
      <c r="B5" s="268"/>
      <c r="C5" s="272" t="s">
        <v>163</v>
      </c>
      <c r="D5" s="256" t="s">
        <v>177</v>
      </c>
      <c r="E5" s="262">
        <v>2</v>
      </c>
      <c r="F5" s="262">
        <v>2</v>
      </c>
      <c r="G5" s="260">
        <f>E5*F5</f>
        <v>4</v>
      </c>
      <c r="H5" s="259">
        <v>2</v>
      </c>
      <c r="I5" s="261" t="str">
        <f>IF(H5=1,"Baixo",IF(H5=2,"Medio",IF(H5=3,"Alto","")))</f>
        <v>Medio</v>
      </c>
      <c r="M5" s="263" t="s">
        <v>162</v>
      </c>
      <c r="N5" s="262">
        <v>3</v>
      </c>
    </row>
    <row r="6" spans="1:16" ht="75" x14ac:dyDescent="0.25">
      <c r="A6" s="254">
        <v>2</v>
      </c>
      <c r="B6" s="271" t="s">
        <v>183</v>
      </c>
      <c r="C6" s="272" t="s">
        <v>184</v>
      </c>
      <c r="D6" s="270" t="s">
        <v>185</v>
      </c>
      <c r="E6" s="262">
        <v>3</v>
      </c>
      <c r="F6" s="262">
        <v>3</v>
      </c>
      <c r="G6" s="260">
        <f>E6*F6</f>
        <v>9</v>
      </c>
      <c r="H6" s="259">
        <v>3</v>
      </c>
      <c r="I6" s="261" t="str">
        <f t="shared" ref="I6:I10" si="0">IF(H6=1,"Baixo",IF(H6=2,"Medio",IF(H6=3,"Alto","")))</f>
        <v>Alto</v>
      </c>
      <c r="M6" s="263" t="s">
        <v>167</v>
      </c>
      <c r="N6" s="262">
        <v>2</v>
      </c>
    </row>
    <row r="7" spans="1:16" ht="60" x14ac:dyDescent="0.25">
      <c r="A7" s="254">
        <v>3</v>
      </c>
      <c r="B7" s="271" t="s">
        <v>183</v>
      </c>
      <c r="C7" s="272" t="s">
        <v>178</v>
      </c>
      <c r="D7" s="270" t="s">
        <v>179</v>
      </c>
      <c r="E7" s="262">
        <v>2</v>
      </c>
      <c r="F7" s="262">
        <v>2</v>
      </c>
      <c r="G7" s="260">
        <f t="shared" ref="G7:G10" si="1">E7*F7</f>
        <v>4</v>
      </c>
      <c r="H7" s="259">
        <v>2</v>
      </c>
      <c r="I7" s="261" t="str">
        <f t="shared" si="0"/>
        <v>Medio</v>
      </c>
      <c r="L7" s="46"/>
      <c r="M7" s="263" t="s">
        <v>168</v>
      </c>
      <c r="N7" s="262">
        <v>1</v>
      </c>
    </row>
    <row r="8" spans="1:16" ht="45" x14ac:dyDescent="0.25">
      <c r="A8" s="254">
        <v>4</v>
      </c>
      <c r="B8" s="273" t="s">
        <v>175</v>
      </c>
      <c r="C8" s="272" t="s">
        <v>165</v>
      </c>
      <c r="D8" s="256" t="s">
        <v>180</v>
      </c>
      <c r="E8" s="262">
        <v>2</v>
      </c>
      <c r="F8" s="262">
        <v>2</v>
      </c>
      <c r="G8" s="260">
        <f t="shared" si="1"/>
        <v>4</v>
      </c>
      <c r="H8" s="259">
        <v>2</v>
      </c>
      <c r="I8" s="261" t="str">
        <f t="shared" si="0"/>
        <v>Medio</v>
      </c>
    </row>
    <row r="9" spans="1:16" x14ac:dyDescent="0.25">
      <c r="A9" s="254">
        <v>5</v>
      </c>
      <c r="B9" s="268" t="s">
        <v>176</v>
      </c>
      <c r="C9" s="255" t="s">
        <v>164</v>
      </c>
      <c r="D9" s="256" t="s">
        <v>181</v>
      </c>
      <c r="E9" s="262">
        <v>3</v>
      </c>
      <c r="F9" s="262">
        <v>3</v>
      </c>
      <c r="G9" s="260">
        <f t="shared" si="1"/>
        <v>9</v>
      </c>
      <c r="H9" s="259">
        <v>3</v>
      </c>
      <c r="I9" s="261" t="str">
        <f t="shared" si="0"/>
        <v>Alto</v>
      </c>
    </row>
    <row r="10" spans="1:16" ht="30" x14ac:dyDescent="0.25">
      <c r="A10" s="274">
        <v>6</v>
      </c>
      <c r="B10" s="273" t="s">
        <v>186</v>
      </c>
      <c r="C10" s="272" t="s">
        <v>170</v>
      </c>
      <c r="D10" s="256" t="s">
        <v>182</v>
      </c>
      <c r="E10" s="262">
        <v>2</v>
      </c>
      <c r="F10" s="262">
        <v>1</v>
      </c>
      <c r="G10" s="260">
        <f t="shared" si="1"/>
        <v>2</v>
      </c>
      <c r="H10" s="259">
        <v>1</v>
      </c>
      <c r="I10" s="269" t="str">
        <f t="shared" si="0"/>
        <v>Baixo</v>
      </c>
    </row>
    <row r="12" spans="1:16" x14ac:dyDescent="0.25">
      <c r="E12" s="264" t="s">
        <v>169</v>
      </c>
      <c r="F12" s="264" t="s">
        <v>169</v>
      </c>
      <c r="H12" s="264" t="s">
        <v>169</v>
      </c>
    </row>
    <row r="15" spans="1:16" x14ac:dyDescent="0.25">
      <c r="D15" s="262"/>
      <c r="P15" s="46"/>
    </row>
    <row r="18" spans="3:3" x14ac:dyDescent="0.25">
      <c r="C18" s="255"/>
    </row>
    <row r="19" spans="3:3" x14ac:dyDescent="0.25">
      <c r="C19" s="255"/>
    </row>
    <row r="20" spans="3:3" x14ac:dyDescent="0.25">
      <c r="C20" s="255"/>
    </row>
    <row r="21" spans="3:3" x14ac:dyDescent="0.25">
      <c r="C21" s="255"/>
    </row>
    <row r="22" spans="3:3" x14ac:dyDescent="0.25">
      <c r="C22" s="255"/>
    </row>
    <row r="23" spans="3:3" x14ac:dyDescent="0.25">
      <c r="C23" s="255"/>
    </row>
  </sheetData>
  <mergeCells count="9">
    <mergeCell ref="A2:I2"/>
    <mergeCell ref="A3:A4"/>
    <mergeCell ref="C3:C4"/>
    <mergeCell ref="D3:D4"/>
    <mergeCell ref="E3:E4"/>
    <mergeCell ref="F3:F4"/>
    <mergeCell ref="G3:G4"/>
    <mergeCell ref="H3:I3"/>
    <mergeCell ref="B3:B4"/>
  </mergeCells>
  <conditionalFormatting sqref="C9:C10">
    <cfRule type="cellIs" dxfId="75" priority="90" stopIfTrue="1" operator="equal">
      <formula>"Satisfatório"</formula>
    </cfRule>
  </conditionalFormatting>
  <conditionalFormatting sqref="F4:F10">
    <cfRule type="cellIs" dxfId="74" priority="91" stopIfTrue="1" operator="equal">
      <formula>"Muito Alto"</formula>
    </cfRule>
    <cfRule type="cellIs" dxfId="73" priority="92" stopIfTrue="1" operator="equal">
      <formula>"Alto"</formula>
    </cfRule>
    <cfRule type="cellIs" dxfId="72" priority="93" stopIfTrue="1" operator="equal">
      <formula>"Moderado"</formula>
    </cfRule>
  </conditionalFormatting>
  <conditionalFormatting sqref="E5 E7">
    <cfRule type="cellIs" dxfId="71" priority="94" stopIfTrue="1" operator="equal">
      <formula>3</formula>
    </cfRule>
    <cfRule type="cellIs" dxfId="70" priority="95" stopIfTrue="1" operator="equal">
      <formula>2</formula>
    </cfRule>
    <cfRule type="cellIs" dxfId="69" priority="96" stopIfTrue="1" operator="equal">
      <formula>1</formula>
    </cfRule>
  </conditionalFormatting>
  <conditionalFormatting sqref="H5:H10">
    <cfRule type="cellIs" dxfId="68" priority="97" stopIfTrue="1" operator="notBetween">
      <formula>1</formula>
      <formula>3</formula>
    </cfRule>
  </conditionalFormatting>
  <conditionalFormatting sqref="I5:I9">
    <cfRule type="cellIs" dxfId="67" priority="98" stopIfTrue="1" operator="equal">
      <formula>""</formula>
    </cfRule>
    <cfRule type="cellIs" dxfId="66" priority="99" stopIfTrue="1" operator="equal">
      <formula>"Medio"</formula>
    </cfRule>
    <cfRule type="cellIs" dxfId="65" priority="100" stopIfTrue="1" operator="equal">
      <formula>"Alto"</formula>
    </cfRule>
  </conditionalFormatting>
  <conditionalFormatting sqref="F5:F10">
    <cfRule type="cellIs" dxfId="64" priority="101" stopIfTrue="1" operator="equal">
      <formula>3</formula>
    </cfRule>
    <cfRule type="cellIs" dxfId="63" priority="102" stopIfTrue="1" operator="equal">
      <formula>2</formula>
    </cfRule>
    <cfRule type="cellIs" dxfId="62" priority="103" stopIfTrue="1" operator="equal">
      <formula>1</formula>
    </cfRule>
  </conditionalFormatting>
  <conditionalFormatting sqref="N5">
    <cfRule type="cellIs" dxfId="61" priority="66" stopIfTrue="1" operator="equal">
      <formula>"Muito Alto"</formula>
    </cfRule>
    <cfRule type="cellIs" dxfId="60" priority="67" stopIfTrue="1" operator="equal">
      <formula>"Alto"</formula>
    </cfRule>
    <cfRule type="cellIs" dxfId="59" priority="68" stopIfTrue="1" operator="equal">
      <formula>"Moderado"</formula>
    </cfRule>
  </conditionalFormatting>
  <conditionalFormatting sqref="N6">
    <cfRule type="cellIs" dxfId="58" priority="78" stopIfTrue="1" operator="equal">
      <formula>"Muito Alto"</formula>
    </cfRule>
    <cfRule type="cellIs" dxfId="57" priority="79" stopIfTrue="1" operator="equal">
      <formula>"Alto"</formula>
    </cfRule>
    <cfRule type="cellIs" dxfId="56" priority="80" stopIfTrue="1" operator="equal">
      <formula>"Moderado"</formula>
    </cfRule>
  </conditionalFormatting>
  <conditionalFormatting sqref="N6">
    <cfRule type="cellIs" dxfId="55" priority="81" stopIfTrue="1" operator="equal">
      <formula>3</formula>
    </cfRule>
    <cfRule type="cellIs" dxfId="54" priority="82" stopIfTrue="1" operator="equal">
      <formula>2</formula>
    </cfRule>
    <cfRule type="cellIs" dxfId="53" priority="83" stopIfTrue="1" operator="equal">
      <formula>1</formula>
    </cfRule>
  </conditionalFormatting>
  <conditionalFormatting sqref="N7">
    <cfRule type="cellIs" dxfId="52" priority="72" stopIfTrue="1" operator="equal">
      <formula>"Muito Alto"</formula>
    </cfRule>
    <cfRule type="cellIs" dxfId="51" priority="73" stopIfTrue="1" operator="equal">
      <formula>"Alto"</formula>
    </cfRule>
    <cfRule type="cellIs" dxfId="50" priority="74" stopIfTrue="1" operator="equal">
      <formula>"Moderado"</formula>
    </cfRule>
  </conditionalFormatting>
  <conditionalFormatting sqref="N7">
    <cfRule type="cellIs" dxfId="49" priority="75" stopIfTrue="1" operator="equal">
      <formula>3</formula>
    </cfRule>
    <cfRule type="cellIs" dxfId="48" priority="76" stopIfTrue="1" operator="equal">
      <formula>2</formula>
    </cfRule>
    <cfRule type="cellIs" dxfId="47" priority="77" stopIfTrue="1" operator="equal">
      <formula>1</formula>
    </cfRule>
  </conditionalFormatting>
  <conditionalFormatting sqref="N5">
    <cfRule type="cellIs" dxfId="46" priority="69" stopIfTrue="1" operator="equal">
      <formula>3</formula>
    </cfRule>
    <cfRule type="cellIs" dxfId="45" priority="70" stopIfTrue="1" operator="equal">
      <formula>2</formula>
    </cfRule>
    <cfRule type="cellIs" dxfId="44" priority="71" stopIfTrue="1" operator="equal">
      <formula>1</formula>
    </cfRule>
  </conditionalFormatting>
  <conditionalFormatting sqref="D15">
    <cfRule type="cellIs" dxfId="43" priority="60" stopIfTrue="1" operator="equal">
      <formula>"Muito Alto"</formula>
    </cfRule>
    <cfRule type="cellIs" dxfId="42" priority="61" stopIfTrue="1" operator="equal">
      <formula>"Alto"</formula>
    </cfRule>
    <cfRule type="cellIs" dxfId="41" priority="62" stopIfTrue="1" operator="equal">
      <formula>"Moderado"</formula>
    </cfRule>
  </conditionalFormatting>
  <conditionalFormatting sqref="D15">
    <cfRule type="cellIs" dxfId="40" priority="63" stopIfTrue="1" operator="equal">
      <formula>3</formula>
    </cfRule>
    <cfRule type="cellIs" dxfId="39" priority="64" stopIfTrue="1" operator="equal">
      <formula>2</formula>
    </cfRule>
    <cfRule type="cellIs" dxfId="38" priority="65" stopIfTrue="1" operator="equal">
      <formula>1</formula>
    </cfRule>
  </conditionalFormatting>
  <conditionalFormatting sqref="E6">
    <cfRule type="cellIs" dxfId="37" priority="54" stopIfTrue="1" operator="equal">
      <formula>"Muito Alto"</formula>
    </cfRule>
    <cfRule type="cellIs" dxfId="36" priority="55" stopIfTrue="1" operator="equal">
      <formula>"Alto"</formula>
    </cfRule>
    <cfRule type="cellIs" dxfId="35" priority="56" stopIfTrue="1" operator="equal">
      <formula>"Moderado"</formula>
    </cfRule>
  </conditionalFormatting>
  <conditionalFormatting sqref="E6">
    <cfRule type="cellIs" dxfId="34" priority="57" stopIfTrue="1" operator="equal">
      <formula>3</formula>
    </cfRule>
    <cfRule type="cellIs" dxfId="33" priority="58" stopIfTrue="1" operator="equal">
      <formula>2</formula>
    </cfRule>
    <cfRule type="cellIs" dxfId="32" priority="59" stopIfTrue="1" operator="equal">
      <formula>1</formula>
    </cfRule>
  </conditionalFormatting>
  <conditionalFormatting sqref="E8">
    <cfRule type="cellIs" dxfId="31" priority="42" stopIfTrue="1" operator="equal">
      <formula>"Muito Alto"</formula>
    </cfRule>
    <cfRule type="cellIs" dxfId="30" priority="43" stopIfTrue="1" operator="equal">
      <formula>"Alto"</formula>
    </cfRule>
    <cfRule type="cellIs" dxfId="29" priority="44" stopIfTrue="1" operator="equal">
      <formula>"Moderado"</formula>
    </cfRule>
  </conditionalFormatting>
  <conditionalFormatting sqref="E8">
    <cfRule type="cellIs" dxfId="28" priority="45" stopIfTrue="1" operator="equal">
      <formula>3</formula>
    </cfRule>
    <cfRule type="cellIs" dxfId="27" priority="46" stopIfTrue="1" operator="equal">
      <formula>2</formula>
    </cfRule>
    <cfRule type="cellIs" dxfId="26" priority="47" stopIfTrue="1" operator="equal">
      <formula>1</formula>
    </cfRule>
  </conditionalFormatting>
  <conditionalFormatting sqref="E9">
    <cfRule type="cellIs" dxfId="25" priority="36" stopIfTrue="1" operator="equal">
      <formula>"Muito Alto"</formula>
    </cfRule>
    <cfRule type="cellIs" dxfId="24" priority="37" stopIfTrue="1" operator="equal">
      <formula>"Alto"</formula>
    </cfRule>
    <cfRule type="cellIs" dxfId="23" priority="38" stopIfTrue="1" operator="equal">
      <formula>"Moderado"</formula>
    </cfRule>
  </conditionalFormatting>
  <conditionalFormatting sqref="E9">
    <cfRule type="cellIs" dxfId="22" priority="39" stopIfTrue="1" operator="equal">
      <formula>3</formula>
    </cfRule>
    <cfRule type="cellIs" dxfId="21" priority="40" stopIfTrue="1" operator="equal">
      <formula>2</formula>
    </cfRule>
    <cfRule type="cellIs" dxfId="20" priority="41" stopIfTrue="1" operator="equal">
      <formula>1</formula>
    </cfRule>
  </conditionalFormatting>
  <conditionalFormatting sqref="E10">
    <cfRule type="cellIs" dxfId="19" priority="30" stopIfTrue="1" operator="equal">
      <formula>"Muito Alto"</formula>
    </cfRule>
    <cfRule type="cellIs" dxfId="18" priority="31" stopIfTrue="1" operator="equal">
      <formula>"Alto"</formula>
    </cfRule>
    <cfRule type="cellIs" dxfId="17" priority="32" stopIfTrue="1" operator="equal">
      <formula>"Moderado"</formula>
    </cfRule>
  </conditionalFormatting>
  <conditionalFormatting sqref="E10">
    <cfRule type="cellIs" dxfId="16" priority="33" stopIfTrue="1" operator="equal">
      <formula>3</formula>
    </cfRule>
    <cfRule type="cellIs" dxfId="15" priority="34" stopIfTrue="1" operator="equal">
      <formula>2</formula>
    </cfRule>
    <cfRule type="cellIs" dxfId="14" priority="35" stopIfTrue="1" operator="equal">
      <formula>1</formula>
    </cfRule>
  </conditionalFormatting>
  <conditionalFormatting sqref="G4">
    <cfRule type="cellIs" dxfId="13" priority="18" stopIfTrue="1" operator="equal">
      <formula>"Muito Alto"</formula>
    </cfRule>
    <cfRule type="cellIs" dxfId="12" priority="19" stopIfTrue="1" operator="equal">
      <formula>"Alto"</formula>
    </cfRule>
    <cfRule type="cellIs" dxfId="11" priority="20" stopIfTrue="1" operator="equal">
      <formula>"Moderado"</formula>
    </cfRule>
  </conditionalFormatting>
  <conditionalFormatting sqref="I10">
    <cfRule type="cellIs" dxfId="10" priority="6" stopIfTrue="1" operator="equal">
      <formula>"Muito Alto"</formula>
    </cfRule>
    <cfRule type="cellIs" dxfId="9" priority="7" stopIfTrue="1" operator="equal">
      <formula>"Alto"</formula>
    </cfRule>
    <cfRule type="cellIs" dxfId="8" priority="8" stopIfTrue="1" operator="equal">
      <formula>"Moderado"</formula>
    </cfRule>
  </conditionalFormatting>
  <conditionalFormatting sqref="I10">
    <cfRule type="cellIs" dxfId="7" priority="9" stopIfTrue="1" operator="equal">
      <formula>3</formula>
    </cfRule>
    <cfRule type="cellIs" dxfId="6" priority="10" stopIfTrue="1" operator="equal">
      <formula>2</formula>
    </cfRule>
    <cfRule type="cellIs" dxfId="5" priority="11" stopIfTrue="1" operator="equal">
      <formula>1</formula>
    </cfRule>
  </conditionalFormatting>
  <conditionalFormatting sqref="C18:C23">
    <cfRule type="cellIs" dxfId="4" priority="5" stopIfTrue="1" operator="equal">
      <formula>"Satisfatório"</formula>
    </cfRule>
  </conditionalFormatting>
  <conditionalFormatting sqref="C5">
    <cfRule type="cellIs" dxfId="3" priority="4" stopIfTrue="1" operator="equal">
      <formula>"Satisfatório"</formula>
    </cfRule>
  </conditionalFormatting>
  <conditionalFormatting sqref="C6">
    <cfRule type="cellIs" dxfId="2" priority="3" stopIfTrue="1" operator="equal">
      <formula>"Satisfatório"</formula>
    </cfRule>
  </conditionalFormatting>
  <conditionalFormatting sqref="C7">
    <cfRule type="cellIs" dxfId="1" priority="2" stopIfTrue="1" operator="equal">
      <formula>"Satisfatório"</formula>
    </cfRule>
  </conditionalFormatting>
  <conditionalFormatting sqref="C8">
    <cfRule type="cellIs" dxfId="0" priority="1" stopIfTrue="1" operator="equal">
      <formula>"Satisfatório"</formula>
    </cfRule>
  </conditionalFormatting>
  <dataValidations count="1">
    <dataValidation type="whole" allowBlank="1" showErrorMessage="1" sqref="E5:F10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F27" sqref="F27"/>
    </sheetView>
  </sheetViews>
  <sheetFormatPr defaultColWidth="8.85546875" defaultRowHeight="15" x14ac:dyDescent="0.25"/>
  <cols>
    <col min="1" max="1" width="4.42578125" customWidth="1"/>
    <col min="2" max="2" width="48.85546875" customWidth="1"/>
    <col min="3" max="4" width="18.42578125" customWidth="1"/>
    <col min="5" max="5" width="18.7109375" customWidth="1"/>
    <col min="6" max="6" width="18.42578125" customWidth="1"/>
  </cols>
  <sheetData>
    <row r="1" spans="1:6" x14ac:dyDescent="0.25">
      <c r="A1" s="275" t="s">
        <v>187</v>
      </c>
    </row>
    <row r="4" spans="1:6" ht="15.75" thickBot="1" x14ac:dyDescent="0.3"/>
    <row r="5" spans="1:6" ht="30.75" thickBot="1" x14ac:dyDescent="0.3">
      <c r="A5" s="266" t="s">
        <v>142</v>
      </c>
      <c r="B5" s="267" t="s">
        <v>125</v>
      </c>
      <c r="C5" s="276" t="s">
        <v>215</v>
      </c>
      <c r="D5" s="276" t="s">
        <v>190</v>
      </c>
      <c r="E5" s="276" t="s">
        <v>188</v>
      </c>
      <c r="F5" s="276" t="s">
        <v>189</v>
      </c>
    </row>
    <row r="6" spans="1:6" ht="15.75" thickBot="1" x14ac:dyDescent="0.3">
      <c r="A6" s="265" t="str">
        <f>'1.Usos&amp;Fontes'!A7</f>
        <v>I</v>
      </c>
      <c r="B6" s="279" t="str">
        <f>'1.Usos&amp;Fontes'!B7</f>
        <v>COMPONENTE 1  - FORTALECIMENTO INSTITUCIONAL</v>
      </c>
      <c r="C6" s="283"/>
      <c r="D6" s="283"/>
      <c r="E6" s="283"/>
      <c r="F6" s="283"/>
    </row>
    <row r="7" spans="1:6" ht="15.75" thickBot="1" x14ac:dyDescent="0.3">
      <c r="A7" s="278" t="e">
        <f>'1.Usos&amp;Fontes'!#REF!</f>
        <v>#REF!</v>
      </c>
      <c r="B7" s="280" t="e">
        <f>'1.Usos&amp;Fontes'!#REF!</f>
        <v>#REF!</v>
      </c>
      <c r="C7" s="281"/>
      <c r="D7" s="281" t="s">
        <v>191</v>
      </c>
      <c r="E7" s="281" t="s">
        <v>191</v>
      </c>
      <c r="F7" s="281" t="s">
        <v>192</v>
      </c>
    </row>
    <row r="8" spans="1:6" ht="23.25" thickBot="1" x14ac:dyDescent="0.3">
      <c r="A8" s="278" t="str">
        <f>'1.Usos&amp;Fontes'!A8</f>
        <v>1.1</v>
      </c>
      <c r="B8" s="280" t="str">
        <f>'1.Usos&amp;Fontes'!B8</f>
        <v>Fortalecimento Institucional  SEMA - Sistema Distrital de Informações Ambientais</v>
      </c>
      <c r="C8" s="281"/>
      <c r="D8" s="281" t="s">
        <v>193</v>
      </c>
      <c r="E8" s="281" t="s">
        <v>193</v>
      </c>
      <c r="F8" s="281" t="s">
        <v>194</v>
      </c>
    </row>
    <row r="9" spans="1:6" ht="23.25" thickBot="1" x14ac:dyDescent="0.3">
      <c r="A9" s="278" t="str">
        <f>'1.Usos&amp;Fontes'!A9</f>
        <v>1.2</v>
      </c>
      <c r="B9" s="280" t="str">
        <f>'1.Usos&amp;Fontes'!B9</f>
        <v>Fortalecimento Institucional - IBRAM - Melhoria dos processos de licenciamento</v>
      </c>
      <c r="C9" s="281"/>
      <c r="D9" s="281" t="s">
        <v>195</v>
      </c>
      <c r="E9" s="281" t="s">
        <v>196</v>
      </c>
      <c r="F9" s="281" t="s">
        <v>194</v>
      </c>
    </row>
    <row r="10" spans="1:6" ht="15.75" thickBot="1" x14ac:dyDescent="0.3">
      <c r="A10" s="278" t="str">
        <f>'1.Usos&amp;Fontes'!A10</f>
        <v>1.3</v>
      </c>
      <c r="B10" s="280" t="str">
        <f>'1.Usos&amp;Fontes'!B10</f>
        <v xml:space="preserve"> Fortalecimento Institucional do SLU - Automatização de processos</v>
      </c>
      <c r="C10" s="281"/>
      <c r="D10" s="281" t="s">
        <v>197</v>
      </c>
      <c r="E10" s="281" t="s">
        <v>197</v>
      </c>
      <c r="F10" s="281" t="s">
        <v>198</v>
      </c>
    </row>
    <row r="11" spans="1:6" ht="15.75" thickBot="1" x14ac:dyDescent="0.3">
      <c r="A11" s="278" t="e">
        <f>'1.Usos&amp;Fontes'!#REF!</f>
        <v>#REF!</v>
      </c>
      <c r="B11" s="280" t="e">
        <f>'1.Usos&amp;Fontes'!#REF!</f>
        <v>#REF!</v>
      </c>
      <c r="C11" s="281"/>
      <c r="D11" s="281" t="s">
        <v>199</v>
      </c>
      <c r="E11" s="281" t="s">
        <v>199</v>
      </c>
      <c r="F11" s="281" t="s">
        <v>200</v>
      </c>
    </row>
    <row r="12" spans="1:6" ht="15.75" thickBot="1" x14ac:dyDescent="0.3">
      <c r="A12" s="278" t="str">
        <f>'1.Usos&amp;Fontes'!A11</f>
        <v>1.4</v>
      </c>
      <c r="B12" s="280" t="str">
        <f>'1.Usos&amp;Fontes'!B11</f>
        <v xml:space="preserve"> Fortalecimento Institucional SINESP</v>
      </c>
      <c r="C12" s="281"/>
      <c r="D12" s="281"/>
      <c r="E12" s="281"/>
      <c r="F12" s="281"/>
    </row>
    <row r="13" spans="1:6" ht="23.25" customHeight="1" thickBot="1" x14ac:dyDescent="0.3">
      <c r="A13" s="265" t="str">
        <f>'1.Usos&amp;Fontes'!A15</f>
        <v xml:space="preserve">II </v>
      </c>
      <c r="B13" s="736" t="str">
        <f>'1.Usos&amp;Fontes'!B15:I15</f>
        <v xml:space="preserve">COMPONENTE 2  - GESTÃO DE RESÍDUOS SÓLIDOS E INCLUSÃO SOCIAL </v>
      </c>
      <c r="C13" s="737"/>
      <c r="D13" s="283"/>
      <c r="E13" s="283"/>
      <c r="F13" s="283"/>
    </row>
    <row r="14" spans="1:6" ht="15.75" thickBot="1" x14ac:dyDescent="0.3">
      <c r="A14" s="278" t="str">
        <f>'1.Usos&amp;Fontes'!A16</f>
        <v>2.1</v>
      </c>
      <c r="B14" s="280" t="str">
        <f>'1.Usos&amp;Fontes'!B16</f>
        <v>Reforma e recapacitação da unidade de Compostagem do Psul</v>
      </c>
      <c r="C14" s="281"/>
      <c r="D14" s="281" t="s">
        <v>201</v>
      </c>
      <c r="E14" s="281" t="s">
        <v>197</v>
      </c>
      <c r="F14" s="281" t="s">
        <v>198</v>
      </c>
    </row>
    <row r="15" spans="1:6" ht="34.5" thickBot="1" x14ac:dyDescent="0.3">
      <c r="A15" s="278" t="str">
        <f>'1.Usos&amp;Fontes'!A17</f>
        <v>2.2</v>
      </c>
      <c r="B15" s="280" t="str">
        <f>'1.Usos&amp;Fontes'!B17</f>
        <v>Programa de capacitação e assistência técnica a cooperativas e catadores em Centros de Triagem por 2 anos, completando os 5 anos planejados.</v>
      </c>
      <c r="C15" s="281"/>
      <c r="D15" s="282" t="s">
        <v>202</v>
      </c>
      <c r="E15" s="282" t="s">
        <v>199</v>
      </c>
      <c r="F15" s="282" t="s">
        <v>200</v>
      </c>
    </row>
    <row r="16" spans="1:6" ht="23.25" thickBot="1" x14ac:dyDescent="0.3">
      <c r="A16" s="278" t="str">
        <f>'1.Usos&amp;Fontes'!A18</f>
        <v>2.3</v>
      </c>
      <c r="B16" s="280" t="str">
        <f>'1.Usos&amp;Fontes'!B18</f>
        <v>Programa de capacitação e assistência Técnica dos Catadores que optarem para migração em outros setores da economia</v>
      </c>
      <c r="C16" s="281"/>
      <c r="D16" s="282" t="s">
        <v>202</v>
      </c>
      <c r="E16" s="282" t="s">
        <v>199</v>
      </c>
      <c r="F16" s="282" t="s">
        <v>200</v>
      </c>
    </row>
    <row r="17" spans="1:6" ht="15.75" thickBot="1" x14ac:dyDescent="0.3">
      <c r="A17" s="278" t="str">
        <f>'1.Usos&amp;Fontes'!A19</f>
        <v>2.4</v>
      </c>
      <c r="B17" s="280" t="str">
        <f>'1.Usos&amp;Fontes'!B19</f>
        <v>Construção de Centros de Triagem</v>
      </c>
      <c r="C17" s="281"/>
      <c r="D17" s="282" t="s">
        <v>201</v>
      </c>
      <c r="E17" s="282" t="s">
        <v>207</v>
      </c>
      <c r="F17" s="282" t="s">
        <v>198</v>
      </c>
    </row>
    <row r="18" spans="1:6" ht="23.25" thickBot="1" x14ac:dyDescent="0.3">
      <c r="A18" s="278" t="str">
        <f>'1.Usos&amp;Fontes'!A20</f>
        <v>2.5</v>
      </c>
      <c r="B18" s="280" t="str">
        <f>'1.Usos&amp;Fontes'!B20</f>
        <v>Reforma e recapacitação da  unidade  de Compostagem da  Asa Sul - L4</v>
      </c>
      <c r="C18" s="281"/>
      <c r="D18" s="282" t="s">
        <v>201</v>
      </c>
      <c r="E18" s="282" t="s">
        <v>197</v>
      </c>
      <c r="F18" s="282" t="s">
        <v>198</v>
      </c>
    </row>
    <row r="19" spans="1:6" ht="15.75" thickBot="1" x14ac:dyDescent="0.3">
      <c r="A19" s="278" t="str">
        <f>'1.Usos&amp;Fontes'!A21</f>
        <v>2.6</v>
      </c>
      <c r="B19" s="280" t="str">
        <f>'1.Usos&amp;Fontes'!B21</f>
        <v>Apoio ao Sistema de gestão dos resíduos sólidos do SLU</v>
      </c>
      <c r="C19" s="281"/>
      <c r="D19" s="281" t="s">
        <v>203</v>
      </c>
      <c r="E19" s="281" t="s">
        <v>204</v>
      </c>
      <c r="F19" s="281" t="s">
        <v>205</v>
      </c>
    </row>
    <row r="20" spans="1:6" ht="15.75" thickBot="1" x14ac:dyDescent="0.3">
      <c r="A20" s="278" t="str">
        <f>'1.Usos&amp;Fontes'!A22</f>
        <v>2.7</v>
      </c>
      <c r="B20" s="280" t="str">
        <f>'1.Usos&amp;Fontes'!B22</f>
        <v>Elaboração de projetos  para centro de transbordo</v>
      </c>
      <c r="C20" s="281"/>
      <c r="D20" s="282" t="s">
        <v>201</v>
      </c>
      <c r="E20" s="282" t="s">
        <v>206</v>
      </c>
      <c r="F20" s="282" t="s">
        <v>198</v>
      </c>
    </row>
    <row r="21" spans="1:6" ht="15.75" thickBot="1" x14ac:dyDescent="0.3">
      <c r="A21" s="278" t="str">
        <f>'1.Usos&amp;Fontes'!A23</f>
        <v>2.8</v>
      </c>
      <c r="B21" s="280" t="str">
        <f>'1.Usos&amp;Fontes'!B23</f>
        <v>Fechamento do lixão do Jóquei e Recuperação Ambiental</v>
      </c>
      <c r="C21" s="281"/>
      <c r="D21" s="282" t="s">
        <v>201</v>
      </c>
      <c r="E21" s="282" t="s">
        <v>197</v>
      </c>
      <c r="F21" s="282" t="s">
        <v>198</v>
      </c>
    </row>
    <row r="22" spans="1:6" ht="23.25" customHeight="1" thickBot="1" x14ac:dyDescent="0.3">
      <c r="A22" s="265" t="str">
        <f>'1.Usos&amp;Fontes'!A28</f>
        <v>III</v>
      </c>
      <c r="B22" s="736" t="str">
        <f>'1.Usos&amp;Fontes'!B28:I28</f>
        <v xml:space="preserve">COMPONENTE 3  -  READEQUAÇÃO URBANA DO CONDOMÍNIO PÔR DO SOL </v>
      </c>
      <c r="C22" s="737"/>
      <c r="D22" s="281"/>
      <c r="E22" s="281"/>
      <c r="F22" s="281"/>
    </row>
    <row r="23" spans="1:6" ht="15.75" thickBot="1" x14ac:dyDescent="0.3">
      <c r="A23" s="278" t="str">
        <f>'1.Usos&amp;Fontes'!A29</f>
        <v>3.1</v>
      </c>
      <c r="B23" s="280" t="str">
        <f>'1.Usos&amp;Fontes'!B29</f>
        <v xml:space="preserve"> Rede de Drenagem  Pluvial - Bacia IV C  </v>
      </c>
      <c r="C23" s="281"/>
      <c r="D23" s="281" t="s">
        <v>209</v>
      </c>
      <c r="E23" s="281" t="s">
        <v>208</v>
      </c>
      <c r="F23" s="281" t="s">
        <v>210</v>
      </c>
    </row>
    <row r="24" spans="1:6" ht="15.75" thickBot="1" x14ac:dyDescent="0.3">
      <c r="A24" s="278" t="str">
        <f>'1.Usos&amp;Fontes'!A30</f>
        <v>3.2</v>
      </c>
      <c r="B24" s="280" t="str">
        <f>'1.Usos&amp;Fontes'!B30</f>
        <v>Rede de Microdrenagem</v>
      </c>
      <c r="C24" s="281"/>
      <c r="D24" s="281" t="s">
        <v>209</v>
      </c>
      <c r="E24" s="281" t="s">
        <v>208</v>
      </c>
      <c r="F24" s="281" t="s">
        <v>210</v>
      </c>
    </row>
    <row r="25" spans="1:6" ht="15.75" thickBot="1" x14ac:dyDescent="0.3">
      <c r="A25" s="278" t="str">
        <f>'1.Usos&amp;Fontes'!A31</f>
        <v>3.3</v>
      </c>
      <c r="B25" s="280" t="str">
        <f>'1.Usos&amp;Fontes'!B31</f>
        <v>Saneamento Básico - água e esgoto</v>
      </c>
      <c r="C25" s="281"/>
      <c r="D25" s="281" t="s">
        <v>209</v>
      </c>
      <c r="E25" s="281" t="s">
        <v>208</v>
      </c>
      <c r="F25" s="281" t="s">
        <v>210</v>
      </c>
    </row>
    <row r="26" spans="1:6" ht="15.75" thickBot="1" x14ac:dyDescent="0.3">
      <c r="A26" s="278" t="str">
        <f>'1.Usos&amp;Fontes'!A32</f>
        <v>3.4</v>
      </c>
      <c r="B26" s="280" t="str">
        <f>'1.Usos&amp;Fontes'!B32</f>
        <v>Pavimentação das Vias Arteriais, Coletoras e Locais</v>
      </c>
      <c r="C26" s="281"/>
      <c r="D26" s="281" t="s">
        <v>209</v>
      </c>
      <c r="E26" s="281" t="s">
        <v>208</v>
      </c>
      <c r="F26" s="281" t="s">
        <v>210</v>
      </c>
    </row>
    <row r="27" spans="1:6" ht="15.75" thickBot="1" x14ac:dyDescent="0.3">
      <c r="A27" s="278" t="str">
        <f>'1.Usos&amp;Fontes'!A33</f>
        <v>3.5</v>
      </c>
      <c r="B27" s="280" t="str">
        <f>'1.Usos&amp;Fontes'!B33</f>
        <v>Mobilidade e Acessibilidade</v>
      </c>
      <c r="C27" s="281"/>
      <c r="D27" s="281" t="s">
        <v>209</v>
      </c>
      <c r="E27" s="281" t="s">
        <v>208</v>
      </c>
      <c r="F27" s="281" t="s">
        <v>210</v>
      </c>
    </row>
    <row r="28" spans="1:6" ht="15.75" thickBot="1" x14ac:dyDescent="0.3">
      <c r="A28" s="278" t="str">
        <f>'1.Usos&amp;Fontes'!A34</f>
        <v>3.6</v>
      </c>
      <c r="B28" s="280" t="str">
        <f>'1.Usos&amp;Fontes'!B34</f>
        <v>Programa de Reassentamento</v>
      </c>
      <c r="C28" s="281"/>
      <c r="D28" s="281" t="s">
        <v>211</v>
      </c>
      <c r="E28" s="281" t="s">
        <v>211</v>
      </c>
      <c r="F28" s="281" t="s">
        <v>212</v>
      </c>
    </row>
    <row r="29" spans="1:6" ht="15.75" thickBot="1" x14ac:dyDescent="0.3">
      <c r="A29" s="278" t="str">
        <f>'1.Usos&amp;Fontes'!A35</f>
        <v>3.7</v>
      </c>
      <c r="B29" s="280" t="str">
        <f>'1.Usos&amp;Fontes'!B35</f>
        <v>Ações de  Recuperação de Áreas Degradadas  (RAA)</v>
      </c>
      <c r="C29" s="281"/>
      <c r="D29" s="281" t="s">
        <v>193</v>
      </c>
      <c r="E29" s="281" t="s">
        <v>213</v>
      </c>
      <c r="F29" s="281" t="s">
        <v>194</v>
      </c>
    </row>
    <row r="30" spans="1:6" ht="15.75" thickBot="1" x14ac:dyDescent="0.3">
      <c r="A30" s="278" t="str">
        <f>'1.Usos&amp;Fontes'!A36</f>
        <v>3.8</v>
      </c>
      <c r="B30" s="280" t="str">
        <f>'1.Usos&amp;Fontes'!B36</f>
        <v>Estudos e Projetos de Recuperação Ambiental e Sondagem</v>
      </c>
      <c r="C30" s="281"/>
      <c r="D30" s="281" t="s">
        <v>193</v>
      </c>
      <c r="E30" s="281" t="s">
        <v>213</v>
      </c>
      <c r="F30" s="281" t="s">
        <v>194</v>
      </c>
    </row>
    <row r="31" spans="1:6" ht="15.75" thickBot="1" x14ac:dyDescent="0.3">
      <c r="A31" s="278" t="str">
        <f>'1.Usos&amp;Fontes'!A37</f>
        <v>3.9</v>
      </c>
      <c r="B31" s="280" t="str">
        <f>'1.Usos&amp;Fontes'!B37</f>
        <v>Programa de Educação Sanitária e Ambiental  (RAA)</v>
      </c>
      <c r="C31" s="281"/>
      <c r="D31" s="281" t="s">
        <v>193</v>
      </c>
      <c r="E31" s="281" t="s">
        <v>213</v>
      </c>
      <c r="F31" s="281" t="s">
        <v>194</v>
      </c>
    </row>
    <row r="32" spans="1:6" ht="23.25" thickBot="1" x14ac:dyDescent="0.3">
      <c r="A32" s="278" t="str">
        <f>'1.Usos&amp;Fontes'!A38</f>
        <v>3.10</v>
      </c>
      <c r="B32" s="280" t="str">
        <f>'1.Usos&amp;Fontes'!B38</f>
        <v>Equipamentos sociais (Escola, CRAS, C. Comunitário, Creche, P. Policial)</v>
      </c>
      <c r="C32" s="281"/>
      <c r="D32" s="281" t="s">
        <v>209</v>
      </c>
      <c r="E32" s="281" t="s">
        <v>208</v>
      </c>
      <c r="F32" s="281" t="s">
        <v>210</v>
      </c>
    </row>
    <row r="33" spans="1:6" ht="15.75" thickBot="1" x14ac:dyDescent="0.3">
      <c r="A33" s="278" t="str">
        <f>'1.Usos&amp;Fontes'!A39</f>
        <v>3.11</v>
      </c>
      <c r="B33" s="280" t="str">
        <f>'1.Usos&amp;Fontes'!B39</f>
        <v>Capacitação para a geração  de emprego e renda</v>
      </c>
      <c r="C33" s="281"/>
      <c r="D33" s="281" t="s">
        <v>199</v>
      </c>
      <c r="E33" s="281" t="s">
        <v>199</v>
      </c>
      <c r="F33" s="281" t="s">
        <v>200</v>
      </c>
    </row>
    <row r="34" spans="1:6" ht="15.75" thickBot="1" x14ac:dyDescent="0.3">
      <c r="A34" s="278" t="str">
        <f>'1.Usos&amp;Fontes'!A40</f>
        <v>3.12</v>
      </c>
      <c r="B34" s="280" t="str">
        <f>'1.Usos&amp;Fontes'!B40</f>
        <v>Construção de  561 casas populares</v>
      </c>
      <c r="C34" s="281"/>
      <c r="D34" s="281" t="s">
        <v>209</v>
      </c>
      <c r="E34" s="281" t="s">
        <v>208</v>
      </c>
      <c r="F34" s="281" t="s">
        <v>210</v>
      </c>
    </row>
    <row r="35" spans="1:6" ht="15.75" thickBot="1" x14ac:dyDescent="0.3">
      <c r="A35" s="265" t="str">
        <f>'1.Usos&amp;Fontes'!A42</f>
        <v>IV</v>
      </c>
      <c r="B35" s="279" t="str">
        <f>'1.Usos&amp;Fontes'!B42:I42</f>
        <v xml:space="preserve">GERENCIAMENTO E MONITORAMENTO </v>
      </c>
      <c r="C35" s="283"/>
      <c r="D35" s="283"/>
      <c r="E35" s="283"/>
      <c r="F35" s="283"/>
    </row>
    <row r="36" spans="1:6" ht="23.25" thickBot="1" x14ac:dyDescent="0.3">
      <c r="A36" s="278" t="str">
        <f>'1.Usos&amp;Fontes'!A43</f>
        <v>4.1</v>
      </c>
      <c r="B36" s="280" t="str">
        <f>'1.Usos&amp;Fontes'!B43</f>
        <v>Gerenciamento e Monitoramento do Programa e Supervisão do Programa</v>
      </c>
      <c r="C36" s="281" t="s">
        <v>214</v>
      </c>
      <c r="D36" s="281" t="s">
        <v>214</v>
      </c>
      <c r="E36" s="281" t="s">
        <v>214</v>
      </c>
      <c r="F36" s="281" t="s">
        <v>214</v>
      </c>
    </row>
  </sheetData>
  <mergeCells count="2">
    <mergeCell ref="B13:C13"/>
    <mergeCell ref="B22:C22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Q70"/>
  <sheetViews>
    <sheetView tabSelected="1" view="pageBreakPreview" zoomScale="115" zoomScaleNormal="130" zoomScaleSheetLayoutView="115" zoomScalePageLayoutView="130" workbookViewId="0">
      <pane ySplit="6" topLeftCell="A7" activePane="bottomLeft" state="frozen"/>
      <selection pane="bottomLeft" activeCell="B23" sqref="B23"/>
    </sheetView>
  </sheetViews>
  <sheetFormatPr defaultColWidth="8.85546875" defaultRowHeight="15" x14ac:dyDescent="0.25"/>
  <cols>
    <col min="1" max="1" width="7.85546875" style="1" customWidth="1"/>
    <col min="2" max="2" width="55.140625" style="1" customWidth="1"/>
    <col min="3" max="3" width="6.42578125" style="1" customWidth="1"/>
    <col min="4" max="4" width="12.42578125" style="1" bestFit="1" customWidth="1"/>
    <col min="5" max="5" width="16.28515625" style="1" bestFit="1" customWidth="1"/>
    <col min="6" max="6" width="6.42578125" style="1" customWidth="1"/>
    <col min="7" max="7" width="12" style="1" bestFit="1" customWidth="1"/>
    <col min="8" max="9" width="16.85546875" style="1" customWidth="1"/>
    <col min="10" max="10" width="3.42578125" style="1" customWidth="1"/>
    <col min="11" max="11" width="17.28515625" style="1" customWidth="1"/>
    <col min="12" max="12" width="11.7109375" style="1" customWidth="1"/>
    <col min="13" max="13" width="15.140625" style="1" bestFit="1" customWidth="1"/>
    <col min="14" max="14" width="15.28515625" style="1" customWidth="1"/>
    <col min="15" max="15" width="26.7109375" style="1" customWidth="1"/>
    <col min="16" max="16" width="18.28515625" style="1" customWidth="1"/>
    <col min="17" max="17" width="17.5703125" style="1" customWidth="1"/>
    <col min="18" max="16384" width="8.85546875" style="1"/>
  </cols>
  <sheetData>
    <row r="1" spans="1:17" ht="18.75" x14ac:dyDescent="0.25">
      <c r="B1" s="85" t="s">
        <v>118</v>
      </c>
      <c r="J1" s="3"/>
      <c r="K1" s="3"/>
      <c r="L1" s="3"/>
      <c r="O1" s="1" t="s">
        <v>256</v>
      </c>
      <c r="P1" s="3" t="s">
        <v>255</v>
      </c>
      <c r="Q1" s="3" t="s">
        <v>254</v>
      </c>
    </row>
    <row r="2" spans="1:17" ht="15.75" thickBot="1" x14ac:dyDescent="0.3">
      <c r="B2" s="1" t="s">
        <v>109</v>
      </c>
      <c r="C2" s="589" t="s">
        <v>241</v>
      </c>
      <c r="D2" s="589"/>
      <c r="E2" s="589"/>
      <c r="F2" s="589"/>
      <c r="G2" s="589"/>
      <c r="H2" s="589"/>
      <c r="I2" s="139">
        <v>3</v>
      </c>
      <c r="J2" s="3"/>
      <c r="K2" s="26"/>
      <c r="L2" s="3"/>
      <c r="O2" s="19">
        <f>H17+H18+H21+H22+H24+H34+H35+H36+H37+H39</f>
        <v>16080906</v>
      </c>
      <c r="P2" s="26">
        <f>H16+H19+H20+H25</f>
        <v>35725764</v>
      </c>
      <c r="Q2" s="26">
        <f>H29+H30+H31+H32+H33+H38+H40</f>
        <v>30693330</v>
      </c>
    </row>
    <row r="3" spans="1:17" ht="15.75" thickBot="1" x14ac:dyDescent="0.3">
      <c r="A3" s="590" t="s">
        <v>12</v>
      </c>
      <c r="B3" s="591"/>
      <c r="C3" s="591"/>
      <c r="D3" s="591"/>
      <c r="E3" s="591"/>
      <c r="F3" s="591"/>
      <c r="G3" s="591"/>
      <c r="H3" s="591"/>
      <c r="I3" s="591"/>
      <c r="J3" s="3"/>
      <c r="K3" s="3">
        <v>20564636</v>
      </c>
      <c r="L3" s="3"/>
      <c r="N3" s="1" t="e">
        <f>P20/3</f>
        <v>#VALUE!</v>
      </c>
    </row>
    <row r="4" spans="1:17" x14ac:dyDescent="0.25">
      <c r="A4" s="606" t="s">
        <v>0</v>
      </c>
      <c r="B4" s="607"/>
      <c r="C4" s="592" t="s">
        <v>65</v>
      </c>
      <c r="D4" s="593"/>
      <c r="E4" s="594"/>
      <c r="F4" s="598" t="s">
        <v>4</v>
      </c>
      <c r="G4" s="599"/>
      <c r="H4" s="600"/>
      <c r="I4" s="604" t="s">
        <v>50</v>
      </c>
      <c r="J4" s="3"/>
      <c r="K4" s="26">
        <f>'Quadro de Custos do ProgramaBID'!F1</f>
        <v>0</v>
      </c>
      <c r="L4" s="3"/>
      <c r="O4" s="1" t="s">
        <v>257</v>
      </c>
      <c r="P4" s="1" t="s">
        <v>258</v>
      </c>
      <c r="Q4" s="1" t="s">
        <v>259</v>
      </c>
    </row>
    <row r="5" spans="1:17" ht="15.75" thickBot="1" x14ac:dyDescent="0.3">
      <c r="A5" s="608"/>
      <c r="B5" s="609"/>
      <c r="C5" s="595"/>
      <c r="D5" s="596"/>
      <c r="E5" s="597"/>
      <c r="F5" s="601"/>
      <c r="G5" s="602"/>
      <c r="H5" s="603"/>
      <c r="I5" s="605"/>
      <c r="J5" s="192"/>
      <c r="K5" s="3">
        <v>20564636</v>
      </c>
      <c r="L5" s="3"/>
      <c r="O5" s="19">
        <f>E17+E18+E21+E22+E24+E34+E35+E36+E37+E39</f>
        <v>13558506</v>
      </c>
      <c r="P5" s="19">
        <f>E16+E19+E20+E25</f>
        <v>5418234</v>
      </c>
      <c r="Q5" s="19">
        <f>E29+E30+E31+E32+E33+E38+E40</f>
        <v>16327630</v>
      </c>
    </row>
    <row r="6" spans="1:17" ht="15.75" thickBot="1" x14ac:dyDescent="0.3">
      <c r="A6" s="608"/>
      <c r="B6" s="609"/>
      <c r="C6" s="4" t="s">
        <v>5</v>
      </c>
      <c r="D6" s="5" t="s">
        <v>10</v>
      </c>
      <c r="E6" s="5" t="s">
        <v>6</v>
      </c>
      <c r="F6" s="4" t="s">
        <v>5</v>
      </c>
      <c r="G6" s="5" t="s">
        <v>10</v>
      </c>
      <c r="H6" s="5" t="s">
        <v>6</v>
      </c>
      <c r="I6" s="117"/>
      <c r="J6" s="3"/>
      <c r="K6" s="3"/>
      <c r="L6" s="3"/>
      <c r="O6" s="19">
        <f>O5+P5+Q5</f>
        <v>35304370</v>
      </c>
    </row>
    <row r="7" spans="1:17" s="102" customFormat="1" ht="15.75" thickBot="1" x14ac:dyDescent="0.3">
      <c r="A7" s="125" t="s">
        <v>51</v>
      </c>
      <c r="B7" s="116" t="s">
        <v>58</v>
      </c>
      <c r="C7" s="103"/>
      <c r="D7" s="103"/>
      <c r="E7" s="103"/>
      <c r="F7" s="103"/>
      <c r="G7" s="103"/>
      <c r="H7" s="103"/>
      <c r="I7" s="103"/>
      <c r="J7" s="3"/>
      <c r="K7" s="3"/>
      <c r="L7" s="193"/>
      <c r="M7" s="193"/>
      <c r="N7" s="193"/>
    </row>
    <row r="8" spans="1:17" ht="23.25" thickBot="1" x14ac:dyDescent="0.3">
      <c r="A8" s="101" t="s">
        <v>35</v>
      </c>
      <c r="B8" s="20" t="s">
        <v>237</v>
      </c>
      <c r="C8" s="138">
        <f t="shared" ref="C8:C11" si="0">E8/I8</f>
        <v>0</v>
      </c>
      <c r="D8" s="415">
        <f t="shared" ref="D8:D11" si="1">E8*$I$2</f>
        <v>0</v>
      </c>
      <c r="E8" s="6"/>
      <c r="F8" s="138">
        <f t="shared" ref="F8:F11" si="2">H8/I8</f>
        <v>1</v>
      </c>
      <c r="G8" s="415">
        <f t="shared" ref="G8:G11" si="3">H8*$I$2</f>
        <v>3000000</v>
      </c>
      <c r="H8" s="6">
        <v>1000000</v>
      </c>
      <c r="I8" s="114">
        <f t="shared" ref="I8:I11" si="4">E8+H8</f>
        <v>1000000</v>
      </c>
      <c r="J8" s="30"/>
      <c r="K8" s="563" t="s">
        <v>122</v>
      </c>
      <c r="L8" s="563"/>
      <c r="M8" s="29" t="e">
        <f>(#REF!*0.07)+(0.07*G8)+(G9*0.01)+(G10*0.15)+(#REF!*0.07)+(G11*0.07)</f>
        <v>#REF!</v>
      </c>
      <c r="N8" s="211" t="e">
        <f t="shared" ref="N8" si="5">M8/M$10</f>
        <v>#REF!</v>
      </c>
    </row>
    <row r="9" spans="1:17" ht="23.25" thickBot="1" x14ac:dyDescent="0.3">
      <c r="A9" s="101" t="s">
        <v>36</v>
      </c>
      <c r="B9" s="20" t="s">
        <v>61</v>
      </c>
      <c r="C9" s="138">
        <f t="shared" si="0"/>
        <v>0</v>
      </c>
      <c r="D9" s="415">
        <f t="shared" si="1"/>
        <v>0</v>
      </c>
      <c r="E9" s="6"/>
      <c r="F9" s="341">
        <f t="shared" si="2"/>
        <v>1</v>
      </c>
      <c r="G9" s="414">
        <f>H9*$I$2</f>
        <v>3000000</v>
      </c>
      <c r="H9" s="342">
        <v>1000000</v>
      </c>
      <c r="I9" s="343">
        <f>E9+H9</f>
        <v>1000000</v>
      </c>
      <c r="J9" s="30"/>
      <c r="K9" s="563" t="s">
        <v>123</v>
      </c>
      <c r="L9" s="563"/>
      <c r="M9" s="29" t="e">
        <f>I14-M8-#REF!</f>
        <v>#REF!</v>
      </c>
      <c r="N9" s="211" t="e">
        <f>M9/M$10</f>
        <v>#REF!</v>
      </c>
    </row>
    <row r="10" spans="1:17" ht="15.75" thickBot="1" x14ac:dyDescent="0.3">
      <c r="A10" s="101" t="s">
        <v>45</v>
      </c>
      <c r="B10" s="20" t="s">
        <v>62</v>
      </c>
      <c r="C10" s="138">
        <f t="shared" si="0"/>
        <v>0</v>
      </c>
      <c r="D10" s="415">
        <f t="shared" si="1"/>
        <v>0</v>
      </c>
      <c r="E10" s="6"/>
      <c r="F10" s="341">
        <f t="shared" si="2"/>
        <v>1</v>
      </c>
      <c r="G10" s="414">
        <f t="shared" si="3"/>
        <v>6000000</v>
      </c>
      <c r="H10" s="342">
        <v>2000000</v>
      </c>
      <c r="I10" s="343">
        <f t="shared" si="4"/>
        <v>2000000</v>
      </c>
      <c r="J10" s="30"/>
      <c r="K10" s="565" t="s">
        <v>8</v>
      </c>
      <c r="L10" s="565"/>
      <c r="M10" s="29" t="e">
        <f>SUM(M8:M9)</f>
        <v>#REF!</v>
      </c>
      <c r="N10" s="29"/>
    </row>
    <row r="11" spans="1:17" ht="15.75" thickBot="1" x14ac:dyDescent="0.3">
      <c r="A11" s="101" t="s">
        <v>46</v>
      </c>
      <c r="B11" s="20" t="s">
        <v>296</v>
      </c>
      <c r="C11" s="138">
        <f t="shared" si="0"/>
        <v>0</v>
      </c>
      <c r="D11" s="415">
        <f t="shared" si="1"/>
        <v>0</v>
      </c>
      <c r="E11" s="6"/>
      <c r="F11" s="341">
        <f t="shared" si="2"/>
        <v>1</v>
      </c>
      <c r="G11" s="414">
        <f t="shared" si="3"/>
        <v>3000000</v>
      </c>
      <c r="H11" s="342">
        <v>1000000</v>
      </c>
      <c r="I11" s="343">
        <f t="shared" si="4"/>
        <v>1000000</v>
      </c>
      <c r="J11" s="30"/>
      <c r="K11" s="563"/>
      <c r="L11" s="563"/>
      <c r="M11" s="29"/>
      <c r="N11" s="29"/>
    </row>
    <row r="12" spans="1:17" ht="23.25" thickBot="1" x14ac:dyDescent="0.3">
      <c r="A12" s="101" t="s">
        <v>47</v>
      </c>
      <c r="B12" s="340" t="s">
        <v>294</v>
      </c>
      <c r="C12" s="341">
        <f t="shared" ref="C12" si="6">E12/I12</f>
        <v>0</v>
      </c>
      <c r="D12" s="416">
        <f t="shared" ref="D12:D13" si="7">E12*$I$2</f>
        <v>0</v>
      </c>
      <c r="E12" s="332"/>
      <c r="F12" s="341">
        <f t="shared" ref="F12:F13" si="8">H12/I12</f>
        <v>1</v>
      </c>
      <c r="G12" s="414">
        <f t="shared" ref="G12:G13" si="9">H12*$I$2</f>
        <v>6000000</v>
      </c>
      <c r="H12" s="342">
        <v>2000000</v>
      </c>
      <c r="I12" s="343">
        <f t="shared" ref="I12:I13" si="10">E12+H12</f>
        <v>2000000</v>
      </c>
      <c r="J12" s="30"/>
      <c r="K12" s="368">
        <f>H8+H9+H10+H11+H12+H13+H16+H17+H18+H19+H20+H21+H22+H23+H24+H25+H26+H29+H30+H31+H32+H33+H34+H35+H36+H37+H38+H39+H40+H43+H44+H45</f>
        <v>100000000</v>
      </c>
      <c r="L12" s="329"/>
      <c r="M12" s="29"/>
      <c r="N12" s="29"/>
    </row>
    <row r="13" spans="1:17" ht="15.75" thickBot="1" x14ac:dyDescent="0.3">
      <c r="A13" s="101" t="s">
        <v>48</v>
      </c>
      <c r="B13" s="346" t="s">
        <v>295</v>
      </c>
      <c r="C13" s="341">
        <f>E13/I13</f>
        <v>0</v>
      </c>
      <c r="D13" s="416">
        <f t="shared" si="7"/>
        <v>0</v>
      </c>
      <c r="E13" s="332"/>
      <c r="F13" s="341">
        <f t="shared" si="8"/>
        <v>1</v>
      </c>
      <c r="G13" s="414">
        <f t="shared" si="9"/>
        <v>3000000</v>
      </c>
      <c r="H13" s="342">
        <v>1000000</v>
      </c>
      <c r="I13" s="343">
        <f t="shared" si="10"/>
        <v>1000000</v>
      </c>
      <c r="J13" s="30"/>
      <c r="K13" s="352"/>
      <c r="L13" s="352"/>
      <c r="M13" s="29"/>
      <c r="N13" s="29"/>
    </row>
    <row r="14" spans="1:17" ht="15.75" thickBot="1" x14ac:dyDescent="0.3">
      <c r="A14" s="583" t="s">
        <v>8</v>
      </c>
      <c r="B14" s="584"/>
      <c r="C14" s="585">
        <f>SUM(E8:E12)</f>
        <v>0</v>
      </c>
      <c r="D14" s="585"/>
      <c r="E14" s="586"/>
      <c r="F14" s="574">
        <f>SUM(H8:H13)</f>
        <v>8000000</v>
      </c>
      <c r="G14" s="574"/>
      <c r="H14" s="575"/>
      <c r="I14" s="344">
        <f>SUM(I8:I13)</f>
        <v>8000000</v>
      </c>
      <c r="J14" s="3"/>
      <c r="K14" s="335">
        <f>-5550000+I14</f>
        <v>2450000</v>
      </c>
      <c r="M14" s="19"/>
      <c r="N14" s="19"/>
    </row>
    <row r="15" spans="1:17" s="102" customFormat="1" ht="18" customHeight="1" thickBot="1" x14ac:dyDescent="0.3">
      <c r="A15" s="97" t="s">
        <v>52</v>
      </c>
      <c r="B15" s="572" t="s">
        <v>293</v>
      </c>
      <c r="C15" s="572"/>
      <c r="D15" s="572"/>
      <c r="E15" s="572"/>
      <c r="F15" s="572"/>
      <c r="G15" s="572"/>
      <c r="H15" s="572"/>
      <c r="I15" s="573"/>
      <c r="J15" s="192"/>
      <c r="K15" s="3"/>
      <c r="L15" s="3"/>
      <c r="M15" s="3"/>
      <c r="N15" s="3"/>
    </row>
    <row r="16" spans="1:17" s="239" customFormat="1" ht="15.75" thickBot="1" x14ac:dyDescent="0.3">
      <c r="A16" s="387" t="s">
        <v>37</v>
      </c>
      <c r="B16" s="410" t="s">
        <v>70</v>
      </c>
      <c r="C16" s="388">
        <f>E16/I16</f>
        <v>9.9999983393736766E-2</v>
      </c>
      <c r="D16" s="414">
        <f>E16*$I$2</f>
        <v>5419641</v>
      </c>
      <c r="E16" s="389">
        <v>1806547</v>
      </c>
      <c r="F16" s="388">
        <f>H16/I16</f>
        <v>0.90000001660626328</v>
      </c>
      <c r="G16" s="414">
        <f>H16*$I$2</f>
        <v>48776778</v>
      </c>
      <c r="H16" s="389">
        <v>16258926</v>
      </c>
      <c r="I16" s="390">
        <f>E16+H16</f>
        <v>18065473</v>
      </c>
      <c r="K16" s="391"/>
      <c r="L16" s="391"/>
    </row>
    <row r="17" spans="1:17" s="239" customFormat="1" ht="23.25" thickBot="1" x14ac:dyDescent="0.3">
      <c r="A17" s="387" t="s">
        <v>38</v>
      </c>
      <c r="B17" s="410" t="s">
        <v>71</v>
      </c>
      <c r="C17" s="388">
        <f t="shared" ref="C17:C22" si="11">E17/I17</f>
        <v>0.7</v>
      </c>
      <c r="D17" s="414">
        <f>E17*$I$2</f>
        <v>5250000</v>
      </c>
      <c r="E17" s="392">
        <v>1750000</v>
      </c>
      <c r="F17" s="388">
        <f t="shared" ref="F17:F23" si="12">H17/I17</f>
        <v>0.3</v>
      </c>
      <c r="G17" s="414">
        <f>H17*$I$2</f>
        <v>2250000</v>
      </c>
      <c r="H17" s="392">
        <v>750000</v>
      </c>
      <c r="I17" s="393">
        <f>E17+H17</f>
        <v>2500000</v>
      </c>
      <c r="K17" s="394"/>
      <c r="M17" s="391"/>
    </row>
    <row r="18" spans="1:17" s="239" customFormat="1" ht="23.25" thickBot="1" x14ac:dyDescent="0.3">
      <c r="A18" s="387" t="s">
        <v>66</v>
      </c>
      <c r="B18" s="410" t="s">
        <v>72</v>
      </c>
      <c r="C18" s="388">
        <f t="shared" si="11"/>
        <v>0.62962962962962965</v>
      </c>
      <c r="D18" s="414">
        <f t="shared" ref="D18:D23" si="13">E18*$I$2</f>
        <v>510000</v>
      </c>
      <c r="E18" s="392">
        <v>170000</v>
      </c>
      <c r="F18" s="388">
        <f t="shared" si="12"/>
        <v>0.37037037037037035</v>
      </c>
      <c r="G18" s="414">
        <f t="shared" ref="G18:G23" si="14">H18*$I$2</f>
        <v>300000</v>
      </c>
      <c r="H18" s="392">
        <v>100000</v>
      </c>
      <c r="I18" s="393">
        <f>E18+H18</f>
        <v>270000</v>
      </c>
      <c r="K18" s="570" t="s">
        <v>124</v>
      </c>
      <c r="L18" s="570"/>
      <c r="M18" s="394">
        <f>I27-M19-M20</f>
        <v>59195729.350000001</v>
      </c>
      <c r="N18" s="395">
        <f>M18/M$27</f>
        <v>0.84423618980243709</v>
      </c>
    </row>
    <row r="19" spans="1:17" s="401" customFormat="1" ht="15.75" thickBot="1" x14ac:dyDescent="0.3">
      <c r="A19" s="396" t="s">
        <v>67</v>
      </c>
      <c r="B19" s="429" t="s">
        <v>73</v>
      </c>
      <c r="C19" s="397">
        <f t="shared" si="11"/>
        <v>0.40629821828750989</v>
      </c>
      <c r="D19" s="415">
        <f t="shared" si="13"/>
        <v>9000000</v>
      </c>
      <c r="E19" s="399">
        <v>3000000</v>
      </c>
      <c r="F19" s="397">
        <f t="shared" si="12"/>
        <v>0.59370178171249011</v>
      </c>
      <c r="G19" s="415">
        <f t="shared" si="14"/>
        <v>13151217</v>
      </c>
      <c r="H19" s="399">
        <f>4133739+250000</f>
        <v>4383739</v>
      </c>
      <c r="I19" s="400">
        <f>E19+H19</f>
        <v>7383739</v>
      </c>
      <c r="K19" s="570" t="s">
        <v>122</v>
      </c>
      <c r="L19" s="570"/>
      <c r="M19" s="394">
        <v>511470</v>
      </c>
      <c r="N19" s="395">
        <f>M19/M$27</f>
        <v>7.2944702048552846E-3</v>
      </c>
    </row>
    <row r="20" spans="1:17" s="239" customFormat="1" ht="15.75" thickBot="1" x14ac:dyDescent="0.25">
      <c r="A20" s="387" t="s">
        <v>68</v>
      </c>
      <c r="B20" s="410" t="s">
        <v>74</v>
      </c>
      <c r="C20" s="388">
        <f t="shared" si="11"/>
        <v>5.4640347747603214E-2</v>
      </c>
      <c r="D20" s="414">
        <f t="shared" si="13"/>
        <v>1835061</v>
      </c>
      <c r="E20" s="392">
        <v>611687</v>
      </c>
      <c r="F20" s="388">
        <f t="shared" si="12"/>
        <v>0.94535965225239682</v>
      </c>
      <c r="G20" s="414">
        <f t="shared" si="14"/>
        <v>31749297</v>
      </c>
      <c r="H20" s="392">
        <f>9583099+1000000</f>
        <v>10583099</v>
      </c>
      <c r="I20" s="393">
        <f>E20+H20</f>
        <v>11194786</v>
      </c>
      <c r="K20" s="570" t="s">
        <v>123</v>
      </c>
      <c r="L20" s="570"/>
      <c r="M20" s="394">
        <f>(0.05*I16)+(I17*0.95)+I18+I21+I22+(I23*0.05)</f>
        <v>10410298.65</v>
      </c>
      <c r="N20" s="395">
        <f>M20/M$27</f>
        <v>0.14846933999270767</v>
      </c>
      <c r="P20" s="402" t="s">
        <v>243</v>
      </c>
    </row>
    <row r="21" spans="1:17" s="239" customFormat="1" ht="15.75" thickBot="1" x14ac:dyDescent="0.25">
      <c r="A21" s="387" t="s">
        <v>69</v>
      </c>
      <c r="B21" s="410" t="s">
        <v>245</v>
      </c>
      <c r="C21" s="388">
        <f t="shared" si="11"/>
        <v>0</v>
      </c>
      <c r="D21" s="414">
        <f t="shared" si="13"/>
        <v>0</v>
      </c>
      <c r="E21" s="392">
        <v>0</v>
      </c>
      <c r="F21" s="388">
        <f t="shared" si="12"/>
        <v>1</v>
      </c>
      <c r="G21" s="414">
        <f t="shared" si="14"/>
        <v>18000000</v>
      </c>
      <c r="H21" s="392">
        <f>5000000+1000000</f>
        <v>6000000</v>
      </c>
      <c r="I21" s="393">
        <f t="shared" ref="I21:I22" si="15">E21+H21</f>
        <v>6000000</v>
      </c>
      <c r="K21" s="570"/>
      <c r="L21" s="570"/>
      <c r="M21" s="394"/>
      <c r="N21" s="394"/>
      <c r="P21" s="402" t="s">
        <v>244</v>
      </c>
    </row>
    <row r="22" spans="1:17" s="239" customFormat="1" ht="15.75" thickBot="1" x14ac:dyDescent="0.3">
      <c r="A22" s="387" t="s">
        <v>43</v>
      </c>
      <c r="B22" s="410" t="s">
        <v>76</v>
      </c>
      <c r="C22" s="388">
        <f t="shared" si="11"/>
        <v>0.23333333333333334</v>
      </c>
      <c r="D22" s="414">
        <f t="shared" si="13"/>
        <v>210000</v>
      </c>
      <c r="E22" s="392">
        <v>70000</v>
      </c>
      <c r="F22" s="388">
        <f t="shared" si="12"/>
        <v>0.76666666666666672</v>
      </c>
      <c r="G22" s="414">
        <f t="shared" si="14"/>
        <v>690000</v>
      </c>
      <c r="H22" s="392">
        <v>230000</v>
      </c>
      <c r="I22" s="393">
        <f t="shared" si="15"/>
        <v>300000</v>
      </c>
      <c r="K22" s="570"/>
      <c r="L22" s="570"/>
      <c r="M22" s="394"/>
      <c r="N22" s="394"/>
    </row>
    <row r="23" spans="1:17" s="401" customFormat="1" ht="15.75" thickBot="1" x14ac:dyDescent="0.3">
      <c r="A23" s="396" t="s">
        <v>44</v>
      </c>
      <c r="B23" s="429" t="s">
        <v>77</v>
      </c>
      <c r="C23" s="397">
        <f>E23/I23</f>
        <v>1</v>
      </c>
      <c r="D23" s="415">
        <f t="shared" si="13"/>
        <v>33721500</v>
      </c>
      <c r="E23" s="398">
        <f>7072000+4168500</f>
        <v>11240500</v>
      </c>
      <c r="F23" s="397">
        <f t="shared" si="12"/>
        <v>0</v>
      </c>
      <c r="G23" s="415">
        <f t="shared" si="14"/>
        <v>0</v>
      </c>
      <c r="H23" s="398"/>
      <c r="I23" s="400">
        <f>E23+H23</f>
        <v>11240500</v>
      </c>
      <c r="K23" s="569"/>
      <c r="L23" s="570"/>
      <c r="M23" s="394"/>
      <c r="N23" s="394"/>
    </row>
    <row r="24" spans="1:17" s="401" customFormat="1" ht="15.75" thickBot="1" x14ac:dyDescent="0.3">
      <c r="A24" s="396" t="s">
        <v>238</v>
      </c>
      <c r="B24" s="429" t="s">
        <v>239</v>
      </c>
      <c r="C24" s="397">
        <f>E24/I24</f>
        <v>0.55853787745011474</v>
      </c>
      <c r="D24" s="415">
        <f>E24*$I$2</f>
        <v>9489000</v>
      </c>
      <c r="E24" s="398">
        <v>3163000</v>
      </c>
      <c r="F24" s="397">
        <f t="shared" ref="F24:F26" si="16">H24/I24</f>
        <v>0.44146212254988521</v>
      </c>
      <c r="G24" s="415">
        <f t="shared" ref="G24:G26" si="17">H24*$I$2</f>
        <v>7500000</v>
      </c>
      <c r="H24" s="398">
        <v>2500000</v>
      </c>
      <c r="I24" s="400">
        <f>E24+H24</f>
        <v>5663000</v>
      </c>
      <c r="K24" s="403"/>
      <c r="L24" s="404"/>
      <c r="M24" s="394"/>
      <c r="N24" s="394"/>
    </row>
    <row r="25" spans="1:17" s="502" customFormat="1" ht="15.75" thickBot="1" x14ac:dyDescent="0.3">
      <c r="A25" s="498" t="s">
        <v>240</v>
      </c>
      <c r="B25" s="429" t="s">
        <v>298</v>
      </c>
      <c r="C25" s="499">
        <f>E25/I25</f>
        <v>0</v>
      </c>
      <c r="D25" s="415">
        <f t="shared" ref="D25" si="18">E25*$I$2</f>
        <v>0</v>
      </c>
      <c r="E25" s="500">
        <v>0</v>
      </c>
      <c r="F25" s="499">
        <f t="shared" ref="F25" si="19">H25/I25</f>
        <v>1</v>
      </c>
      <c r="G25" s="415">
        <f t="shared" ref="G25" si="20">H25*$I$2</f>
        <v>13500000</v>
      </c>
      <c r="H25" s="500">
        <v>4500000</v>
      </c>
      <c r="I25" s="501">
        <f>E25+H25</f>
        <v>4500000</v>
      </c>
      <c r="K25" s="503"/>
      <c r="L25" s="504"/>
      <c r="M25" s="505"/>
      <c r="N25" s="505"/>
    </row>
    <row r="26" spans="1:17" s="32" customFormat="1" ht="23.25" thickBot="1" x14ac:dyDescent="0.3">
      <c r="A26" s="345" t="s">
        <v>248</v>
      </c>
      <c r="B26" s="346" t="s">
        <v>246</v>
      </c>
      <c r="C26" s="341">
        <f>E26/I26</f>
        <v>1</v>
      </c>
      <c r="D26" s="414">
        <f t="shared" ref="D26" si="21">E26*$I$2</f>
        <v>9000000</v>
      </c>
      <c r="E26" s="342">
        <v>3000000</v>
      </c>
      <c r="F26" s="341">
        <f t="shared" si="16"/>
        <v>0</v>
      </c>
      <c r="G26" s="414">
        <f t="shared" si="17"/>
        <v>0</v>
      </c>
      <c r="H26" s="342">
        <v>0</v>
      </c>
      <c r="I26" s="348">
        <f>E26+H26</f>
        <v>3000000</v>
      </c>
      <c r="J26" s="3"/>
      <c r="K26" s="334">
        <f>-56893630+I27</f>
        <v>13223868</v>
      </c>
      <c r="L26" s="329"/>
      <c r="M26" s="29"/>
      <c r="N26" s="29"/>
      <c r="P26" s="3"/>
      <c r="Q26" s="3"/>
    </row>
    <row r="27" spans="1:17" s="3" customFormat="1" ht="15.75" thickBot="1" x14ac:dyDescent="0.3">
      <c r="A27" s="581" t="s">
        <v>8</v>
      </c>
      <c r="B27" s="582"/>
      <c r="C27" s="574">
        <f>SUM(E16:E26)</f>
        <v>24811734</v>
      </c>
      <c r="D27" s="574"/>
      <c r="E27" s="575"/>
      <c r="F27" s="574">
        <f>H16+H17+H18+H19+H20+H21+H22+H23+H24+H25+H26</f>
        <v>45305764</v>
      </c>
      <c r="G27" s="574"/>
      <c r="H27" s="575"/>
      <c r="I27" s="344">
        <f>SUM(I16:I26)</f>
        <v>70117498</v>
      </c>
      <c r="K27" s="565" t="s">
        <v>8</v>
      </c>
      <c r="L27" s="565"/>
      <c r="M27" s="19">
        <f>SUM(M18:M23)</f>
        <v>70117498</v>
      </c>
      <c r="N27" s="19">
        <f>SUM(N18:N23)</f>
        <v>1</v>
      </c>
    </row>
    <row r="28" spans="1:17" s="3" customFormat="1" ht="23.25" customHeight="1" thickBot="1" x14ac:dyDescent="0.3">
      <c r="A28" s="130" t="s">
        <v>54</v>
      </c>
      <c r="B28" s="572" t="s">
        <v>78</v>
      </c>
      <c r="C28" s="572"/>
      <c r="D28" s="572"/>
      <c r="E28" s="572"/>
      <c r="F28" s="572"/>
      <c r="G28" s="572"/>
      <c r="H28" s="572"/>
      <c r="I28" s="573"/>
      <c r="K28" s="30">
        <v>0</v>
      </c>
      <c r="P28" s="32"/>
      <c r="Q28" s="32"/>
    </row>
    <row r="29" spans="1:17" s="3" customFormat="1" ht="15.75" thickBot="1" x14ac:dyDescent="0.3">
      <c r="A29" s="345" t="s">
        <v>39</v>
      </c>
      <c r="B29" s="346" t="s">
        <v>90</v>
      </c>
      <c r="C29" s="341">
        <f>E29/I29</f>
        <v>0.5</v>
      </c>
      <c r="D29" s="414">
        <f>E29*$I$2</f>
        <v>6000000</v>
      </c>
      <c r="E29" s="342">
        <v>2000000</v>
      </c>
      <c r="F29" s="341">
        <f>H29/I29</f>
        <v>0.5</v>
      </c>
      <c r="G29" s="414">
        <f>H29*$I$2</f>
        <v>6000000</v>
      </c>
      <c r="H29" s="342">
        <v>2000000</v>
      </c>
      <c r="I29" s="348">
        <f>E29+H29</f>
        <v>4000000</v>
      </c>
      <c r="K29" s="30"/>
    </row>
    <row r="30" spans="1:17" s="3" customFormat="1" ht="15.75" thickBot="1" x14ac:dyDescent="0.3">
      <c r="A30" s="345" t="s">
        <v>79</v>
      </c>
      <c r="B30" s="346" t="s">
        <v>91</v>
      </c>
      <c r="C30" s="341">
        <f t="shared" ref="C30:C40" si="22">E30/I30</f>
        <v>0.5</v>
      </c>
      <c r="D30" s="414">
        <f t="shared" ref="D30:D39" si="23">E30*$I$2</f>
        <v>9000000</v>
      </c>
      <c r="E30" s="347">
        <v>3000000</v>
      </c>
      <c r="F30" s="341">
        <f t="shared" ref="F30:F40" si="24">H30/I30</f>
        <v>0.5</v>
      </c>
      <c r="G30" s="414">
        <f t="shared" ref="G30:G40" si="25">H30*$I$2</f>
        <v>9000000</v>
      </c>
      <c r="H30" s="347">
        <v>3000000</v>
      </c>
      <c r="I30" s="348">
        <f t="shared" ref="I30:I40" si="26">E30+H30</f>
        <v>6000000</v>
      </c>
      <c r="K30" s="30"/>
    </row>
    <row r="31" spans="1:17" s="3" customFormat="1" ht="15.75" thickBot="1" x14ac:dyDescent="0.3">
      <c r="A31" s="345" t="s">
        <v>80</v>
      </c>
      <c r="B31" s="346" t="s">
        <v>92</v>
      </c>
      <c r="C31" s="341">
        <f t="shared" si="22"/>
        <v>0.35537190082644626</v>
      </c>
      <c r="D31" s="414">
        <f t="shared" si="23"/>
        <v>2580000</v>
      </c>
      <c r="E31" s="347">
        <v>860000</v>
      </c>
      <c r="F31" s="341">
        <f t="shared" si="24"/>
        <v>0.64462809917355368</v>
      </c>
      <c r="G31" s="414">
        <f t="shared" si="25"/>
        <v>4680000</v>
      </c>
      <c r="H31" s="347">
        <v>1560000</v>
      </c>
      <c r="I31" s="348">
        <f t="shared" si="26"/>
        <v>2420000</v>
      </c>
      <c r="K31" s="30"/>
    </row>
    <row r="32" spans="1:17" s="3" customFormat="1" ht="15.75" thickBot="1" x14ac:dyDescent="0.3">
      <c r="A32" s="345" t="s">
        <v>81</v>
      </c>
      <c r="B32" s="346" t="s">
        <v>93</v>
      </c>
      <c r="C32" s="341">
        <f t="shared" si="22"/>
        <v>0.50000872077812597</v>
      </c>
      <c r="D32" s="414">
        <f t="shared" si="23"/>
        <v>25800900</v>
      </c>
      <c r="E32" s="347">
        <v>8600300</v>
      </c>
      <c r="F32" s="341">
        <f t="shared" si="24"/>
        <v>0.49999127922187403</v>
      </c>
      <c r="G32" s="414">
        <f t="shared" si="25"/>
        <v>25800000</v>
      </c>
      <c r="H32" s="347">
        <v>8600000</v>
      </c>
      <c r="I32" s="348">
        <f t="shared" si="26"/>
        <v>17200300</v>
      </c>
      <c r="K32" s="30"/>
      <c r="P32" s="32"/>
      <c r="Q32" s="32"/>
    </row>
    <row r="33" spans="1:17" s="32" customFormat="1" ht="15.75" thickBot="1" x14ac:dyDescent="0.3">
      <c r="A33" s="345" t="s">
        <v>82</v>
      </c>
      <c r="B33" s="346" t="s">
        <v>94</v>
      </c>
      <c r="C33" s="341">
        <f t="shared" si="22"/>
        <v>0.5</v>
      </c>
      <c r="D33" s="414">
        <f t="shared" si="23"/>
        <v>1002000</v>
      </c>
      <c r="E33" s="347">
        <v>334000</v>
      </c>
      <c r="F33" s="341">
        <f t="shared" si="24"/>
        <v>0.5</v>
      </c>
      <c r="G33" s="414">
        <f t="shared" si="25"/>
        <v>1002000</v>
      </c>
      <c r="H33" s="347">
        <v>334000</v>
      </c>
      <c r="I33" s="348">
        <f t="shared" si="26"/>
        <v>668000</v>
      </c>
      <c r="J33" s="3"/>
      <c r="K33" s="30"/>
      <c r="L33" s="3"/>
      <c r="N33" s="3"/>
      <c r="P33" s="3"/>
      <c r="Q33" s="3"/>
    </row>
    <row r="34" spans="1:17" s="378" customFormat="1" ht="15.75" thickBot="1" x14ac:dyDescent="0.3">
      <c r="A34" s="409" t="s">
        <v>83</v>
      </c>
      <c r="B34" s="410" t="s">
        <v>95</v>
      </c>
      <c r="C34" s="411">
        <f t="shared" si="22"/>
        <v>0.60897457453054304</v>
      </c>
      <c r="D34" s="414">
        <f t="shared" si="23"/>
        <v>16081518</v>
      </c>
      <c r="E34" s="412">
        <f>1192006+4168500</f>
        <v>5360506</v>
      </c>
      <c r="F34" s="411">
        <f t="shared" si="24"/>
        <v>0.3910254254694569</v>
      </c>
      <c r="G34" s="414">
        <f t="shared" si="25"/>
        <v>10326018</v>
      </c>
      <c r="H34" s="412">
        <f>1192006+2250000</f>
        <v>3442006</v>
      </c>
      <c r="I34" s="413">
        <f t="shared" si="26"/>
        <v>8802512</v>
      </c>
      <c r="K34" s="379"/>
      <c r="M34" s="380"/>
    </row>
    <row r="35" spans="1:17" s="378" customFormat="1" ht="15.75" thickBot="1" x14ac:dyDescent="0.3">
      <c r="A35" s="409" t="s">
        <v>84</v>
      </c>
      <c r="B35" s="410" t="s">
        <v>96</v>
      </c>
      <c r="C35" s="411">
        <f t="shared" si="22"/>
        <v>0.5</v>
      </c>
      <c r="D35" s="414">
        <f t="shared" si="23"/>
        <v>6750000</v>
      </c>
      <c r="E35" s="412">
        <v>2250000</v>
      </c>
      <c r="F35" s="411">
        <f t="shared" si="24"/>
        <v>0.5</v>
      </c>
      <c r="G35" s="414">
        <f t="shared" si="25"/>
        <v>6750000</v>
      </c>
      <c r="H35" s="412">
        <v>2250000</v>
      </c>
      <c r="I35" s="413">
        <f t="shared" si="26"/>
        <v>4500000</v>
      </c>
      <c r="K35" s="571" t="s">
        <v>124</v>
      </c>
      <c r="L35" s="571"/>
      <c r="M35" s="382">
        <f>I29+I30+I31+I32+I33+I35+I38+I40-200000</f>
        <v>51320960</v>
      </c>
      <c r="N35" s="381">
        <f>M35/M$38</f>
        <v>0.82872820761714228</v>
      </c>
    </row>
    <row r="36" spans="1:17" s="378" customFormat="1" ht="15.75" thickBot="1" x14ac:dyDescent="0.3">
      <c r="A36" s="409" t="s">
        <v>85</v>
      </c>
      <c r="B36" s="410" t="s">
        <v>97</v>
      </c>
      <c r="C36" s="411">
        <f t="shared" si="22"/>
        <v>0.34917774273485019</v>
      </c>
      <c r="D36" s="414">
        <f t="shared" si="23"/>
        <v>465000</v>
      </c>
      <c r="E36" s="412">
        <v>155000</v>
      </c>
      <c r="F36" s="411">
        <f t="shared" si="24"/>
        <v>0.65082225726514986</v>
      </c>
      <c r="G36" s="414">
        <f t="shared" si="25"/>
        <v>866700</v>
      </c>
      <c r="H36" s="412">
        <v>288900</v>
      </c>
      <c r="I36" s="413">
        <f t="shared" si="26"/>
        <v>443900</v>
      </c>
      <c r="K36" s="571" t="s">
        <v>122</v>
      </c>
      <c r="L36" s="571"/>
      <c r="M36" s="379">
        <f>I41-M35-M37</f>
        <v>1080251.1999999993</v>
      </c>
      <c r="N36" s="381">
        <f t="shared" ref="N36:N37" si="27">M36/M$38</f>
        <v>1.7443840504001999E-2</v>
      </c>
    </row>
    <row r="37" spans="1:17" s="378" customFormat="1" ht="15.75" thickBot="1" x14ac:dyDescent="0.3">
      <c r="A37" s="409" t="s">
        <v>86</v>
      </c>
      <c r="B37" s="410" t="s">
        <v>98</v>
      </c>
      <c r="C37" s="411">
        <f t="shared" si="22"/>
        <v>0.5</v>
      </c>
      <c r="D37" s="414">
        <f t="shared" si="23"/>
        <v>1020000</v>
      </c>
      <c r="E37" s="412">
        <v>340000</v>
      </c>
      <c r="F37" s="411">
        <f t="shared" si="24"/>
        <v>0.5</v>
      </c>
      <c r="G37" s="414">
        <f t="shared" si="25"/>
        <v>1020000</v>
      </c>
      <c r="H37" s="412">
        <v>340000</v>
      </c>
      <c r="I37" s="413">
        <f t="shared" si="26"/>
        <v>680000</v>
      </c>
      <c r="K37" s="571" t="s">
        <v>123</v>
      </c>
      <c r="L37" s="571"/>
      <c r="M37" s="379">
        <f>I39+I37+I36+(0.9*I34)</f>
        <v>9526160.8000000007</v>
      </c>
      <c r="N37" s="381">
        <f t="shared" si="27"/>
        <v>0.15382795187885578</v>
      </c>
    </row>
    <row r="38" spans="1:17" s="32" customFormat="1" ht="15.75" thickBot="1" x14ac:dyDescent="0.3">
      <c r="A38" s="409" t="s">
        <v>87</v>
      </c>
      <c r="B38" s="410" t="s">
        <v>99</v>
      </c>
      <c r="C38" s="411">
        <f t="shared" si="22"/>
        <v>0.5</v>
      </c>
      <c r="D38" s="414">
        <f t="shared" si="23"/>
        <v>4599990</v>
      </c>
      <c r="E38" s="412">
        <v>1533330</v>
      </c>
      <c r="F38" s="411">
        <f t="shared" si="24"/>
        <v>0.5</v>
      </c>
      <c r="G38" s="414">
        <f t="shared" si="25"/>
        <v>4599990</v>
      </c>
      <c r="H38" s="412">
        <v>1533330</v>
      </c>
      <c r="I38" s="413">
        <f t="shared" si="26"/>
        <v>3066660</v>
      </c>
      <c r="J38" s="3"/>
      <c r="K38" s="565" t="s">
        <v>8</v>
      </c>
      <c r="L38" s="565"/>
      <c r="M38" s="29">
        <f>SUM(M35:M37)</f>
        <v>61927372</v>
      </c>
      <c r="N38" s="29"/>
      <c r="P38" s="1"/>
      <c r="Q38" s="1"/>
    </row>
    <row r="39" spans="1:17" s="378" customFormat="1" ht="15.75" thickBot="1" x14ac:dyDescent="0.3">
      <c r="A39" s="409" t="s">
        <v>88</v>
      </c>
      <c r="B39" s="410" t="s">
        <v>100</v>
      </c>
      <c r="C39" s="411">
        <f t="shared" si="22"/>
        <v>0.625</v>
      </c>
      <c r="D39" s="414">
        <f t="shared" si="23"/>
        <v>900000</v>
      </c>
      <c r="E39" s="412">
        <v>300000</v>
      </c>
      <c r="F39" s="411">
        <f t="shared" si="24"/>
        <v>0.375</v>
      </c>
      <c r="G39" s="414">
        <f t="shared" si="25"/>
        <v>540000</v>
      </c>
      <c r="H39" s="412">
        <v>180000</v>
      </c>
      <c r="I39" s="413">
        <f t="shared" si="26"/>
        <v>480000</v>
      </c>
      <c r="K39" s="571"/>
      <c r="L39" s="571"/>
      <c r="M39" s="379"/>
      <c r="N39" s="379"/>
    </row>
    <row r="40" spans="1:17" s="3" customFormat="1" ht="15.75" thickBot="1" x14ac:dyDescent="0.3">
      <c r="A40" s="345" t="s">
        <v>89</v>
      </c>
      <c r="B40" s="346" t="s">
        <v>247</v>
      </c>
      <c r="C40" s="341">
        <f t="shared" si="22"/>
        <v>0</v>
      </c>
      <c r="D40" s="414">
        <f>E40*$I$2</f>
        <v>0</v>
      </c>
      <c r="E40" s="347">
        <v>0</v>
      </c>
      <c r="F40" s="341">
        <f t="shared" si="24"/>
        <v>1</v>
      </c>
      <c r="G40" s="414">
        <f t="shared" si="25"/>
        <v>40998000</v>
      </c>
      <c r="H40" s="347">
        <v>13666000</v>
      </c>
      <c r="I40" s="348">
        <f t="shared" si="26"/>
        <v>13666000</v>
      </c>
      <c r="K40" s="576"/>
      <c r="L40" s="563"/>
      <c r="M40" s="29"/>
      <c r="N40" s="29"/>
      <c r="P40" s="1"/>
      <c r="Q40" s="1"/>
    </row>
    <row r="41" spans="1:17" s="3" customFormat="1" ht="15.75" thickBot="1" x14ac:dyDescent="0.3">
      <c r="A41" s="581" t="s">
        <v>8</v>
      </c>
      <c r="B41" s="582"/>
      <c r="C41" s="574">
        <f>SUM(E29:E40)</f>
        <v>24733136</v>
      </c>
      <c r="D41" s="574"/>
      <c r="E41" s="575"/>
      <c r="F41" s="574">
        <f>SUM(H29:H40)</f>
        <v>37194236</v>
      </c>
      <c r="G41" s="574"/>
      <c r="H41" s="575"/>
      <c r="I41" s="344">
        <f>SUM(I29:I40)</f>
        <v>61927372</v>
      </c>
      <c r="M41" s="19"/>
      <c r="N41" s="19"/>
      <c r="P41" s="1"/>
      <c r="Q41" s="1"/>
    </row>
    <row r="42" spans="1:17" s="32" customFormat="1" ht="15.75" thickBot="1" x14ac:dyDescent="0.3">
      <c r="A42" s="130" t="s">
        <v>56</v>
      </c>
      <c r="B42" s="572" t="s">
        <v>102</v>
      </c>
      <c r="C42" s="572"/>
      <c r="D42" s="572">
        <f>SUM(D43:D46)</f>
        <v>1365390</v>
      </c>
      <c r="E42" s="572">
        <f t="shared" ref="E42" si="28">D42/$I$2</f>
        <v>455130</v>
      </c>
      <c r="F42" s="572"/>
      <c r="G42" s="572">
        <f>SUM(G43:G46)</f>
        <v>28500000</v>
      </c>
      <c r="H42" s="572">
        <f>SUM(H43:H46)</f>
        <v>9500000</v>
      </c>
      <c r="I42" s="573">
        <f>SUM(I43:I46)</f>
        <v>19910260</v>
      </c>
      <c r="J42" s="3"/>
      <c r="K42" s="3"/>
      <c r="L42" s="3"/>
      <c r="M42" s="3"/>
      <c r="N42" s="3"/>
      <c r="P42" s="1"/>
      <c r="Q42" s="1"/>
    </row>
    <row r="43" spans="1:17" s="3" customFormat="1" ht="15.75" thickBot="1" x14ac:dyDescent="0.3">
      <c r="A43" s="383" t="s">
        <v>103</v>
      </c>
      <c r="B43" s="384" t="s">
        <v>260</v>
      </c>
      <c r="C43" s="385">
        <f>E43/I43</f>
        <v>4.8135773913209022E-2</v>
      </c>
      <c r="D43" s="415">
        <f>E43*$I$2</f>
        <v>1365390</v>
      </c>
      <c r="E43" s="49">
        <v>455130</v>
      </c>
      <c r="F43" s="385">
        <f t="shared" ref="F43:F45" si="29">H43/I43</f>
        <v>0.951864226086791</v>
      </c>
      <c r="G43" s="415">
        <f t="shared" ref="G43:G45" si="30">H43*$I$2</f>
        <v>27000000</v>
      </c>
      <c r="H43" s="49">
        <v>9000000</v>
      </c>
      <c r="I43" s="386">
        <f t="shared" ref="I43:I45" si="31">E43+H43</f>
        <v>9455130</v>
      </c>
      <c r="K43" s="563" t="s">
        <v>124</v>
      </c>
      <c r="L43" s="563"/>
      <c r="M43" s="29">
        <v>0</v>
      </c>
      <c r="N43" s="29">
        <v>0</v>
      </c>
      <c r="P43" s="1"/>
      <c r="Q43" s="1"/>
    </row>
    <row r="44" spans="1:17" s="3" customFormat="1" ht="15.75" hidden="1" thickBot="1" x14ac:dyDescent="0.3">
      <c r="A44" s="383" t="s">
        <v>104</v>
      </c>
      <c r="B44" s="384" t="s">
        <v>107</v>
      </c>
      <c r="C44" s="385" t="e">
        <f t="shared" ref="C44:C45" si="32">E44/I44</f>
        <v>#DIV/0!</v>
      </c>
      <c r="D44" s="415">
        <f t="shared" ref="D44" si="33">E44*$I$2</f>
        <v>0</v>
      </c>
      <c r="E44" s="49">
        <v>0</v>
      </c>
      <c r="F44" s="385" t="e">
        <f t="shared" si="29"/>
        <v>#DIV/0!</v>
      </c>
      <c r="G44" s="415">
        <f t="shared" si="30"/>
        <v>0</v>
      </c>
      <c r="H44" s="49">
        <v>0</v>
      </c>
      <c r="I44" s="386">
        <f>E44+H44</f>
        <v>0</v>
      </c>
      <c r="K44" s="563" t="s">
        <v>122</v>
      </c>
      <c r="L44" s="563"/>
      <c r="M44" s="29">
        <f>I43*0.042</f>
        <v>397115.46</v>
      </c>
      <c r="N44" s="210">
        <f>M44/M46</f>
        <v>3.9890534829781228E-2</v>
      </c>
      <c r="O44" s="45"/>
      <c r="P44" s="1"/>
      <c r="Q44" s="1"/>
    </row>
    <row r="45" spans="1:17" s="369" customFormat="1" ht="15.75" thickBot="1" x14ac:dyDescent="0.3">
      <c r="A45" s="383" t="s">
        <v>105</v>
      </c>
      <c r="B45" s="384" t="s">
        <v>297</v>
      </c>
      <c r="C45" s="385">
        <f t="shared" si="32"/>
        <v>0</v>
      </c>
      <c r="D45" s="415">
        <f>E45*$I$2</f>
        <v>0</v>
      </c>
      <c r="E45" s="49">
        <v>0</v>
      </c>
      <c r="F45" s="385">
        <f t="shared" si="29"/>
        <v>1</v>
      </c>
      <c r="G45" s="415">
        <f t="shared" si="30"/>
        <v>1500000</v>
      </c>
      <c r="H45" s="49">
        <v>500000</v>
      </c>
      <c r="I45" s="386">
        <f t="shared" si="31"/>
        <v>500000</v>
      </c>
      <c r="K45" s="564" t="s">
        <v>123</v>
      </c>
      <c r="L45" s="564"/>
      <c r="M45" s="371">
        <f>I46-M44</f>
        <v>9558014.5399999991</v>
      </c>
      <c r="N45" s="370">
        <f>M45/M46</f>
        <v>0.96010946517021867</v>
      </c>
      <c r="O45" s="372"/>
      <c r="P45" s="373"/>
      <c r="Q45" s="373"/>
    </row>
    <row r="46" spans="1:17" s="3" customFormat="1" ht="15.75" thickBot="1" x14ac:dyDescent="0.3">
      <c r="A46" s="583" t="s">
        <v>8</v>
      </c>
      <c r="B46" s="584"/>
      <c r="C46" s="585">
        <f>SUM(E43:E45)</f>
        <v>455130</v>
      </c>
      <c r="D46" s="585"/>
      <c r="E46" s="586"/>
      <c r="F46" s="585">
        <f>SUM(H43:H45)</f>
        <v>9500000</v>
      </c>
      <c r="G46" s="585"/>
      <c r="H46" s="586"/>
      <c r="I46" s="115">
        <f>SUM(I43:I45)</f>
        <v>9955130</v>
      </c>
      <c r="K46" s="565" t="s">
        <v>8</v>
      </c>
      <c r="L46" s="565"/>
      <c r="M46" s="29">
        <f>M43+M44+M45</f>
        <v>9955130</v>
      </c>
      <c r="N46" s="29"/>
      <c r="O46" s="45"/>
      <c r="P46" s="1"/>
      <c r="Q46" s="1"/>
    </row>
    <row r="47" spans="1:17" ht="15.75" thickBot="1" x14ac:dyDescent="0.3">
      <c r="A47" s="587"/>
      <c r="B47" s="587"/>
      <c r="C47" s="587"/>
      <c r="D47" s="587"/>
      <c r="E47" s="587"/>
      <c r="F47" s="587"/>
      <c r="G47" s="587"/>
      <c r="H47" s="587"/>
      <c r="I47" s="588"/>
      <c r="J47" s="45"/>
      <c r="K47" s="563"/>
      <c r="L47" s="563"/>
      <c r="M47" s="29"/>
      <c r="N47" s="29"/>
    </row>
    <row r="48" spans="1:17" ht="15.75" thickBot="1" x14ac:dyDescent="0.3">
      <c r="A48" s="577" t="s">
        <v>8</v>
      </c>
      <c r="B48" s="578"/>
      <c r="C48" s="9" t="s">
        <v>5</v>
      </c>
      <c r="D48" s="9"/>
      <c r="E48" s="9" t="s">
        <v>6</v>
      </c>
      <c r="F48" s="9" t="s">
        <v>5</v>
      </c>
      <c r="G48" s="9"/>
      <c r="H48" s="33" t="s">
        <v>6</v>
      </c>
      <c r="I48" s="118"/>
      <c r="J48" s="3"/>
      <c r="K48" s="568">
        <f>150000000-I49</f>
        <v>0</v>
      </c>
      <c r="L48" s="563"/>
      <c r="M48" s="29"/>
      <c r="N48" s="29"/>
    </row>
    <row r="49" spans="1:15" ht="15.75" thickBot="1" x14ac:dyDescent="0.3">
      <c r="A49" s="579"/>
      <c r="B49" s="580"/>
      <c r="C49" s="34">
        <f>E49*100/I49</f>
        <v>33.333333333333336</v>
      </c>
      <c r="D49" s="35"/>
      <c r="E49" s="34">
        <f>C14+C27+C41+C46</f>
        <v>50000000</v>
      </c>
      <c r="F49" s="34">
        <f>H49*100/I49</f>
        <v>66.666666666666671</v>
      </c>
      <c r="G49" s="34"/>
      <c r="H49" s="36">
        <f>F14+F27+F41+F46</f>
        <v>100000000</v>
      </c>
      <c r="I49" s="119">
        <f>I14+I27+I41+I46</f>
        <v>150000000</v>
      </c>
      <c r="J49" s="3"/>
      <c r="K49" s="565" t="s">
        <v>8</v>
      </c>
      <c r="L49" s="565"/>
      <c r="M49" s="212" t="e">
        <f>M46+M38+M27+M10</f>
        <v>#REF!</v>
      </c>
      <c r="N49" s="19"/>
    </row>
    <row r="51" spans="1:15" x14ac:dyDescent="0.25">
      <c r="D51" s="336"/>
      <c r="E51" s="337"/>
      <c r="H51" s="19"/>
      <c r="I51" s="333"/>
    </row>
    <row r="52" spans="1:15" ht="15.75" thickBot="1" x14ac:dyDescent="0.3">
      <c r="B52" s="31"/>
      <c r="E52" s="28"/>
      <c r="F52" s="28"/>
      <c r="G52" s="28"/>
      <c r="H52" s="28"/>
      <c r="J52" s="336" t="s">
        <v>242</v>
      </c>
    </row>
    <row r="53" spans="1:15" ht="15.75" thickBot="1" x14ac:dyDescent="0.3">
      <c r="B53" s="333"/>
      <c r="C53" s="3"/>
      <c r="D53" s="349"/>
      <c r="E53" s="19"/>
      <c r="I53" s="213" t="s">
        <v>10</v>
      </c>
    </row>
    <row r="54" spans="1:15" ht="30" x14ac:dyDescent="0.25">
      <c r="C54" s="3"/>
      <c r="E54" s="19"/>
      <c r="H54" s="214" t="s">
        <v>126</v>
      </c>
      <c r="I54" s="216"/>
      <c r="J54" s="213" t="s">
        <v>127</v>
      </c>
      <c r="K54" s="213" t="s">
        <v>5</v>
      </c>
      <c r="M54" s="214" t="s">
        <v>126</v>
      </c>
      <c r="N54" s="213" t="s">
        <v>127</v>
      </c>
      <c r="O54" s="213" t="s">
        <v>5</v>
      </c>
    </row>
    <row r="55" spans="1:15" x14ac:dyDescent="0.25">
      <c r="C55" s="3"/>
      <c r="E55" s="19"/>
      <c r="H55" s="215" t="s">
        <v>129</v>
      </c>
      <c r="I55" s="566"/>
      <c r="J55" s="216"/>
      <c r="K55" s="216"/>
      <c r="M55" s="215" t="s">
        <v>129</v>
      </c>
      <c r="N55" s="216"/>
      <c r="O55" s="216"/>
    </row>
    <row r="56" spans="1:15" x14ac:dyDescent="0.25">
      <c r="C56" s="3"/>
      <c r="D56" s="31"/>
      <c r="H56" s="217" t="s">
        <v>128</v>
      </c>
      <c r="I56" s="566"/>
      <c r="J56" s="566"/>
      <c r="K56" s="566"/>
      <c r="M56" s="217" t="s">
        <v>128</v>
      </c>
      <c r="N56" s="29">
        <v>500000</v>
      </c>
      <c r="O56" s="220">
        <v>0.10989010989010989</v>
      </c>
    </row>
    <row r="57" spans="1:15" x14ac:dyDescent="0.25">
      <c r="E57" s="19"/>
      <c r="H57" s="217" t="s">
        <v>122</v>
      </c>
      <c r="I57" s="567"/>
      <c r="J57" s="566"/>
      <c r="K57" s="566"/>
      <c r="M57" s="217" t="s">
        <v>122</v>
      </c>
      <c r="N57" s="29">
        <v>720627.6</v>
      </c>
      <c r="O57" s="220">
        <v>0.1583796923076923</v>
      </c>
    </row>
    <row r="58" spans="1:15" x14ac:dyDescent="0.25">
      <c r="E58" s="19"/>
      <c r="H58" s="217" t="s">
        <v>123</v>
      </c>
      <c r="I58" s="218"/>
      <c r="J58" s="567"/>
      <c r="K58" s="567"/>
      <c r="M58" s="217" t="s">
        <v>123</v>
      </c>
      <c r="N58" s="29">
        <v>3329372.4</v>
      </c>
      <c r="O58" s="220">
        <v>0.73173019780219783</v>
      </c>
    </row>
    <row r="59" spans="1:15" x14ac:dyDescent="0.25">
      <c r="J59" s="218"/>
      <c r="K59" s="218"/>
      <c r="L59" s="218"/>
      <c r="M59" s="215" t="s">
        <v>130</v>
      </c>
      <c r="N59" s="216"/>
      <c r="O59" s="221"/>
    </row>
    <row r="60" spans="1:15" x14ac:dyDescent="0.25">
      <c r="M60" s="217" t="s">
        <v>128</v>
      </c>
      <c r="N60" s="29">
        <v>50635540</v>
      </c>
      <c r="O60" s="222">
        <v>0.90346716435486696</v>
      </c>
    </row>
    <row r="61" spans="1:15" x14ac:dyDescent="0.25">
      <c r="M61" s="217" t="s">
        <v>122</v>
      </c>
      <c r="N61" s="29">
        <v>511470</v>
      </c>
      <c r="O61" s="222">
        <v>9.1259291508016659E-3</v>
      </c>
    </row>
    <row r="62" spans="1:15" x14ac:dyDescent="0.25">
      <c r="M62" s="217" t="s">
        <v>123</v>
      </c>
      <c r="N62" s="29">
        <v>4898790</v>
      </c>
      <c r="O62" s="222">
        <v>8.7406906494331416E-2</v>
      </c>
    </row>
    <row r="63" spans="1:15" x14ac:dyDescent="0.25">
      <c r="M63" s="215" t="s">
        <v>131</v>
      </c>
      <c r="N63" s="216"/>
      <c r="O63" s="221"/>
    </row>
    <row r="64" spans="1:15" x14ac:dyDescent="0.25">
      <c r="M64" s="217" t="s">
        <v>128</v>
      </c>
      <c r="N64" s="45">
        <v>72645000</v>
      </c>
      <c r="O64" s="222">
        <v>0.9488115855713245</v>
      </c>
    </row>
    <row r="65" spans="13:15" x14ac:dyDescent="0.25">
      <c r="M65" s="217" t="s">
        <v>122</v>
      </c>
      <c r="N65" s="29">
        <v>427700</v>
      </c>
      <c r="O65" s="222">
        <v>5.5861616786957871E-3</v>
      </c>
    </row>
    <row r="66" spans="13:15" x14ac:dyDescent="0.25">
      <c r="M66" s="217" t="s">
        <v>123</v>
      </c>
      <c r="N66" s="29">
        <v>3491500</v>
      </c>
      <c r="O66" s="222">
        <v>4.5602252749979755E-2</v>
      </c>
    </row>
    <row r="67" spans="13:15" x14ac:dyDescent="0.25">
      <c r="M67" s="215" t="s">
        <v>132</v>
      </c>
      <c r="N67" s="216"/>
      <c r="O67" s="216"/>
    </row>
    <row r="68" spans="13:15" x14ac:dyDescent="0.25">
      <c r="M68" s="217" t="s">
        <v>128</v>
      </c>
      <c r="N68" s="219"/>
      <c r="O68" s="217"/>
    </row>
    <row r="69" spans="13:15" x14ac:dyDescent="0.25">
      <c r="M69" s="217" t="s">
        <v>122</v>
      </c>
      <c r="N69" s="29">
        <v>243600.00000000003</v>
      </c>
      <c r="O69" s="210">
        <v>1.8971962616822432E-2</v>
      </c>
    </row>
    <row r="70" spans="13:15" x14ac:dyDescent="0.25">
      <c r="M70" s="217" t="s">
        <v>123</v>
      </c>
      <c r="N70" s="26">
        <v>12596400</v>
      </c>
      <c r="O70" s="210">
        <v>0.98102803738317756</v>
      </c>
    </row>
  </sheetData>
  <mergeCells count="50">
    <mergeCell ref="C2:H2"/>
    <mergeCell ref="A3:I3"/>
    <mergeCell ref="A14:B14"/>
    <mergeCell ref="C14:E14"/>
    <mergeCell ref="F14:H14"/>
    <mergeCell ref="C4:E5"/>
    <mergeCell ref="F4:H5"/>
    <mergeCell ref="I4:I5"/>
    <mergeCell ref="A4:B6"/>
    <mergeCell ref="A48:B49"/>
    <mergeCell ref="A27:B27"/>
    <mergeCell ref="A46:B46"/>
    <mergeCell ref="C46:E46"/>
    <mergeCell ref="F46:H46"/>
    <mergeCell ref="A47:I47"/>
    <mergeCell ref="C27:E27"/>
    <mergeCell ref="F27:H27"/>
    <mergeCell ref="B28:I28"/>
    <mergeCell ref="A41:B41"/>
    <mergeCell ref="C41:E41"/>
    <mergeCell ref="K8:L8"/>
    <mergeCell ref="K9:L9"/>
    <mergeCell ref="B42:I42"/>
    <mergeCell ref="B15:I15"/>
    <mergeCell ref="F41:H41"/>
    <mergeCell ref="K11:L11"/>
    <mergeCell ref="K10:L10"/>
    <mergeCell ref="K18:L18"/>
    <mergeCell ref="K19:L19"/>
    <mergeCell ref="K20:L20"/>
    <mergeCell ref="K36:L36"/>
    <mergeCell ref="K37:L37"/>
    <mergeCell ref="K39:L39"/>
    <mergeCell ref="K40:L40"/>
    <mergeCell ref="K21:L21"/>
    <mergeCell ref="K22:L22"/>
    <mergeCell ref="K23:L23"/>
    <mergeCell ref="K27:L27"/>
    <mergeCell ref="K35:L35"/>
    <mergeCell ref="K38:L38"/>
    <mergeCell ref="K43:L43"/>
    <mergeCell ref="K44:L44"/>
    <mergeCell ref="K45:L45"/>
    <mergeCell ref="K46:L46"/>
    <mergeCell ref="I55:I57"/>
    <mergeCell ref="J56:J58"/>
    <mergeCell ref="K56:K58"/>
    <mergeCell ref="K47:L47"/>
    <mergeCell ref="K48:L48"/>
    <mergeCell ref="K49:L49"/>
  </mergeCells>
  <pageMargins left="1" right="1" top="1" bottom="1" header="0.5" footer="0.5"/>
  <pageSetup paperSize="9" scale="59" orientation="landscape" r:id="rId1"/>
  <ignoredErrors>
    <ignoredError sqref="F13" evalError="1"/>
  </ignoredErrors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3"/>
  <sheetViews>
    <sheetView view="pageBreakPreview" zoomScaleNormal="50" zoomScaleSheetLayoutView="100" zoomScalePageLayoutView="50" workbookViewId="0">
      <pane ySplit="7" topLeftCell="A8" activePane="bottomLeft" state="frozen"/>
      <selection activeCell="U42" sqref="U42:U44"/>
      <selection pane="bottomLeft" activeCell="G16" sqref="G16"/>
    </sheetView>
  </sheetViews>
  <sheetFormatPr defaultColWidth="8.85546875" defaultRowHeight="15" x14ac:dyDescent="0.25"/>
  <cols>
    <col min="1" max="1" width="8" style="46" customWidth="1"/>
    <col min="2" max="2" width="57.7109375" style="46" customWidth="1"/>
    <col min="3" max="6" width="11.42578125" style="46" bestFit="1" customWidth="1"/>
    <col min="7" max="7" width="8.7109375" style="46" bestFit="1" customWidth="1"/>
    <col min="8" max="8" width="8.42578125" style="46" customWidth="1"/>
    <col min="9" max="16384" width="8.85546875" style="46"/>
  </cols>
  <sheetData>
    <row r="1" spans="1:9" x14ac:dyDescent="0.25">
      <c r="A1" s="86"/>
      <c r="B1" s="86" t="s">
        <v>117</v>
      </c>
      <c r="C1" s="86"/>
      <c r="D1" s="86"/>
      <c r="E1" s="86"/>
      <c r="F1" s="86"/>
    </row>
    <row r="2" spans="1:9" x14ac:dyDescent="0.25">
      <c r="B2" s="1" t="str">
        <f>'1.Usos&amp;Fontes'!B2</f>
        <v>PROGRAMA BRASILIA SUSTENTAVEL II</v>
      </c>
      <c r="C2" s="1"/>
      <c r="D2" s="1"/>
      <c r="E2" s="1"/>
      <c r="F2" s="1"/>
    </row>
    <row r="3" spans="1:9" ht="15.75" customHeight="1" thickBot="1" x14ac:dyDescent="0.3">
      <c r="A3" s="610" t="s">
        <v>13</v>
      </c>
      <c r="B3" s="611"/>
      <c r="C3" s="611"/>
      <c r="D3" s="611"/>
      <c r="E3" s="611"/>
      <c r="F3" s="611"/>
      <c r="G3" s="611"/>
    </row>
    <row r="4" spans="1:9" ht="15.75" thickBot="1" x14ac:dyDescent="0.3">
      <c r="A4" s="617" t="s">
        <v>125</v>
      </c>
      <c r="B4" s="618"/>
      <c r="C4" s="615" t="s">
        <v>1</v>
      </c>
      <c r="D4" s="616"/>
      <c r="E4" s="616"/>
      <c r="F4" s="616"/>
      <c r="G4" s="612" t="s">
        <v>8</v>
      </c>
      <c r="H4" s="612" t="s">
        <v>65</v>
      </c>
      <c r="I4" s="612" t="s">
        <v>4</v>
      </c>
    </row>
    <row r="5" spans="1:9" ht="15.75" customHeight="1" thickBot="1" x14ac:dyDescent="0.3">
      <c r="A5" s="618"/>
      <c r="B5" s="618"/>
      <c r="C5" s="604" t="s">
        <v>110</v>
      </c>
      <c r="D5" s="604" t="s">
        <v>111</v>
      </c>
      <c r="E5" s="604" t="s">
        <v>112</v>
      </c>
      <c r="F5" s="604" t="s">
        <v>113</v>
      </c>
      <c r="G5" s="613"/>
      <c r="H5" s="613"/>
      <c r="I5" s="613"/>
    </row>
    <row r="6" spans="1:9" ht="15.75" thickBot="1" x14ac:dyDescent="0.3">
      <c r="A6" s="618"/>
      <c r="B6" s="618"/>
      <c r="C6" s="605"/>
      <c r="D6" s="605"/>
      <c r="E6" s="605"/>
      <c r="F6" s="605"/>
      <c r="G6" s="614"/>
      <c r="H6" s="614"/>
      <c r="I6" s="614"/>
    </row>
    <row r="7" spans="1:9" ht="15.75" thickBot="1" x14ac:dyDescent="0.3">
      <c r="A7" s="618"/>
      <c r="B7" s="618"/>
      <c r="C7" s="207" t="s">
        <v>5</v>
      </c>
      <c r="D7" s="207" t="s">
        <v>5</v>
      </c>
      <c r="E7" s="207" t="s">
        <v>5</v>
      </c>
      <c r="F7" s="207" t="s">
        <v>5</v>
      </c>
      <c r="G7" s="96" t="s">
        <v>5</v>
      </c>
      <c r="H7" s="190" t="s">
        <v>5</v>
      </c>
      <c r="I7" s="190" t="s">
        <v>5</v>
      </c>
    </row>
    <row r="8" spans="1:9" s="109" customFormat="1" ht="18.75" customHeight="1" thickBot="1" x14ac:dyDescent="0.3">
      <c r="A8" s="113" t="str">
        <f>'1.Usos&amp;Fontes'!A7</f>
        <v>I</v>
      </c>
      <c r="B8" s="624" t="str">
        <f>'1.Usos&amp;Fontes'!B7</f>
        <v>COMPONENTE 1  - FORTALECIMENTO INSTITUCIONAL</v>
      </c>
      <c r="C8" s="625"/>
      <c r="D8" s="625"/>
      <c r="E8" s="625"/>
      <c r="F8" s="625"/>
      <c r="G8" s="625"/>
      <c r="H8" s="625"/>
      <c r="I8" s="626"/>
    </row>
    <row r="9" spans="1:9" ht="15.75" thickBot="1" x14ac:dyDescent="0.3">
      <c r="A9" s="120" t="str">
        <f>'1.Usos&amp;Fontes'!A8</f>
        <v>1.1</v>
      </c>
      <c r="B9" s="108" t="str">
        <f>'1.Usos&amp;Fontes'!B8</f>
        <v>Fortalecimento Institucional  SEMA - Sistema Distrital de Informações Ambientais</v>
      </c>
      <c r="C9" s="195"/>
      <c r="D9" s="196"/>
      <c r="E9" s="196">
        <v>5</v>
      </c>
      <c r="F9" s="196">
        <v>10</v>
      </c>
      <c r="G9" s="208">
        <f>SUM(C9:F9)</f>
        <v>15</v>
      </c>
      <c r="H9" s="153">
        <v>0</v>
      </c>
      <c r="I9" s="154">
        <v>1</v>
      </c>
    </row>
    <row r="10" spans="1:9" ht="15.75" thickBot="1" x14ac:dyDescent="0.3">
      <c r="A10" s="120" t="str">
        <f>'1.Usos&amp;Fontes'!A9</f>
        <v>1.2</v>
      </c>
      <c r="B10" s="108" t="str">
        <f>'1.Usos&amp;Fontes'!B9</f>
        <v>Fortalecimento Institucional - IBRAM - Melhoria dos processos de licenciamento</v>
      </c>
      <c r="C10" s="195"/>
      <c r="D10" s="196"/>
      <c r="E10" s="196">
        <v>10</v>
      </c>
      <c r="F10" s="196">
        <v>10</v>
      </c>
      <c r="G10" s="208">
        <f t="shared" ref="G10:G11" si="0">SUM(C10:F10)</f>
        <v>20</v>
      </c>
      <c r="H10" s="153">
        <v>0</v>
      </c>
      <c r="I10" s="154">
        <v>1</v>
      </c>
    </row>
    <row r="11" spans="1:9" ht="15.75" thickBot="1" x14ac:dyDescent="0.3">
      <c r="A11" s="120" t="str">
        <f>'1.Usos&amp;Fontes'!A10</f>
        <v>1.3</v>
      </c>
      <c r="B11" s="108" t="str">
        <f>'1.Usos&amp;Fontes'!B10</f>
        <v xml:space="preserve"> Fortalecimento Institucional do SLU - Automatização de processos</v>
      </c>
      <c r="C11" s="195"/>
      <c r="D11" s="196"/>
      <c r="E11" s="196">
        <v>10</v>
      </c>
      <c r="F11" s="196">
        <v>10</v>
      </c>
      <c r="G11" s="208">
        <f t="shared" si="0"/>
        <v>20</v>
      </c>
      <c r="H11" s="153">
        <v>0</v>
      </c>
      <c r="I11" s="154">
        <v>1</v>
      </c>
    </row>
    <row r="12" spans="1:9" ht="15.75" thickBot="1" x14ac:dyDescent="0.3">
      <c r="A12" s="120" t="str">
        <f>'1.Usos&amp;Fontes'!A11</f>
        <v>1.4</v>
      </c>
      <c r="B12" s="200" t="str">
        <f>'1.Usos&amp;Fontes'!B11</f>
        <v xml:space="preserve"> Fortalecimento Institucional SINESP</v>
      </c>
      <c r="C12" s="195"/>
      <c r="D12" s="201"/>
      <c r="E12" s="201">
        <v>10</v>
      </c>
      <c r="F12" s="201">
        <v>10</v>
      </c>
      <c r="G12" s="209">
        <f>SUM(C12:F12)</f>
        <v>20</v>
      </c>
      <c r="H12" s="202">
        <v>0</v>
      </c>
      <c r="I12" s="203">
        <v>1</v>
      </c>
    </row>
    <row r="13" spans="1:9" ht="23.25" thickBot="1" x14ac:dyDescent="0.3">
      <c r="A13" s="356" t="str">
        <f>'1.Usos&amp;Fontes'!A12</f>
        <v>1.5</v>
      </c>
      <c r="B13" s="357" t="str">
        <f>'1.Usos&amp;Fontes'!B12</f>
        <v>Fortalecimento Institucional NOVACAP - Melhoria do Parque Tecnologico e automatizacao de processos</v>
      </c>
      <c r="C13" s="195"/>
      <c r="D13" s="358"/>
      <c r="E13" s="358">
        <v>10</v>
      </c>
      <c r="F13" s="358">
        <v>10</v>
      </c>
      <c r="G13" s="359">
        <f>SUM(C13:F13)</f>
        <v>20</v>
      </c>
      <c r="H13" s="360">
        <v>0</v>
      </c>
      <c r="I13" s="361">
        <v>1</v>
      </c>
    </row>
    <row r="14" spans="1:9" ht="15.75" thickBot="1" x14ac:dyDescent="0.3">
      <c r="A14" s="354" t="s">
        <v>48</v>
      </c>
      <c r="B14" s="357" t="str">
        <f>'1.Usos&amp;Fontes'!B13</f>
        <v>Fortalecimento Institucional dos SEDESTMIDH - Aqusição de Computadores</v>
      </c>
      <c r="C14" s="195"/>
      <c r="D14" s="358"/>
      <c r="E14" s="358">
        <v>10</v>
      </c>
      <c r="F14" s="358">
        <v>10</v>
      </c>
      <c r="G14" s="359">
        <f>SUM(C14:F14)</f>
        <v>20</v>
      </c>
      <c r="H14" s="360">
        <v>0</v>
      </c>
      <c r="I14" s="355">
        <v>1</v>
      </c>
    </row>
    <row r="15" spans="1:9" s="109" customFormat="1" ht="20.25" customHeight="1" thickBot="1" x14ac:dyDescent="0.3">
      <c r="A15" s="113" t="str">
        <f>'1.Usos&amp;Fontes'!A15</f>
        <v xml:space="preserve">II </v>
      </c>
      <c r="B15" s="619" t="str">
        <f>'1.Usos&amp;Fontes'!B15</f>
        <v xml:space="preserve">COMPONENTE 2  - GESTÃO DE RESÍDUOS SÓLIDOS E INCLUSÃO SOCIAL </v>
      </c>
      <c r="C15" s="620"/>
      <c r="D15" s="620"/>
      <c r="E15" s="620"/>
      <c r="F15" s="620"/>
      <c r="G15" s="620"/>
      <c r="H15" s="620"/>
      <c r="I15" s="621"/>
    </row>
    <row r="16" spans="1:9" s="109" customFormat="1" ht="15.75" thickBot="1" x14ac:dyDescent="0.3">
      <c r="A16" s="120" t="str">
        <f>'1.Usos&amp;Fontes'!A16</f>
        <v>2.1</v>
      </c>
      <c r="B16" s="204" t="str">
        <f>'1.Usos&amp;Fontes'!B16</f>
        <v>Reforma e recapacitação da unidade de Compostagem do Psul</v>
      </c>
      <c r="C16" s="205"/>
      <c r="D16" s="206"/>
      <c r="E16" s="206"/>
      <c r="F16" s="206">
        <v>10</v>
      </c>
      <c r="G16" s="13">
        <f t="shared" ref="G16:G23" si="1">SUM(C16:F16)</f>
        <v>10</v>
      </c>
      <c r="H16" s="153">
        <v>0.11426328997490477</v>
      </c>
      <c r="I16" s="154">
        <v>0.88573671002509524</v>
      </c>
    </row>
    <row r="17" spans="1:9" ht="23.25" thickBot="1" x14ac:dyDescent="0.3">
      <c r="A17" s="120" t="str">
        <f>'1.Usos&amp;Fontes'!A17</f>
        <v>2.2</v>
      </c>
      <c r="B17" s="108" t="str">
        <f>'1.Usos&amp;Fontes'!B17</f>
        <v>Programa de capacitação e assistência técnica a cooperativas e catadores em Centros de Triagem por 2 anos, completando os 5 anos planejados.</v>
      </c>
      <c r="C17" s="205"/>
      <c r="D17" s="197"/>
      <c r="E17" s="197"/>
      <c r="F17" s="197"/>
      <c r="G17" s="13">
        <f t="shared" si="1"/>
        <v>0</v>
      </c>
      <c r="H17" s="141">
        <v>0.7</v>
      </c>
      <c r="I17" s="162">
        <v>0.3</v>
      </c>
    </row>
    <row r="18" spans="1:9" ht="23.25" thickBot="1" x14ac:dyDescent="0.3">
      <c r="A18" s="120" t="str">
        <f>'1.Usos&amp;Fontes'!A18</f>
        <v>2.3</v>
      </c>
      <c r="B18" s="108" t="str">
        <f>'1.Usos&amp;Fontes'!B18</f>
        <v>Programa de capacitação e assistência Técnica dos Catadores que optarem para migração em outros setores da economia</v>
      </c>
      <c r="C18" s="205"/>
      <c r="D18" s="197"/>
      <c r="E18" s="197"/>
      <c r="F18" s="197"/>
      <c r="G18" s="13">
        <f t="shared" si="1"/>
        <v>0</v>
      </c>
      <c r="H18" s="141">
        <v>0.62962962962962965</v>
      </c>
      <c r="I18" s="162">
        <v>0.37037037037037035</v>
      </c>
    </row>
    <row r="19" spans="1:9" ht="15.75" thickBot="1" x14ac:dyDescent="0.3">
      <c r="A19" s="120" t="str">
        <f>'1.Usos&amp;Fontes'!A19</f>
        <v>2.4</v>
      </c>
      <c r="B19" s="108" t="str">
        <f>'1.Usos&amp;Fontes'!B19</f>
        <v>Construção de Centros de Triagem</v>
      </c>
      <c r="C19" s="205"/>
      <c r="D19" s="197"/>
      <c r="E19" s="197">
        <v>10</v>
      </c>
      <c r="F19" s="197">
        <v>20</v>
      </c>
      <c r="G19" s="13">
        <f t="shared" si="1"/>
        <v>30</v>
      </c>
      <c r="H19" s="141">
        <v>1</v>
      </c>
      <c r="I19" s="162">
        <v>0</v>
      </c>
    </row>
    <row r="20" spans="1:9" ht="15.75" thickBot="1" x14ac:dyDescent="0.3">
      <c r="A20" s="120" t="str">
        <f>'1.Usos&amp;Fontes'!A20</f>
        <v>2.5</v>
      </c>
      <c r="B20" s="108" t="str">
        <f>'1.Usos&amp;Fontes'!B20</f>
        <v>Reforma e recapacitação da  unidade  de Compostagem da  Asa Sul - L4</v>
      </c>
      <c r="C20" s="205"/>
      <c r="D20" s="197"/>
      <c r="E20" s="197"/>
      <c r="F20" s="197">
        <v>10</v>
      </c>
      <c r="G20" s="13">
        <f t="shared" si="1"/>
        <v>10</v>
      </c>
      <c r="H20" s="141">
        <v>6.1032863849765258E-2</v>
      </c>
      <c r="I20" s="162">
        <v>0.93896713615023475</v>
      </c>
    </row>
    <row r="21" spans="1:9" ht="15.75" thickBot="1" x14ac:dyDescent="0.3">
      <c r="A21" s="120" t="str">
        <f>'1.Usos&amp;Fontes'!A21</f>
        <v>2.6</v>
      </c>
      <c r="B21" s="108" t="str">
        <f>'1.Usos&amp;Fontes'!B21</f>
        <v>Apoio ao Sistema de gestão dos resíduos sólidos do SLU</v>
      </c>
      <c r="C21" s="205"/>
      <c r="D21" s="197"/>
      <c r="E21" s="197">
        <v>10</v>
      </c>
      <c r="F21" s="197">
        <v>10</v>
      </c>
      <c r="G21" s="13">
        <f t="shared" si="1"/>
        <v>20</v>
      </c>
      <c r="H21" s="141">
        <v>0.16666666666666666</v>
      </c>
      <c r="I21" s="162">
        <v>0.83333333333333337</v>
      </c>
    </row>
    <row r="22" spans="1:9" ht="15.75" thickBot="1" x14ac:dyDescent="0.3">
      <c r="A22" s="120" t="str">
        <f>'1.Usos&amp;Fontes'!A22</f>
        <v>2.7</v>
      </c>
      <c r="B22" s="108" t="str">
        <f>'1.Usos&amp;Fontes'!B22</f>
        <v>Elaboração de projetos  para centro de transbordo</v>
      </c>
      <c r="C22" s="205"/>
      <c r="D22" s="197"/>
      <c r="E22" s="197"/>
      <c r="F22" s="197">
        <v>100</v>
      </c>
      <c r="G22" s="13">
        <f t="shared" si="1"/>
        <v>100</v>
      </c>
      <c r="H22" s="141">
        <v>0.23333333333333334</v>
      </c>
      <c r="I22" s="162">
        <v>0.76666666666666672</v>
      </c>
    </row>
    <row r="23" spans="1:9" s="109" customFormat="1" ht="15.75" thickBot="1" x14ac:dyDescent="0.3">
      <c r="A23" s="120" t="str">
        <f>'1.Usos&amp;Fontes'!A23</f>
        <v>2.8</v>
      </c>
      <c r="B23" s="108" t="str">
        <f>'1.Usos&amp;Fontes'!B23</f>
        <v>Fechamento do lixão do Jóquei e Recuperação Ambiental</v>
      </c>
      <c r="C23" s="205"/>
      <c r="D23" s="197"/>
      <c r="E23" s="197">
        <v>10</v>
      </c>
      <c r="F23" s="197">
        <v>10</v>
      </c>
      <c r="G23" s="13">
        <f t="shared" si="1"/>
        <v>20</v>
      </c>
      <c r="H23" s="141">
        <v>1</v>
      </c>
      <c r="I23" s="162">
        <v>0</v>
      </c>
    </row>
    <row r="24" spans="1:9" s="109" customFormat="1" ht="15.75" thickBot="1" x14ac:dyDescent="0.3">
      <c r="A24" s="120" t="str">
        <f>'1.Usos&amp;Fontes'!A24</f>
        <v>2.9</v>
      </c>
      <c r="B24" s="108" t="str">
        <f>'1.Usos&amp;Fontes'!B24</f>
        <v xml:space="preserve"> Projeto de Educação Ambiental para a Coleta Seletiva</v>
      </c>
      <c r="C24" s="205"/>
      <c r="D24" s="197"/>
      <c r="E24" s="197"/>
      <c r="F24" s="197">
        <v>10</v>
      </c>
      <c r="G24" s="13">
        <f>SUM(C24:F24)</f>
        <v>10</v>
      </c>
      <c r="H24" s="141">
        <v>1</v>
      </c>
      <c r="I24" s="162">
        <v>0</v>
      </c>
    </row>
    <row r="25" spans="1:9" s="432" customFormat="1" ht="15.75" thickBot="1" x14ac:dyDescent="0.3">
      <c r="A25" s="493" t="str">
        <f>'1.Usos&amp;Fontes'!A25</f>
        <v>2.10</v>
      </c>
      <c r="B25" s="494" t="str">
        <f>'1.Usos&amp;Fontes'!B25</f>
        <v xml:space="preserve">Construção de centros de transbordo </v>
      </c>
      <c r="C25" s="205"/>
      <c r="D25" s="366"/>
      <c r="E25" s="366"/>
      <c r="F25" s="366"/>
      <c r="G25" s="495">
        <f>SUM(C25:F25)</f>
        <v>0</v>
      </c>
      <c r="H25" s="496">
        <v>0</v>
      </c>
      <c r="I25" s="497">
        <v>1</v>
      </c>
    </row>
    <row r="26" spans="1:9" s="109" customFormat="1" ht="23.25" thickBot="1" x14ac:dyDescent="0.3">
      <c r="A26" s="120" t="str">
        <f>'1.Usos&amp;Fontes'!A26</f>
        <v>2.11</v>
      </c>
      <c r="B26" s="108" t="str">
        <f>'1.Usos&amp;Fontes'!B26</f>
        <v xml:space="preserve"> Pagamento dos serviços prestados pelos catadores de materiais reciclados e reutlizáveis por 5 anos</v>
      </c>
      <c r="C26" s="205"/>
      <c r="D26" s="197"/>
      <c r="E26" s="197"/>
      <c r="F26" s="197">
        <v>5</v>
      </c>
      <c r="G26" s="13">
        <f t="shared" ref="G26" si="2">SUM(C26:F26)</f>
        <v>5</v>
      </c>
      <c r="H26" s="141">
        <v>1</v>
      </c>
      <c r="I26" s="162">
        <v>0</v>
      </c>
    </row>
    <row r="27" spans="1:9" ht="20.25" customHeight="1" thickBot="1" x14ac:dyDescent="0.3">
      <c r="A27" s="128" t="str">
        <f>'1.Usos&amp;Fontes'!A28</f>
        <v>III</v>
      </c>
      <c r="B27" s="622" t="str">
        <f>'3.Cronograma Financeiro POA'!B30:Y30</f>
        <v xml:space="preserve">COMPONENTE 3  -  READEQUAÇÃO URBANA DO CONDOMÍNIO PÔR DO SOL </v>
      </c>
      <c r="C27" s="623"/>
      <c r="D27" s="623"/>
      <c r="E27" s="623"/>
      <c r="F27" s="623"/>
      <c r="G27" s="623"/>
      <c r="H27" s="623"/>
      <c r="I27" s="623"/>
    </row>
    <row r="28" spans="1:9" ht="15.75" thickBot="1" x14ac:dyDescent="0.3">
      <c r="A28" s="120" t="str">
        <f>'1.Usos&amp;Fontes'!A29</f>
        <v>3.1</v>
      </c>
      <c r="B28" s="108" t="str">
        <f>'1.Usos&amp;Fontes'!B29</f>
        <v xml:space="preserve"> Rede de Drenagem  Pluvial - Bacia IV C  </v>
      </c>
      <c r="C28" s="107"/>
      <c r="D28" s="47"/>
      <c r="E28" s="47"/>
      <c r="F28" s="47"/>
      <c r="G28" s="13">
        <f t="shared" ref="G28:G36" si="3">SUM(C28:F28)</f>
        <v>0</v>
      </c>
      <c r="H28" s="141">
        <v>0.35063957863054929</v>
      </c>
      <c r="I28" s="140">
        <v>0.64936042136945071</v>
      </c>
    </row>
    <row r="29" spans="1:9" ht="15.75" thickBot="1" x14ac:dyDescent="0.3">
      <c r="A29" s="120" t="str">
        <f>'1.Usos&amp;Fontes'!A30</f>
        <v>3.2</v>
      </c>
      <c r="B29" s="108" t="str">
        <f>'1.Usos&amp;Fontes'!B30</f>
        <v>Rede de Microdrenagem</v>
      </c>
      <c r="C29" s="107"/>
      <c r="D29" s="47"/>
      <c r="E29" s="47"/>
      <c r="F29" s="47"/>
      <c r="G29" s="13">
        <f t="shared" si="3"/>
        <v>0</v>
      </c>
      <c r="H29" s="141">
        <v>0.35</v>
      </c>
      <c r="I29" s="140">
        <v>0.65</v>
      </c>
    </row>
    <row r="30" spans="1:9" ht="15.75" thickBot="1" x14ac:dyDescent="0.3">
      <c r="A30" s="120" t="str">
        <f>'1.Usos&amp;Fontes'!A31</f>
        <v>3.3</v>
      </c>
      <c r="B30" s="108" t="str">
        <f>'1.Usos&amp;Fontes'!B31</f>
        <v>Saneamento Básico - água e esgoto</v>
      </c>
      <c r="C30" s="107"/>
      <c r="D30" s="47"/>
      <c r="E30" s="47"/>
      <c r="F30" s="47"/>
      <c r="G30" s="13">
        <f t="shared" si="3"/>
        <v>0</v>
      </c>
      <c r="H30" s="141">
        <v>0.3499898846854137</v>
      </c>
      <c r="I30" s="140">
        <v>0.6500101153145863</v>
      </c>
    </row>
    <row r="31" spans="1:9" ht="15.75" thickBot="1" x14ac:dyDescent="0.3">
      <c r="A31" s="121" t="str">
        <f>'1.Usos&amp;Fontes'!A32</f>
        <v>3.4</v>
      </c>
      <c r="B31" s="2" t="str">
        <f>'1.Usos&amp;Fontes'!B32</f>
        <v>Pavimentação das Vias Arteriais, Coletoras e Locais</v>
      </c>
      <c r="C31" s="107"/>
      <c r="D31" s="47"/>
      <c r="E31" s="47"/>
      <c r="F31" s="47"/>
      <c r="G31" s="13">
        <f t="shared" si="3"/>
        <v>0</v>
      </c>
      <c r="H31" s="141">
        <v>0.34998055231427461</v>
      </c>
      <c r="I31" s="140">
        <v>0.65001944768572539</v>
      </c>
    </row>
    <row r="32" spans="1:9" s="109" customFormat="1" ht="15.75" thickBot="1" x14ac:dyDescent="0.3">
      <c r="A32" s="120" t="str">
        <f>'1.Usos&amp;Fontes'!A33</f>
        <v>3.5</v>
      </c>
      <c r="B32" s="108" t="str">
        <f>'1.Usos&amp;Fontes'!B33</f>
        <v>Mobilidade e Acessibilidade</v>
      </c>
      <c r="C32" s="107"/>
      <c r="D32" s="47"/>
      <c r="E32" s="47"/>
      <c r="F32" s="47"/>
      <c r="G32" s="13">
        <f t="shared" si="3"/>
        <v>0</v>
      </c>
      <c r="H32" s="141">
        <v>0.34971334971334972</v>
      </c>
      <c r="I32" s="140">
        <v>0.65028665028665034</v>
      </c>
    </row>
    <row r="33" spans="1:9" ht="15.75" thickBot="1" x14ac:dyDescent="0.3">
      <c r="A33" s="120" t="str">
        <f>'1.Usos&amp;Fontes'!A34</f>
        <v>3.6</v>
      </c>
      <c r="B33" s="108" t="str">
        <f>'1.Usos&amp;Fontes'!B34</f>
        <v>Programa de Reassentamento</v>
      </c>
      <c r="C33" s="107"/>
      <c r="D33" s="47"/>
      <c r="E33" s="47"/>
      <c r="F33" s="47"/>
      <c r="G33" s="13">
        <f t="shared" si="3"/>
        <v>0</v>
      </c>
      <c r="H33" s="141">
        <v>0.70136144049187532</v>
      </c>
      <c r="I33" s="140">
        <v>0.29863855950812473</v>
      </c>
    </row>
    <row r="34" spans="1:9" ht="15.75" thickBot="1" x14ac:dyDescent="0.3">
      <c r="A34" s="120" t="str">
        <f>'1.Usos&amp;Fontes'!A35</f>
        <v>3.7</v>
      </c>
      <c r="B34" s="108" t="str">
        <f>'1.Usos&amp;Fontes'!B35</f>
        <v>Ações de  Recuperação de Áreas Degradadas  (RAA)</v>
      </c>
      <c r="C34" s="107"/>
      <c r="D34" s="47"/>
      <c r="E34" s="47"/>
      <c r="F34" s="47"/>
      <c r="G34" s="13">
        <f t="shared" si="3"/>
        <v>0</v>
      </c>
      <c r="H34" s="141">
        <v>0.3943191311612364</v>
      </c>
      <c r="I34" s="140">
        <v>0.6056808688387636</v>
      </c>
    </row>
    <row r="35" spans="1:9" ht="15.75" thickBot="1" x14ac:dyDescent="0.3">
      <c r="A35" s="120" t="str">
        <f>'1.Usos&amp;Fontes'!A36</f>
        <v>3.8</v>
      </c>
      <c r="B35" s="108" t="str">
        <f>'1.Usos&amp;Fontes'!B36</f>
        <v>Estudos e Projetos de Recuperação Ambiental e Sondagem</v>
      </c>
      <c r="C35" s="107"/>
      <c r="D35" s="47"/>
      <c r="E35" s="47"/>
      <c r="F35" s="47">
        <v>50</v>
      </c>
      <c r="G35" s="13">
        <f t="shared" si="3"/>
        <v>50</v>
      </c>
      <c r="H35" s="141">
        <v>0.34917774273485019</v>
      </c>
      <c r="I35" s="140">
        <v>0.65082225726514986</v>
      </c>
    </row>
    <row r="36" spans="1:9" ht="15.75" thickBot="1" x14ac:dyDescent="0.3">
      <c r="A36" s="120" t="str">
        <f>'1.Usos&amp;Fontes'!A37</f>
        <v>3.9</v>
      </c>
      <c r="B36" s="108" t="str">
        <f>'1.Usos&amp;Fontes'!B37</f>
        <v>Programa de Educação Sanitária e Ambiental  (RAA)</v>
      </c>
      <c r="C36" s="107"/>
      <c r="D36" s="47"/>
      <c r="E36" s="47"/>
      <c r="F36" s="47"/>
      <c r="G36" s="13">
        <f t="shared" si="3"/>
        <v>0</v>
      </c>
      <c r="H36" s="141">
        <v>0.34951456310679613</v>
      </c>
      <c r="I36" s="140">
        <v>0.65048543689320393</v>
      </c>
    </row>
    <row r="37" spans="1:9" s="109" customFormat="1" ht="15.75" thickBot="1" x14ac:dyDescent="0.3">
      <c r="A37" s="120" t="str">
        <f>'1.Usos&amp;Fontes'!A38</f>
        <v>3.10</v>
      </c>
      <c r="B37" s="108" t="str">
        <f>'1.Usos&amp;Fontes'!B38</f>
        <v>Equipamentos sociais (Escola, CRAS, C. Comunitário, Creche, P. Policial)</v>
      </c>
      <c r="C37" s="107"/>
      <c r="D37" s="47"/>
      <c r="E37" s="47"/>
      <c r="F37" s="47"/>
      <c r="G37" s="13"/>
      <c r="H37" s="141">
        <v>0.349950314673733</v>
      </c>
      <c r="I37" s="140">
        <v>0.65004968532626695</v>
      </c>
    </row>
    <row r="38" spans="1:9" ht="15.75" thickBot="1" x14ac:dyDescent="0.3">
      <c r="A38" s="120" t="str">
        <f>'1.Usos&amp;Fontes'!A39</f>
        <v>3.11</v>
      </c>
      <c r="B38" s="108" t="str">
        <f>'1.Usos&amp;Fontes'!B39</f>
        <v>Capacitação para a geração  de emprego e renda</v>
      </c>
      <c r="C38" s="107"/>
      <c r="D38" s="47"/>
      <c r="E38" s="47"/>
      <c r="F38" s="47"/>
      <c r="G38" s="13">
        <f>SUM(C38:F38)</f>
        <v>0</v>
      </c>
      <c r="H38" s="141">
        <v>0.35088351965380454</v>
      </c>
      <c r="I38" s="140">
        <v>0.6491164803461954</v>
      </c>
    </row>
    <row r="39" spans="1:9" ht="15.75" thickBot="1" x14ac:dyDescent="0.3">
      <c r="A39" s="120" t="str">
        <f>'1.Usos&amp;Fontes'!A40</f>
        <v>3.12</v>
      </c>
      <c r="B39" s="108" t="str">
        <f>'1.Usos&amp;Fontes'!B40</f>
        <v>Construção de  561 casas populares</v>
      </c>
      <c r="C39" s="107"/>
      <c r="D39" s="47"/>
      <c r="E39" s="47"/>
      <c r="F39" s="47"/>
      <c r="G39" s="13">
        <f>SUM(C39:F39)</f>
        <v>0</v>
      </c>
      <c r="H39" s="141">
        <v>0.25</v>
      </c>
      <c r="I39" s="140">
        <v>0.75</v>
      </c>
    </row>
    <row r="40" spans="1:9" s="109" customFormat="1" ht="15.75" thickBot="1" x14ac:dyDescent="0.3">
      <c r="A40" s="128" t="str">
        <f>'1.Usos&amp;Fontes'!A42</f>
        <v>IV</v>
      </c>
      <c r="B40" s="198" t="str">
        <f>'1.Usos&amp;Fontes'!B42</f>
        <v xml:space="preserve">GERENCIAMENTO E MONITORAMENTO </v>
      </c>
      <c r="C40" s="199"/>
      <c r="D40" s="199"/>
      <c r="E40" s="199"/>
      <c r="F40" s="199"/>
      <c r="G40" s="199"/>
      <c r="H40" s="199"/>
      <c r="I40" s="18"/>
    </row>
    <row r="41" spans="1:9" ht="15.75" thickBot="1" x14ac:dyDescent="0.3">
      <c r="A41" s="120" t="str">
        <f>'1.Usos&amp;Fontes'!A43</f>
        <v>4.1</v>
      </c>
      <c r="B41" s="108" t="str">
        <f>'1.Usos&amp;Fontes'!B43</f>
        <v>Gerenciamento e Monitoramento do Programa e Supervisão do Programa</v>
      </c>
      <c r="C41" s="107"/>
      <c r="D41" s="47"/>
      <c r="E41" s="47">
        <v>10</v>
      </c>
      <c r="F41" s="47">
        <v>10</v>
      </c>
      <c r="G41" s="13">
        <f>SUM(C41:F41)</f>
        <v>20</v>
      </c>
      <c r="H41" s="141">
        <v>0</v>
      </c>
      <c r="I41" s="140">
        <v>1</v>
      </c>
    </row>
    <row r="42" spans="1:9" ht="15.75" thickBot="1" x14ac:dyDescent="0.3">
      <c r="A42" s="120" t="str">
        <f>'1.Usos&amp;Fontes'!A44</f>
        <v>4.2</v>
      </c>
      <c r="B42" s="108" t="str">
        <f>'1.Usos&amp;Fontes'!B44</f>
        <v>Taxas</v>
      </c>
      <c r="C42" s="107"/>
      <c r="D42" s="47"/>
      <c r="E42" s="47">
        <v>10</v>
      </c>
      <c r="F42" s="47">
        <v>10</v>
      </c>
      <c r="G42" s="13">
        <f>SUM(C42:F42)</f>
        <v>20</v>
      </c>
      <c r="H42" s="141">
        <v>1</v>
      </c>
      <c r="I42" s="140">
        <v>0</v>
      </c>
    </row>
    <row r="43" spans="1:9" ht="15.75" thickBot="1" x14ac:dyDescent="0.3">
      <c r="A43" s="120" t="str">
        <f>'1.Usos&amp;Fontes'!A45</f>
        <v>4.3</v>
      </c>
      <c r="B43" s="108" t="str">
        <f>'1.Usos&amp;Fontes'!B45</f>
        <v>Avaliacao e monitoramento</v>
      </c>
      <c r="C43" s="107"/>
      <c r="D43" s="47"/>
      <c r="E43" s="47">
        <v>10</v>
      </c>
      <c r="F43" s="47">
        <v>10</v>
      </c>
      <c r="G43" s="13">
        <f>SUM(C43:F43)</f>
        <v>20</v>
      </c>
      <c r="H43" s="141">
        <v>1</v>
      </c>
      <c r="I43" s="140">
        <v>0</v>
      </c>
    </row>
  </sheetData>
  <sheetProtection formatCells="0" selectLockedCells="1"/>
  <mergeCells count="13">
    <mergeCell ref="I4:I6"/>
    <mergeCell ref="B15:I15"/>
    <mergeCell ref="B27:I27"/>
    <mergeCell ref="C5:C6"/>
    <mergeCell ref="D5:D6"/>
    <mergeCell ref="E5:E6"/>
    <mergeCell ref="F5:F6"/>
    <mergeCell ref="B8:I8"/>
    <mergeCell ref="A3:G3"/>
    <mergeCell ref="G4:G6"/>
    <mergeCell ref="C4:F4"/>
    <mergeCell ref="A4:B7"/>
    <mergeCell ref="H4:H6"/>
  </mergeCells>
  <pageMargins left="1.9685039370078741" right="0.98425196850393704" top="0.98425196850393704" bottom="0.98425196850393704" header="0.51181102362204722" footer="0.51181102362204722"/>
  <pageSetup paperSize="9" scale="65" orientation="landscape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J74"/>
  <sheetViews>
    <sheetView topLeftCell="I25" zoomScaleNormal="100" workbookViewId="0">
      <selection activeCell="A52" sqref="A52"/>
    </sheetView>
  </sheetViews>
  <sheetFormatPr defaultColWidth="8.85546875" defaultRowHeight="15" x14ac:dyDescent="0.25"/>
  <cols>
    <col min="1" max="1" width="7.140625" customWidth="1"/>
    <col min="2" max="2" width="55.140625" customWidth="1"/>
    <col min="3" max="3" width="7.140625" customWidth="1"/>
    <col min="4" max="4" width="10.85546875" style="46" customWidth="1"/>
    <col min="5" max="5" width="10.85546875" bestFit="1" customWidth="1"/>
    <col min="6" max="6" width="6.7109375" customWidth="1"/>
    <col min="7" max="7" width="10.85546875" style="46" customWidth="1"/>
    <col min="8" max="8" width="10.85546875" bestFit="1" customWidth="1"/>
    <col min="9" max="9" width="5.42578125" customWidth="1"/>
    <col min="10" max="10" width="12.85546875" style="46" customWidth="1"/>
    <col min="11" max="11" width="14.28515625" bestFit="1" customWidth="1"/>
    <col min="12" max="12" width="6.42578125" customWidth="1"/>
    <col min="13" max="13" width="13.28515625" style="46" bestFit="1" customWidth="1"/>
    <col min="14" max="14" width="14.28515625" bestFit="1" customWidth="1"/>
    <col min="15" max="15" width="13.140625" customWidth="1"/>
    <col min="16" max="16" width="6.7109375" customWidth="1"/>
    <col min="17" max="17" width="14.28515625" bestFit="1" customWidth="1"/>
    <col min="18" max="18" width="6.7109375" customWidth="1"/>
    <col min="19" max="19" width="20.28515625" customWidth="1"/>
    <col min="20" max="20" width="14.28515625" hidden="1" customWidth="1"/>
    <col min="21" max="21" width="15.28515625" style="432" hidden="1" customWidth="1"/>
    <col min="22" max="22" width="14.28515625" hidden="1" customWidth="1"/>
    <col min="23" max="23" width="15.28515625" style="432" hidden="1" customWidth="1"/>
    <col min="24" max="25" width="15.28515625" bestFit="1" customWidth="1"/>
    <col min="29" max="29" width="14.28515625" bestFit="1" customWidth="1"/>
    <col min="30" max="30" width="16.28515625" customWidth="1"/>
    <col min="33" max="33" width="28.42578125" customWidth="1"/>
    <col min="34" max="34" width="18" customWidth="1"/>
  </cols>
  <sheetData>
    <row r="1" spans="1:32" x14ac:dyDescent="0.25">
      <c r="A1" s="86"/>
      <c r="B1" s="86" t="s">
        <v>116</v>
      </c>
      <c r="C1" s="86"/>
      <c r="D1" s="86"/>
      <c r="E1" s="86"/>
      <c r="F1" s="86"/>
      <c r="G1" s="86"/>
      <c r="H1" s="86"/>
      <c r="I1" s="86"/>
      <c r="J1" s="86"/>
      <c r="K1" s="517"/>
      <c r="L1" s="86"/>
      <c r="M1" s="86"/>
      <c r="N1" s="517"/>
      <c r="O1" s="86"/>
      <c r="P1" s="86"/>
      <c r="Q1" s="87"/>
      <c r="R1" s="46"/>
      <c r="S1" s="92"/>
      <c r="T1" s="46"/>
      <c r="V1" s="46"/>
      <c r="X1" s="46"/>
      <c r="Y1" s="46"/>
    </row>
    <row r="2" spans="1:32" x14ac:dyDescent="0.25">
      <c r="A2" s="46"/>
      <c r="B2" s="1" t="str">
        <f>'1.Usos&amp;Fontes'!B2</f>
        <v>PROGRAMA BRASILIA SUSTENTAVEL II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6"/>
      <c r="Q2" s="46"/>
      <c r="R2" s="46"/>
      <c r="S2" s="92"/>
      <c r="T2" s="46"/>
      <c r="V2" s="46"/>
      <c r="X2" s="46"/>
      <c r="Y2" s="46"/>
    </row>
    <row r="3" spans="1:32" x14ac:dyDescent="0.25">
      <c r="A3" s="610" t="s">
        <v>13</v>
      </c>
      <c r="B3" s="611"/>
      <c r="C3" s="183"/>
      <c r="D3" s="447"/>
      <c r="E3" s="183"/>
      <c r="F3" s="183"/>
      <c r="G3" s="447"/>
      <c r="H3" s="183"/>
      <c r="I3" s="183"/>
      <c r="J3" s="447"/>
      <c r="K3" s="183"/>
      <c r="L3" s="183"/>
      <c r="M3" s="447"/>
      <c r="N3" s="183"/>
      <c r="O3" s="183"/>
      <c r="P3" s="23"/>
      <c r="Q3" s="23"/>
      <c r="R3" s="23"/>
      <c r="S3" s="183"/>
      <c r="T3" s="23"/>
      <c r="U3" s="433"/>
      <c r="V3" s="23"/>
      <c r="W3" s="433"/>
      <c r="X3" s="23"/>
      <c r="Y3" s="23"/>
    </row>
    <row r="4" spans="1:32" ht="15.75" thickBot="1" x14ac:dyDescent="0.3">
      <c r="A4" s="18"/>
      <c r="B4" s="18"/>
      <c r="C4" s="18"/>
      <c r="D4" s="18"/>
      <c r="E4" s="18"/>
      <c r="F4" s="18"/>
      <c r="G4" s="18"/>
      <c r="H4" s="18"/>
      <c r="I4" s="105"/>
      <c r="J4" s="105"/>
      <c r="K4" s="105"/>
      <c r="L4" s="105"/>
      <c r="M4" s="105"/>
      <c r="N4" s="105"/>
      <c r="O4" s="105"/>
      <c r="P4" s="106"/>
      <c r="Q4" s="106"/>
      <c r="R4" s="106"/>
      <c r="S4" s="105"/>
      <c r="T4" s="106"/>
      <c r="U4" s="433"/>
      <c r="V4" s="106"/>
      <c r="W4" s="433"/>
      <c r="X4" s="106"/>
      <c r="Y4" s="106"/>
    </row>
    <row r="5" spans="1:32" ht="15.75" thickBot="1" x14ac:dyDescent="0.3">
      <c r="A5" s="630" t="s">
        <v>133</v>
      </c>
      <c r="B5" s="631"/>
      <c r="C5" s="615" t="s">
        <v>1</v>
      </c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43" t="s">
        <v>8</v>
      </c>
      <c r="P5" s="644"/>
      <c r="Q5" s="644"/>
      <c r="R5" s="644"/>
      <c r="S5" s="644"/>
      <c r="T5" s="644"/>
      <c r="U5" s="644"/>
      <c r="V5" s="644"/>
      <c r="W5" s="644"/>
      <c r="X5" s="644"/>
      <c r="Y5" s="645"/>
    </row>
    <row r="6" spans="1:32" ht="15.75" customHeight="1" thickBot="1" x14ac:dyDescent="0.3">
      <c r="A6" s="631"/>
      <c r="B6" s="631"/>
      <c r="C6" s="646" t="s">
        <v>110</v>
      </c>
      <c r="D6" s="647"/>
      <c r="E6" s="648"/>
      <c r="F6" s="646" t="s">
        <v>111</v>
      </c>
      <c r="G6" s="647"/>
      <c r="H6" s="648"/>
      <c r="I6" s="646" t="s">
        <v>112</v>
      </c>
      <c r="J6" s="647"/>
      <c r="K6" s="648"/>
      <c r="L6" s="646" t="s">
        <v>113</v>
      </c>
      <c r="M6" s="647"/>
      <c r="N6" s="648"/>
      <c r="O6" s="652" t="s">
        <v>114</v>
      </c>
      <c r="P6" s="641" t="s">
        <v>65</v>
      </c>
      <c r="Q6" s="642"/>
      <c r="R6" s="633" t="s">
        <v>4</v>
      </c>
      <c r="S6" s="633"/>
      <c r="T6" s="635" t="s">
        <v>65</v>
      </c>
      <c r="U6" s="636"/>
      <c r="V6" s="635" t="s">
        <v>4</v>
      </c>
      <c r="W6" s="636"/>
      <c r="X6" s="637" t="s">
        <v>8</v>
      </c>
      <c r="Y6" s="638"/>
    </row>
    <row r="7" spans="1:32" ht="15.75" thickBot="1" x14ac:dyDescent="0.3">
      <c r="A7" s="631"/>
      <c r="B7" s="631"/>
      <c r="C7" s="649"/>
      <c r="D7" s="650"/>
      <c r="E7" s="651"/>
      <c r="F7" s="649"/>
      <c r="G7" s="650"/>
      <c r="H7" s="651"/>
      <c r="I7" s="649"/>
      <c r="J7" s="650"/>
      <c r="K7" s="651"/>
      <c r="L7" s="649"/>
      <c r="M7" s="650"/>
      <c r="N7" s="651"/>
      <c r="O7" s="652"/>
      <c r="P7" s="635"/>
      <c r="Q7" s="636"/>
      <c r="R7" s="634"/>
      <c r="S7" s="634"/>
      <c r="T7" s="185"/>
      <c r="U7" s="406"/>
      <c r="V7" s="406"/>
      <c r="W7" s="406"/>
      <c r="X7" s="639"/>
      <c r="Y7" s="640"/>
    </row>
    <row r="8" spans="1:32" ht="15.75" thickBot="1" x14ac:dyDescent="0.3">
      <c r="A8" s="631"/>
      <c r="B8" s="631"/>
      <c r="C8" s="449" t="s">
        <v>5</v>
      </c>
      <c r="D8" s="451" t="s">
        <v>65</v>
      </c>
      <c r="E8" s="450" t="s">
        <v>4</v>
      </c>
      <c r="F8" s="449" t="s">
        <v>5</v>
      </c>
      <c r="G8" s="451" t="s">
        <v>65</v>
      </c>
      <c r="H8" s="450" t="s">
        <v>4</v>
      </c>
      <c r="I8" s="449" t="s">
        <v>5</v>
      </c>
      <c r="J8" s="451" t="s">
        <v>65</v>
      </c>
      <c r="K8" s="450" t="s">
        <v>4</v>
      </c>
      <c r="L8" s="449" t="s">
        <v>5</v>
      </c>
      <c r="M8" s="451" t="s">
        <v>65</v>
      </c>
      <c r="N8" s="450" t="s">
        <v>4</v>
      </c>
      <c r="O8" s="653"/>
      <c r="P8" s="406" t="s">
        <v>5</v>
      </c>
      <c r="Q8" s="406" t="s">
        <v>6</v>
      </c>
      <c r="R8" s="185" t="s">
        <v>5</v>
      </c>
      <c r="S8" s="185" t="s">
        <v>6</v>
      </c>
      <c r="T8" s="12" t="s">
        <v>6</v>
      </c>
      <c r="U8" s="12" t="s">
        <v>10</v>
      </c>
      <c r="V8" s="12" t="s">
        <v>6</v>
      </c>
      <c r="W8" s="12" t="s">
        <v>10</v>
      </c>
      <c r="X8" s="406" t="s">
        <v>6</v>
      </c>
      <c r="Y8" s="406" t="s">
        <v>10</v>
      </c>
    </row>
    <row r="9" spans="1:32" ht="15.75" thickBot="1" x14ac:dyDescent="0.3">
      <c r="A9" s="185" t="str">
        <f>'1.Usos&amp;Fontes'!A7</f>
        <v>I</v>
      </c>
      <c r="B9" s="632" t="str">
        <f>'1.Usos&amp;Fontes'!B7</f>
        <v>COMPONENTE 1  - FORTALECIMENTO INSTITUCIONAL</v>
      </c>
      <c r="C9" s="572"/>
      <c r="D9" s="572"/>
      <c r="E9" s="572"/>
      <c r="F9" s="572"/>
      <c r="G9" s="572"/>
      <c r="H9" s="572"/>
      <c r="I9" s="572"/>
      <c r="J9" s="572"/>
      <c r="K9" s="572"/>
      <c r="L9" s="572"/>
      <c r="M9" s="572"/>
      <c r="N9" s="572"/>
      <c r="O9" s="572"/>
      <c r="P9" s="572"/>
      <c r="Q9" s="572"/>
      <c r="R9" s="572"/>
      <c r="S9" s="572"/>
      <c r="T9" s="572"/>
      <c r="U9" s="572"/>
      <c r="V9" s="572"/>
      <c r="W9" s="572"/>
      <c r="X9" s="572"/>
      <c r="Y9" s="573"/>
    </row>
    <row r="10" spans="1:32" ht="23.25" thickBot="1" x14ac:dyDescent="0.3">
      <c r="A10" s="121" t="str">
        <f>'1.Usos&amp;Fontes'!A8</f>
        <v>1.1</v>
      </c>
      <c r="B10" s="2" t="str">
        <f>'1.Usos&amp;Fontes'!B8</f>
        <v>Fortalecimento Institucional  SEMA - Sistema Distrital de Informações Ambientais</v>
      </c>
      <c r="C10" s="123">
        <f>'2.Cronograma Fisico POA'!C9</f>
        <v>0</v>
      </c>
      <c r="D10" s="123">
        <f>((T10)*C10)/100</f>
        <v>0</v>
      </c>
      <c r="E10" s="123">
        <f>((V10)*C10)/100</f>
        <v>0</v>
      </c>
      <c r="F10" s="123">
        <f>'2.Cronograma Fisico POA'!D9</f>
        <v>0</v>
      </c>
      <c r="G10" s="123">
        <f>((T10)*E10)/100</f>
        <v>0</v>
      </c>
      <c r="H10" s="123">
        <f>((V10)*F10)/100</f>
        <v>0</v>
      </c>
      <c r="I10" s="123">
        <f>'2.Cronograma Fisico POA'!E9</f>
        <v>5</v>
      </c>
      <c r="J10" s="152">
        <f>((T10)*I10)/100</f>
        <v>0</v>
      </c>
      <c r="K10" s="152">
        <f>((V10)*I10)/100</f>
        <v>50000</v>
      </c>
      <c r="L10" s="123">
        <f>'2.Cronograma Fisico POA'!F9</f>
        <v>10</v>
      </c>
      <c r="M10" s="152">
        <f>((T10)*L10)/100</f>
        <v>0</v>
      </c>
      <c r="N10" s="152">
        <f>((V10)*L10)/100</f>
        <v>100000</v>
      </c>
      <c r="O10" s="152">
        <f>SUM(C10,F10,I10,L10)</f>
        <v>15</v>
      </c>
      <c r="P10" s="153">
        <f>'1.Usos&amp;Fontes'!C8</f>
        <v>0</v>
      </c>
      <c r="Q10" s="124">
        <f>D10+G10+J10+M10</f>
        <v>0</v>
      </c>
      <c r="R10" s="154">
        <f>'1.Usos&amp;Fontes'!F8</f>
        <v>1</v>
      </c>
      <c r="S10" s="155">
        <f>E10+H10+K10+N10</f>
        <v>150000</v>
      </c>
      <c r="T10" s="155">
        <f>'1.Usos&amp;Fontes'!E8</f>
        <v>0</v>
      </c>
      <c r="U10" s="155">
        <f>T10*'1.Usos&amp;Fontes'!I2</f>
        <v>0</v>
      </c>
      <c r="V10" s="155">
        <f>'1.Usos&amp;Fontes'!H8</f>
        <v>1000000</v>
      </c>
      <c r="W10" s="155">
        <f>V10*'1.Usos&amp;Fontes'!I2</f>
        <v>3000000</v>
      </c>
      <c r="X10" s="436">
        <f>Q10+S10</f>
        <v>150000</v>
      </c>
      <c r="Y10" s="436">
        <f>X10*'1.Usos&amp;Fontes'!$I$2</f>
        <v>450000</v>
      </c>
      <c r="AA10" s="563" t="s">
        <v>122</v>
      </c>
      <c r="AB10" s="563"/>
      <c r="AC10" s="29" t="e">
        <f>(#REF!*0.07)+(0.07*W10)+(W11*0.01)+(W12*0.15)+(#REF!*0.07)+(W13*0.07)</f>
        <v>#REF!</v>
      </c>
      <c r="AD10" s="220" t="e">
        <f>AC10/AC12</f>
        <v>#REF!</v>
      </c>
      <c r="AE10" s="1"/>
      <c r="AF10" s="1"/>
    </row>
    <row r="11" spans="1:32" ht="23.25" thickBot="1" x14ac:dyDescent="0.3">
      <c r="A11" s="121" t="str">
        <f>'1.Usos&amp;Fontes'!A9</f>
        <v>1.2</v>
      </c>
      <c r="B11" s="2" t="str">
        <f>'1.Usos&amp;Fontes'!B9</f>
        <v>Fortalecimento Institucional - IBRAM - Melhoria dos processos de licenciamento</v>
      </c>
      <c r="C11" s="123">
        <f>'2.Cronograma Fisico POA'!C10</f>
        <v>0</v>
      </c>
      <c r="D11" s="123">
        <f t="shared" ref="D11:D15" si="0">((T11)*C11)/100</f>
        <v>0</v>
      </c>
      <c r="E11" s="123">
        <f t="shared" ref="E11:E14" si="1">((V11)*C11)/100</f>
        <v>0</v>
      </c>
      <c r="F11" s="123">
        <f>'2.Cronograma Fisico POA'!D10</f>
        <v>0</v>
      </c>
      <c r="G11" s="123">
        <f t="shared" ref="G11:G15" si="2">((T11)*E11)/100</f>
        <v>0</v>
      </c>
      <c r="H11" s="123">
        <f t="shared" ref="H11:H15" si="3">((V11)*F11)/100</f>
        <v>0</v>
      </c>
      <c r="I11" s="123">
        <f>'2.Cronograma Fisico POA'!E10</f>
        <v>10</v>
      </c>
      <c r="J11" s="152">
        <f t="shared" ref="J11:J15" si="4">((T11)*I11)/100</f>
        <v>0</v>
      </c>
      <c r="K11" s="152">
        <f>((V11)*I11)/100</f>
        <v>100000</v>
      </c>
      <c r="L11" s="123">
        <f>'2.Cronograma Fisico POA'!F10</f>
        <v>10</v>
      </c>
      <c r="M11" s="152">
        <f t="shared" ref="M11:M15" si="5">((T11)*L11)/100</f>
        <v>0</v>
      </c>
      <c r="N11" s="152">
        <f>((V11)*L11)/100</f>
        <v>100000</v>
      </c>
      <c r="O11" s="152">
        <f t="shared" ref="O11:O13" si="6">SUM(C11,F11,I11,L11)</f>
        <v>20</v>
      </c>
      <c r="P11" s="153">
        <f>'1.Usos&amp;Fontes'!C9</f>
        <v>0</v>
      </c>
      <c r="Q11" s="124">
        <f t="shared" ref="Q11:Q15" si="7">D11+G11+J11+M11</f>
        <v>0</v>
      </c>
      <c r="R11" s="154">
        <f>'1.Usos&amp;Fontes'!F9</f>
        <v>1</v>
      </c>
      <c r="S11" s="155">
        <f>E11+H11+K11+N11</f>
        <v>200000</v>
      </c>
      <c r="T11" s="155">
        <f>'1.Usos&amp;Fontes'!E9</f>
        <v>0</v>
      </c>
      <c r="U11" s="155">
        <f>T11*'1.Usos&amp;Fontes'!I2</f>
        <v>0</v>
      </c>
      <c r="V11" s="155">
        <f>'1.Usos&amp;Fontes'!H9</f>
        <v>1000000</v>
      </c>
      <c r="W11" s="155">
        <f>V11*'1.Usos&amp;Fontes'!I2</f>
        <v>3000000</v>
      </c>
      <c r="X11" s="436">
        <f t="shared" ref="X11:X15" si="8">Q11+S11</f>
        <v>200000</v>
      </c>
      <c r="Y11" s="436">
        <f>X11*'1.Usos&amp;Fontes'!$I$2</f>
        <v>600000</v>
      </c>
      <c r="AA11" s="563" t="s">
        <v>123</v>
      </c>
      <c r="AB11" s="563"/>
      <c r="AC11" s="29" t="e">
        <f>Y16-AC10-#REF!</f>
        <v>#REF!</v>
      </c>
      <c r="AD11" s="220" t="e">
        <f>AC11/AC12</f>
        <v>#REF!</v>
      </c>
      <c r="AE11" s="1"/>
      <c r="AF11" s="1"/>
    </row>
    <row r="12" spans="1:32" ht="15.75" thickBot="1" x14ac:dyDescent="0.3">
      <c r="A12" s="121" t="str">
        <f>'1.Usos&amp;Fontes'!A10</f>
        <v>1.3</v>
      </c>
      <c r="B12" s="2" t="str">
        <f>'1.Usos&amp;Fontes'!B10</f>
        <v xml:space="preserve"> Fortalecimento Institucional do SLU - Automatização de processos</v>
      </c>
      <c r="C12" s="123">
        <f>'2.Cronograma Fisico POA'!C11</f>
        <v>0</v>
      </c>
      <c r="D12" s="123">
        <f t="shared" si="0"/>
        <v>0</v>
      </c>
      <c r="E12" s="123">
        <f t="shared" si="1"/>
        <v>0</v>
      </c>
      <c r="F12" s="123">
        <f>'2.Cronograma Fisico POA'!D11</f>
        <v>0</v>
      </c>
      <c r="G12" s="123">
        <f t="shared" si="2"/>
        <v>0</v>
      </c>
      <c r="H12" s="123">
        <f t="shared" si="3"/>
        <v>0</v>
      </c>
      <c r="I12" s="123">
        <f>'2.Cronograma Fisico POA'!E11</f>
        <v>10</v>
      </c>
      <c r="J12" s="152">
        <f t="shared" si="4"/>
        <v>0</v>
      </c>
      <c r="K12" s="152">
        <f t="shared" ref="K12:K15" si="9">((V12)*I12)/100</f>
        <v>200000</v>
      </c>
      <c r="L12" s="123">
        <f>'2.Cronograma Fisico POA'!F11</f>
        <v>10</v>
      </c>
      <c r="M12" s="152">
        <f t="shared" si="5"/>
        <v>0</v>
      </c>
      <c r="N12" s="152">
        <f>((V12)*L12)/100</f>
        <v>200000</v>
      </c>
      <c r="O12" s="152">
        <f t="shared" si="6"/>
        <v>20</v>
      </c>
      <c r="P12" s="153">
        <f>'1.Usos&amp;Fontes'!C10</f>
        <v>0</v>
      </c>
      <c r="Q12" s="124">
        <f t="shared" si="7"/>
        <v>0</v>
      </c>
      <c r="R12" s="154">
        <f>'1.Usos&amp;Fontes'!F10</f>
        <v>1</v>
      </c>
      <c r="S12" s="155">
        <f>E12+H12+K12+N12</f>
        <v>400000</v>
      </c>
      <c r="T12" s="155">
        <f>'1.Usos&amp;Fontes'!E10</f>
        <v>0</v>
      </c>
      <c r="U12" s="155">
        <f>T12*'1.Usos&amp;Fontes'!I2</f>
        <v>0</v>
      </c>
      <c r="V12" s="155">
        <f>'1.Usos&amp;Fontes'!H10</f>
        <v>2000000</v>
      </c>
      <c r="W12" s="155">
        <f>V12*'1.Usos&amp;Fontes'!I2</f>
        <v>6000000</v>
      </c>
      <c r="X12" s="436">
        <f t="shared" si="8"/>
        <v>400000</v>
      </c>
      <c r="Y12" s="436">
        <f>X12*'1.Usos&amp;Fontes'!$I$2</f>
        <v>1200000</v>
      </c>
      <c r="AA12" s="565" t="s">
        <v>8</v>
      </c>
      <c r="AB12" s="565"/>
      <c r="AC12" s="29" t="e">
        <f>SUM(AC10:AC11)</f>
        <v>#REF!</v>
      </c>
      <c r="AD12" s="29"/>
      <c r="AE12" s="1"/>
      <c r="AF12" s="1"/>
    </row>
    <row r="13" spans="1:32" ht="15.75" thickBot="1" x14ac:dyDescent="0.3">
      <c r="A13" s="121" t="str">
        <f>'1.Usos&amp;Fontes'!A11</f>
        <v>1.4</v>
      </c>
      <c r="B13" s="2" t="str">
        <f>'1.Usos&amp;Fontes'!B11</f>
        <v xml:space="preserve"> Fortalecimento Institucional SINESP</v>
      </c>
      <c r="C13" s="123">
        <f>'2.Cronograma Fisico POA'!C12</f>
        <v>0</v>
      </c>
      <c r="D13" s="123">
        <f t="shared" si="0"/>
        <v>0</v>
      </c>
      <c r="E13" s="123">
        <f t="shared" si="1"/>
        <v>0</v>
      </c>
      <c r="F13" s="123">
        <f>'2.Cronograma Fisico POA'!D12</f>
        <v>0</v>
      </c>
      <c r="G13" s="123">
        <f t="shared" si="2"/>
        <v>0</v>
      </c>
      <c r="H13" s="123">
        <f t="shared" si="3"/>
        <v>0</v>
      </c>
      <c r="I13" s="123">
        <f>'2.Cronograma Fisico POA'!E12</f>
        <v>10</v>
      </c>
      <c r="J13" s="152">
        <f t="shared" si="4"/>
        <v>0</v>
      </c>
      <c r="K13" s="152">
        <f t="shared" si="9"/>
        <v>100000</v>
      </c>
      <c r="L13" s="123">
        <f>'2.Cronograma Fisico POA'!F12</f>
        <v>10</v>
      </c>
      <c r="M13" s="152">
        <f t="shared" si="5"/>
        <v>0</v>
      </c>
      <c r="N13" s="152">
        <f t="shared" ref="N13:N15" si="10">((V13)*L13)/100</f>
        <v>100000</v>
      </c>
      <c r="O13" s="152">
        <f t="shared" si="6"/>
        <v>20</v>
      </c>
      <c r="P13" s="153">
        <f>'1.Usos&amp;Fontes'!C11</f>
        <v>0</v>
      </c>
      <c r="Q13" s="124">
        <f t="shared" si="7"/>
        <v>0</v>
      </c>
      <c r="R13" s="154">
        <f>'1.Usos&amp;Fontes'!F11</f>
        <v>1</v>
      </c>
      <c r="S13" s="155">
        <f>E13+H13+K13+N13</f>
        <v>200000</v>
      </c>
      <c r="T13" s="155">
        <f>'1.Usos&amp;Fontes'!E11</f>
        <v>0</v>
      </c>
      <c r="U13" s="155">
        <f>T13*'1.Usos&amp;Fontes'!I2</f>
        <v>0</v>
      </c>
      <c r="V13" s="155">
        <f>'1.Usos&amp;Fontes'!H11</f>
        <v>1000000</v>
      </c>
      <c r="W13" s="155">
        <f>V13*'1.Usos&amp;Fontes'!I2</f>
        <v>3000000</v>
      </c>
      <c r="X13" s="436">
        <f t="shared" si="8"/>
        <v>200000</v>
      </c>
      <c r="Y13" s="436">
        <f>X13*'1.Usos&amp;Fontes'!$I$2</f>
        <v>600000</v>
      </c>
      <c r="AA13" s="563"/>
      <c r="AB13" s="563"/>
      <c r="AC13" s="29"/>
      <c r="AD13" s="29"/>
      <c r="AE13" s="1"/>
      <c r="AF13" s="1"/>
    </row>
    <row r="14" spans="1:32" s="46" customFormat="1" ht="23.25" thickBot="1" x14ac:dyDescent="0.3">
      <c r="A14" s="121" t="str">
        <f>'1.Usos&amp;Fontes'!A12</f>
        <v>1.5</v>
      </c>
      <c r="B14" s="2" t="str">
        <f>'1.Usos&amp;Fontes'!B12</f>
        <v>Fortalecimento Institucional NOVACAP - Melhoria do Parque Tecnologico e automatizacao de processos</v>
      </c>
      <c r="C14" s="123">
        <f>'2.Cronograma Fisico POA'!C13</f>
        <v>0</v>
      </c>
      <c r="D14" s="123">
        <f t="shared" si="0"/>
        <v>0</v>
      </c>
      <c r="E14" s="123">
        <f t="shared" si="1"/>
        <v>0</v>
      </c>
      <c r="F14" s="123">
        <f>'2.Cronograma Fisico POA'!D13</f>
        <v>0</v>
      </c>
      <c r="G14" s="123">
        <f t="shared" si="2"/>
        <v>0</v>
      </c>
      <c r="H14" s="123">
        <f t="shared" si="3"/>
        <v>0</v>
      </c>
      <c r="I14" s="123">
        <f>'2.Cronograma Fisico POA'!E13</f>
        <v>10</v>
      </c>
      <c r="J14" s="152">
        <f t="shared" si="4"/>
        <v>0</v>
      </c>
      <c r="K14" s="152">
        <f t="shared" si="9"/>
        <v>200000</v>
      </c>
      <c r="L14" s="123">
        <f>'2.Cronograma Fisico POA'!F13</f>
        <v>10</v>
      </c>
      <c r="M14" s="152">
        <f t="shared" si="5"/>
        <v>0</v>
      </c>
      <c r="N14" s="152">
        <f t="shared" si="10"/>
        <v>200000</v>
      </c>
      <c r="O14" s="152">
        <f t="shared" ref="O14:O15" si="11">SUM(C14,F14,I14,L14)</f>
        <v>20</v>
      </c>
      <c r="P14" s="153">
        <f>'1.Usos&amp;Fontes'!C12</f>
        <v>0</v>
      </c>
      <c r="Q14" s="124">
        <f t="shared" si="7"/>
        <v>0</v>
      </c>
      <c r="R14" s="154">
        <f>'1.Usos&amp;Fontes'!F12</f>
        <v>1</v>
      </c>
      <c r="S14" s="155">
        <f t="shared" ref="S14:S15" si="12">E14+H14+K14+N14</f>
        <v>400000</v>
      </c>
      <c r="T14" s="155">
        <f>'1.Usos&amp;Fontes'!E12</f>
        <v>0</v>
      </c>
      <c r="U14" s="155">
        <f>T14*'1.Usos&amp;Fontes'!I2</f>
        <v>0</v>
      </c>
      <c r="V14" s="155">
        <f>'1.Usos&amp;Fontes'!H12</f>
        <v>2000000</v>
      </c>
      <c r="W14" s="155">
        <f>V14*'1.Usos&amp;Fontes'!I2</f>
        <v>6000000</v>
      </c>
      <c r="X14" s="436">
        <f t="shared" si="8"/>
        <v>400000</v>
      </c>
      <c r="Y14" s="436">
        <f>X14*'1.Usos&amp;Fontes'!$I$2</f>
        <v>1200000</v>
      </c>
      <c r="AA14" s="338"/>
      <c r="AB14" s="338"/>
      <c r="AC14" s="29"/>
      <c r="AD14" s="29"/>
      <c r="AE14" s="1"/>
      <c r="AF14" s="1"/>
    </row>
    <row r="15" spans="1:32" s="46" customFormat="1" ht="15.75" thickBot="1" x14ac:dyDescent="0.3">
      <c r="A15" s="362" t="s">
        <v>48</v>
      </c>
      <c r="B15" s="2" t="str">
        <f>'1.Usos&amp;Fontes'!B13</f>
        <v>Fortalecimento Institucional dos SEDESTMIDH - Aqusição de Computadores</v>
      </c>
      <c r="C15" s="123">
        <f>'2.Cronograma Fisico POA'!C14</f>
        <v>0</v>
      </c>
      <c r="D15" s="123">
        <f t="shared" si="0"/>
        <v>0</v>
      </c>
      <c r="E15" s="123">
        <f>((V15)*C15)/100</f>
        <v>0</v>
      </c>
      <c r="F15" s="123">
        <f>'2.Cronograma Fisico POA'!D14</f>
        <v>0</v>
      </c>
      <c r="G15" s="123">
        <f t="shared" si="2"/>
        <v>0</v>
      </c>
      <c r="H15" s="123">
        <f t="shared" si="3"/>
        <v>0</v>
      </c>
      <c r="I15" s="123">
        <f>'2.Cronograma Fisico POA'!E14</f>
        <v>10</v>
      </c>
      <c r="J15" s="152">
        <f t="shared" si="4"/>
        <v>0</v>
      </c>
      <c r="K15" s="152">
        <f t="shared" si="9"/>
        <v>100000</v>
      </c>
      <c r="L15" s="123">
        <f>'2.Cronograma Fisico POA'!F14</f>
        <v>10</v>
      </c>
      <c r="M15" s="152">
        <f t="shared" si="5"/>
        <v>0</v>
      </c>
      <c r="N15" s="152">
        <f t="shared" si="10"/>
        <v>100000</v>
      </c>
      <c r="O15" s="152">
        <f t="shared" si="11"/>
        <v>20</v>
      </c>
      <c r="P15" s="153">
        <f>'1.Usos&amp;Fontes'!C13</f>
        <v>0</v>
      </c>
      <c r="Q15" s="124">
        <f t="shared" si="7"/>
        <v>0</v>
      </c>
      <c r="R15" s="154">
        <f>'1.Usos&amp;Fontes'!F13</f>
        <v>1</v>
      </c>
      <c r="S15" s="155">
        <f t="shared" si="12"/>
        <v>200000</v>
      </c>
      <c r="T15" s="155">
        <f>'1.Usos&amp;Fontes'!E13</f>
        <v>0</v>
      </c>
      <c r="U15" s="155">
        <f>T15*'1.Usos&amp;Fontes'!I2</f>
        <v>0</v>
      </c>
      <c r="V15" s="155">
        <f>'1.Usos&amp;Fontes'!H13</f>
        <v>1000000</v>
      </c>
      <c r="W15" s="155">
        <f>V15*'1.Usos&amp;Fontes'!I2</f>
        <v>3000000</v>
      </c>
      <c r="X15" s="436">
        <f t="shared" si="8"/>
        <v>200000</v>
      </c>
      <c r="Y15" s="436">
        <f>X15*'1.Usos&amp;Fontes'!$I$2</f>
        <v>600000</v>
      </c>
      <c r="AA15" s="352"/>
      <c r="AB15" s="352"/>
      <c r="AC15" s="29"/>
      <c r="AD15" s="29"/>
      <c r="AE15" s="1"/>
      <c r="AF15" s="1"/>
    </row>
    <row r="16" spans="1:32" ht="15.75" thickBot="1" x14ac:dyDescent="0.3">
      <c r="A16" s="629" t="s">
        <v>121</v>
      </c>
      <c r="B16" s="629"/>
      <c r="C16" s="187"/>
      <c r="D16" s="475">
        <f>SUM(D10:D15)</f>
        <v>0</v>
      </c>
      <c r="E16" s="164">
        <f>SUM(E10:E15)</f>
        <v>0</v>
      </c>
      <c r="F16" s="187"/>
      <c r="G16" s="164">
        <f>SUM(G10:G15)</f>
        <v>0</v>
      </c>
      <c r="H16" s="164">
        <f>SUM(H10:H15)</f>
        <v>0</v>
      </c>
      <c r="I16" s="187"/>
      <c r="J16" s="164">
        <f>SUM(J10:J15)</f>
        <v>0</v>
      </c>
      <c r="K16" s="164">
        <f>SUM(K10:K15)</f>
        <v>750000</v>
      </c>
      <c r="L16" s="187"/>
      <c r="M16" s="164">
        <f>SUM(M10:M15)</f>
        <v>0</v>
      </c>
      <c r="N16" s="164">
        <f>SUM(N10:N15)</f>
        <v>800000</v>
      </c>
      <c r="O16" s="156"/>
      <c r="P16" s="157"/>
      <c r="Q16" s="158">
        <f>SUM(Q10:Q15)</f>
        <v>0</v>
      </c>
      <c r="R16" s="159"/>
      <c r="S16" s="160">
        <f>SUM(S10:S15)</f>
        <v>1550000</v>
      </c>
      <c r="T16" s="160">
        <f>SUM(T10:T15)</f>
        <v>0</v>
      </c>
      <c r="U16" s="160">
        <f>SUM(U10:U15)</f>
        <v>0</v>
      </c>
      <c r="V16" s="160">
        <f>SUM(V10:V15)</f>
        <v>8000000</v>
      </c>
      <c r="W16" s="160">
        <f t="shared" ref="W16:Y16" si="13">SUM(W10:W15)</f>
        <v>24000000</v>
      </c>
      <c r="X16" s="160">
        <f t="shared" si="13"/>
        <v>1550000</v>
      </c>
      <c r="Y16" s="160">
        <f t="shared" si="13"/>
        <v>4650000</v>
      </c>
      <c r="AA16" s="222">
        <f>Y16/Y49</f>
        <v>0.13239735719243614</v>
      </c>
      <c r="AB16" s="1"/>
      <c r="AC16" s="19"/>
      <c r="AD16" s="19"/>
      <c r="AE16" s="1"/>
      <c r="AF16" s="1"/>
    </row>
    <row r="17" spans="1:32" ht="15.75" thickBot="1" x14ac:dyDescent="0.3">
      <c r="A17" s="185" t="str">
        <f>'1.Usos&amp;Fontes'!A15</f>
        <v xml:space="preserve">II </v>
      </c>
      <c r="B17" s="632" t="str">
        <f>'1.Usos&amp;Fontes'!B15:I15</f>
        <v xml:space="preserve">COMPONENTE 2  - GESTÃO DE RESÍDUOS SÓLIDOS E INCLUSÃO SOCIAL </v>
      </c>
      <c r="C17" s="572"/>
      <c r="D17" s="572"/>
      <c r="E17" s="572"/>
      <c r="F17" s="572"/>
      <c r="G17" s="572"/>
      <c r="H17" s="572"/>
      <c r="I17" s="572"/>
      <c r="J17" s="572"/>
      <c r="K17" s="572"/>
      <c r="L17" s="572"/>
      <c r="M17" s="572"/>
      <c r="N17" s="572"/>
      <c r="O17" s="572"/>
      <c r="P17" s="572"/>
      <c r="Q17" s="572"/>
      <c r="R17" s="572"/>
      <c r="S17" s="572"/>
      <c r="T17" s="572"/>
      <c r="U17" s="572"/>
      <c r="V17" s="572"/>
      <c r="W17" s="572"/>
      <c r="X17" s="572"/>
      <c r="Y17" s="572"/>
      <c r="AA17" s="3"/>
      <c r="AB17" s="3"/>
      <c r="AC17" s="3"/>
      <c r="AD17" s="3"/>
      <c r="AE17" s="102"/>
      <c r="AF17" s="102"/>
    </row>
    <row r="18" spans="1:32" ht="15.75" thickBot="1" x14ac:dyDescent="0.3">
      <c r="A18" s="101" t="str">
        <f>'1.Usos&amp;Fontes'!A16</f>
        <v>2.1</v>
      </c>
      <c r="B18" s="20" t="str">
        <f>'1.Usos&amp;Fontes'!B16</f>
        <v>Reforma e recapacitação da unidade de Compostagem do Psul</v>
      </c>
      <c r="C18" s="123">
        <f>'2.Cronograma Fisico POA'!C16</f>
        <v>0</v>
      </c>
      <c r="D18" s="123">
        <f>((T18)*C18)/100</f>
        <v>0</v>
      </c>
      <c r="E18" s="123">
        <f>((V18)*C18)/100</f>
        <v>0</v>
      </c>
      <c r="F18" s="123">
        <f>'2.Cronograma Fisico POA'!D16</f>
        <v>0</v>
      </c>
      <c r="G18" s="123">
        <f>((T18)*F18)/100</f>
        <v>0</v>
      </c>
      <c r="H18" s="123">
        <f>((V18)*F18)/100</f>
        <v>0</v>
      </c>
      <c r="I18" s="123">
        <f>'2.Cronograma Fisico POA'!E16</f>
        <v>0</v>
      </c>
      <c r="J18" s="123">
        <f>((T18)*I18)/100</f>
        <v>0</v>
      </c>
      <c r="K18" s="123">
        <f>((V18)*I18)/100</f>
        <v>0</v>
      </c>
      <c r="L18" s="123">
        <f>'2.Cronograma Fisico POA'!F16</f>
        <v>10</v>
      </c>
      <c r="M18" s="152">
        <f>((T18)*L18)/100</f>
        <v>180654.7</v>
      </c>
      <c r="N18" s="152">
        <f>((V18)*L18)/100</f>
        <v>1625892.6</v>
      </c>
      <c r="O18" s="152">
        <f>SUM(C18,F18,I18,L18)</f>
        <v>10</v>
      </c>
      <c r="P18" s="141">
        <f>'1.Usos&amp;Fontes'!C16</f>
        <v>9.9999983393736766E-2</v>
      </c>
      <c r="Q18" s="124">
        <f>D18+G18+J18+M18</f>
        <v>180654.7</v>
      </c>
      <c r="R18" s="162">
        <f>'1.Usos&amp;Fontes'!F16</f>
        <v>0.90000001660626328</v>
      </c>
      <c r="S18" s="155">
        <f>E18+H18+K18+N18</f>
        <v>1625892.6</v>
      </c>
      <c r="T18" s="437">
        <f>'1.Usos&amp;Fontes'!E16</f>
        <v>1806547</v>
      </c>
      <c r="U18" s="437">
        <f>T18*'1.Usos&amp;Fontes'!I2</f>
        <v>5419641</v>
      </c>
      <c r="V18" s="437">
        <f>'1.Usos&amp;Fontes'!H16</f>
        <v>16258926</v>
      </c>
      <c r="W18" s="437">
        <f>V18*'1.Usos&amp;Fontes'!I2</f>
        <v>48776778</v>
      </c>
      <c r="X18" s="438">
        <f>Q18+S18</f>
        <v>1806547.3</v>
      </c>
      <c r="Y18" s="436">
        <f>X18*'1.Usos&amp;Fontes'!$I$2</f>
        <v>5419641.9000000004</v>
      </c>
      <c r="AA18" s="3">
        <f>Y18/X18</f>
        <v>3</v>
      </c>
      <c r="AB18" s="26"/>
      <c r="AC18" s="3"/>
      <c r="AD18" s="3"/>
      <c r="AE18" s="32"/>
      <c r="AF18" s="32"/>
    </row>
    <row r="19" spans="1:32" ht="23.25" thickBot="1" x14ac:dyDescent="0.3">
      <c r="A19" s="101" t="str">
        <f>'1.Usos&amp;Fontes'!A17</f>
        <v>2.2</v>
      </c>
      <c r="B19" s="20" t="str">
        <f>'1.Usos&amp;Fontes'!B17</f>
        <v>Programa de capacitação e assistência técnica a cooperativas e catadores em Centros de Triagem por 2 anos, completando os 5 anos planejados.</v>
      </c>
      <c r="C19" s="123">
        <f>'2.Cronograma Fisico POA'!C17</f>
        <v>0</v>
      </c>
      <c r="D19" s="123">
        <f>((T19)*C19)/100</f>
        <v>0</v>
      </c>
      <c r="E19" s="123">
        <f>((V19)*C19)/100</f>
        <v>0</v>
      </c>
      <c r="F19" s="123">
        <f>'2.Cronograma Fisico POA'!D17</f>
        <v>0</v>
      </c>
      <c r="G19" s="123">
        <f t="shared" ref="G19:G28" si="14">((T19)*F19)/100</f>
        <v>0</v>
      </c>
      <c r="H19" s="123">
        <f t="shared" ref="H19:H28" si="15">((V19)*F19)/100</f>
        <v>0</v>
      </c>
      <c r="I19" s="123">
        <f>'2.Cronograma Fisico POA'!E17</f>
        <v>0</v>
      </c>
      <c r="J19" s="123">
        <f t="shared" ref="J19:J28" si="16">((T19)*I19)/100</f>
        <v>0</v>
      </c>
      <c r="K19" s="123">
        <f t="shared" ref="K19:K28" si="17">((V19)*I19)/100</f>
        <v>0</v>
      </c>
      <c r="L19" s="123">
        <f>'2.Cronograma Fisico POA'!F17</f>
        <v>0</v>
      </c>
      <c r="M19" s="152">
        <f t="shared" ref="M19:M28" si="18">((T19)*L19)/100</f>
        <v>0</v>
      </c>
      <c r="N19" s="152">
        <f t="shared" ref="N19:N28" si="19">((V19)*L19)/100</f>
        <v>0</v>
      </c>
      <c r="O19" s="152">
        <f t="shared" ref="O19:O25" si="20">SUM(C19,F19,I19,L19)</f>
        <v>0</v>
      </c>
      <c r="P19" s="141">
        <f>'1.Usos&amp;Fontes'!C17</f>
        <v>0.7</v>
      </c>
      <c r="Q19" s="124">
        <f t="shared" ref="Q19:Q28" si="21">D19+G19+J19+M19</f>
        <v>0</v>
      </c>
      <c r="R19" s="162">
        <f>'1.Usos&amp;Fontes'!F17</f>
        <v>0.3</v>
      </c>
      <c r="S19" s="155">
        <f t="shared" ref="S19:S28" si="22">E19+H19+K19+N19</f>
        <v>0</v>
      </c>
      <c r="T19" s="437">
        <f>'1.Usos&amp;Fontes'!E17</f>
        <v>1750000</v>
      </c>
      <c r="U19" s="437">
        <f>T19*'1.Usos&amp;Fontes'!I2</f>
        <v>5250000</v>
      </c>
      <c r="V19" s="437">
        <f>'1.Usos&amp;Fontes'!H17</f>
        <v>750000</v>
      </c>
      <c r="W19" s="437">
        <f>V19*'1.Usos&amp;Fontes'!I2</f>
        <v>2250000</v>
      </c>
      <c r="X19" s="438">
        <f t="shared" ref="X19:X28" si="23">Q19+S19</f>
        <v>0</v>
      </c>
      <c r="Y19" s="436">
        <f>X19*'1.Usos&amp;Fontes'!$I$2</f>
        <v>0</v>
      </c>
      <c r="AA19" s="30"/>
      <c r="AB19" s="3"/>
      <c r="AC19" s="26"/>
      <c r="AD19" s="3"/>
      <c r="AE19" s="3"/>
      <c r="AF19" s="3"/>
    </row>
    <row r="20" spans="1:32" ht="23.25" thickBot="1" x14ac:dyDescent="0.3">
      <c r="A20" s="101" t="str">
        <f>'1.Usos&amp;Fontes'!A18</f>
        <v>2.3</v>
      </c>
      <c r="B20" s="20" t="str">
        <f>'1.Usos&amp;Fontes'!B18</f>
        <v>Programa de capacitação e assistência Técnica dos Catadores que optarem para migração em outros setores da economia</v>
      </c>
      <c r="C20" s="123">
        <f>'2.Cronograma Fisico POA'!C18</f>
        <v>0</v>
      </c>
      <c r="D20" s="123">
        <f t="shared" ref="D20:D28" si="24">((T20)*C20)/100</f>
        <v>0</v>
      </c>
      <c r="E20" s="123">
        <f t="shared" ref="E20:E28" si="25">((V20)*C20)/100</f>
        <v>0</v>
      </c>
      <c r="F20" s="123">
        <f>'2.Cronograma Fisico POA'!D18</f>
        <v>0</v>
      </c>
      <c r="G20" s="123">
        <f t="shared" si="14"/>
        <v>0</v>
      </c>
      <c r="H20" s="123">
        <f t="shared" si="15"/>
        <v>0</v>
      </c>
      <c r="I20" s="123">
        <f>'2.Cronograma Fisico POA'!E18</f>
        <v>0</v>
      </c>
      <c r="J20" s="123">
        <f t="shared" si="16"/>
        <v>0</v>
      </c>
      <c r="K20" s="123">
        <f t="shared" si="17"/>
        <v>0</v>
      </c>
      <c r="L20" s="123">
        <f>'2.Cronograma Fisico POA'!F18</f>
        <v>0</v>
      </c>
      <c r="M20" s="152">
        <f t="shared" si="18"/>
        <v>0</v>
      </c>
      <c r="N20" s="152">
        <f t="shared" si="19"/>
        <v>0</v>
      </c>
      <c r="O20" s="152">
        <f t="shared" si="20"/>
        <v>0</v>
      </c>
      <c r="P20" s="141">
        <f>'1.Usos&amp;Fontes'!C18</f>
        <v>0.62962962962962965</v>
      </c>
      <c r="Q20" s="124">
        <f t="shared" si="21"/>
        <v>0</v>
      </c>
      <c r="R20" s="162">
        <f>'1.Usos&amp;Fontes'!F18</f>
        <v>0.37037037037037035</v>
      </c>
      <c r="S20" s="155">
        <f t="shared" si="22"/>
        <v>0</v>
      </c>
      <c r="T20" s="437">
        <f>'1.Usos&amp;Fontes'!E18</f>
        <v>170000</v>
      </c>
      <c r="U20" s="437">
        <f>T20*'1.Usos&amp;Fontes'!I2</f>
        <v>510000</v>
      </c>
      <c r="V20" s="437">
        <f>'1.Usos&amp;Fontes'!H18</f>
        <v>100000</v>
      </c>
      <c r="W20" s="437">
        <f>V20*'1.Usos&amp;Fontes'!I2</f>
        <v>300000</v>
      </c>
      <c r="X20" s="438">
        <f t="shared" si="23"/>
        <v>0</v>
      </c>
      <c r="Y20" s="436">
        <f>X20*'1.Usos&amp;Fontes'!$I$2</f>
        <v>0</v>
      </c>
      <c r="AA20" s="563" t="s">
        <v>124</v>
      </c>
      <c r="AB20" s="563"/>
      <c r="AC20" s="29">
        <f>Y29-AC21-AC22</f>
        <v>18212951.880000003</v>
      </c>
      <c r="AD20" s="220">
        <f>AC20/AC29</f>
        <v>0.76420270466729101</v>
      </c>
      <c r="AE20" s="3"/>
      <c r="AF20" s="3"/>
    </row>
    <row r="21" spans="1:32" ht="15.75" thickBot="1" x14ac:dyDescent="0.3">
      <c r="A21" s="101" t="str">
        <f>'1.Usos&amp;Fontes'!A19</f>
        <v>2.4</v>
      </c>
      <c r="B21" s="20" t="str">
        <f>'1.Usos&amp;Fontes'!B19</f>
        <v>Construção de Centros de Triagem</v>
      </c>
      <c r="C21" s="123">
        <f>'2.Cronograma Fisico POA'!C19</f>
        <v>0</v>
      </c>
      <c r="D21" s="123">
        <f t="shared" si="24"/>
        <v>0</v>
      </c>
      <c r="E21" s="123">
        <f t="shared" si="25"/>
        <v>0</v>
      </c>
      <c r="F21" s="123">
        <f>'2.Cronograma Fisico POA'!D19</f>
        <v>0</v>
      </c>
      <c r="G21" s="123">
        <f t="shared" si="14"/>
        <v>0</v>
      </c>
      <c r="H21" s="123">
        <f t="shared" si="15"/>
        <v>0</v>
      </c>
      <c r="I21" s="123">
        <f>'2.Cronograma Fisico POA'!E19</f>
        <v>10</v>
      </c>
      <c r="J21" s="123">
        <f>((T21)*I21)/100</f>
        <v>300000</v>
      </c>
      <c r="K21" s="123">
        <f>((V21)*I21)/100</f>
        <v>438373.9</v>
      </c>
      <c r="L21" s="123">
        <f>'2.Cronograma Fisico POA'!F19</f>
        <v>20</v>
      </c>
      <c r="M21" s="152">
        <f t="shared" si="18"/>
        <v>600000</v>
      </c>
      <c r="N21" s="152">
        <f t="shared" si="19"/>
        <v>876747.8</v>
      </c>
      <c r="O21" s="152">
        <f t="shared" si="20"/>
        <v>30</v>
      </c>
      <c r="P21" s="141">
        <f>'1.Usos&amp;Fontes'!C19</f>
        <v>0.40629821828750989</v>
      </c>
      <c r="Q21" s="124">
        <f t="shared" si="21"/>
        <v>900000</v>
      </c>
      <c r="R21" s="162">
        <f>'1.Usos&amp;Fontes'!F19</f>
        <v>0.59370178171249011</v>
      </c>
      <c r="S21" s="155">
        <f t="shared" si="22"/>
        <v>1315121.7000000002</v>
      </c>
      <c r="T21" s="437">
        <f>'1.Usos&amp;Fontes'!E19</f>
        <v>3000000</v>
      </c>
      <c r="U21" s="437">
        <f>T21*'1.Usos&amp;Fontes'!I2</f>
        <v>9000000</v>
      </c>
      <c r="V21" s="437">
        <f>'1.Usos&amp;Fontes'!H19</f>
        <v>4383739</v>
      </c>
      <c r="W21" s="437">
        <f>V21*'1.Usos&amp;Fontes'!I2</f>
        <v>13151217</v>
      </c>
      <c r="X21" s="438">
        <f t="shared" si="23"/>
        <v>2215121.7000000002</v>
      </c>
      <c r="Y21" s="436">
        <f>X21*'1.Usos&amp;Fontes'!$I$2*0.25</f>
        <v>1661341.2750000001</v>
      </c>
      <c r="AA21" s="563" t="s">
        <v>122</v>
      </c>
      <c r="AB21" s="563"/>
      <c r="AC21" s="29">
        <v>511470</v>
      </c>
      <c r="AD21" s="220">
        <f>AC21/AC29</f>
        <v>2.1460922970174743E-2</v>
      </c>
      <c r="AE21" s="3"/>
      <c r="AF21" s="3"/>
    </row>
    <row r="22" spans="1:32" ht="15.75" thickBot="1" x14ac:dyDescent="0.3">
      <c r="A22" s="101" t="str">
        <f>'1.Usos&amp;Fontes'!A20</f>
        <v>2.5</v>
      </c>
      <c r="B22" s="20" t="str">
        <f>'1.Usos&amp;Fontes'!B20</f>
        <v>Reforma e recapacitação da  unidade  de Compostagem da  Asa Sul - L4</v>
      </c>
      <c r="C22" s="123">
        <f>'2.Cronograma Fisico POA'!C20</f>
        <v>0</v>
      </c>
      <c r="D22" s="123">
        <f t="shared" si="24"/>
        <v>0</v>
      </c>
      <c r="E22" s="123">
        <f t="shared" si="25"/>
        <v>0</v>
      </c>
      <c r="F22" s="123">
        <f>'2.Cronograma Fisico POA'!D20</f>
        <v>0</v>
      </c>
      <c r="G22" s="123">
        <f t="shared" si="14"/>
        <v>0</v>
      </c>
      <c r="H22" s="123">
        <f t="shared" si="15"/>
        <v>0</v>
      </c>
      <c r="I22" s="123">
        <f>'2.Cronograma Fisico POA'!E20</f>
        <v>0</v>
      </c>
      <c r="J22" s="123">
        <f t="shared" si="16"/>
        <v>0</v>
      </c>
      <c r="K22" s="123">
        <f t="shared" si="17"/>
        <v>0</v>
      </c>
      <c r="L22" s="123">
        <f>'2.Cronograma Fisico POA'!F20</f>
        <v>10</v>
      </c>
      <c r="M22" s="152">
        <f t="shared" si="18"/>
        <v>61168.7</v>
      </c>
      <c r="N22" s="152">
        <f t="shared" si="19"/>
        <v>1058309.8999999999</v>
      </c>
      <c r="O22" s="152">
        <f>SUM(C22,F22,I22,L22)</f>
        <v>10</v>
      </c>
      <c r="P22" s="141">
        <f>'1.Usos&amp;Fontes'!C20</f>
        <v>5.4640347747603214E-2</v>
      </c>
      <c r="Q22" s="124">
        <f t="shared" si="21"/>
        <v>61168.7</v>
      </c>
      <c r="R22" s="162">
        <f>'1.Usos&amp;Fontes'!F20</f>
        <v>0.94535965225239682</v>
      </c>
      <c r="S22" s="155">
        <f t="shared" si="22"/>
        <v>1058309.8999999999</v>
      </c>
      <c r="T22" s="437">
        <f>'1.Usos&amp;Fontes'!E20</f>
        <v>611687</v>
      </c>
      <c r="U22" s="437">
        <f>T22*'1.Usos&amp;Fontes'!I2</f>
        <v>1835061</v>
      </c>
      <c r="V22" s="437">
        <f>'1.Usos&amp;Fontes'!H20</f>
        <v>10583099</v>
      </c>
      <c r="W22" s="437">
        <f>V22*'1.Usos&amp;Fontes'!I2</f>
        <v>31749297</v>
      </c>
      <c r="X22" s="438">
        <f t="shared" si="23"/>
        <v>1119478.5999999999</v>
      </c>
      <c r="Y22" s="436">
        <f>X22*'1.Usos&amp;Fontes'!$I$2</f>
        <v>3358435.8</v>
      </c>
      <c r="AA22" s="563" t="s">
        <v>123</v>
      </c>
      <c r="AB22" s="563"/>
      <c r="AC22" s="29">
        <f>(0.05*Y18)+(Y19*0.95)+Y20+Y23+Y24+(Y25*0.05)</f>
        <v>5108197.0950000007</v>
      </c>
      <c r="AD22" s="220">
        <f>AC22/AC29</f>
        <v>0.21433637236253431</v>
      </c>
      <c r="AE22" s="3"/>
      <c r="AF22" s="3"/>
    </row>
    <row r="23" spans="1:32" ht="15.75" thickBot="1" x14ac:dyDescent="0.3">
      <c r="A23" s="101" t="str">
        <f>'1.Usos&amp;Fontes'!A21</f>
        <v>2.6</v>
      </c>
      <c r="B23" s="20" t="str">
        <f>'1.Usos&amp;Fontes'!B21</f>
        <v>Apoio ao Sistema de gestão dos resíduos sólidos do SLU</v>
      </c>
      <c r="C23" s="123">
        <f>'2.Cronograma Fisico POA'!C21</f>
        <v>0</v>
      </c>
      <c r="D23" s="123">
        <f t="shared" si="24"/>
        <v>0</v>
      </c>
      <c r="E23" s="123">
        <f t="shared" si="25"/>
        <v>0</v>
      </c>
      <c r="F23" s="123">
        <f>'2.Cronograma Fisico POA'!D21</f>
        <v>0</v>
      </c>
      <c r="G23" s="123">
        <f t="shared" si="14"/>
        <v>0</v>
      </c>
      <c r="H23" s="123">
        <f t="shared" si="15"/>
        <v>0</v>
      </c>
      <c r="I23" s="123">
        <f>'2.Cronograma Fisico POA'!E21</f>
        <v>10</v>
      </c>
      <c r="J23" s="123">
        <f>((T23)*I23)/100</f>
        <v>0</v>
      </c>
      <c r="K23" s="123">
        <f>((V23)*I23)/100</f>
        <v>600000</v>
      </c>
      <c r="L23" s="123">
        <f>'2.Cronograma Fisico POA'!F21</f>
        <v>10</v>
      </c>
      <c r="M23" s="152">
        <f t="shared" si="18"/>
        <v>0</v>
      </c>
      <c r="N23" s="152">
        <f t="shared" si="19"/>
        <v>600000</v>
      </c>
      <c r="O23" s="152">
        <f t="shared" si="20"/>
        <v>20</v>
      </c>
      <c r="P23" s="141">
        <f>'1.Usos&amp;Fontes'!C21</f>
        <v>0</v>
      </c>
      <c r="Q23" s="124">
        <f t="shared" si="21"/>
        <v>0</v>
      </c>
      <c r="R23" s="162">
        <f>'1.Usos&amp;Fontes'!F21</f>
        <v>1</v>
      </c>
      <c r="S23" s="155">
        <f t="shared" si="22"/>
        <v>1200000</v>
      </c>
      <c r="T23" s="437">
        <f>'1.Usos&amp;Fontes'!E21</f>
        <v>0</v>
      </c>
      <c r="U23" s="437">
        <f>T23*'1.Usos&amp;Fontes'!I2</f>
        <v>0</v>
      </c>
      <c r="V23" s="437">
        <f>'1.Usos&amp;Fontes'!H21</f>
        <v>6000000</v>
      </c>
      <c r="W23" s="437">
        <f>V23*'1.Usos&amp;Fontes'!I2</f>
        <v>18000000</v>
      </c>
      <c r="X23" s="438">
        <f t="shared" si="23"/>
        <v>1200000</v>
      </c>
      <c r="Y23" s="436">
        <f>X23*'1.Usos&amp;Fontes'!$I$2</f>
        <v>3600000</v>
      </c>
      <c r="AA23" s="563"/>
      <c r="AB23" s="563"/>
      <c r="AC23" s="29"/>
      <c r="AD23" s="29"/>
      <c r="AE23" s="3"/>
      <c r="AF23" s="3"/>
    </row>
    <row r="24" spans="1:32" ht="15.75" thickBot="1" x14ac:dyDescent="0.3">
      <c r="A24" s="101" t="str">
        <f>'1.Usos&amp;Fontes'!A22</f>
        <v>2.7</v>
      </c>
      <c r="B24" s="20" t="str">
        <f>'1.Usos&amp;Fontes'!B22</f>
        <v>Elaboração de projetos  para centro de transbordo</v>
      </c>
      <c r="C24" s="123">
        <f>'2.Cronograma Fisico POA'!C22</f>
        <v>0</v>
      </c>
      <c r="D24" s="123">
        <f t="shared" si="24"/>
        <v>0</v>
      </c>
      <c r="E24" s="123">
        <f t="shared" si="25"/>
        <v>0</v>
      </c>
      <c r="F24" s="123">
        <f>'2.Cronograma Fisico POA'!D22</f>
        <v>0</v>
      </c>
      <c r="G24" s="123">
        <f t="shared" si="14"/>
        <v>0</v>
      </c>
      <c r="H24" s="123">
        <f t="shared" si="15"/>
        <v>0</v>
      </c>
      <c r="I24" s="123">
        <f>'2.Cronograma Fisico POA'!E22</f>
        <v>0</v>
      </c>
      <c r="J24" s="123">
        <f t="shared" si="16"/>
        <v>0</v>
      </c>
      <c r="K24" s="123">
        <f t="shared" si="17"/>
        <v>0</v>
      </c>
      <c r="L24" s="123">
        <f>'2.Cronograma Fisico POA'!F22</f>
        <v>100</v>
      </c>
      <c r="M24" s="152">
        <f t="shared" si="18"/>
        <v>70000</v>
      </c>
      <c r="N24" s="152">
        <f t="shared" si="19"/>
        <v>230000</v>
      </c>
      <c r="O24" s="152">
        <f t="shared" si="20"/>
        <v>100</v>
      </c>
      <c r="P24" s="141">
        <f>'1.Usos&amp;Fontes'!C22</f>
        <v>0.23333333333333334</v>
      </c>
      <c r="Q24" s="124">
        <f t="shared" si="21"/>
        <v>70000</v>
      </c>
      <c r="R24" s="162">
        <f>'1.Usos&amp;Fontes'!F22</f>
        <v>0.76666666666666672</v>
      </c>
      <c r="S24" s="155">
        <f t="shared" si="22"/>
        <v>230000</v>
      </c>
      <c r="T24" s="437">
        <f>'1.Usos&amp;Fontes'!E22</f>
        <v>70000</v>
      </c>
      <c r="U24" s="437">
        <f>T24*'1.Usos&amp;Fontes'!I2</f>
        <v>210000</v>
      </c>
      <c r="V24" s="437">
        <f>'1.Usos&amp;Fontes'!H22</f>
        <v>230000</v>
      </c>
      <c r="W24" s="437">
        <f>V24*'1.Usos&amp;Fontes'!I2</f>
        <v>690000</v>
      </c>
      <c r="X24" s="438">
        <f t="shared" si="23"/>
        <v>300000</v>
      </c>
      <c r="Y24" s="436">
        <f>X24*'1.Usos&amp;Fontes'!$I$2</f>
        <v>900000</v>
      </c>
      <c r="AA24" s="563"/>
      <c r="AB24" s="563"/>
      <c r="AC24" s="29"/>
      <c r="AD24" s="29"/>
      <c r="AE24" s="3"/>
      <c r="AF24" s="3"/>
    </row>
    <row r="25" spans="1:32" ht="15.75" thickBot="1" x14ac:dyDescent="0.3">
      <c r="A25" s="101" t="str">
        <f>'1.Usos&amp;Fontes'!A23</f>
        <v>2.8</v>
      </c>
      <c r="B25" s="20" t="str">
        <f>'1.Usos&amp;Fontes'!B23</f>
        <v>Fechamento do lixão do Jóquei e Recuperação Ambiental</v>
      </c>
      <c r="C25" s="123">
        <f>'2.Cronograma Fisico POA'!C23</f>
        <v>0</v>
      </c>
      <c r="D25" s="123">
        <f t="shared" si="24"/>
        <v>0</v>
      </c>
      <c r="E25" s="123">
        <f t="shared" si="25"/>
        <v>0</v>
      </c>
      <c r="F25" s="123">
        <f>'2.Cronograma Fisico POA'!D23</f>
        <v>0</v>
      </c>
      <c r="G25" s="123">
        <f t="shared" si="14"/>
        <v>0</v>
      </c>
      <c r="H25" s="123">
        <f t="shared" si="15"/>
        <v>0</v>
      </c>
      <c r="I25" s="123">
        <f>'2.Cronograma Fisico POA'!E23</f>
        <v>10</v>
      </c>
      <c r="J25" s="123">
        <f t="shared" si="16"/>
        <v>1124050</v>
      </c>
      <c r="K25" s="123">
        <f t="shared" si="17"/>
        <v>0</v>
      </c>
      <c r="L25" s="123">
        <f>'2.Cronograma Fisico POA'!F23</f>
        <v>10</v>
      </c>
      <c r="M25" s="152">
        <f t="shared" si="18"/>
        <v>1124050</v>
      </c>
      <c r="N25" s="152">
        <f t="shared" si="19"/>
        <v>0</v>
      </c>
      <c r="O25" s="152">
        <f t="shared" si="20"/>
        <v>20</v>
      </c>
      <c r="P25" s="141">
        <f>'1.Usos&amp;Fontes'!C23</f>
        <v>1</v>
      </c>
      <c r="Q25" s="124">
        <f t="shared" si="21"/>
        <v>2248100</v>
      </c>
      <c r="R25" s="162">
        <f>'1.Usos&amp;Fontes'!F23</f>
        <v>0</v>
      </c>
      <c r="S25" s="155">
        <f t="shared" si="22"/>
        <v>0</v>
      </c>
      <c r="T25" s="437">
        <f>'1.Usos&amp;Fontes'!E23</f>
        <v>11240500</v>
      </c>
      <c r="U25" s="437">
        <f>T25*'1.Usos&amp;Fontes'!I2</f>
        <v>33721500</v>
      </c>
      <c r="V25" s="437">
        <f>'1.Usos&amp;Fontes'!H23</f>
        <v>0</v>
      </c>
      <c r="W25" s="437">
        <f>V25*'1.Usos&amp;Fontes'!I2</f>
        <v>0</v>
      </c>
      <c r="X25" s="438">
        <f t="shared" si="23"/>
        <v>2248100</v>
      </c>
      <c r="Y25" s="436">
        <f>X25*'1.Usos&amp;Fontes'!$I$2</f>
        <v>6744300</v>
      </c>
      <c r="AA25" s="563"/>
      <c r="AB25" s="563"/>
      <c r="AC25" s="29"/>
      <c r="AD25" s="29"/>
      <c r="AE25" s="32"/>
      <c r="AF25" s="32"/>
    </row>
    <row r="26" spans="1:32" s="46" customFormat="1" ht="15.75" thickBot="1" x14ac:dyDescent="0.3">
      <c r="A26" s="101" t="str">
        <f>'1.Usos&amp;Fontes'!A24</f>
        <v>2.9</v>
      </c>
      <c r="B26" s="20" t="str">
        <f>'1.Usos&amp;Fontes'!B24</f>
        <v xml:space="preserve"> Projeto de Educação Ambiental para a Coleta Seletiva</v>
      </c>
      <c r="C26" s="123">
        <f>'2.Cronograma Fisico POA'!C24</f>
        <v>0</v>
      </c>
      <c r="D26" s="123">
        <f t="shared" si="24"/>
        <v>0</v>
      </c>
      <c r="E26" s="123">
        <f t="shared" si="25"/>
        <v>0</v>
      </c>
      <c r="F26" s="123">
        <f>'2.Cronograma Fisico POA'!D24</f>
        <v>0</v>
      </c>
      <c r="G26" s="123">
        <f t="shared" si="14"/>
        <v>0</v>
      </c>
      <c r="H26" s="123">
        <f t="shared" si="15"/>
        <v>0</v>
      </c>
      <c r="I26" s="123">
        <f>'2.Cronograma Fisico POA'!E24</f>
        <v>0</v>
      </c>
      <c r="J26" s="123">
        <f t="shared" si="16"/>
        <v>0</v>
      </c>
      <c r="K26" s="123">
        <f t="shared" si="17"/>
        <v>0</v>
      </c>
      <c r="L26" s="123">
        <f>'2.Cronograma Fisico POA'!F24</f>
        <v>10</v>
      </c>
      <c r="M26" s="152">
        <f t="shared" si="18"/>
        <v>316300</v>
      </c>
      <c r="N26" s="152">
        <f t="shared" si="19"/>
        <v>250000</v>
      </c>
      <c r="O26" s="152">
        <f t="shared" ref="O26:O28" si="26">SUM(C26,F26,I26,L26)</f>
        <v>10</v>
      </c>
      <c r="P26" s="141">
        <f>'1.Usos&amp;Fontes'!C24</f>
        <v>0.55853787745011474</v>
      </c>
      <c r="Q26" s="124">
        <f t="shared" si="21"/>
        <v>316300</v>
      </c>
      <c r="R26" s="162">
        <f>'1.Usos&amp;Fontes'!F24</f>
        <v>0.44146212254988521</v>
      </c>
      <c r="S26" s="155">
        <f t="shared" si="22"/>
        <v>250000</v>
      </c>
      <c r="T26" s="437">
        <f>'1.Usos&amp;Fontes'!E24</f>
        <v>3163000</v>
      </c>
      <c r="U26" s="437">
        <f>T26*'1.Usos&amp;Fontes'!I2</f>
        <v>9489000</v>
      </c>
      <c r="V26" s="437">
        <f>'1.Usos&amp;Fontes'!H24</f>
        <v>2500000</v>
      </c>
      <c r="W26" s="437">
        <f>V26*'1.Usos&amp;Fontes'!I2</f>
        <v>7500000</v>
      </c>
      <c r="X26" s="438">
        <f t="shared" si="23"/>
        <v>566300</v>
      </c>
      <c r="Y26" s="436">
        <f>X26*'1.Usos&amp;Fontes'!$I$2</f>
        <v>1698900</v>
      </c>
      <c r="AA26" s="338"/>
      <c r="AB26" s="338"/>
      <c r="AC26" s="29"/>
      <c r="AD26" s="29"/>
      <c r="AE26" s="32"/>
      <c r="AF26" s="32"/>
    </row>
    <row r="27" spans="1:32" s="430" customFormat="1" ht="15.75" thickBot="1" x14ac:dyDescent="0.3">
      <c r="A27" s="440" t="str">
        <f>'1.Usos&amp;Fontes'!A25</f>
        <v>2.10</v>
      </c>
      <c r="B27" s="441" t="str">
        <f>'1.Usos&amp;Fontes'!B25</f>
        <v xml:space="preserve">Construção de centros de transbordo </v>
      </c>
      <c r="C27" s="123">
        <f>'2.Cronograma Fisico POA'!C25</f>
        <v>0</v>
      </c>
      <c r="D27" s="123">
        <f t="shared" si="24"/>
        <v>0</v>
      </c>
      <c r="E27" s="123">
        <f t="shared" si="25"/>
        <v>0</v>
      </c>
      <c r="F27" s="123">
        <f>'2.Cronograma Fisico POA'!D25</f>
        <v>0</v>
      </c>
      <c r="G27" s="123">
        <f t="shared" si="14"/>
        <v>0</v>
      </c>
      <c r="H27" s="123">
        <f t="shared" si="15"/>
        <v>0</v>
      </c>
      <c r="I27" s="123">
        <f>'2.Cronograma Fisico POA'!E25</f>
        <v>0</v>
      </c>
      <c r="J27" s="123">
        <f t="shared" si="16"/>
        <v>0</v>
      </c>
      <c r="K27" s="123">
        <f t="shared" si="17"/>
        <v>0</v>
      </c>
      <c r="L27" s="123">
        <f>'2.Cronograma Fisico POA'!F25</f>
        <v>0</v>
      </c>
      <c r="M27" s="152">
        <f t="shared" si="18"/>
        <v>0</v>
      </c>
      <c r="N27" s="152">
        <f t="shared" si="19"/>
        <v>0</v>
      </c>
      <c r="O27" s="442">
        <f>SUM(C27,F27,I27,L27)</f>
        <v>0</v>
      </c>
      <c r="P27" s="443">
        <f>'1.Usos&amp;Fontes'!C25</f>
        <v>0</v>
      </c>
      <c r="Q27" s="124">
        <f t="shared" si="21"/>
        <v>0</v>
      </c>
      <c r="R27" s="444">
        <f>'1.Usos&amp;Fontes'!F25</f>
        <v>1</v>
      </c>
      <c r="S27" s="155">
        <f t="shared" si="22"/>
        <v>0</v>
      </c>
      <c r="T27" s="437">
        <f>'1.Usos&amp;Fontes'!E25</f>
        <v>0</v>
      </c>
      <c r="U27" s="439">
        <f>T27*'1.Usos&amp;Fontes'!I2</f>
        <v>0</v>
      </c>
      <c r="V27" s="437">
        <f>'1.Usos&amp;Fontes'!H25</f>
        <v>4500000</v>
      </c>
      <c r="W27" s="439">
        <f>V27*'1.Usos&amp;Fontes'!I2</f>
        <v>13500000</v>
      </c>
      <c r="X27" s="438">
        <f t="shared" si="23"/>
        <v>0</v>
      </c>
      <c r="Y27" s="436">
        <f>X27*'1.Usos&amp;Fontes'!$I$2</f>
        <v>0</v>
      </c>
      <c r="AA27" s="405"/>
      <c r="AB27" s="405"/>
      <c r="AC27" s="379"/>
      <c r="AD27" s="379"/>
      <c r="AE27" s="378"/>
      <c r="AF27" s="378"/>
    </row>
    <row r="28" spans="1:32" s="46" customFormat="1" ht="23.25" thickBot="1" x14ac:dyDescent="0.3">
      <c r="A28" s="101" t="str">
        <f>'1.Usos&amp;Fontes'!A26</f>
        <v>2.11</v>
      </c>
      <c r="B28" s="20" t="str">
        <f>'1.Usos&amp;Fontes'!B26</f>
        <v xml:space="preserve"> Pagamento dos serviços prestados pelos catadores de materiais reciclados e reutlizáveis por 5 anos</v>
      </c>
      <c r="C28" s="123">
        <f>'2.Cronograma Fisico POA'!C26</f>
        <v>0</v>
      </c>
      <c r="D28" s="123">
        <f t="shared" si="24"/>
        <v>0</v>
      </c>
      <c r="E28" s="123">
        <f t="shared" si="25"/>
        <v>0</v>
      </c>
      <c r="F28" s="123">
        <f>'2.Cronograma Fisico POA'!D26</f>
        <v>0</v>
      </c>
      <c r="G28" s="123">
        <f t="shared" si="14"/>
        <v>0</v>
      </c>
      <c r="H28" s="123">
        <f t="shared" si="15"/>
        <v>0</v>
      </c>
      <c r="I28" s="123">
        <f>'2.Cronograma Fisico POA'!E26</f>
        <v>0</v>
      </c>
      <c r="J28" s="123">
        <f t="shared" si="16"/>
        <v>0</v>
      </c>
      <c r="K28" s="123">
        <f t="shared" si="17"/>
        <v>0</v>
      </c>
      <c r="L28" s="123">
        <f>'2.Cronograma Fisico POA'!F26</f>
        <v>5</v>
      </c>
      <c r="M28" s="152">
        <f t="shared" si="18"/>
        <v>150000</v>
      </c>
      <c r="N28" s="152">
        <f t="shared" si="19"/>
        <v>0</v>
      </c>
      <c r="O28" s="152">
        <f t="shared" si="26"/>
        <v>5</v>
      </c>
      <c r="P28" s="141">
        <f>'1.Usos&amp;Fontes'!C26</f>
        <v>1</v>
      </c>
      <c r="Q28" s="124">
        <f t="shared" si="21"/>
        <v>150000</v>
      </c>
      <c r="R28" s="162">
        <f>'1.Usos&amp;Fontes'!F26</f>
        <v>0</v>
      </c>
      <c r="S28" s="155">
        <f t="shared" si="22"/>
        <v>0</v>
      </c>
      <c r="T28" s="437">
        <f>'1.Usos&amp;Fontes'!E26</f>
        <v>3000000</v>
      </c>
      <c r="U28" s="437">
        <f>T28*'1.Usos&amp;Fontes'!I2</f>
        <v>9000000</v>
      </c>
      <c r="V28" s="437">
        <f>'1.Usos&amp;Fontes'!H26</f>
        <v>0</v>
      </c>
      <c r="W28" s="437">
        <f>V28*'1.Usos&amp;Fontes'!I2</f>
        <v>0</v>
      </c>
      <c r="X28" s="438">
        <f t="shared" si="23"/>
        <v>150000</v>
      </c>
      <c r="Y28" s="436">
        <f>X28*'1.Usos&amp;Fontes'!$I$2</f>
        <v>450000</v>
      </c>
      <c r="AA28" s="338"/>
      <c r="AB28" s="338"/>
      <c r="AC28" s="29"/>
      <c r="AD28" s="29"/>
      <c r="AE28" s="32"/>
      <c r="AF28" s="32"/>
    </row>
    <row r="29" spans="1:32" ht="15.75" thickBot="1" x14ac:dyDescent="0.3">
      <c r="A29" s="629" t="s">
        <v>121</v>
      </c>
      <c r="B29" s="629"/>
      <c r="C29" s="187"/>
      <c r="D29" s="475">
        <f>SUM(D18:D28)</f>
        <v>0</v>
      </c>
      <c r="E29" s="164">
        <f>SUM(E18:E28)</f>
        <v>0</v>
      </c>
      <c r="F29" s="187"/>
      <c r="G29" s="475">
        <f>SUM(G18:G28)</f>
        <v>0</v>
      </c>
      <c r="H29" s="164">
        <f>SUM(H18:H28)</f>
        <v>0</v>
      </c>
      <c r="I29" s="187"/>
      <c r="J29" s="475">
        <f>SUM(J18:J28)</f>
        <v>1424050</v>
      </c>
      <c r="K29" s="164">
        <f>SUM(K18:K28)</f>
        <v>1038373.9</v>
      </c>
      <c r="L29" s="187"/>
      <c r="M29" s="475">
        <f>SUM(M18:M28)</f>
        <v>2502173.4</v>
      </c>
      <c r="N29" s="164">
        <f>SUM(N18:N28)</f>
        <v>4640950.3000000007</v>
      </c>
      <c r="O29" s="156"/>
      <c r="P29" s="157"/>
      <c r="Q29" s="158">
        <f>SUM(Q18:Q28)</f>
        <v>3926223.4</v>
      </c>
      <c r="R29" s="159"/>
      <c r="S29" s="160">
        <f t="shared" ref="S29:X29" si="27">SUM(S18:S28)</f>
        <v>5679324.2000000002</v>
      </c>
      <c r="T29" s="161">
        <f t="shared" si="27"/>
        <v>24811734</v>
      </c>
      <c r="U29" s="161">
        <f t="shared" si="27"/>
        <v>74435202</v>
      </c>
      <c r="V29" s="161">
        <f t="shared" si="27"/>
        <v>45305764</v>
      </c>
      <c r="W29" s="161">
        <f t="shared" si="27"/>
        <v>135917292</v>
      </c>
      <c r="X29" s="161">
        <f t="shared" si="27"/>
        <v>9605547.5999999996</v>
      </c>
      <c r="Y29" s="161">
        <f t="shared" ref="Y29" si="28">SUM(Y18:Y28)</f>
        <v>23832618.975000001</v>
      </c>
      <c r="AA29" s="565" t="s">
        <v>8</v>
      </c>
      <c r="AB29" s="565"/>
      <c r="AC29" s="19">
        <f>SUM(AC20:AC25)</f>
        <v>23832618.975000001</v>
      </c>
      <c r="AD29" s="19">
        <f>SUM(AD20:AD25)</f>
        <v>1</v>
      </c>
      <c r="AE29" s="3"/>
      <c r="AF29" s="3"/>
    </row>
    <row r="30" spans="1:32" ht="15.75" thickBot="1" x14ac:dyDescent="0.3">
      <c r="A30" s="185" t="str">
        <f>'1.Usos&amp;Fontes'!A28</f>
        <v>III</v>
      </c>
      <c r="B30" s="632" t="str">
        <f>'1.Usos&amp;Fontes'!B28:I28</f>
        <v xml:space="preserve">COMPONENTE 3  -  READEQUAÇÃO URBANA DO CONDOMÍNIO PÔR DO SOL </v>
      </c>
      <c r="C30" s="572"/>
      <c r="D30" s="572"/>
      <c r="E30" s="572"/>
      <c r="F30" s="572"/>
      <c r="G30" s="572"/>
      <c r="H30" s="572"/>
      <c r="I30" s="572"/>
      <c r="J30" s="572"/>
      <c r="K30" s="572"/>
      <c r="L30" s="572"/>
      <c r="M30" s="572"/>
      <c r="N30" s="572"/>
      <c r="O30" s="572"/>
      <c r="P30" s="572"/>
      <c r="Q30" s="572"/>
      <c r="R30" s="572"/>
      <c r="S30" s="572"/>
      <c r="T30" s="572"/>
      <c r="U30" s="572"/>
      <c r="V30" s="572"/>
      <c r="W30" s="572"/>
      <c r="X30" s="572"/>
      <c r="Y30" s="572"/>
      <c r="AA30" s="227">
        <f>Y29/Y49</f>
        <v>0.67857543382028096</v>
      </c>
      <c r="AB30" s="3"/>
      <c r="AC30" s="3"/>
      <c r="AD30" s="3"/>
      <c r="AE30" s="3"/>
      <c r="AF30" s="3"/>
    </row>
    <row r="31" spans="1:32" ht="15.75" thickBot="1" x14ac:dyDescent="0.3">
      <c r="A31" s="121" t="str">
        <f>'1.Usos&amp;Fontes'!A29</f>
        <v>3.1</v>
      </c>
      <c r="B31" s="2" t="str">
        <f>'1.Usos&amp;Fontes'!B29</f>
        <v xml:space="preserve"> Rede de Drenagem  Pluvial - Bacia IV C  </v>
      </c>
      <c r="C31" s="123">
        <f>'2.Cronograma Fisico POA'!C28</f>
        <v>0</v>
      </c>
      <c r="D31" s="123">
        <f>((T31)*C31)/100</f>
        <v>0</v>
      </c>
      <c r="E31" s="123">
        <f>((V31)*C31)/100</f>
        <v>0</v>
      </c>
      <c r="F31" s="123">
        <f>'2.Cronograma Fisico POA'!D28</f>
        <v>0</v>
      </c>
      <c r="G31" s="123">
        <f>((T31)*F31)/100</f>
        <v>0</v>
      </c>
      <c r="H31" s="123">
        <f>((V31)*F31)/100</f>
        <v>0</v>
      </c>
      <c r="I31" s="367">
        <f>'2.Cronograma Fisico POA'!E28</f>
        <v>0</v>
      </c>
      <c r="J31" s="123">
        <f>((T31)*I31)/100</f>
        <v>0</v>
      </c>
      <c r="K31" s="123">
        <f>((V31)*I31)/100</f>
        <v>0</v>
      </c>
      <c r="L31" s="367">
        <f>'2.Cronograma Fisico POA'!F28</f>
        <v>0</v>
      </c>
      <c r="M31" s="123">
        <f>((T31)*L31)/100</f>
        <v>0</v>
      </c>
      <c r="N31" s="123">
        <f>((V31)*L31)/100</f>
        <v>0</v>
      </c>
      <c r="O31" s="152">
        <f>SUM(C31,F31,I31,L31)</f>
        <v>0</v>
      </c>
      <c r="P31" s="141">
        <f>'1.Usos&amp;Fontes'!C29</f>
        <v>0.5</v>
      </c>
      <c r="Q31" s="124">
        <f>D31+G31+J31+M31</f>
        <v>0</v>
      </c>
      <c r="R31" s="140">
        <f>'1.Usos&amp;Fontes'!F29</f>
        <v>0.5</v>
      </c>
      <c r="S31" s="155">
        <f>E31+H31+K31+N31</f>
        <v>0</v>
      </c>
      <c r="T31" s="12">
        <f>'1.Usos&amp;Fontes'!E29</f>
        <v>2000000</v>
      </c>
      <c r="U31" s="12">
        <f>T31*'1.Usos&amp;Fontes'!I2</f>
        <v>6000000</v>
      </c>
      <c r="V31" s="12">
        <f>'1.Usos&amp;Fontes'!H29</f>
        <v>2000000</v>
      </c>
      <c r="W31" s="12">
        <f>V31*'1.Usos&amp;Fontes'!I2</f>
        <v>6000000</v>
      </c>
      <c r="X31" s="438">
        <f>Q31+S31</f>
        <v>0</v>
      </c>
      <c r="Y31" s="436">
        <f>X31*'1.Usos&amp;Fontes'!$I$2</f>
        <v>0</v>
      </c>
      <c r="AA31" s="30"/>
      <c r="AB31" s="3"/>
      <c r="AC31" s="3"/>
      <c r="AD31" s="3"/>
      <c r="AE31" s="3"/>
      <c r="AF31" s="3"/>
    </row>
    <row r="32" spans="1:32" ht="15.75" thickBot="1" x14ac:dyDescent="0.3">
      <c r="A32" s="121" t="str">
        <f>'1.Usos&amp;Fontes'!A30</f>
        <v>3.2</v>
      </c>
      <c r="B32" s="2" t="str">
        <f>'1.Usos&amp;Fontes'!B30</f>
        <v>Rede de Microdrenagem</v>
      </c>
      <c r="C32" s="123">
        <f>'2.Cronograma Fisico POA'!C29</f>
        <v>0</v>
      </c>
      <c r="D32" s="123">
        <f t="shared" ref="D32:D42" si="29">((T32)*C32)/100</f>
        <v>0</v>
      </c>
      <c r="E32" s="123">
        <f t="shared" ref="E32:E42" si="30">((V32)*C32)/100</f>
        <v>0</v>
      </c>
      <c r="F32" s="123">
        <f>'2.Cronograma Fisico POA'!D29</f>
        <v>0</v>
      </c>
      <c r="G32" s="123">
        <f t="shared" ref="G32:G42" si="31">((T32)*F32)/100</f>
        <v>0</v>
      </c>
      <c r="H32" s="123">
        <f t="shared" ref="H32:H42" si="32">((V32)*F32)/100</f>
        <v>0</v>
      </c>
      <c r="I32" s="367">
        <f>'2.Cronograma Fisico POA'!E29</f>
        <v>0</v>
      </c>
      <c r="J32" s="123">
        <f t="shared" ref="J32:J42" si="33">((T32)*I32)/100</f>
        <v>0</v>
      </c>
      <c r="K32" s="123">
        <f t="shared" ref="K32:K42" si="34">((V32)*I32)/100</f>
        <v>0</v>
      </c>
      <c r="L32" s="367">
        <f>'2.Cronograma Fisico POA'!F29</f>
        <v>0</v>
      </c>
      <c r="M32" s="123">
        <f t="shared" ref="M32:M42" si="35">((T32)*L32)/100</f>
        <v>0</v>
      </c>
      <c r="N32" s="123">
        <f t="shared" ref="N32:N42" si="36">((V32)*L32)/100</f>
        <v>0</v>
      </c>
      <c r="O32" s="152">
        <f t="shared" ref="O32:O42" si="37">SUM(C32,F32,I32,L32)</f>
        <v>0</v>
      </c>
      <c r="P32" s="141">
        <f>'1.Usos&amp;Fontes'!C30</f>
        <v>0.5</v>
      </c>
      <c r="Q32" s="124">
        <f t="shared" ref="Q32:Q41" si="38">D32+G32+J32+M32</f>
        <v>0</v>
      </c>
      <c r="R32" s="140">
        <f>'1.Usos&amp;Fontes'!F30</f>
        <v>0.5</v>
      </c>
      <c r="S32" s="155">
        <f t="shared" ref="S32:S41" si="39">E32+H32+K32+N32</f>
        <v>0</v>
      </c>
      <c r="T32" s="12">
        <f>'1.Usos&amp;Fontes'!E30</f>
        <v>3000000</v>
      </c>
      <c r="U32" s="12">
        <f>T32*'1.Usos&amp;Fontes'!I2</f>
        <v>9000000</v>
      </c>
      <c r="V32" s="12">
        <f>'1.Usos&amp;Fontes'!H30</f>
        <v>3000000</v>
      </c>
      <c r="W32" s="12">
        <f>V32*'1.Usos&amp;Fontes'!I2</f>
        <v>9000000</v>
      </c>
      <c r="X32" s="438">
        <f t="shared" ref="X32:X42" si="40">Q32+S32</f>
        <v>0</v>
      </c>
      <c r="Y32" s="436">
        <f>X32*'1.Usos&amp;Fontes'!$I$2</f>
        <v>0</v>
      </c>
      <c r="AA32" s="30"/>
      <c r="AB32" s="3"/>
      <c r="AC32" s="3"/>
      <c r="AD32" s="3"/>
      <c r="AE32" s="3"/>
      <c r="AF32" s="3"/>
    </row>
    <row r="33" spans="1:32" ht="15.75" thickBot="1" x14ac:dyDescent="0.3">
      <c r="A33" s="121" t="str">
        <f>'1.Usos&amp;Fontes'!A31</f>
        <v>3.3</v>
      </c>
      <c r="B33" s="2" t="str">
        <f>'1.Usos&amp;Fontes'!B31</f>
        <v>Saneamento Básico - água e esgoto</v>
      </c>
      <c r="C33" s="123">
        <f>'2.Cronograma Fisico POA'!C30</f>
        <v>0</v>
      </c>
      <c r="D33" s="123">
        <f t="shared" si="29"/>
        <v>0</v>
      </c>
      <c r="E33" s="123">
        <f t="shared" si="30"/>
        <v>0</v>
      </c>
      <c r="F33" s="123">
        <f>'2.Cronograma Fisico POA'!D30</f>
        <v>0</v>
      </c>
      <c r="G33" s="123">
        <f t="shared" si="31"/>
        <v>0</v>
      </c>
      <c r="H33" s="123">
        <f t="shared" si="32"/>
        <v>0</v>
      </c>
      <c r="I33" s="367">
        <f>'2.Cronograma Fisico POA'!E30</f>
        <v>0</v>
      </c>
      <c r="J33" s="123">
        <f t="shared" si="33"/>
        <v>0</v>
      </c>
      <c r="K33" s="123">
        <f t="shared" si="34"/>
        <v>0</v>
      </c>
      <c r="L33" s="367">
        <f>'2.Cronograma Fisico POA'!F30</f>
        <v>0</v>
      </c>
      <c r="M33" s="123">
        <f t="shared" si="35"/>
        <v>0</v>
      </c>
      <c r="N33" s="123">
        <f t="shared" si="36"/>
        <v>0</v>
      </c>
      <c r="O33" s="152">
        <f t="shared" si="37"/>
        <v>0</v>
      </c>
      <c r="P33" s="141">
        <f>'1.Usos&amp;Fontes'!C31</f>
        <v>0.35537190082644626</v>
      </c>
      <c r="Q33" s="124">
        <f t="shared" si="38"/>
        <v>0</v>
      </c>
      <c r="R33" s="140">
        <f>'1.Usos&amp;Fontes'!F31</f>
        <v>0.64462809917355368</v>
      </c>
      <c r="S33" s="155">
        <f t="shared" si="39"/>
        <v>0</v>
      </c>
      <c r="T33" s="12">
        <f>'1.Usos&amp;Fontes'!E31</f>
        <v>860000</v>
      </c>
      <c r="U33" s="12">
        <f>T33*'1.Usos&amp;Fontes'!I2</f>
        <v>2580000</v>
      </c>
      <c r="V33" s="12">
        <f>'1.Usos&amp;Fontes'!H31</f>
        <v>1560000</v>
      </c>
      <c r="W33" s="12">
        <f>V33*'1.Usos&amp;Fontes'!I2</f>
        <v>4680000</v>
      </c>
      <c r="X33" s="438">
        <f t="shared" si="40"/>
        <v>0</v>
      </c>
      <c r="Y33" s="436">
        <f>X33*'1.Usos&amp;Fontes'!$I$2</f>
        <v>0</v>
      </c>
      <c r="AA33" s="30"/>
      <c r="AB33" s="3"/>
      <c r="AC33" s="3"/>
      <c r="AD33" s="3"/>
      <c r="AE33" s="3"/>
      <c r="AF33" s="3"/>
    </row>
    <row r="34" spans="1:32" ht="15.75" thickBot="1" x14ac:dyDescent="0.3">
      <c r="A34" s="121" t="str">
        <f>'1.Usos&amp;Fontes'!A32</f>
        <v>3.4</v>
      </c>
      <c r="B34" s="2" t="str">
        <f>'1.Usos&amp;Fontes'!B32</f>
        <v>Pavimentação das Vias Arteriais, Coletoras e Locais</v>
      </c>
      <c r="C34" s="123">
        <f>'2.Cronograma Fisico POA'!C31</f>
        <v>0</v>
      </c>
      <c r="D34" s="123">
        <f t="shared" si="29"/>
        <v>0</v>
      </c>
      <c r="E34" s="123">
        <f t="shared" si="30"/>
        <v>0</v>
      </c>
      <c r="F34" s="123">
        <f>'2.Cronograma Fisico POA'!D31</f>
        <v>0</v>
      </c>
      <c r="G34" s="123">
        <f t="shared" si="31"/>
        <v>0</v>
      </c>
      <c r="H34" s="123">
        <f t="shared" si="32"/>
        <v>0</v>
      </c>
      <c r="I34" s="367">
        <f>'2.Cronograma Fisico POA'!E31</f>
        <v>0</v>
      </c>
      <c r="J34" s="123">
        <f t="shared" si="33"/>
        <v>0</v>
      </c>
      <c r="K34" s="123">
        <f t="shared" si="34"/>
        <v>0</v>
      </c>
      <c r="L34" s="367">
        <f>'2.Cronograma Fisico POA'!F31</f>
        <v>0</v>
      </c>
      <c r="M34" s="123">
        <f t="shared" si="35"/>
        <v>0</v>
      </c>
      <c r="N34" s="123">
        <f t="shared" si="36"/>
        <v>0</v>
      </c>
      <c r="O34" s="152">
        <f t="shared" si="37"/>
        <v>0</v>
      </c>
      <c r="P34" s="141">
        <f>'1.Usos&amp;Fontes'!C32</f>
        <v>0.50000872077812597</v>
      </c>
      <c r="Q34" s="124">
        <f t="shared" si="38"/>
        <v>0</v>
      </c>
      <c r="R34" s="140">
        <f>'1.Usos&amp;Fontes'!F32</f>
        <v>0.49999127922187403</v>
      </c>
      <c r="S34" s="155">
        <f t="shared" si="39"/>
        <v>0</v>
      </c>
      <c r="T34" s="12">
        <f>'1.Usos&amp;Fontes'!E32</f>
        <v>8600300</v>
      </c>
      <c r="U34" s="12">
        <f>T34*'1.Usos&amp;Fontes'!I2</f>
        <v>25800900</v>
      </c>
      <c r="V34" s="12">
        <f>'1.Usos&amp;Fontes'!H32</f>
        <v>8600000</v>
      </c>
      <c r="W34" s="12">
        <f>V34*'1.Usos&amp;Fontes'!I2</f>
        <v>25800000</v>
      </c>
      <c r="X34" s="438">
        <f t="shared" si="40"/>
        <v>0</v>
      </c>
      <c r="Y34" s="436">
        <f>X34*'1.Usos&amp;Fontes'!$I$2</f>
        <v>0</v>
      </c>
      <c r="AA34" s="30"/>
      <c r="AB34" s="3"/>
      <c r="AC34" s="3"/>
      <c r="AD34" s="3"/>
      <c r="AE34" s="3"/>
      <c r="AF34" s="3"/>
    </row>
    <row r="35" spans="1:32" ht="15.75" thickBot="1" x14ac:dyDescent="0.3">
      <c r="A35" s="121" t="str">
        <f>'1.Usos&amp;Fontes'!A33</f>
        <v>3.5</v>
      </c>
      <c r="B35" s="2" t="str">
        <f>'1.Usos&amp;Fontes'!B33</f>
        <v>Mobilidade e Acessibilidade</v>
      </c>
      <c r="C35" s="123">
        <f>'2.Cronograma Fisico POA'!C32</f>
        <v>0</v>
      </c>
      <c r="D35" s="123">
        <f t="shared" si="29"/>
        <v>0</v>
      </c>
      <c r="E35" s="123">
        <f t="shared" si="30"/>
        <v>0</v>
      </c>
      <c r="F35" s="123">
        <f>'2.Cronograma Fisico POA'!D32</f>
        <v>0</v>
      </c>
      <c r="G35" s="123">
        <f t="shared" si="31"/>
        <v>0</v>
      </c>
      <c r="H35" s="123">
        <f t="shared" si="32"/>
        <v>0</v>
      </c>
      <c r="I35" s="367">
        <f>'2.Cronograma Fisico POA'!E32</f>
        <v>0</v>
      </c>
      <c r="J35" s="123">
        <f t="shared" si="33"/>
        <v>0</v>
      </c>
      <c r="K35" s="123">
        <f t="shared" si="34"/>
        <v>0</v>
      </c>
      <c r="L35" s="367">
        <f>'2.Cronograma Fisico POA'!F32</f>
        <v>0</v>
      </c>
      <c r="M35" s="123">
        <f t="shared" si="35"/>
        <v>0</v>
      </c>
      <c r="N35" s="123">
        <f t="shared" si="36"/>
        <v>0</v>
      </c>
      <c r="O35" s="152">
        <f t="shared" si="37"/>
        <v>0</v>
      </c>
      <c r="P35" s="141">
        <f>'1.Usos&amp;Fontes'!C33</f>
        <v>0.5</v>
      </c>
      <c r="Q35" s="124">
        <f t="shared" si="38"/>
        <v>0</v>
      </c>
      <c r="R35" s="140">
        <f>'1.Usos&amp;Fontes'!F33</f>
        <v>0.5</v>
      </c>
      <c r="S35" s="155">
        <f t="shared" si="39"/>
        <v>0</v>
      </c>
      <c r="T35" s="12">
        <f>'1.Usos&amp;Fontes'!E33</f>
        <v>334000</v>
      </c>
      <c r="U35" s="12">
        <f>T35*'1.Usos&amp;Fontes'!I2</f>
        <v>1002000</v>
      </c>
      <c r="V35" s="12">
        <f>'1.Usos&amp;Fontes'!H33</f>
        <v>334000</v>
      </c>
      <c r="W35" s="12">
        <f>V35*'1.Usos&amp;Fontes'!I2</f>
        <v>1002000</v>
      </c>
      <c r="X35" s="438">
        <f t="shared" si="40"/>
        <v>0</v>
      </c>
      <c r="Y35" s="436">
        <f>X35*'1.Usos&amp;Fontes'!$I$2</f>
        <v>0</v>
      </c>
      <c r="AA35" s="30"/>
      <c r="AB35" s="3"/>
      <c r="AC35" s="32"/>
      <c r="AD35" s="3"/>
      <c r="AE35" s="32"/>
      <c r="AF35" s="32"/>
    </row>
    <row r="36" spans="1:32" ht="15.75" thickBot="1" x14ac:dyDescent="0.3">
      <c r="A36" s="121" t="str">
        <f>'1.Usos&amp;Fontes'!A34</f>
        <v>3.6</v>
      </c>
      <c r="B36" s="2" t="str">
        <f>'1.Usos&amp;Fontes'!B34</f>
        <v>Programa de Reassentamento</v>
      </c>
      <c r="C36" s="123">
        <f>'2.Cronograma Fisico POA'!C33</f>
        <v>0</v>
      </c>
      <c r="D36" s="123">
        <f t="shared" si="29"/>
        <v>0</v>
      </c>
      <c r="E36" s="123">
        <f t="shared" si="30"/>
        <v>0</v>
      </c>
      <c r="F36" s="123">
        <f>'2.Cronograma Fisico POA'!D33</f>
        <v>0</v>
      </c>
      <c r="G36" s="123">
        <f t="shared" si="31"/>
        <v>0</v>
      </c>
      <c r="H36" s="123">
        <f t="shared" si="32"/>
        <v>0</v>
      </c>
      <c r="I36" s="367">
        <f>'2.Cronograma Fisico POA'!E33</f>
        <v>0</v>
      </c>
      <c r="J36" s="123">
        <f t="shared" si="33"/>
        <v>0</v>
      </c>
      <c r="K36" s="123">
        <f t="shared" si="34"/>
        <v>0</v>
      </c>
      <c r="L36" s="367">
        <f>'2.Cronograma Fisico POA'!F33</f>
        <v>0</v>
      </c>
      <c r="M36" s="123">
        <f t="shared" si="35"/>
        <v>0</v>
      </c>
      <c r="N36" s="123">
        <f t="shared" si="36"/>
        <v>0</v>
      </c>
      <c r="O36" s="152">
        <f t="shared" si="37"/>
        <v>0</v>
      </c>
      <c r="P36" s="141">
        <f>'1.Usos&amp;Fontes'!C34</f>
        <v>0.60897457453054304</v>
      </c>
      <c r="Q36" s="124">
        <f t="shared" si="38"/>
        <v>0</v>
      </c>
      <c r="R36" s="140">
        <f>'1.Usos&amp;Fontes'!F34</f>
        <v>0.3910254254694569</v>
      </c>
      <c r="S36" s="155">
        <f t="shared" si="39"/>
        <v>0</v>
      </c>
      <c r="T36" s="12">
        <f>'1.Usos&amp;Fontes'!E34</f>
        <v>5360506</v>
      </c>
      <c r="U36" s="12">
        <f>T36*'1.Usos&amp;Fontes'!I2</f>
        <v>16081518</v>
      </c>
      <c r="V36" s="12">
        <f>'1.Usos&amp;Fontes'!H34</f>
        <v>3442006</v>
      </c>
      <c r="W36" s="12">
        <f>V36*'1.Usos&amp;Fontes'!I2</f>
        <v>10326018</v>
      </c>
      <c r="X36" s="438">
        <f t="shared" si="40"/>
        <v>0</v>
      </c>
      <c r="Y36" s="436">
        <f>X36*'1.Usos&amp;Fontes'!$I$2</f>
        <v>0</v>
      </c>
      <c r="Z36" t="e">
        <f>Y36/X36</f>
        <v>#DIV/0!</v>
      </c>
      <c r="AA36" s="30"/>
      <c r="AB36" s="3"/>
      <c r="AC36" s="26"/>
      <c r="AD36" s="3"/>
      <c r="AE36" s="3"/>
      <c r="AF36" s="3"/>
    </row>
    <row r="37" spans="1:32" ht="15.75" thickBot="1" x14ac:dyDescent="0.3">
      <c r="A37" s="121" t="str">
        <f>'1.Usos&amp;Fontes'!A35</f>
        <v>3.7</v>
      </c>
      <c r="B37" s="2" t="str">
        <f>'1.Usos&amp;Fontes'!B35</f>
        <v>Ações de  Recuperação de Áreas Degradadas  (RAA)</v>
      </c>
      <c r="C37" s="123">
        <f>'2.Cronograma Fisico POA'!C34</f>
        <v>0</v>
      </c>
      <c r="D37" s="123">
        <f t="shared" si="29"/>
        <v>0</v>
      </c>
      <c r="E37" s="123">
        <f t="shared" si="30"/>
        <v>0</v>
      </c>
      <c r="F37" s="123">
        <f>'2.Cronograma Fisico POA'!D34</f>
        <v>0</v>
      </c>
      <c r="G37" s="123">
        <f t="shared" si="31"/>
        <v>0</v>
      </c>
      <c r="H37" s="123">
        <f t="shared" si="32"/>
        <v>0</v>
      </c>
      <c r="I37" s="367">
        <f>'2.Cronograma Fisico POA'!E34</f>
        <v>0</v>
      </c>
      <c r="J37" s="123">
        <f t="shared" si="33"/>
        <v>0</v>
      </c>
      <c r="K37" s="123">
        <f t="shared" si="34"/>
        <v>0</v>
      </c>
      <c r="L37" s="367">
        <f>'2.Cronograma Fisico POA'!F34</f>
        <v>0</v>
      </c>
      <c r="M37" s="123">
        <f t="shared" si="35"/>
        <v>0</v>
      </c>
      <c r="N37" s="123">
        <f t="shared" si="36"/>
        <v>0</v>
      </c>
      <c r="O37" s="152">
        <f t="shared" si="37"/>
        <v>0</v>
      </c>
      <c r="P37" s="141">
        <f>'1.Usos&amp;Fontes'!C35</f>
        <v>0.5</v>
      </c>
      <c r="Q37" s="124">
        <f t="shared" si="38"/>
        <v>0</v>
      </c>
      <c r="R37" s="140">
        <f>'1.Usos&amp;Fontes'!F35</f>
        <v>0.5</v>
      </c>
      <c r="S37" s="155">
        <f t="shared" si="39"/>
        <v>0</v>
      </c>
      <c r="T37" s="12">
        <f>'1.Usos&amp;Fontes'!E35</f>
        <v>2250000</v>
      </c>
      <c r="U37" s="12">
        <f>T37*'1.Usos&amp;Fontes'!I2</f>
        <v>6750000</v>
      </c>
      <c r="V37" s="12">
        <f>'1.Usos&amp;Fontes'!H35</f>
        <v>2250000</v>
      </c>
      <c r="W37" s="12">
        <f>V37*'1.Usos&amp;Fontes'!I2</f>
        <v>6750000</v>
      </c>
      <c r="X37" s="438">
        <f t="shared" si="40"/>
        <v>0</v>
      </c>
      <c r="Y37" s="436">
        <f>X37*'1.Usos&amp;Fontes'!$I$2</f>
        <v>0</v>
      </c>
      <c r="AA37" s="563" t="s">
        <v>124</v>
      </c>
      <c r="AB37" s="563"/>
      <c r="AC37" s="45"/>
      <c r="AD37" s="210" t="e">
        <f>AC37/AC$38</f>
        <v>#DIV/0!</v>
      </c>
      <c r="AE37" s="3"/>
      <c r="AF37" s="3"/>
    </row>
    <row r="38" spans="1:32" ht="15.75" thickBot="1" x14ac:dyDescent="0.3">
      <c r="A38" s="121" t="str">
        <f>'1.Usos&amp;Fontes'!A36</f>
        <v>3.8</v>
      </c>
      <c r="B38" s="2" t="str">
        <f>'1.Usos&amp;Fontes'!B36</f>
        <v>Estudos e Projetos de Recuperação Ambiental e Sondagem</v>
      </c>
      <c r="C38" s="123">
        <f>'2.Cronograma Fisico POA'!C35</f>
        <v>0</v>
      </c>
      <c r="D38" s="123">
        <f t="shared" si="29"/>
        <v>0</v>
      </c>
      <c r="E38" s="123">
        <f t="shared" si="30"/>
        <v>0</v>
      </c>
      <c r="F38" s="123">
        <f>'2.Cronograma Fisico POA'!D35</f>
        <v>0</v>
      </c>
      <c r="G38" s="123">
        <f t="shared" si="31"/>
        <v>0</v>
      </c>
      <c r="H38" s="123">
        <f t="shared" si="32"/>
        <v>0</v>
      </c>
      <c r="I38" s="367">
        <f>'2.Cronograma Fisico POA'!E35</f>
        <v>0</v>
      </c>
      <c r="J38" s="123">
        <f t="shared" si="33"/>
        <v>0</v>
      </c>
      <c r="K38" s="123">
        <f t="shared" si="34"/>
        <v>0</v>
      </c>
      <c r="L38" s="367">
        <f>'2.Cronograma Fisico POA'!F35</f>
        <v>50</v>
      </c>
      <c r="M38" s="123">
        <f t="shared" si="35"/>
        <v>77500</v>
      </c>
      <c r="N38" s="123">
        <f t="shared" si="36"/>
        <v>144450</v>
      </c>
      <c r="O38" s="152">
        <f>SUM(C38,F38,I38,L38)</f>
        <v>50</v>
      </c>
      <c r="P38" s="141">
        <f>'1.Usos&amp;Fontes'!C36</f>
        <v>0.34917774273485019</v>
      </c>
      <c r="Q38" s="124">
        <f t="shared" si="38"/>
        <v>77500</v>
      </c>
      <c r="R38" s="140">
        <f>'1.Usos&amp;Fontes'!F36</f>
        <v>0.65082225726514986</v>
      </c>
      <c r="S38" s="155">
        <f t="shared" si="39"/>
        <v>144450</v>
      </c>
      <c r="T38" s="12">
        <f>'1.Usos&amp;Fontes'!E36</f>
        <v>155000</v>
      </c>
      <c r="U38" s="12">
        <f>T38*'1.Usos&amp;Fontes'!I2</f>
        <v>465000</v>
      </c>
      <c r="V38" s="12">
        <f>'1.Usos&amp;Fontes'!H36</f>
        <v>288900</v>
      </c>
      <c r="W38" s="12">
        <f>V38*'1.Usos&amp;Fontes'!I2</f>
        <v>866700</v>
      </c>
      <c r="X38" s="438">
        <f t="shared" si="40"/>
        <v>221950</v>
      </c>
      <c r="Y38" s="436">
        <f>X38*'1.Usos&amp;Fontes'!$I$2</f>
        <v>665850</v>
      </c>
      <c r="AA38" s="563" t="s">
        <v>122</v>
      </c>
      <c r="AB38" s="563"/>
      <c r="AC38" s="29">
        <f>Y43-AC37-AC39</f>
        <v>0</v>
      </c>
      <c r="AD38" s="210">
        <f>AC38/AC40</f>
        <v>0</v>
      </c>
      <c r="AE38" s="3"/>
      <c r="AF38" s="3"/>
    </row>
    <row r="39" spans="1:32" ht="15.75" thickBot="1" x14ac:dyDescent="0.3">
      <c r="A39" s="121" t="str">
        <f>'1.Usos&amp;Fontes'!A37</f>
        <v>3.9</v>
      </c>
      <c r="B39" s="2" t="str">
        <f>'1.Usos&amp;Fontes'!B37</f>
        <v>Programa de Educação Sanitária e Ambiental  (RAA)</v>
      </c>
      <c r="C39" s="123">
        <f>'2.Cronograma Fisico POA'!C36</f>
        <v>0</v>
      </c>
      <c r="D39" s="123">
        <f t="shared" si="29"/>
        <v>0</v>
      </c>
      <c r="E39" s="123">
        <f t="shared" si="30"/>
        <v>0</v>
      </c>
      <c r="F39" s="123">
        <f>'2.Cronograma Fisico POA'!D36</f>
        <v>0</v>
      </c>
      <c r="G39" s="123">
        <f t="shared" si="31"/>
        <v>0</v>
      </c>
      <c r="H39" s="123">
        <f t="shared" si="32"/>
        <v>0</v>
      </c>
      <c r="I39" s="367">
        <f>'2.Cronograma Fisico POA'!E36</f>
        <v>0</v>
      </c>
      <c r="J39" s="123">
        <f t="shared" si="33"/>
        <v>0</v>
      </c>
      <c r="K39" s="123">
        <f t="shared" si="34"/>
        <v>0</v>
      </c>
      <c r="L39" s="367">
        <f>'2.Cronograma Fisico POA'!F36</f>
        <v>0</v>
      </c>
      <c r="M39" s="123">
        <f t="shared" si="35"/>
        <v>0</v>
      </c>
      <c r="N39" s="123">
        <f t="shared" si="36"/>
        <v>0</v>
      </c>
      <c r="O39" s="152">
        <f t="shared" si="37"/>
        <v>0</v>
      </c>
      <c r="P39" s="141">
        <f>'1.Usos&amp;Fontes'!C37</f>
        <v>0.5</v>
      </c>
      <c r="Q39" s="124">
        <f t="shared" si="38"/>
        <v>0</v>
      </c>
      <c r="R39" s="140">
        <f>'1.Usos&amp;Fontes'!F37</f>
        <v>0.5</v>
      </c>
      <c r="S39" s="155">
        <f t="shared" si="39"/>
        <v>0</v>
      </c>
      <c r="T39" s="12">
        <f>'1.Usos&amp;Fontes'!E37</f>
        <v>340000</v>
      </c>
      <c r="U39" s="12">
        <f>T39*'1.Usos&amp;Fontes'!I2</f>
        <v>1020000</v>
      </c>
      <c r="V39" s="12">
        <f>'1.Usos&amp;Fontes'!H37</f>
        <v>340000</v>
      </c>
      <c r="W39" s="12">
        <f>V39*'1.Usos&amp;Fontes'!I2</f>
        <v>1020000</v>
      </c>
      <c r="X39" s="438">
        <f t="shared" si="40"/>
        <v>0</v>
      </c>
      <c r="Y39" s="436">
        <f>X39*'1.Usos&amp;Fontes'!$I$2</f>
        <v>0</v>
      </c>
      <c r="AA39" s="563" t="s">
        <v>123</v>
      </c>
      <c r="AB39" s="563"/>
      <c r="AC39" s="29">
        <f>Y41+Y39+Y38+(0.9*Y36)</f>
        <v>665850</v>
      </c>
      <c r="AD39" s="210">
        <f>AC39/AC40</f>
        <v>1</v>
      </c>
      <c r="AE39" s="3"/>
      <c r="AF39" s="3"/>
    </row>
    <row r="40" spans="1:32" ht="15.75" thickBot="1" x14ac:dyDescent="0.3">
      <c r="A40" s="121" t="str">
        <f>'1.Usos&amp;Fontes'!A38</f>
        <v>3.10</v>
      </c>
      <c r="B40" s="2" t="str">
        <f>'1.Usos&amp;Fontes'!B38</f>
        <v>Equipamentos sociais (Escola, CRAS, C. Comunitário, Creche, P. Policial)</v>
      </c>
      <c r="C40" s="123">
        <f>'2.Cronograma Fisico POA'!C37</f>
        <v>0</v>
      </c>
      <c r="D40" s="123">
        <f t="shared" si="29"/>
        <v>0</v>
      </c>
      <c r="E40" s="123">
        <f t="shared" si="30"/>
        <v>0</v>
      </c>
      <c r="F40" s="123">
        <f>'2.Cronograma Fisico POA'!D37</f>
        <v>0</v>
      </c>
      <c r="G40" s="123">
        <f t="shared" si="31"/>
        <v>0</v>
      </c>
      <c r="H40" s="123">
        <f t="shared" si="32"/>
        <v>0</v>
      </c>
      <c r="I40" s="367">
        <f>'2.Cronograma Fisico POA'!E37</f>
        <v>0</v>
      </c>
      <c r="J40" s="123">
        <f t="shared" si="33"/>
        <v>0</v>
      </c>
      <c r="K40" s="123">
        <f t="shared" si="34"/>
        <v>0</v>
      </c>
      <c r="L40" s="367">
        <f>'2.Cronograma Fisico POA'!F37</f>
        <v>0</v>
      </c>
      <c r="M40" s="123">
        <f t="shared" si="35"/>
        <v>0</v>
      </c>
      <c r="N40" s="123">
        <f t="shared" si="36"/>
        <v>0</v>
      </c>
      <c r="O40" s="152">
        <f t="shared" si="37"/>
        <v>0</v>
      </c>
      <c r="P40" s="141">
        <f>'1.Usos&amp;Fontes'!C38</f>
        <v>0.5</v>
      </c>
      <c r="Q40" s="124">
        <f t="shared" si="38"/>
        <v>0</v>
      </c>
      <c r="R40" s="140">
        <f>'1.Usos&amp;Fontes'!F38</f>
        <v>0.5</v>
      </c>
      <c r="S40" s="155">
        <f t="shared" si="39"/>
        <v>0</v>
      </c>
      <c r="T40" s="12">
        <f>'1.Usos&amp;Fontes'!E38</f>
        <v>1533330</v>
      </c>
      <c r="U40" s="12">
        <f>T40*'1.Usos&amp;Fontes'!I2</f>
        <v>4599990</v>
      </c>
      <c r="V40" s="12">
        <f>'1.Usos&amp;Fontes'!H38</f>
        <v>1533330</v>
      </c>
      <c r="W40" s="12">
        <f>V40*'1.Usos&amp;Fontes'!I2</f>
        <v>4599990</v>
      </c>
      <c r="X40" s="438">
        <f t="shared" si="40"/>
        <v>0</v>
      </c>
      <c r="Y40" s="436">
        <f>X40*'1.Usos&amp;Fontes'!$I$2</f>
        <v>0</v>
      </c>
      <c r="AA40" s="565" t="s">
        <v>8</v>
      </c>
      <c r="AB40" s="565"/>
      <c r="AC40" s="29">
        <f>SUM(AC37:AC39)</f>
        <v>665850</v>
      </c>
      <c r="AD40" s="29"/>
      <c r="AE40" s="32"/>
      <c r="AF40" s="32"/>
    </row>
    <row r="41" spans="1:32" ht="15.75" thickBot="1" x14ac:dyDescent="0.3">
      <c r="A41" s="121" t="str">
        <f>'1.Usos&amp;Fontes'!A39</f>
        <v>3.11</v>
      </c>
      <c r="B41" s="2" t="str">
        <f>'1.Usos&amp;Fontes'!B39</f>
        <v>Capacitação para a geração  de emprego e renda</v>
      </c>
      <c r="C41" s="123">
        <f>'2.Cronograma Fisico POA'!C38</f>
        <v>0</v>
      </c>
      <c r="D41" s="123">
        <f t="shared" si="29"/>
        <v>0</v>
      </c>
      <c r="E41" s="123">
        <f t="shared" si="30"/>
        <v>0</v>
      </c>
      <c r="F41" s="123">
        <f>'2.Cronograma Fisico POA'!D38</f>
        <v>0</v>
      </c>
      <c r="G41" s="123">
        <f t="shared" si="31"/>
        <v>0</v>
      </c>
      <c r="H41" s="123">
        <f t="shared" si="32"/>
        <v>0</v>
      </c>
      <c r="I41" s="367">
        <f>'2.Cronograma Fisico POA'!E38</f>
        <v>0</v>
      </c>
      <c r="J41" s="123">
        <f t="shared" si="33"/>
        <v>0</v>
      </c>
      <c r="K41" s="123">
        <f t="shared" si="34"/>
        <v>0</v>
      </c>
      <c r="L41" s="367">
        <f>'2.Cronograma Fisico POA'!F38</f>
        <v>0</v>
      </c>
      <c r="M41" s="123">
        <f t="shared" si="35"/>
        <v>0</v>
      </c>
      <c r="N41" s="123">
        <f t="shared" si="36"/>
        <v>0</v>
      </c>
      <c r="O41" s="152">
        <f t="shared" si="37"/>
        <v>0</v>
      </c>
      <c r="P41" s="141">
        <f>'1.Usos&amp;Fontes'!C39</f>
        <v>0.625</v>
      </c>
      <c r="Q41" s="124">
        <f t="shared" si="38"/>
        <v>0</v>
      </c>
      <c r="R41" s="140">
        <f>'1.Usos&amp;Fontes'!F39</f>
        <v>0.375</v>
      </c>
      <c r="S41" s="155">
        <f t="shared" si="39"/>
        <v>0</v>
      </c>
      <c r="T41" s="12">
        <f>'1.Usos&amp;Fontes'!E39</f>
        <v>300000</v>
      </c>
      <c r="U41" s="12">
        <f>T41*'1.Usos&amp;Fontes'!I2</f>
        <v>900000</v>
      </c>
      <c r="V41" s="12">
        <f>'1.Usos&amp;Fontes'!H39</f>
        <v>180000</v>
      </c>
      <c r="W41" s="12">
        <f>V41*'1.Usos&amp;Fontes'!I2</f>
        <v>540000</v>
      </c>
      <c r="X41" s="438">
        <f t="shared" si="40"/>
        <v>0</v>
      </c>
      <c r="Y41" s="436">
        <f>X41*'1.Usos&amp;Fontes'!$I$2</f>
        <v>0</v>
      </c>
      <c r="AA41" s="563"/>
      <c r="AB41" s="563"/>
      <c r="AC41" s="29"/>
      <c r="AD41" s="29"/>
      <c r="AE41" s="3"/>
      <c r="AF41" s="3"/>
    </row>
    <row r="42" spans="1:32" ht="15.75" thickBot="1" x14ac:dyDescent="0.3">
      <c r="A42" s="121" t="str">
        <f>'1.Usos&amp;Fontes'!A40</f>
        <v>3.12</v>
      </c>
      <c r="B42" s="2" t="str">
        <f>'1.Usos&amp;Fontes'!B40</f>
        <v>Construção de  561 casas populares</v>
      </c>
      <c r="C42" s="123">
        <f>'2.Cronograma Fisico POA'!C39</f>
        <v>0</v>
      </c>
      <c r="D42" s="123">
        <f t="shared" si="29"/>
        <v>0</v>
      </c>
      <c r="E42" s="123">
        <f t="shared" si="30"/>
        <v>0</v>
      </c>
      <c r="F42" s="123">
        <f>'2.Cronograma Fisico POA'!D39</f>
        <v>0</v>
      </c>
      <c r="G42" s="123">
        <f t="shared" si="31"/>
        <v>0</v>
      </c>
      <c r="H42" s="123">
        <f t="shared" si="32"/>
        <v>0</v>
      </c>
      <c r="I42" s="367">
        <f>'2.Cronograma Fisico POA'!E39</f>
        <v>0</v>
      </c>
      <c r="J42" s="123">
        <f t="shared" si="33"/>
        <v>0</v>
      </c>
      <c r="K42" s="123">
        <f t="shared" si="34"/>
        <v>0</v>
      </c>
      <c r="L42" s="367">
        <f>'2.Cronograma Fisico POA'!F39</f>
        <v>0</v>
      </c>
      <c r="M42" s="123">
        <f t="shared" si="35"/>
        <v>0</v>
      </c>
      <c r="N42" s="123">
        <f t="shared" si="36"/>
        <v>0</v>
      </c>
      <c r="O42" s="152">
        <f t="shared" si="37"/>
        <v>0</v>
      </c>
      <c r="P42" s="141">
        <f>'1.Usos&amp;Fontes'!C40</f>
        <v>0</v>
      </c>
      <c r="Q42" s="124">
        <f>D42+G42+J42+M42</f>
        <v>0</v>
      </c>
      <c r="R42" s="140">
        <f>'1.Usos&amp;Fontes'!F40</f>
        <v>1</v>
      </c>
      <c r="S42" s="155">
        <f>E42+H42+K42+N42</f>
        <v>0</v>
      </c>
      <c r="T42" s="12">
        <f>'1.Usos&amp;Fontes'!E40</f>
        <v>0</v>
      </c>
      <c r="U42" s="12">
        <f>T42*'1.Usos&amp;Fontes'!I2</f>
        <v>0</v>
      </c>
      <c r="V42" s="12">
        <f>'1.Usos&amp;Fontes'!H40</f>
        <v>13666000</v>
      </c>
      <c r="W42" s="12">
        <f>V42*'1.Usos&amp;Fontes'!I2</f>
        <v>40998000</v>
      </c>
      <c r="X42" s="438">
        <f t="shared" si="40"/>
        <v>0</v>
      </c>
      <c r="Y42" s="436">
        <f>X42*'1.Usos&amp;Fontes'!$I$2</f>
        <v>0</v>
      </c>
      <c r="AA42" s="563"/>
      <c r="AB42" s="563"/>
      <c r="AC42" s="29"/>
      <c r="AD42" s="29"/>
      <c r="AE42" s="3"/>
      <c r="AF42" s="3"/>
    </row>
    <row r="43" spans="1:32" ht="15.75" thickBot="1" x14ac:dyDescent="0.3">
      <c r="A43" s="629" t="s">
        <v>8</v>
      </c>
      <c r="B43" s="629"/>
      <c r="C43" s="187"/>
      <c r="D43" s="475">
        <f>SUM(D31:D42)</f>
        <v>0</v>
      </c>
      <c r="E43" s="164">
        <f>SUM(E31:E42)</f>
        <v>0</v>
      </c>
      <c r="F43" s="187"/>
      <c r="G43" s="475">
        <f>SUM(G31:G42)</f>
        <v>0</v>
      </c>
      <c r="H43" s="164">
        <f>SUM(H31:H42)</f>
        <v>0</v>
      </c>
      <c r="I43" s="187"/>
      <c r="J43" s="475">
        <f>SUM(J31:J42)</f>
        <v>0</v>
      </c>
      <c r="K43" s="164">
        <f>SUM(K31:K42)</f>
        <v>0</v>
      </c>
      <c r="L43" s="187"/>
      <c r="M43" s="475">
        <f>SUM(M31:M42)</f>
        <v>77500</v>
      </c>
      <c r="N43" s="164">
        <f>SUM(N31:N42)</f>
        <v>144450</v>
      </c>
      <c r="O43" s="187"/>
      <c r="P43" s="8"/>
      <c r="Q43" s="15">
        <f>SUM(Q31:Q42)</f>
        <v>77500</v>
      </c>
      <c r="R43" s="14"/>
      <c r="S43" s="41">
        <f t="shared" ref="S43:Y43" si="41">SUM(S31:S42)</f>
        <v>144450</v>
      </c>
      <c r="T43" s="16">
        <f t="shared" si="41"/>
        <v>24733136</v>
      </c>
      <c r="U43" s="16">
        <f t="shared" si="41"/>
        <v>74199408</v>
      </c>
      <c r="V43" s="16">
        <f t="shared" si="41"/>
        <v>37194236</v>
      </c>
      <c r="W43" s="16">
        <f t="shared" si="41"/>
        <v>111582708</v>
      </c>
      <c r="X43" s="16">
        <f t="shared" si="41"/>
        <v>221950</v>
      </c>
      <c r="Y43" s="16">
        <f t="shared" si="41"/>
        <v>665850</v>
      </c>
      <c r="AA43" s="227">
        <f>Y43/Y49</f>
        <v>1.895844737345884E-2</v>
      </c>
      <c r="AB43" s="3"/>
      <c r="AC43" s="19"/>
      <c r="AD43" s="19"/>
      <c r="AE43" s="3"/>
      <c r="AF43" s="3"/>
    </row>
    <row r="44" spans="1:32" ht="15.75" thickBot="1" x14ac:dyDescent="0.3">
      <c r="A44" s="185" t="str">
        <f>'1.Usos&amp;Fontes'!A42</f>
        <v>IV</v>
      </c>
      <c r="B44" s="632" t="str">
        <f>'1.Usos&amp;Fontes'!B42:I42</f>
        <v xml:space="preserve">GERENCIAMENTO E MONITORAMENTO </v>
      </c>
      <c r="C44" s="572"/>
      <c r="D44" s="572"/>
      <c r="E44" s="572"/>
      <c r="F44" s="572"/>
      <c r="G44" s="572"/>
      <c r="H44" s="572"/>
      <c r="I44" s="572"/>
      <c r="J44" s="572"/>
      <c r="K44" s="572"/>
      <c r="L44" s="572"/>
      <c r="M44" s="572"/>
      <c r="N44" s="572"/>
      <c r="O44" s="572"/>
      <c r="P44" s="572"/>
      <c r="Q44" s="572"/>
      <c r="R44" s="572"/>
      <c r="S44" s="572"/>
      <c r="T44" s="572">
        <f t="shared" ref="T44:Y44" si="42">SUM(T45:T47)</f>
        <v>455130</v>
      </c>
      <c r="U44" s="572">
        <f t="shared" si="42"/>
        <v>1365390</v>
      </c>
      <c r="V44" s="572">
        <f t="shared" si="42"/>
        <v>9500000</v>
      </c>
      <c r="W44" s="572">
        <f t="shared" si="42"/>
        <v>28500000</v>
      </c>
      <c r="X44" s="572">
        <f t="shared" si="42"/>
        <v>1991026</v>
      </c>
      <c r="Y44" s="572">
        <f t="shared" si="42"/>
        <v>5973078</v>
      </c>
      <c r="AA44" s="3"/>
      <c r="AB44" s="3"/>
      <c r="AC44" s="3"/>
      <c r="AD44" s="3"/>
      <c r="AE44" s="32"/>
      <c r="AF44" s="32"/>
    </row>
    <row r="45" spans="1:32" ht="15.75" thickBot="1" x14ac:dyDescent="0.3">
      <c r="A45" s="121" t="str">
        <f>'1.Usos&amp;Fontes'!A43</f>
        <v>4.1</v>
      </c>
      <c r="B45" s="2" t="str">
        <f>'1.Usos&amp;Fontes'!B43</f>
        <v>Gerenciamento e Monitoramento do Programa e Supervisão do Programa</v>
      </c>
      <c r="C45" s="123">
        <f>'2.Cronograma Fisico POA'!C41</f>
        <v>0</v>
      </c>
      <c r="D45" s="123">
        <f>((T45)*C45)/100</f>
        <v>0</v>
      </c>
      <c r="E45" s="123">
        <f>((V45)*C45)/100</f>
        <v>0</v>
      </c>
      <c r="F45" s="123">
        <f>'2.Cronograma Fisico POA'!D41</f>
        <v>0</v>
      </c>
      <c r="G45" s="123">
        <f>((T45)*F45)/100</f>
        <v>0</v>
      </c>
      <c r="H45" s="123">
        <f>((V45)*F45)/100</f>
        <v>0</v>
      </c>
      <c r="I45" s="367">
        <f>'2.Cronograma Fisico POA'!E41</f>
        <v>10</v>
      </c>
      <c r="J45" s="42">
        <f>((T45)*I45)/100</f>
        <v>45513</v>
      </c>
      <c r="K45" s="197">
        <f>((V45)*I45)/100</f>
        <v>900000</v>
      </c>
      <c r="L45" s="366">
        <f>'2.Cronograma Fisico POA'!F41</f>
        <v>10</v>
      </c>
      <c r="M45" s="197">
        <f>((T45)*L45)/100</f>
        <v>45513</v>
      </c>
      <c r="N45" s="197">
        <f>((V45)*L45)/100</f>
        <v>900000</v>
      </c>
      <c r="O45" s="152">
        <f t="shared" ref="O45:O47" si="43">SUM(C45,F45,I45,L45)</f>
        <v>20</v>
      </c>
      <c r="P45" s="141">
        <f>'1.Usos&amp;Fontes'!C43</f>
        <v>4.8135773913209022E-2</v>
      </c>
      <c r="Q45" s="124">
        <f>D45+G45+J45+M45</f>
        <v>91026</v>
      </c>
      <c r="R45" s="140">
        <f>'1.Usos&amp;Fontes'!F43</f>
        <v>0.951864226086791</v>
      </c>
      <c r="S45" s="155">
        <f>E45+H45+K45+N45</f>
        <v>1800000</v>
      </c>
      <c r="T45" s="12">
        <f>'1.Usos&amp;Fontes'!E43</f>
        <v>455130</v>
      </c>
      <c r="U45" s="12">
        <f>T45*'1.Usos&amp;Fontes'!I2</f>
        <v>1365390</v>
      </c>
      <c r="V45" s="12">
        <f>'1.Usos&amp;Fontes'!H43</f>
        <v>9000000</v>
      </c>
      <c r="W45" s="12">
        <f>V45*'1.Usos&amp;Fontes'!I2</f>
        <v>27000000</v>
      </c>
      <c r="X45" s="438">
        <f>Q45+S45</f>
        <v>1891026</v>
      </c>
      <c r="Y45" s="436">
        <f>X45*'1.Usos&amp;Fontes'!$I$2</f>
        <v>5673078</v>
      </c>
      <c r="AA45" s="563" t="s">
        <v>124</v>
      </c>
      <c r="AB45" s="563"/>
      <c r="AC45" s="29">
        <v>0</v>
      </c>
      <c r="AD45" s="29">
        <v>0</v>
      </c>
      <c r="AE45" s="3"/>
      <c r="AF45" s="3"/>
    </row>
    <row r="46" spans="1:32" ht="15.75" thickBot="1" x14ac:dyDescent="0.3">
      <c r="A46" s="121" t="str">
        <f>'1.Usos&amp;Fontes'!A44</f>
        <v>4.2</v>
      </c>
      <c r="B46" s="2" t="str">
        <f>'1.Usos&amp;Fontes'!B44</f>
        <v>Taxas</v>
      </c>
      <c r="C46" s="123">
        <f>'2.Cronograma Fisico POA'!C42</f>
        <v>0</v>
      </c>
      <c r="D46" s="123">
        <f t="shared" ref="D46:D47" si="44">((T46)*C46)/100</f>
        <v>0</v>
      </c>
      <c r="E46" s="123">
        <f t="shared" ref="E46:E47" si="45">((V46)*C46)/100</f>
        <v>0</v>
      </c>
      <c r="F46" s="123">
        <f>'2.Cronograma Fisico POA'!D42</f>
        <v>0</v>
      </c>
      <c r="G46" s="123">
        <f t="shared" ref="G46:G47" si="46">((T46)*F46)/100</f>
        <v>0</v>
      </c>
      <c r="H46" s="123">
        <f t="shared" ref="H46:H47" si="47">((V46)*F46)/100</f>
        <v>0</v>
      </c>
      <c r="I46" s="367">
        <f>'2.Cronograma Fisico POA'!E42</f>
        <v>10</v>
      </c>
      <c r="J46" s="42">
        <f>((T46)*I46)/100</f>
        <v>0</v>
      </c>
      <c r="K46" s="197">
        <f>((V46)*I46)/100</f>
        <v>0</v>
      </c>
      <c r="L46" s="366">
        <f>'2.Cronograma Fisico POA'!F42</f>
        <v>10</v>
      </c>
      <c r="M46" s="197">
        <f>((T46)*L46)/100</f>
        <v>0</v>
      </c>
      <c r="N46" s="197">
        <f>((V46)*L46)/100</f>
        <v>0</v>
      </c>
      <c r="O46" s="152">
        <f t="shared" si="43"/>
        <v>20</v>
      </c>
      <c r="P46" s="141" t="e">
        <f>'1.Usos&amp;Fontes'!C44</f>
        <v>#DIV/0!</v>
      </c>
      <c r="Q46" s="124">
        <f t="shared" ref="Q46:Q47" si="48">D46+G46+J46+M46</f>
        <v>0</v>
      </c>
      <c r="R46" s="140" t="e">
        <f>'1.Usos&amp;Fontes'!F44</f>
        <v>#DIV/0!</v>
      </c>
      <c r="S46" s="155">
        <f t="shared" ref="S46:S47" si="49">E46+H46+K46+N46</f>
        <v>0</v>
      </c>
      <c r="T46" s="12">
        <f>'1.Usos&amp;Fontes'!E44</f>
        <v>0</v>
      </c>
      <c r="U46" s="12">
        <f>T46*'1.Usos&amp;Fontes'!I2</f>
        <v>0</v>
      </c>
      <c r="V46" s="12">
        <f>'1.Usos&amp;Fontes'!H44</f>
        <v>0</v>
      </c>
      <c r="W46" s="12">
        <f>V46*'1.Usos&amp;Fontes'!I2</f>
        <v>0</v>
      </c>
      <c r="X46" s="438">
        <f t="shared" ref="X46:X47" si="50">Q46+S46</f>
        <v>0</v>
      </c>
      <c r="Y46" s="436">
        <f>X46*'1.Usos&amp;Fontes'!$I$2</f>
        <v>0</v>
      </c>
      <c r="AA46" s="563" t="s">
        <v>122</v>
      </c>
      <c r="AB46" s="563"/>
      <c r="AC46" s="29">
        <f>Y45*0.042</f>
        <v>238269.27600000001</v>
      </c>
      <c r="AD46" s="210">
        <f>AC46/AC48</f>
        <v>3.9890534829781228E-2</v>
      </c>
      <c r="AE46" s="45"/>
      <c r="AF46" s="3"/>
    </row>
    <row r="47" spans="1:32" ht="15.75" thickBot="1" x14ac:dyDescent="0.3">
      <c r="A47" s="121" t="str">
        <f>'1.Usos&amp;Fontes'!A45</f>
        <v>4.3</v>
      </c>
      <c r="B47" s="2" t="str">
        <f>'1.Usos&amp;Fontes'!B45</f>
        <v>Avaliacao e monitoramento</v>
      </c>
      <c r="C47" s="123">
        <f>'2.Cronograma Fisico POA'!C43</f>
        <v>0</v>
      </c>
      <c r="D47" s="123">
        <f t="shared" si="44"/>
        <v>0</v>
      </c>
      <c r="E47" s="123">
        <f t="shared" si="45"/>
        <v>0</v>
      </c>
      <c r="F47" s="123">
        <f>'2.Cronograma Fisico POA'!D43</f>
        <v>0</v>
      </c>
      <c r="G47" s="123">
        <f t="shared" si="46"/>
        <v>0</v>
      </c>
      <c r="H47" s="123">
        <f t="shared" si="47"/>
        <v>0</v>
      </c>
      <c r="I47" s="367">
        <f>'2.Cronograma Fisico POA'!E43</f>
        <v>10</v>
      </c>
      <c r="J47" s="42">
        <f>((T47)*I47)/100</f>
        <v>0</v>
      </c>
      <c r="K47" s="197">
        <f>((V47)*I47)/100</f>
        <v>50000</v>
      </c>
      <c r="L47" s="366">
        <f>'2.Cronograma Fisico POA'!F43</f>
        <v>10</v>
      </c>
      <c r="M47" s="197">
        <f>((T47)*L47)/100</f>
        <v>0</v>
      </c>
      <c r="N47" s="197">
        <f>((V47)*L47)/100</f>
        <v>50000</v>
      </c>
      <c r="O47" s="152">
        <f t="shared" si="43"/>
        <v>20</v>
      </c>
      <c r="P47" s="141">
        <f>'1.Usos&amp;Fontes'!C45</f>
        <v>0</v>
      </c>
      <c r="Q47" s="124">
        <f t="shared" si="48"/>
        <v>0</v>
      </c>
      <c r="R47" s="140">
        <f>'1.Usos&amp;Fontes'!F45</f>
        <v>1</v>
      </c>
      <c r="S47" s="155">
        <f t="shared" si="49"/>
        <v>100000</v>
      </c>
      <c r="T47" s="12">
        <f>'1.Usos&amp;Fontes'!E45</f>
        <v>0</v>
      </c>
      <c r="U47" s="12">
        <f>T47*'1.Usos&amp;Fontes'!I2</f>
        <v>0</v>
      </c>
      <c r="V47" s="12">
        <f>'1.Usos&amp;Fontes'!H45</f>
        <v>500000</v>
      </c>
      <c r="W47" s="12">
        <f>V47*'1.Usos&amp;Fontes'!I2</f>
        <v>1500000</v>
      </c>
      <c r="X47" s="438">
        <f t="shared" si="50"/>
        <v>100000</v>
      </c>
      <c r="Y47" s="436">
        <f>X47*'1.Usos&amp;Fontes'!$I$2</f>
        <v>300000</v>
      </c>
      <c r="Z47" s="226">
        <f>Y48/Y49</f>
        <v>0.17006876161382409</v>
      </c>
      <c r="AA47" s="563" t="s">
        <v>123</v>
      </c>
      <c r="AB47" s="563"/>
      <c r="AC47" s="26">
        <f>Y48-AC46</f>
        <v>5734808.7240000004</v>
      </c>
      <c r="AD47" s="210">
        <f>AC47/AC48</f>
        <v>0.96010946517021889</v>
      </c>
      <c r="AE47" s="45"/>
      <c r="AF47" s="3"/>
    </row>
    <row r="48" spans="1:32" ht="15.75" thickBot="1" x14ac:dyDescent="0.3">
      <c r="A48" s="628" t="s">
        <v>121</v>
      </c>
      <c r="B48" s="628"/>
      <c r="C48" s="187"/>
      <c r="D48" s="475">
        <f>SUM(D45:D47)</f>
        <v>0</v>
      </c>
      <c r="E48" s="164">
        <f>SUM(E45:E47)</f>
        <v>0</v>
      </c>
      <c r="F48" s="187"/>
      <c r="G48" s="475">
        <f>SUM(G45:G47)</f>
        <v>0</v>
      </c>
      <c r="H48" s="164">
        <f>SUM(H45:H47)</f>
        <v>0</v>
      </c>
      <c r="I48" s="187"/>
      <c r="J48" s="475">
        <f>SUM(J45:J47)</f>
        <v>45513</v>
      </c>
      <c r="K48" s="164">
        <f>SUM(K45:K47)</f>
        <v>950000</v>
      </c>
      <c r="L48" s="187"/>
      <c r="M48" s="475">
        <f>SUM(M45:M47)</f>
        <v>45513</v>
      </c>
      <c r="N48" s="164">
        <f>SUM(N45:N47)</f>
        <v>950000</v>
      </c>
      <c r="O48" s="187"/>
      <c r="P48" s="8"/>
      <c r="Q48" s="15">
        <f>SUM(Q45:Q47)</f>
        <v>91026</v>
      </c>
      <c r="R48" s="14"/>
      <c r="S48" s="41">
        <f t="shared" ref="S48:Y48" si="51">SUM(S45:S47)</f>
        <v>1900000</v>
      </c>
      <c r="T48" s="16">
        <f t="shared" si="51"/>
        <v>455130</v>
      </c>
      <c r="U48" s="16">
        <f t="shared" si="51"/>
        <v>1365390</v>
      </c>
      <c r="V48" s="16">
        <f t="shared" si="51"/>
        <v>9500000</v>
      </c>
      <c r="W48" s="16">
        <f t="shared" si="51"/>
        <v>28500000</v>
      </c>
      <c r="X48" s="16">
        <f t="shared" si="51"/>
        <v>1991026</v>
      </c>
      <c r="Y48" s="16">
        <f t="shared" si="51"/>
        <v>5973078</v>
      </c>
      <c r="AA48" s="565" t="s">
        <v>8</v>
      </c>
      <c r="AB48" s="565"/>
      <c r="AC48" s="29">
        <f>AC45+AC46+AC47</f>
        <v>5973078</v>
      </c>
      <c r="AD48" s="29"/>
      <c r="AE48" s="45"/>
      <c r="AF48" s="3"/>
    </row>
    <row r="49" spans="1:36" s="46" customFormat="1" ht="15.75" thickBot="1" x14ac:dyDescent="0.3">
      <c r="A49" s="627" t="s">
        <v>134</v>
      </c>
      <c r="B49" s="627"/>
      <c r="C49" s="194"/>
      <c r="D49" s="15">
        <f>D16+D29+D43+D48</f>
        <v>0</v>
      </c>
      <c r="E49" s="15">
        <f>E16+E29+E43+E48</f>
        <v>0</v>
      </c>
      <c r="F49" s="194"/>
      <c r="G49" s="15">
        <f>G16+G29+G43+G48</f>
        <v>0</v>
      </c>
      <c r="H49" s="15">
        <f>H16+H29+H43+H48</f>
        <v>0</v>
      </c>
      <c r="I49" s="194"/>
      <c r="J49" s="15">
        <f>J16+J29+J43+J48</f>
        <v>1469563</v>
      </c>
      <c r="K49" s="15">
        <f>K16+K29+K43+K48</f>
        <v>2738373.9</v>
      </c>
      <c r="L49" s="194"/>
      <c r="M49" s="15">
        <f>M16+M29+M43+M48</f>
        <v>2625186.4</v>
      </c>
      <c r="N49" s="15">
        <f>N16+N29+N43+N48</f>
        <v>6535400.3000000007</v>
      </c>
      <c r="O49" s="194"/>
      <c r="P49" s="8"/>
      <c r="Q49" s="15">
        <f>Q16+Q29+Q43+Q48</f>
        <v>4094749.4</v>
      </c>
      <c r="R49" s="14"/>
      <c r="S49" s="41">
        <f>S16+S29+S43+S48</f>
        <v>9273774.1999999993</v>
      </c>
      <c r="T49" s="16">
        <f>T16+T29+T43+T48</f>
        <v>50000000</v>
      </c>
      <c r="U49" s="16">
        <f>U16+U29+U43+U48</f>
        <v>150000000</v>
      </c>
      <c r="V49" s="16">
        <f>V48+V16+V43+V29</f>
        <v>100000000</v>
      </c>
      <c r="W49" s="16">
        <f>W16+W29+W43+W48</f>
        <v>300000000</v>
      </c>
      <c r="X49" s="16">
        <f>X16+X29+X43+X48</f>
        <v>13368523.6</v>
      </c>
      <c r="Y49" s="16">
        <f>Y16+Y29+Y43+Y48</f>
        <v>35121546.975000001</v>
      </c>
      <c r="AA49" s="563"/>
      <c r="AB49" s="563"/>
      <c r="AC49" s="29"/>
      <c r="AD49" s="29"/>
      <c r="AE49" s="1"/>
      <c r="AF49" s="1"/>
    </row>
    <row r="50" spans="1:36" x14ac:dyDescent="0.25">
      <c r="Y50" s="46"/>
      <c r="AA50" s="563"/>
      <c r="AB50" s="563"/>
      <c r="AC50" s="29"/>
      <c r="AD50" s="29"/>
      <c r="AE50" s="1"/>
      <c r="AF50" s="1"/>
    </row>
    <row r="51" spans="1:36" x14ac:dyDescent="0.25">
      <c r="K51" s="7"/>
      <c r="M51" s="7"/>
      <c r="Y51" s="46"/>
      <c r="AA51" s="565" t="s">
        <v>8</v>
      </c>
      <c r="AB51" s="565"/>
      <c r="AC51" s="19" t="e">
        <f>AC48+AC40+AC29+AC12</f>
        <v>#REF!</v>
      </c>
      <c r="AD51" s="19"/>
      <c r="AE51" s="1"/>
      <c r="AF51" s="1"/>
    </row>
    <row r="52" spans="1:36" x14ac:dyDescent="0.25">
      <c r="A52" s="46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86"/>
      <c r="Q52" s="186"/>
      <c r="R52" s="186"/>
      <c r="S52" s="135"/>
      <c r="T52" s="46"/>
      <c r="V52" s="46"/>
      <c r="X52" s="46"/>
      <c r="Y52" s="46"/>
      <c r="AA52" s="1"/>
      <c r="AB52" s="1"/>
      <c r="AC52" s="1"/>
      <c r="AD52" s="1"/>
      <c r="AE52" s="1"/>
      <c r="AF52" s="1"/>
    </row>
    <row r="53" spans="1:36" x14ac:dyDescent="0.25">
      <c r="A53" s="657"/>
      <c r="B53" s="657"/>
      <c r="C53" s="184"/>
      <c r="D53" s="448"/>
      <c r="E53" s="184"/>
      <c r="F53" s="184"/>
      <c r="G53" s="448"/>
      <c r="H53" s="184"/>
      <c r="I53" s="184"/>
      <c r="J53" s="448"/>
      <c r="K53" s="184"/>
      <c r="L53" s="184"/>
      <c r="M53" s="448"/>
      <c r="N53" s="184"/>
      <c r="O53" s="184"/>
      <c r="P53" s="142">
        <f>Q53/X53</f>
        <v>0.30629780239906224</v>
      </c>
      <c r="Q53" s="17">
        <f>Q49</f>
        <v>4094749.4</v>
      </c>
      <c r="R53" s="21"/>
      <c r="S53" s="88"/>
      <c r="T53" s="21"/>
      <c r="U53" s="434" t="e">
        <f>Q53+#REF!</f>
        <v>#REF!</v>
      </c>
      <c r="V53" s="21"/>
      <c r="W53" s="434" t="e">
        <f>S54+#REF!</f>
        <v>#REF!</v>
      </c>
      <c r="X53" s="351">
        <f>X49</f>
        <v>13368523.6</v>
      </c>
      <c r="Y53" s="351">
        <f>Y49</f>
        <v>35121546.975000001</v>
      </c>
      <c r="AA53" s="1"/>
      <c r="AB53" s="1"/>
      <c r="AC53" s="1"/>
      <c r="AD53" s="1"/>
      <c r="AE53" s="1"/>
      <c r="AF53" s="1"/>
    </row>
    <row r="54" spans="1:36" x14ac:dyDescent="0.25">
      <c r="A54" s="657"/>
      <c r="B54" s="657"/>
      <c r="C54" s="184"/>
      <c r="D54" s="448"/>
      <c r="E54" s="184"/>
      <c r="F54" s="184"/>
      <c r="G54" s="448"/>
      <c r="H54" s="184"/>
      <c r="I54" s="184"/>
      <c r="J54" s="448"/>
      <c r="K54" s="184"/>
      <c r="L54" s="184"/>
      <c r="M54" s="448"/>
      <c r="N54" s="184"/>
      <c r="O54" s="184"/>
      <c r="P54" s="46"/>
      <c r="Q54" s="46"/>
      <c r="R54" s="143">
        <f>S54/X53</f>
        <v>0.69370219760093776</v>
      </c>
      <c r="S54" s="144">
        <f>S49</f>
        <v>9273774.1999999993</v>
      </c>
      <c r="T54" s="22"/>
      <c r="U54" s="435"/>
      <c r="V54" s="22"/>
      <c r="W54" s="435"/>
      <c r="X54" s="22"/>
      <c r="AA54" s="1"/>
      <c r="AB54" s="1"/>
      <c r="AC54" s="1"/>
      <c r="AD54" s="1"/>
      <c r="AE54" s="1"/>
      <c r="AF54" s="1"/>
    </row>
    <row r="55" spans="1:36" ht="15.75" thickBot="1" x14ac:dyDescent="0.3">
      <c r="AA55" s="1"/>
      <c r="AB55" s="1"/>
      <c r="AC55" s="1"/>
      <c r="AD55" s="1"/>
      <c r="AE55" s="1"/>
      <c r="AF55" s="1"/>
    </row>
    <row r="56" spans="1:36" ht="16.5" thickBot="1" x14ac:dyDescent="0.3">
      <c r="AA56" s="213" t="s">
        <v>5</v>
      </c>
      <c r="AB56" s="1"/>
      <c r="AC56" s="1"/>
      <c r="AD56" s="1"/>
      <c r="AE56" s="1"/>
      <c r="AF56" s="1" t="e">
        <f>Z36</f>
        <v>#DIV/0!</v>
      </c>
      <c r="AG56" s="228" t="s">
        <v>135</v>
      </c>
      <c r="AH56" s="229" t="s">
        <v>127</v>
      </c>
      <c r="AI56" s="229" t="s">
        <v>5</v>
      </c>
    </row>
    <row r="57" spans="1:36" ht="30" customHeight="1" thickBot="1" x14ac:dyDescent="0.3">
      <c r="AA57" s="216"/>
      <c r="AB57" s="1"/>
      <c r="AC57" s="1"/>
      <c r="AD57" s="1"/>
      <c r="AE57" s="1"/>
      <c r="AF57" s="1"/>
      <c r="AG57" s="654" t="s">
        <v>136</v>
      </c>
      <c r="AH57" s="655"/>
      <c r="AI57" s="656"/>
    </row>
    <row r="58" spans="1:36" ht="15.75" thickBot="1" x14ac:dyDescent="0.3">
      <c r="AA58" s="566"/>
      <c r="AB58" s="1"/>
      <c r="AC58" s="1"/>
      <c r="AD58" s="29" t="e">
        <f>AH58/$AF$56</f>
        <v>#DIV/0!</v>
      </c>
      <c r="AE58" s="1"/>
      <c r="AF58" s="1"/>
      <c r="AG58" s="230" t="s">
        <v>128</v>
      </c>
      <c r="AH58" s="231">
        <v>500000</v>
      </c>
      <c r="AI58" s="232">
        <v>9.1399999999999995E-2</v>
      </c>
    </row>
    <row r="59" spans="1:36" ht="15.75" thickBot="1" x14ac:dyDescent="0.3">
      <c r="AA59" s="566"/>
      <c r="AB59" s="1"/>
      <c r="AC59" s="1"/>
      <c r="AD59" s="29" t="e">
        <f t="shared" ref="AD59:AD73" si="52">AH59/$AF$56</f>
        <v>#DIV/0!</v>
      </c>
      <c r="AE59" s="1"/>
      <c r="AF59" s="1"/>
      <c r="AG59" s="230" t="s">
        <v>122</v>
      </c>
      <c r="AH59" s="231">
        <v>720627.6</v>
      </c>
      <c r="AI59" s="232">
        <v>0.1318</v>
      </c>
    </row>
    <row r="60" spans="1:36" ht="15.75" thickBot="1" x14ac:dyDescent="0.3">
      <c r="AA60" s="567"/>
      <c r="AB60" s="1"/>
      <c r="AC60" s="1"/>
      <c r="AD60" s="29" t="e">
        <f t="shared" si="52"/>
        <v>#DIV/0!</v>
      </c>
      <c r="AE60" s="1"/>
      <c r="AF60" s="1"/>
      <c r="AG60" s="230" t="s">
        <v>123</v>
      </c>
      <c r="AH60" s="231">
        <v>4247604.4000000004</v>
      </c>
      <c r="AI60" s="232">
        <v>0.77680000000000005</v>
      </c>
      <c r="AJ60" s="191">
        <f>AH60/AH73</f>
        <v>0.16841639927161275</v>
      </c>
    </row>
    <row r="61" spans="1:36" ht="30" customHeight="1" thickBot="1" x14ac:dyDescent="0.3">
      <c r="AA61" s="218"/>
      <c r="AB61" s="218"/>
      <c r="AC61" s="1"/>
      <c r="AD61" s="29" t="e">
        <f t="shared" si="52"/>
        <v>#DIV/0!</v>
      </c>
      <c r="AE61" s="1"/>
      <c r="AF61" s="1"/>
      <c r="AG61" s="654" t="s">
        <v>137</v>
      </c>
      <c r="AH61" s="655"/>
      <c r="AI61" s="656"/>
    </row>
    <row r="62" spans="1:36" ht="15.75" thickBot="1" x14ac:dyDescent="0.3">
      <c r="AA62" s="1"/>
      <c r="AB62" s="1"/>
      <c r="AC62" s="1"/>
      <c r="AD62" s="29" t="e">
        <f t="shared" si="52"/>
        <v>#DIV/0!</v>
      </c>
      <c r="AE62" s="1"/>
      <c r="AF62" s="1"/>
      <c r="AG62" s="230" t="s">
        <v>128</v>
      </c>
      <c r="AH62" s="231">
        <v>12436250.390000001</v>
      </c>
      <c r="AI62" s="232">
        <v>0.80010000000000003</v>
      </c>
    </row>
    <row r="63" spans="1:36" ht="15.75" thickBot="1" x14ac:dyDescent="0.3">
      <c r="AA63" s="1"/>
      <c r="AB63" s="1"/>
      <c r="AC63" s="1"/>
      <c r="AD63" s="29" t="e">
        <f t="shared" si="52"/>
        <v>#DIV/0!</v>
      </c>
      <c r="AE63" s="1"/>
      <c r="AF63" s="1"/>
      <c r="AG63" s="230" t="s">
        <v>122</v>
      </c>
      <c r="AH63" s="231">
        <v>511470</v>
      </c>
      <c r="AI63" s="232">
        <v>3.2899999999999999E-2</v>
      </c>
    </row>
    <row r="64" spans="1:36" ht="15.75" thickBot="1" x14ac:dyDescent="0.3">
      <c r="AA64" s="1"/>
      <c r="AB64" s="1"/>
      <c r="AC64" s="1"/>
      <c r="AD64" s="29" t="e">
        <f t="shared" si="52"/>
        <v>#DIV/0!</v>
      </c>
      <c r="AE64" s="1"/>
      <c r="AF64" s="1"/>
      <c r="AG64" s="230" t="s">
        <v>123</v>
      </c>
      <c r="AH64" s="231">
        <v>2595393.66</v>
      </c>
      <c r="AI64" s="232">
        <v>0.16700000000000001</v>
      </c>
    </row>
    <row r="65" spans="27:35" ht="30" customHeight="1" thickBot="1" x14ac:dyDescent="0.3">
      <c r="AA65" s="1"/>
      <c r="AB65" s="1"/>
      <c r="AC65" s="1"/>
      <c r="AD65" s="29" t="e">
        <f t="shared" si="52"/>
        <v>#DIV/0!</v>
      </c>
      <c r="AE65" s="1"/>
      <c r="AF65" s="1"/>
      <c r="AG65" s="654" t="s">
        <v>138</v>
      </c>
      <c r="AH65" s="655"/>
      <c r="AI65" s="656"/>
    </row>
    <row r="66" spans="27:35" ht="15.75" thickBot="1" x14ac:dyDescent="0.3">
      <c r="AA66" s="1"/>
      <c r="AB66" s="1"/>
      <c r="AC66" s="1"/>
      <c r="AD66" s="29" t="e">
        <f t="shared" si="52"/>
        <v>#DIV/0!</v>
      </c>
      <c r="AE66" s="1"/>
      <c r="AF66" s="1"/>
      <c r="AG66" s="230" t="s">
        <v>128</v>
      </c>
      <c r="AH66" s="233"/>
      <c r="AI66" s="232">
        <v>0</v>
      </c>
    </row>
    <row r="67" spans="27:35" ht="15.75" thickBot="1" x14ac:dyDescent="0.3">
      <c r="AA67" s="1"/>
      <c r="AB67" s="1"/>
      <c r="AC67" s="1"/>
      <c r="AD67" s="29" t="e">
        <f t="shared" si="52"/>
        <v>#DIV/0!</v>
      </c>
      <c r="AE67" s="1"/>
      <c r="AF67" s="1"/>
      <c r="AG67" s="230" t="s">
        <v>122</v>
      </c>
      <c r="AH67" s="231">
        <v>46286.86</v>
      </c>
      <c r="AI67" s="232">
        <v>0.03</v>
      </c>
    </row>
    <row r="68" spans="27:35" ht="15.75" thickBot="1" x14ac:dyDescent="0.3">
      <c r="AA68" s="1"/>
      <c r="AB68" s="1"/>
      <c r="AC68" s="1"/>
      <c r="AD68" s="29" t="e">
        <f t="shared" si="52"/>
        <v>#DIV/0!</v>
      </c>
      <c r="AE68" s="1"/>
      <c r="AF68" s="1"/>
      <c r="AG68" s="230" t="s">
        <v>123</v>
      </c>
      <c r="AH68" s="231">
        <v>1488050.26</v>
      </c>
      <c r="AI68" s="232">
        <v>0.97</v>
      </c>
    </row>
    <row r="69" spans="27:35" ht="30" customHeight="1" thickBot="1" x14ac:dyDescent="0.3">
      <c r="AA69" s="1"/>
      <c r="AB69" s="1"/>
      <c r="AC69" s="1"/>
      <c r="AD69" s="29" t="e">
        <f t="shared" si="52"/>
        <v>#DIV/0!</v>
      </c>
      <c r="AE69" s="1"/>
      <c r="AF69" s="1"/>
      <c r="AG69" s="654" t="s">
        <v>139</v>
      </c>
      <c r="AH69" s="655"/>
      <c r="AI69" s="656"/>
    </row>
    <row r="70" spans="27:35" ht="15.75" thickBot="1" x14ac:dyDescent="0.3">
      <c r="AA70" s="1"/>
      <c r="AB70" s="1"/>
      <c r="AC70" s="1"/>
      <c r="AD70" s="29" t="e">
        <f t="shared" si="52"/>
        <v>#VALUE!</v>
      </c>
      <c r="AE70" s="1"/>
      <c r="AF70" s="1"/>
      <c r="AG70" s="230" t="s">
        <v>128</v>
      </c>
      <c r="AH70" s="234" t="s">
        <v>140</v>
      </c>
      <c r="AI70" s="234" t="s">
        <v>140</v>
      </c>
    </row>
    <row r="71" spans="27:35" ht="15.75" thickBot="1" x14ac:dyDescent="0.3">
      <c r="AA71" s="1"/>
      <c r="AB71" s="1"/>
      <c r="AC71" s="1"/>
      <c r="AD71" s="29" t="e">
        <f t="shared" si="52"/>
        <v>#DIV/0!</v>
      </c>
      <c r="AE71" s="1"/>
      <c r="AF71" s="1"/>
      <c r="AG71" s="230" t="s">
        <v>122</v>
      </c>
      <c r="AH71" s="231">
        <v>99038.02</v>
      </c>
      <c r="AI71" s="232">
        <v>3.6999999999999998E-2</v>
      </c>
    </row>
    <row r="72" spans="27:35" ht="15.75" thickBot="1" x14ac:dyDescent="0.3">
      <c r="AA72" s="1"/>
      <c r="AB72" s="1"/>
      <c r="AC72" s="1"/>
      <c r="AD72" s="29" t="e">
        <f t="shared" si="52"/>
        <v>#DIV/0!</v>
      </c>
      <c r="AE72" s="1"/>
      <c r="AF72" s="1"/>
      <c r="AG72" s="230" t="s">
        <v>123</v>
      </c>
      <c r="AH72" s="231">
        <v>2576126.7799999998</v>
      </c>
      <c r="AI72" s="232">
        <v>0.96299999999999997</v>
      </c>
    </row>
    <row r="73" spans="27:35" ht="15.75" thickBot="1" x14ac:dyDescent="0.3">
      <c r="AA73" s="1"/>
      <c r="AB73" s="1"/>
      <c r="AC73" s="1"/>
      <c r="AD73" s="29" t="e">
        <f t="shared" si="52"/>
        <v>#DIV/0!</v>
      </c>
      <c r="AE73" s="1"/>
      <c r="AF73" s="1"/>
      <c r="AG73" s="235" t="s">
        <v>141</v>
      </c>
      <c r="AH73" s="236">
        <v>25220847.960000001</v>
      </c>
      <c r="AI73" s="237"/>
    </row>
    <row r="74" spans="27:35" x14ac:dyDescent="0.25">
      <c r="AC74" s="1"/>
      <c r="AD74" s="1"/>
      <c r="AE74" s="1"/>
    </row>
  </sheetData>
  <protectedRanges>
    <protectedRange algorithmName="SHA-512" hashValue="uxyXWVikiKIXYw1VWIWS/MzjIWZkT4/89jlqvIIVSqnzJl8Dh1KUGsat2lPNMUlH9xcSDCTsZH9I0SDDz+8KvQ==" saltValue="LW37nFbrBqlNXNHL5BHeCg==" spinCount="100000" sqref="C10:C15" name="Intervalo2_1"/>
    <protectedRange algorithmName="SHA-512" hashValue="uxyXWVikiKIXYw1VWIWS/MzjIWZkT4/89jlqvIIVSqnzJl8Dh1KUGsat2lPNMUlH9xcSDCTsZH9I0SDDz+8KvQ==" saltValue="LW37nFbrBqlNXNHL5BHeCg==" spinCount="100000" sqref="F10:F15" name="Intervalo2_2"/>
    <protectedRange algorithmName="SHA-512" hashValue="uxyXWVikiKIXYw1VWIWS/MzjIWZkT4/89jlqvIIVSqnzJl8Dh1KUGsat2lPNMUlH9xcSDCTsZH9I0SDDz+8KvQ==" saltValue="LW37nFbrBqlNXNHL5BHeCg==" spinCount="100000" sqref="I10:I15" name="Intervalo2_3"/>
    <protectedRange algorithmName="SHA-512" hashValue="uxyXWVikiKIXYw1VWIWS/MzjIWZkT4/89jlqvIIVSqnzJl8Dh1KUGsat2lPNMUlH9xcSDCTsZH9I0SDDz+8KvQ==" saltValue="LW37nFbrBqlNXNHL5BHeCg==" spinCount="100000" sqref="L10:L15" name="Intervalo2_4"/>
    <protectedRange algorithmName="SHA-512" hashValue="uxyXWVikiKIXYw1VWIWS/MzjIWZkT4/89jlqvIIVSqnzJl8Dh1KUGsat2lPNMUlH9xcSDCTsZH9I0SDDz+8KvQ==" saltValue="LW37nFbrBqlNXNHL5BHeCg==" spinCount="100000" sqref="C18:C28" name="Intervalo2_5"/>
    <protectedRange algorithmName="SHA-512" hashValue="uxyXWVikiKIXYw1VWIWS/MzjIWZkT4/89jlqvIIVSqnzJl8Dh1KUGsat2lPNMUlH9xcSDCTsZH9I0SDDz+8KvQ==" saltValue="LW37nFbrBqlNXNHL5BHeCg==" spinCount="100000" sqref="F18:F28" name="Intervalo2_6"/>
    <protectedRange algorithmName="SHA-512" hashValue="uxyXWVikiKIXYw1VWIWS/MzjIWZkT4/89jlqvIIVSqnzJl8Dh1KUGsat2lPNMUlH9xcSDCTsZH9I0SDDz+8KvQ==" saltValue="LW37nFbrBqlNXNHL5BHeCg==" spinCount="100000" sqref="I18:I28" name="Intervalo2_7"/>
    <protectedRange algorithmName="SHA-512" hashValue="uxyXWVikiKIXYw1VWIWS/MzjIWZkT4/89jlqvIIVSqnzJl8Dh1KUGsat2lPNMUlH9xcSDCTsZH9I0SDDz+8KvQ==" saltValue="LW37nFbrBqlNXNHL5BHeCg==" spinCount="100000" sqref="L18:L28" name="Intervalo2_8"/>
    <protectedRange algorithmName="SHA-512" hashValue="uxyXWVikiKIXYw1VWIWS/MzjIWZkT4/89jlqvIIVSqnzJl8Dh1KUGsat2lPNMUlH9xcSDCTsZH9I0SDDz+8KvQ==" saltValue="LW37nFbrBqlNXNHL5BHeCg==" spinCount="100000" sqref="C31:C42" name="Intervalo2_9"/>
    <protectedRange algorithmName="SHA-512" hashValue="uxyXWVikiKIXYw1VWIWS/MzjIWZkT4/89jlqvIIVSqnzJl8Dh1KUGsat2lPNMUlH9xcSDCTsZH9I0SDDz+8KvQ==" saltValue="LW37nFbrBqlNXNHL5BHeCg==" spinCount="100000" sqref="F31:F42" name="Intervalo2_10"/>
    <protectedRange algorithmName="SHA-512" hashValue="uxyXWVikiKIXYw1VWIWS/MzjIWZkT4/89jlqvIIVSqnzJl8Dh1KUGsat2lPNMUlH9xcSDCTsZH9I0SDDz+8KvQ==" saltValue="LW37nFbrBqlNXNHL5BHeCg==" spinCount="100000" sqref="I31:I42" name="Intervalo2_11"/>
    <protectedRange algorithmName="SHA-512" hashValue="uxyXWVikiKIXYw1VWIWS/MzjIWZkT4/89jlqvIIVSqnzJl8Dh1KUGsat2lPNMUlH9xcSDCTsZH9I0SDDz+8KvQ==" saltValue="LW37nFbrBqlNXNHL5BHeCg==" spinCount="100000" sqref="L31:L42" name="Intervalo2_12"/>
    <protectedRange algorithmName="SHA-512" hashValue="uxyXWVikiKIXYw1VWIWS/MzjIWZkT4/89jlqvIIVSqnzJl8Dh1KUGsat2lPNMUlH9xcSDCTsZH9I0SDDz+8KvQ==" saltValue="LW37nFbrBqlNXNHL5BHeCg==" spinCount="100000" sqref="C45:C47" name="Intervalo2_13"/>
    <protectedRange algorithmName="SHA-512" hashValue="uxyXWVikiKIXYw1VWIWS/MzjIWZkT4/89jlqvIIVSqnzJl8Dh1KUGsat2lPNMUlH9xcSDCTsZH9I0SDDz+8KvQ==" saltValue="LW37nFbrBqlNXNHL5BHeCg==" spinCount="100000" sqref="F45:F47" name="Intervalo2_14"/>
    <protectedRange algorithmName="SHA-512" hashValue="uxyXWVikiKIXYw1VWIWS/MzjIWZkT4/89jlqvIIVSqnzJl8Dh1KUGsat2lPNMUlH9xcSDCTsZH9I0SDDz+8KvQ==" saltValue="LW37nFbrBqlNXNHL5BHeCg==" spinCount="100000" sqref="I45:I47" name="Intervalo2_15"/>
    <protectedRange algorithmName="SHA-512" hashValue="uxyXWVikiKIXYw1VWIWS/MzjIWZkT4/89jlqvIIVSqnzJl8Dh1KUGsat2lPNMUlH9xcSDCTsZH9I0SDDz+8KvQ==" saltValue="LW37nFbrBqlNXNHL5BHeCg==" spinCount="100000" sqref="L45:L47" name="Intervalo2_16"/>
  </protectedRanges>
  <mergeCells count="54">
    <mergeCell ref="AG57:AI57"/>
    <mergeCell ref="AG61:AI61"/>
    <mergeCell ref="AG65:AI65"/>
    <mergeCell ref="AG69:AI69"/>
    <mergeCell ref="A53:B53"/>
    <mergeCell ref="A54:B54"/>
    <mergeCell ref="B30:Y30"/>
    <mergeCell ref="A43:B43"/>
    <mergeCell ref="B44:Y44"/>
    <mergeCell ref="B9:Y9"/>
    <mergeCell ref="C6:E7"/>
    <mergeCell ref="F6:H7"/>
    <mergeCell ref="I6:K7"/>
    <mergeCell ref="L6:N7"/>
    <mergeCell ref="O6:O8"/>
    <mergeCell ref="A3:B3"/>
    <mergeCell ref="A5:B8"/>
    <mergeCell ref="C5:N5"/>
    <mergeCell ref="B17:Y17"/>
    <mergeCell ref="A29:B29"/>
    <mergeCell ref="R6:S7"/>
    <mergeCell ref="T6:U6"/>
    <mergeCell ref="V6:W6"/>
    <mergeCell ref="X6:Y7"/>
    <mergeCell ref="P6:Q7"/>
    <mergeCell ref="O5:Y5"/>
    <mergeCell ref="A49:B49"/>
    <mergeCell ref="AA10:AB10"/>
    <mergeCell ref="AA11:AB11"/>
    <mergeCell ref="AA12:AB12"/>
    <mergeCell ref="AA13:AB13"/>
    <mergeCell ref="AA20:AB20"/>
    <mergeCell ref="AA21:AB21"/>
    <mergeCell ref="AA22:AB22"/>
    <mergeCell ref="AA23:AB23"/>
    <mergeCell ref="AA24:AB24"/>
    <mergeCell ref="AA25:AB25"/>
    <mergeCell ref="AA29:AB29"/>
    <mergeCell ref="AA37:AB37"/>
    <mergeCell ref="AA38:AB38"/>
    <mergeCell ref="A48:B48"/>
    <mergeCell ref="A16:B16"/>
    <mergeCell ref="AA39:AB39"/>
    <mergeCell ref="AA40:AB40"/>
    <mergeCell ref="AA41:AB41"/>
    <mergeCell ref="AA42:AB42"/>
    <mergeCell ref="AA50:AB50"/>
    <mergeCell ref="AA51:AB51"/>
    <mergeCell ref="AA58:AA60"/>
    <mergeCell ref="AA45:AB45"/>
    <mergeCell ref="AA46:AB46"/>
    <mergeCell ref="AA47:AB47"/>
    <mergeCell ref="AA48:AB48"/>
    <mergeCell ref="AA49:AB49"/>
  </mergeCells>
  <pageMargins left="0.511811024" right="0.511811024" top="0.78740157499999996" bottom="0.78740157499999996" header="0.31496062000000002" footer="0.31496062000000002"/>
  <pageSetup paperSize="8" scale="71" orientation="landscape" horizont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50"/>
  <sheetViews>
    <sheetView view="pageBreakPreview" zoomScaleNormal="50" zoomScaleSheetLayoutView="100" zoomScalePageLayoutView="50" workbookViewId="0">
      <selection activeCell="D28" sqref="D28"/>
    </sheetView>
  </sheetViews>
  <sheetFormatPr defaultColWidth="8.85546875" defaultRowHeight="15" x14ac:dyDescent="0.25"/>
  <cols>
    <col min="1" max="1" width="7.85546875" style="46" customWidth="1"/>
    <col min="2" max="2" width="55.140625" style="46" customWidth="1"/>
    <col min="3" max="4" width="7.28515625" style="241" customWidth="1"/>
    <col min="5" max="6" width="7.28515625" style="64" customWidth="1"/>
    <col min="7" max="8" width="7.28515625" style="241" customWidth="1"/>
    <col min="9" max="10" width="7.28515625" style="46" customWidth="1"/>
    <col min="11" max="12" width="7.28515625" style="241" customWidth="1"/>
    <col min="13" max="13" width="11.42578125" style="244" customWidth="1"/>
    <col min="14" max="14" width="11" style="46" bestFit="1" customWidth="1"/>
    <col min="15" max="15" width="14.28515625" style="46" bestFit="1" customWidth="1"/>
    <col min="16" max="16" width="14" style="46" bestFit="1" customWidth="1"/>
    <col min="17" max="17" width="6.42578125" style="46" bestFit="1" customWidth="1"/>
    <col min="18" max="16384" width="8.85546875" style="46"/>
  </cols>
  <sheetData>
    <row r="1" spans="1:22" x14ac:dyDescent="0.25">
      <c r="A1" s="86"/>
      <c r="B1" s="86" t="s">
        <v>119</v>
      </c>
      <c r="C1" s="238"/>
      <c r="D1" s="238"/>
    </row>
    <row r="2" spans="1:22" x14ac:dyDescent="0.25">
      <c r="B2" s="1" t="str">
        <f>'1.Usos&amp;Fontes'!B2</f>
        <v>PROGRAMA BRASILIA SUSTENTAVEL II</v>
      </c>
      <c r="C2" s="239"/>
      <c r="D2" s="239"/>
    </row>
    <row r="3" spans="1:22" ht="15.75" customHeight="1" thickBot="1" x14ac:dyDescent="0.3">
      <c r="A3" s="610" t="s">
        <v>13</v>
      </c>
      <c r="B3" s="611"/>
      <c r="C3" s="247"/>
      <c r="D3" s="247"/>
      <c r="E3" s="247"/>
      <c r="F3" s="247"/>
      <c r="G3" s="248"/>
      <c r="H3" s="248"/>
      <c r="I3" s="248"/>
      <c r="J3" s="248"/>
      <c r="K3" s="248"/>
      <c r="L3" s="248"/>
      <c r="M3" s="249"/>
      <c r="N3" s="10"/>
    </row>
    <row r="4" spans="1:22" ht="15.75" customHeight="1" thickBot="1" x14ac:dyDescent="0.3">
      <c r="A4" s="631" t="s">
        <v>145</v>
      </c>
      <c r="B4" s="631"/>
      <c r="C4" s="663" t="s">
        <v>273</v>
      </c>
      <c r="D4" s="664"/>
      <c r="E4" s="663" t="s">
        <v>276</v>
      </c>
      <c r="F4" s="664"/>
      <c r="G4" s="663" t="s">
        <v>277</v>
      </c>
      <c r="H4" s="664"/>
      <c r="I4" s="663" t="s">
        <v>278</v>
      </c>
      <c r="J4" s="664"/>
      <c r="K4" s="663" t="s">
        <v>279</v>
      </c>
      <c r="L4" s="664"/>
      <c r="M4" s="658" t="s">
        <v>144</v>
      </c>
      <c r="N4" s="10"/>
      <c r="O4" s="21"/>
    </row>
    <row r="5" spans="1:22" ht="33.75" customHeight="1" thickBot="1" x14ac:dyDescent="0.3">
      <c r="A5" s="631"/>
      <c r="B5" s="631"/>
      <c r="C5" s="665"/>
      <c r="D5" s="666"/>
      <c r="E5" s="665"/>
      <c r="F5" s="666"/>
      <c r="G5" s="665"/>
      <c r="H5" s="666"/>
      <c r="I5" s="665"/>
      <c r="J5" s="666"/>
      <c r="K5" s="665"/>
      <c r="L5" s="666"/>
      <c r="M5" s="659"/>
      <c r="N5" s="10"/>
      <c r="O5" s="21"/>
    </row>
    <row r="6" spans="1:22" ht="15.75" thickBot="1" x14ac:dyDescent="0.3">
      <c r="A6" s="631"/>
      <c r="B6" s="631"/>
      <c r="C6" s="286" t="s">
        <v>274</v>
      </c>
      <c r="D6" s="286" t="s">
        <v>275</v>
      </c>
      <c r="E6" s="286" t="s">
        <v>274</v>
      </c>
      <c r="F6" s="286" t="s">
        <v>275</v>
      </c>
      <c r="G6" s="286" t="s">
        <v>274</v>
      </c>
      <c r="H6" s="286" t="s">
        <v>275</v>
      </c>
      <c r="I6" s="286" t="s">
        <v>274</v>
      </c>
      <c r="J6" s="286" t="s">
        <v>275</v>
      </c>
      <c r="K6" s="286" t="s">
        <v>274</v>
      </c>
      <c r="L6" s="286" t="s">
        <v>275</v>
      </c>
      <c r="M6" s="660"/>
      <c r="N6" s="10"/>
      <c r="O6" s="21"/>
    </row>
    <row r="7" spans="1:22" s="18" customFormat="1" ht="15.75" customHeight="1" thickBot="1" x14ac:dyDescent="0.3">
      <c r="A7" s="104" t="str">
        <f>'1.Usos&amp;Fontes'!A7</f>
        <v>I</v>
      </c>
      <c r="B7" s="572" t="str">
        <f>'1.Usos&amp;Fontes'!B7</f>
        <v>COMPONENTE 1  - FORTALECIMENTO INSTITUCIONAL</v>
      </c>
      <c r="C7" s="572"/>
      <c r="D7" s="572"/>
      <c r="E7" s="572"/>
      <c r="F7" s="572"/>
      <c r="G7" s="572"/>
      <c r="H7" s="572"/>
      <c r="I7" s="572"/>
      <c r="J7" s="572"/>
      <c r="K7" s="572"/>
      <c r="L7" s="572"/>
      <c r="M7" s="572"/>
      <c r="N7" s="146"/>
      <c r="O7" s="147"/>
      <c r="P7" s="147"/>
      <c r="Q7" s="147"/>
      <c r="R7" s="147"/>
      <c r="S7" s="147"/>
      <c r="T7" s="147"/>
      <c r="U7" s="147"/>
      <c r="V7" s="147"/>
    </row>
    <row r="8" spans="1:22" ht="24.75" thickBot="1" x14ac:dyDescent="0.3">
      <c r="A8" s="121" t="str">
        <f>'1.Usos&amp;Fontes'!A8</f>
        <v>1.1</v>
      </c>
      <c r="B8" s="250" t="str">
        <f>'1.Usos&amp;Fontes'!B8</f>
        <v>Fortalecimento Institucional  SEMA - Sistema Distrital de Informações Ambientais</v>
      </c>
      <c r="C8" s="445"/>
      <c r="D8" s="242">
        <v>15</v>
      </c>
      <c r="E8" s="242">
        <v>50</v>
      </c>
      <c r="F8" s="242">
        <v>35</v>
      </c>
      <c r="G8" s="242"/>
      <c r="H8" s="242"/>
      <c r="I8" s="197"/>
      <c r="J8" s="197"/>
      <c r="K8" s="197"/>
      <c r="L8" s="197"/>
      <c r="M8" s="245">
        <f t="shared" ref="M8:M13" si="0">SUM(C8:L8)</f>
        <v>100</v>
      </c>
      <c r="N8" s="145"/>
      <c r="O8" s="25"/>
      <c r="P8" s="11"/>
      <c r="Q8" s="11"/>
      <c r="R8" s="11"/>
      <c r="S8" s="11"/>
      <c r="T8" s="11"/>
      <c r="U8" s="11"/>
      <c r="V8" s="11"/>
    </row>
    <row r="9" spans="1:22" ht="24.75" thickBot="1" x14ac:dyDescent="0.3">
      <c r="A9" s="121" t="str">
        <f>'1.Usos&amp;Fontes'!A9</f>
        <v>1.2</v>
      </c>
      <c r="B9" s="250" t="str">
        <f>'1.Usos&amp;Fontes'!B9</f>
        <v>Fortalecimento Institucional - IBRAM - Melhoria dos processos de licenciamento</v>
      </c>
      <c r="C9" s="445"/>
      <c r="D9" s="242">
        <v>20</v>
      </c>
      <c r="E9" s="242">
        <v>50</v>
      </c>
      <c r="F9" s="242">
        <v>30</v>
      </c>
      <c r="G9" s="242"/>
      <c r="H9" s="242"/>
      <c r="I9" s="197"/>
      <c r="J9" s="197"/>
      <c r="K9" s="197"/>
      <c r="L9" s="197"/>
      <c r="M9" s="245">
        <f>SUM(C9:L9)</f>
        <v>100</v>
      </c>
      <c r="N9" s="145"/>
      <c r="O9" s="25"/>
      <c r="P9" s="11"/>
      <c r="Q9" s="11"/>
      <c r="R9" s="11"/>
      <c r="S9" s="11"/>
      <c r="T9" s="11"/>
      <c r="U9" s="11"/>
      <c r="V9" s="11"/>
    </row>
    <row r="10" spans="1:22" ht="16.5" thickBot="1" x14ac:dyDescent="0.3">
      <c r="A10" s="121" t="str">
        <f>'1.Usos&amp;Fontes'!A10</f>
        <v>1.3</v>
      </c>
      <c r="B10" s="250" t="str">
        <f>'1.Usos&amp;Fontes'!B10</f>
        <v xml:space="preserve"> Fortalecimento Institucional do SLU - Automatização de processos</v>
      </c>
      <c r="C10" s="243"/>
      <c r="D10" s="242">
        <v>20</v>
      </c>
      <c r="E10" s="242">
        <v>50</v>
      </c>
      <c r="F10" s="242">
        <v>30</v>
      </c>
      <c r="G10" s="242"/>
      <c r="H10" s="242"/>
      <c r="I10" s="197"/>
      <c r="J10" s="197"/>
      <c r="K10" s="197"/>
      <c r="L10" s="197"/>
      <c r="M10" s="245">
        <f t="shared" si="0"/>
        <v>100</v>
      </c>
      <c r="N10" s="145"/>
      <c r="O10" s="25"/>
      <c r="P10" s="11"/>
      <c r="Q10" s="11"/>
      <c r="R10" s="11"/>
      <c r="S10" s="11"/>
      <c r="T10" s="11"/>
      <c r="U10" s="11"/>
      <c r="V10" s="11"/>
    </row>
    <row r="11" spans="1:22" ht="16.5" thickBot="1" x14ac:dyDescent="0.3">
      <c r="A11" s="121" t="str">
        <f>'1.Usos&amp;Fontes'!A11</f>
        <v>1.4</v>
      </c>
      <c r="B11" s="250" t="str">
        <f>'1.Usos&amp;Fontes'!B11</f>
        <v xml:space="preserve"> Fortalecimento Institucional SINESP</v>
      </c>
      <c r="C11" s="243"/>
      <c r="D11" s="243">
        <v>20</v>
      </c>
      <c r="E11" s="242">
        <v>50</v>
      </c>
      <c r="F11" s="242">
        <v>30</v>
      </c>
      <c r="G11" s="242"/>
      <c r="H11" s="242"/>
      <c r="I11" s="197"/>
      <c r="J11" s="197"/>
      <c r="K11" s="197"/>
      <c r="L11" s="197"/>
      <c r="M11" s="245">
        <f t="shared" si="0"/>
        <v>100</v>
      </c>
      <c r="N11" s="145"/>
      <c r="O11" s="25"/>
      <c r="P11" s="11"/>
      <c r="Q11" s="11"/>
      <c r="R11" s="11"/>
      <c r="S11" s="11"/>
      <c r="T11" s="11"/>
      <c r="U11" s="11"/>
      <c r="V11" s="11"/>
    </row>
    <row r="12" spans="1:22" ht="24.75" thickBot="1" x14ac:dyDescent="0.3">
      <c r="A12" s="121" t="str">
        <f>'1.Usos&amp;Fontes'!A12</f>
        <v>1.5</v>
      </c>
      <c r="B12" s="250" t="str">
        <f>'1.Usos&amp;Fontes'!B12</f>
        <v>Fortalecimento Institucional NOVACAP - Melhoria do Parque Tecnologico e automatizacao de processos</v>
      </c>
      <c r="C12" s="243"/>
      <c r="D12" s="242">
        <v>20</v>
      </c>
      <c r="E12" s="242">
        <v>50</v>
      </c>
      <c r="F12" s="242">
        <v>30</v>
      </c>
      <c r="G12" s="242"/>
      <c r="H12" s="242"/>
      <c r="I12" s="197"/>
      <c r="J12" s="197"/>
      <c r="K12" s="197"/>
      <c r="L12" s="197"/>
      <c r="M12" s="245">
        <f t="shared" si="0"/>
        <v>100</v>
      </c>
      <c r="N12" s="145"/>
      <c r="O12" s="25"/>
      <c r="P12" s="11"/>
      <c r="Q12" s="11"/>
      <c r="R12" s="11"/>
      <c r="S12" s="11"/>
      <c r="T12" s="11"/>
      <c r="U12" s="11"/>
      <c r="V12" s="11"/>
    </row>
    <row r="13" spans="1:22" ht="24.75" thickBot="1" x14ac:dyDescent="0.3">
      <c r="A13" s="121" t="str">
        <f>'1.Usos&amp;Fontes'!A13</f>
        <v>1.6</v>
      </c>
      <c r="B13" s="250" t="str">
        <f>'1.Usos&amp;Fontes'!B13</f>
        <v>Fortalecimento Institucional dos SEDESTMIDH - Aqusição de Computadores</v>
      </c>
      <c r="C13" s="365"/>
      <c r="D13" s="363">
        <v>20</v>
      </c>
      <c r="E13" s="365">
        <v>50</v>
      </c>
      <c r="F13" s="363">
        <v>30</v>
      </c>
      <c r="G13" s="365"/>
      <c r="H13" s="363"/>
      <c r="I13" s="366"/>
      <c r="J13" s="364"/>
      <c r="K13" s="366"/>
      <c r="L13" s="364"/>
      <c r="M13" s="245">
        <f t="shared" si="0"/>
        <v>100</v>
      </c>
      <c r="N13" s="145"/>
      <c r="O13" s="25"/>
      <c r="P13" s="11"/>
      <c r="Q13" s="11"/>
      <c r="R13" s="11"/>
      <c r="S13" s="11"/>
      <c r="T13" s="11"/>
      <c r="U13" s="11"/>
      <c r="V13" s="11"/>
    </row>
    <row r="14" spans="1:22" s="18" customFormat="1" ht="15.75" customHeight="1" thickBot="1" x14ac:dyDescent="0.3">
      <c r="A14" s="122" t="str">
        <f>'1.Usos&amp;Fontes'!A15</f>
        <v xml:space="preserve">II </v>
      </c>
      <c r="B14" s="632" t="str">
        <f>'2.Cronograma Fisico POA'!B15</f>
        <v xml:space="preserve">COMPONENTE 2  - GESTÃO DE RESÍDUOS SÓLIDOS E INCLUSÃO SOCIAL </v>
      </c>
      <c r="C14" s="572"/>
      <c r="D14" s="572"/>
      <c r="E14" s="572"/>
      <c r="F14" s="572"/>
      <c r="G14" s="572"/>
      <c r="H14" s="572"/>
      <c r="I14" s="572"/>
      <c r="J14" s="572"/>
      <c r="K14" s="572"/>
      <c r="L14" s="572"/>
      <c r="M14" s="572"/>
      <c r="N14" s="146"/>
      <c r="O14" s="147"/>
      <c r="P14" s="147"/>
      <c r="Q14" s="147"/>
      <c r="R14" s="147"/>
      <c r="S14" s="147"/>
      <c r="T14" s="147"/>
      <c r="U14" s="147"/>
      <c r="V14" s="147"/>
    </row>
    <row r="15" spans="1:22" s="109" customFormat="1" ht="15.75" thickBot="1" x14ac:dyDescent="0.3">
      <c r="A15" s="121" t="str">
        <f>'1.Usos&amp;Fontes'!A16</f>
        <v>2.1</v>
      </c>
      <c r="B15" s="250" t="str">
        <f>'1.Usos&amp;Fontes'!B16</f>
        <v>Reforma e recapacitação da unidade de Compostagem do Psul</v>
      </c>
      <c r="C15" s="197"/>
      <c r="D15" s="197">
        <v>10</v>
      </c>
      <c r="E15" s="197">
        <v>25</v>
      </c>
      <c r="F15" s="197">
        <v>25</v>
      </c>
      <c r="G15" s="197">
        <v>20</v>
      </c>
      <c r="H15" s="197">
        <v>20</v>
      </c>
      <c r="I15" s="197"/>
      <c r="J15" s="197"/>
      <c r="K15" s="197"/>
      <c r="L15" s="197"/>
      <c r="M15" s="245">
        <f t="shared" ref="M15:M20" si="1">SUM(C15:L15)</f>
        <v>100</v>
      </c>
      <c r="N15" s="148"/>
      <c r="O15" s="149"/>
      <c r="P15" s="149"/>
      <c r="Q15" s="149"/>
      <c r="R15" s="149"/>
      <c r="S15" s="149"/>
      <c r="T15" s="149"/>
      <c r="U15" s="149"/>
      <c r="V15" s="149"/>
    </row>
    <row r="16" spans="1:22" ht="36.75" thickBot="1" x14ac:dyDescent="0.3">
      <c r="A16" s="121" t="str">
        <f>'1.Usos&amp;Fontes'!A17</f>
        <v>2.2</v>
      </c>
      <c r="B16" s="250" t="str">
        <f>'1.Usos&amp;Fontes'!B17</f>
        <v>Programa de capacitação e assistência técnica a cooperativas e catadores em Centros de Triagem por 2 anos, completando os 5 anos planejados.</v>
      </c>
      <c r="C16" s="197"/>
      <c r="D16" s="197">
        <v>0</v>
      </c>
      <c r="E16" s="197">
        <v>25</v>
      </c>
      <c r="F16" s="197">
        <v>30</v>
      </c>
      <c r="G16" s="197">
        <v>7.5</v>
      </c>
      <c r="H16" s="197">
        <v>7.5</v>
      </c>
      <c r="I16" s="197">
        <v>7.5</v>
      </c>
      <c r="J16" s="197">
        <v>7.5</v>
      </c>
      <c r="K16" s="197">
        <v>7.5</v>
      </c>
      <c r="L16" s="197">
        <v>7.5</v>
      </c>
      <c r="M16" s="245">
        <f t="shared" si="1"/>
        <v>100</v>
      </c>
      <c r="N16" s="145"/>
      <c r="O16" s="25"/>
      <c r="P16" s="11"/>
      <c r="Q16" s="11"/>
      <c r="R16" s="11"/>
      <c r="S16" s="11"/>
      <c r="T16" s="11"/>
      <c r="U16" s="11"/>
      <c r="V16" s="11"/>
    </row>
    <row r="17" spans="1:22" ht="24.75" thickBot="1" x14ac:dyDescent="0.3">
      <c r="A17" s="121" t="str">
        <f>'1.Usos&amp;Fontes'!A18</f>
        <v>2.3</v>
      </c>
      <c r="B17" s="250" t="str">
        <f>'1.Usos&amp;Fontes'!B18</f>
        <v>Programa de capacitação e assistência Técnica dos Catadores que optarem para migração em outros setores da economia</v>
      </c>
      <c r="C17" s="197"/>
      <c r="D17" s="197">
        <v>0</v>
      </c>
      <c r="E17" s="197">
        <v>25</v>
      </c>
      <c r="F17" s="197">
        <v>30</v>
      </c>
      <c r="G17" s="197">
        <v>7.5</v>
      </c>
      <c r="H17" s="197">
        <v>7.5</v>
      </c>
      <c r="I17" s="197">
        <v>7.5</v>
      </c>
      <c r="J17" s="197">
        <v>7.5</v>
      </c>
      <c r="K17" s="197">
        <v>7.5</v>
      </c>
      <c r="L17" s="197">
        <v>7.5</v>
      </c>
      <c r="M17" s="245">
        <f t="shared" si="1"/>
        <v>100</v>
      </c>
      <c r="N17" s="145"/>
      <c r="O17" s="25"/>
      <c r="P17" s="11"/>
      <c r="Q17" s="11"/>
      <c r="R17" s="11"/>
      <c r="S17" s="11"/>
      <c r="T17" s="11"/>
      <c r="U17" s="11"/>
      <c r="V17" s="11"/>
    </row>
    <row r="18" spans="1:22" ht="16.5" thickBot="1" x14ac:dyDescent="0.3">
      <c r="A18" s="121" t="str">
        <f>'1.Usos&amp;Fontes'!A19</f>
        <v>2.4</v>
      </c>
      <c r="B18" s="250" t="str">
        <f>'1.Usos&amp;Fontes'!B19</f>
        <v>Construção de Centros de Triagem</v>
      </c>
      <c r="C18" s="197"/>
      <c r="D18" s="197">
        <v>30</v>
      </c>
      <c r="E18" s="197">
        <v>30</v>
      </c>
      <c r="F18" s="197">
        <v>30</v>
      </c>
      <c r="G18" s="197">
        <v>10</v>
      </c>
      <c r="H18" s="197"/>
      <c r="I18" s="197"/>
      <c r="J18" s="197"/>
      <c r="K18" s="197"/>
      <c r="L18" s="197"/>
      <c r="M18" s="245">
        <f t="shared" si="1"/>
        <v>100</v>
      </c>
      <c r="N18" s="145"/>
      <c r="O18" s="25"/>
      <c r="P18" s="11"/>
      <c r="Q18" s="11"/>
      <c r="R18" s="11"/>
      <c r="S18" s="11"/>
      <c r="T18" s="11"/>
      <c r="U18" s="11"/>
      <c r="V18" s="11"/>
    </row>
    <row r="19" spans="1:22" ht="24.75" thickBot="1" x14ac:dyDescent="0.3">
      <c r="A19" s="121" t="str">
        <f>'1.Usos&amp;Fontes'!A20</f>
        <v>2.5</v>
      </c>
      <c r="B19" s="250" t="str">
        <f>'1.Usos&amp;Fontes'!B20</f>
        <v>Reforma e recapacitação da  unidade  de Compostagem da  Asa Sul - L4</v>
      </c>
      <c r="C19" s="197"/>
      <c r="D19" s="197">
        <v>10</v>
      </c>
      <c r="E19" s="197">
        <v>25</v>
      </c>
      <c r="F19" s="197">
        <v>25</v>
      </c>
      <c r="G19" s="197">
        <v>20</v>
      </c>
      <c r="H19" s="197">
        <v>20</v>
      </c>
      <c r="I19" s="197"/>
      <c r="J19" s="197"/>
      <c r="K19" s="197"/>
      <c r="L19" s="197"/>
      <c r="M19" s="245">
        <f t="shared" si="1"/>
        <v>100</v>
      </c>
      <c r="N19" s="145"/>
      <c r="O19" s="25"/>
      <c r="P19" s="11"/>
      <c r="Q19" s="11"/>
      <c r="R19" s="11"/>
      <c r="S19" s="11"/>
      <c r="T19" s="11"/>
      <c r="U19" s="11"/>
      <c r="V19" s="11"/>
    </row>
    <row r="20" spans="1:22" ht="16.5" thickBot="1" x14ac:dyDescent="0.3">
      <c r="A20" s="121" t="str">
        <f>'1.Usos&amp;Fontes'!A21</f>
        <v>2.6</v>
      </c>
      <c r="B20" s="250" t="str">
        <f>'1.Usos&amp;Fontes'!B21</f>
        <v>Apoio ao Sistema de gestão dos resíduos sólidos do SLU</v>
      </c>
      <c r="C20" s="197"/>
      <c r="D20" s="197">
        <v>20</v>
      </c>
      <c r="E20" s="197">
        <v>10</v>
      </c>
      <c r="F20" s="197">
        <v>10</v>
      </c>
      <c r="G20" s="197">
        <v>10</v>
      </c>
      <c r="H20" s="197">
        <v>10</v>
      </c>
      <c r="I20" s="197">
        <v>10</v>
      </c>
      <c r="J20" s="197">
        <v>10</v>
      </c>
      <c r="K20" s="197">
        <v>10</v>
      </c>
      <c r="L20" s="197">
        <v>10</v>
      </c>
      <c r="M20" s="245">
        <f t="shared" si="1"/>
        <v>100</v>
      </c>
      <c r="N20" s="145"/>
      <c r="O20" s="25"/>
      <c r="P20" s="11"/>
      <c r="Q20" s="11"/>
      <c r="R20" s="11"/>
      <c r="S20" s="11"/>
      <c r="T20" s="11"/>
      <c r="U20" s="11"/>
      <c r="V20" s="11"/>
    </row>
    <row r="21" spans="1:22" ht="16.5" thickBot="1" x14ac:dyDescent="0.3">
      <c r="A21" s="121" t="str">
        <f>'1.Usos&amp;Fontes'!A22</f>
        <v>2.7</v>
      </c>
      <c r="B21" s="250" t="str">
        <f>'1.Usos&amp;Fontes'!B22</f>
        <v>Elaboração de projetos  para centro de transbordo</v>
      </c>
      <c r="C21" s="197"/>
      <c r="D21" s="197">
        <v>100</v>
      </c>
      <c r="E21" s="197"/>
      <c r="F21" s="197"/>
      <c r="G21" s="197"/>
      <c r="H21" s="197"/>
      <c r="I21" s="197"/>
      <c r="J21" s="197"/>
      <c r="K21" s="197"/>
      <c r="L21" s="197"/>
      <c r="M21" s="245">
        <f>SUM(D21:L21)</f>
        <v>100</v>
      </c>
      <c r="N21" s="145"/>
      <c r="O21" s="150"/>
      <c r="P21" s="11"/>
      <c r="Q21" s="11"/>
      <c r="R21" s="11"/>
      <c r="S21" s="11"/>
      <c r="T21" s="11"/>
      <c r="U21" s="11"/>
      <c r="V21" s="11"/>
    </row>
    <row r="22" spans="1:22" s="109" customFormat="1" ht="15.75" thickBot="1" x14ac:dyDescent="0.3">
      <c r="A22" s="518" t="str">
        <f>'1.Usos&amp;Fontes'!A23</f>
        <v>2.8</v>
      </c>
      <c r="B22" s="519" t="str">
        <f>'1.Usos&amp;Fontes'!B23</f>
        <v>Fechamento do lixão do Jóquei e Recuperação Ambiental</v>
      </c>
      <c r="C22" s="520"/>
      <c r="D22" s="520">
        <v>20</v>
      </c>
      <c r="E22" s="520">
        <v>10</v>
      </c>
      <c r="F22" s="520">
        <v>10</v>
      </c>
      <c r="G22" s="520">
        <v>10</v>
      </c>
      <c r="H22" s="520">
        <v>10</v>
      </c>
      <c r="I22" s="520">
        <v>10</v>
      </c>
      <c r="J22" s="520">
        <v>10</v>
      </c>
      <c r="K22" s="520">
        <v>10</v>
      </c>
      <c r="L22" s="520">
        <v>10</v>
      </c>
      <c r="M22" s="521">
        <f>SUM(D22:L22)</f>
        <v>100</v>
      </c>
      <c r="N22" s="148"/>
      <c r="O22" s="522"/>
      <c r="P22" s="149"/>
      <c r="Q22" s="149"/>
      <c r="R22" s="149"/>
      <c r="S22" s="149"/>
      <c r="T22" s="149"/>
      <c r="U22" s="149"/>
      <c r="V22" s="149"/>
    </row>
    <row r="23" spans="1:22" s="109" customFormat="1" ht="15.75" thickBot="1" x14ac:dyDescent="0.3">
      <c r="A23" s="121" t="str">
        <f>'1.Usos&amp;Fontes'!A24</f>
        <v>2.9</v>
      </c>
      <c r="B23" s="250" t="str">
        <f>'1.Usos&amp;Fontes'!B24</f>
        <v xml:space="preserve"> Projeto de Educação Ambiental para a Coleta Seletiva</v>
      </c>
      <c r="C23" s="197"/>
      <c r="D23" s="197">
        <v>10</v>
      </c>
      <c r="E23" s="197">
        <v>22.5</v>
      </c>
      <c r="F23" s="197">
        <v>30</v>
      </c>
      <c r="G23" s="197">
        <v>6.25</v>
      </c>
      <c r="H23" s="197">
        <v>6.25</v>
      </c>
      <c r="I23" s="197">
        <v>6.25</v>
      </c>
      <c r="J23" s="197">
        <v>6.25</v>
      </c>
      <c r="K23" s="197">
        <v>6.25</v>
      </c>
      <c r="L23" s="197">
        <v>6.25</v>
      </c>
      <c r="M23" s="245">
        <f>SUM(C23:L23)</f>
        <v>100</v>
      </c>
      <c r="N23" s="148"/>
      <c r="O23" s="149"/>
      <c r="P23" s="149"/>
      <c r="Q23" s="149"/>
      <c r="R23" s="149"/>
      <c r="S23" s="149"/>
      <c r="T23" s="149"/>
      <c r="U23" s="149"/>
      <c r="V23" s="149"/>
    </row>
    <row r="24" spans="1:22" s="432" customFormat="1" ht="15.75" thickBot="1" x14ac:dyDescent="0.3">
      <c r="A24" s="440" t="str">
        <f>'1.Usos&amp;Fontes'!A25</f>
        <v>2.10</v>
      </c>
      <c r="B24" s="506" t="str">
        <f>'2.Cronograma Fisico POA'!B25</f>
        <v xml:space="preserve">Construção de centros de transbordo </v>
      </c>
      <c r="C24" s="366">
        <v>0</v>
      </c>
      <c r="D24" s="366">
        <v>0</v>
      </c>
      <c r="E24" s="366">
        <v>0</v>
      </c>
      <c r="F24" s="366">
        <v>0</v>
      </c>
      <c r="G24" s="366">
        <v>0</v>
      </c>
      <c r="H24" s="366">
        <v>0</v>
      </c>
      <c r="I24" s="366">
        <v>10</v>
      </c>
      <c r="J24" s="366">
        <v>10</v>
      </c>
      <c r="K24" s="366">
        <v>40</v>
      </c>
      <c r="L24" s="366">
        <v>40</v>
      </c>
      <c r="M24" s="245">
        <f>SUM(C24:L24)</f>
        <v>100</v>
      </c>
      <c r="N24" s="507"/>
      <c r="O24" s="420"/>
      <c r="P24" s="420"/>
      <c r="Q24" s="420"/>
      <c r="R24" s="420"/>
      <c r="S24" s="420"/>
      <c r="T24" s="420"/>
      <c r="U24" s="420"/>
      <c r="V24" s="420"/>
    </row>
    <row r="25" spans="1:22" s="109" customFormat="1" ht="24.75" thickBot="1" x14ac:dyDescent="0.3">
      <c r="A25" s="121" t="str">
        <f>'1.Usos&amp;Fontes'!A26</f>
        <v>2.11</v>
      </c>
      <c r="B25" s="250" t="str">
        <f>'1.Usos&amp;Fontes'!B26</f>
        <v xml:space="preserve"> Pagamento dos serviços prestados pelos catadores de materiais reciclados e reutlizáveis por 5 anos</v>
      </c>
      <c r="C25" s="197"/>
      <c r="D25" s="197">
        <v>5</v>
      </c>
      <c r="E25" s="197">
        <v>10</v>
      </c>
      <c r="F25" s="197">
        <v>10</v>
      </c>
      <c r="G25" s="197">
        <v>10</v>
      </c>
      <c r="H25" s="197">
        <v>10</v>
      </c>
      <c r="I25" s="197">
        <v>12.5</v>
      </c>
      <c r="J25" s="197">
        <v>12.5</v>
      </c>
      <c r="K25" s="197">
        <v>15</v>
      </c>
      <c r="L25" s="197">
        <v>15</v>
      </c>
      <c r="M25" s="245">
        <f t="shared" ref="M25" si="2">SUM(C25:L25)</f>
        <v>100</v>
      </c>
      <c r="N25" s="148"/>
      <c r="O25" s="149"/>
      <c r="P25" s="149"/>
      <c r="Q25" s="149"/>
      <c r="R25" s="149"/>
      <c r="S25" s="149"/>
      <c r="T25" s="149"/>
      <c r="U25" s="149"/>
      <c r="V25" s="149"/>
    </row>
    <row r="26" spans="1:22" ht="24" customHeight="1" thickBot="1" x14ac:dyDescent="0.3">
      <c r="A26" s="129" t="str">
        <f>'1.Usos&amp;Fontes'!A28</f>
        <v>III</v>
      </c>
      <c r="B26" s="632" t="str">
        <f>'1.Usos&amp;Fontes'!B28</f>
        <v xml:space="preserve">COMPONENTE 3  -  READEQUAÇÃO URBANA DO CONDOMÍNIO PÔR DO SOL </v>
      </c>
      <c r="C26" s="572"/>
      <c r="D26" s="572"/>
      <c r="E26" s="572"/>
      <c r="F26" s="572"/>
      <c r="G26" s="572"/>
      <c r="H26" s="572"/>
      <c r="I26" s="572"/>
      <c r="J26" s="572"/>
      <c r="K26" s="572"/>
      <c r="L26" s="572"/>
      <c r="M26" s="572"/>
      <c r="N26" s="145"/>
      <c r="O26" s="25"/>
      <c r="P26" s="11"/>
      <c r="Q26" s="11"/>
      <c r="R26" s="11"/>
      <c r="S26" s="11"/>
      <c r="T26" s="11"/>
      <c r="U26" s="11"/>
      <c r="V26" s="11"/>
    </row>
    <row r="27" spans="1:22" ht="16.5" thickBot="1" x14ac:dyDescent="0.3">
      <c r="A27" s="121" t="str">
        <f>'1.Usos&amp;Fontes'!A29</f>
        <v>3.1</v>
      </c>
      <c r="B27" s="251" t="str">
        <f>'1.Usos&amp;Fontes'!B29</f>
        <v xml:space="preserve"> Rede de Drenagem  Pluvial - Bacia IV C  </v>
      </c>
      <c r="C27" s="242"/>
      <c r="D27" s="242">
        <v>0</v>
      </c>
      <c r="E27" s="242">
        <v>15</v>
      </c>
      <c r="F27" s="242">
        <v>15</v>
      </c>
      <c r="G27" s="242">
        <v>30</v>
      </c>
      <c r="H27" s="242">
        <v>30</v>
      </c>
      <c r="I27" s="242">
        <v>10</v>
      </c>
      <c r="J27" s="242"/>
      <c r="K27" s="242"/>
      <c r="L27" s="242"/>
      <c r="M27" s="245">
        <f t="shared" ref="M27:M38" si="3">SUM(C27:L27)</f>
        <v>100</v>
      </c>
      <c r="N27" s="145"/>
      <c r="O27" s="25"/>
      <c r="P27" s="11"/>
      <c r="Q27" s="11"/>
      <c r="R27" s="11"/>
      <c r="S27" s="11"/>
      <c r="T27" s="11"/>
      <c r="U27" s="11"/>
      <c r="V27" s="11"/>
    </row>
    <row r="28" spans="1:22" ht="16.5" thickBot="1" x14ac:dyDescent="0.3">
      <c r="A28" s="121" t="str">
        <f>'1.Usos&amp;Fontes'!A30</f>
        <v>3.2</v>
      </c>
      <c r="B28" s="251" t="str">
        <f>'1.Usos&amp;Fontes'!B30</f>
        <v>Rede de Microdrenagem</v>
      </c>
      <c r="C28" s="242"/>
      <c r="D28" s="242">
        <v>0</v>
      </c>
      <c r="E28" s="242">
        <v>15</v>
      </c>
      <c r="F28" s="242">
        <v>15</v>
      </c>
      <c r="G28" s="242">
        <v>30</v>
      </c>
      <c r="H28" s="242">
        <v>30</v>
      </c>
      <c r="I28" s="242">
        <v>10</v>
      </c>
      <c r="J28" s="242"/>
      <c r="K28" s="242"/>
      <c r="L28" s="242"/>
      <c r="M28" s="245">
        <f t="shared" si="3"/>
        <v>100</v>
      </c>
      <c r="N28" s="145"/>
      <c r="O28" s="25"/>
      <c r="P28" s="11"/>
      <c r="Q28" s="11"/>
      <c r="R28" s="11"/>
      <c r="S28" s="11"/>
      <c r="T28" s="11"/>
      <c r="U28" s="11"/>
      <c r="V28" s="11"/>
    </row>
    <row r="29" spans="1:22" ht="15.75" thickBot="1" x14ac:dyDescent="0.3">
      <c r="A29" s="121" t="str">
        <f>'1.Usos&amp;Fontes'!A31</f>
        <v>3.3</v>
      </c>
      <c r="B29" s="251" t="str">
        <f>'1.Usos&amp;Fontes'!B31</f>
        <v>Saneamento Básico - água e esgoto</v>
      </c>
      <c r="C29" s="242"/>
      <c r="D29" s="242">
        <v>0</v>
      </c>
      <c r="E29" s="242">
        <v>15</v>
      </c>
      <c r="F29" s="242">
        <v>15</v>
      </c>
      <c r="G29" s="242">
        <v>30</v>
      </c>
      <c r="H29" s="242">
        <v>30</v>
      </c>
      <c r="I29" s="242">
        <v>10</v>
      </c>
      <c r="J29" s="242"/>
      <c r="K29" s="242"/>
      <c r="L29" s="242"/>
      <c r="M29" s="245">
        <f t="shared" si="3"/>
        <v>100</v>
      </c>
      <c r="N29" s="11"/>
      <c r="O29" s="11"/>
      <c r="P29" s="11"/>
      <c r="Q29" s="11"/>
      <c r="R29" s="11"/>
      <c r="S29" s="11"/>
      <c r="T29" s="11"/>
      <c r="U29" s="11"/>
      <c r="V29" s="11"/>
    </row>
    <row r="30" spans="1:22" ht="15.75" thickBot="1" x14ac:dyDescent="0.3">
      <c r="A30" s="121" t="str">
        <f>'1.Usos&amp;Fontes'!A32</f>
        <v>3.4</v>
      </c>
      <c r="B30" s="251" t="str">
        <f>'1.Usos&amp;Fontes'!B32</f>
        <v>Pavimentação das Vias Arteriais, Coletoras e Locais</v>
      </c>
      <c r="C30" s="242"/>
      <c r="D30" s="242">
        <v>0</v>
      </c>
      <c r="E30" s="242">
        <v>15</v>
      </c>
      <c r="F30" s="242">
        <v>15</v>
      </c>
      <c r="G30" s="242">
        <v>30</v>
      </c>
      <c r="H30" s="242">
        <v>30</v>
      </c>
      <c r="I30" s="242">
        <v>10</v>
      </c>
      <c r="J30" s="242"/>
      <c r="K30" s="242"/>
      <c r="L30" s="242"/>
      <c r="M30" s="245">
        <f t="shared" si="3"/>
        <v>100</v>
      </c>
      <c r="N30" s="11"/>
      <c r="O30" s="11"/>
      <c r="P30" s="11"/>
      <c r="Q30" s="11"/>
      <c r="R30" s="11"/>
      <c r="S30" s="11"/>
      <c r="T30" s="11"/>
      <c r="U30" s="11"/>
      <c r="V30" s="11"/>
    </row>
    <row r="31" spans="1:22" s="109" customFormat="1" ht="15.75" thickBot="1" x14ac:dyDescent="0.3">
      <c r="A31" s="121" t="str">
        <f>'1.Usos&amp;Fontes'!A33</f>
        <v>3.5</v>
      </c>
      <c r="B31" s="251" t="str">
        <f>'1.Usos&amp;Fontes'!B33</f>
        <v>Mobilidade e Acessibilidade</v>
      </c>
      <c r="C31" s="242"/>
      <c r="D31" s="242">
        <v>0</v>
      </c>
      <c r="E31" s="242">
        <v>15</v>
      </c>
      <c r="F31" s="242">
        <v>15</v>
      </c>
      <c r="G31" s="242">
        <v>30</v>
      </c>
      <c r="H31" s="242">
        <v>30</v>
      </c>
      <c r="I31" s="242">
        <v>10</v>
      </c>
      <c r="J31" s="242"/>
      <c r="K31" s="242"/>
      <c r="L31" s="242"/>
      <c r="M31" s="245">
        <f t="shared" si="3"/>
        <v>100</v>
      </c>
      <c r="N31" s="148"/>
      <c r="O31" s="149"/>
      <c r="P31" s="149"/>
      <c r="Q31" s="149"/>
      <c r="R31" s="149"/>
      <c r="S31" s="149"/>
      <c r="T31" s="149"/>
      <c r="U31" s="149"/>
      <c r="V31" s="149"/>
    </row>
    <row r="32" spans="1:22" ht="15.75" thickBot="1" x14ac:dyDescent="0.3">
      <c r="A32" s="121" t="str">
        <f>'1.Usos&amp;Fontes'!A34</f>
        <v>3.6</v>
      </c>
      <c r="B32" s="251" t="str">
        <f>'1.Usos&amp;Fontes'!B34</f>
        <v>Programa de Reassentamento</v>
      </c>
      <c r="C32" s="242"/>
      <c r="D32" s="242">
        <v>0</v>
      </c>
      <c r="E32" s="242"/>
      <c r="F32" s="242">
        <v>10</v>
      </c>
      <c r="G32" s="242">
        <v>15</v>
      </c>
      <c r="H32" s="242">
        <v>15</v>
      </c>
      <c r="I32" s="242">
        <v>15</v>
      </c>
      <c r="J32" s="242">
        <v>15</v>
      </c>
      <c r="K32" s="242">
        <v>15</v>
      </c>
      <c r="L32" s="242">
        <v>15</v>
      </c>
      <c r="M32" s="245">
        <f>SUM(C32:L32)</f>
        <v>100</v>
      </c>
      <c r="N32" s="11"/>
      <c r="O32" s="11"/>
      <c r="P32" s="11"/>
      <c r="Q32" s="11"/>
      <c r="R32" s="11"/>
      <c r="S32" s="11"/>
      <c r="T32" s="11"/>
      <c r="U32" s="11"/>
      <c r="V32" s="11"/>
    </row>
    <row r="33" spans="1:22" ht="15.75" thickBot="1" x14ac:dyDescent="0.3">
      <c r="A33" s="121" t="str">
        <f>'1.Usos&amp;Fontes'!A35</f>
        <v>3.7</v>
      </c>
      <c r="B33" s="251" t="str">
        <f>'1.Usos&amp;Fontes'!B35</f>
        <v>Ações de  Recuperação de Áreas Degradadas  (RAA)</v>
      </c>
      <c r="C33" s="242"/>
      <c r="D33" s="242">
        <v>0</v>
      </c>
      <c r="E33" s="242"/>
      <c r="F33" s="242"/>
      <c r="G33" s="242"/>
      <c r="H33" s="242"/>
      <c r="I33" s="242"/>
      <c r="J33" s="242"/>
      <c r="K33" s="242">
        <v>50</v>
      </c>
      <c r="L33" s="242">
        <v>50</v>
      </c>
      <c r="M33" s="245">
        <f t="shared" si="3"/>
        <v>100</v>
      </c>
      <c r="N33" s="11"/>
      <c r="O33" s="11"/>
      <c r="P33" s="11"/>
      <c r="Q33" s="11"/>
      <c r="R33" s="11"/>
      <c r="S33" s="11"/>
      <c r="T33" s="11"/>
      <c r="U33" s="11"/>
      <c r="V33" s="11"/>
    </row>
    <row r="34" spans="1:22" ht="16.5" thickBot="1" x14ac:dyDescent="0.3">
      <c r="A34" s="121" t="str">
        <f>'1.Usos&amp;Fontes'!A36</f>
        <v>3.8</v>
      </c>
      <c r="B34" s="251" t="str">
        <f>'1.Usos&amp;Fontes'!B36</f>
        <v>Estudos e Projetos de Recuperação Ambiental e Sondagem</v>
      </c>
      <c r="C34" s="242"/>
      <c r="D34" s="242">
        <v>50</v>
      </c>
      <c r="E34" s="242">
        <v>50</v>
      </c>
      <c r="F34" s="242"/>
      <c r="G34" s="242"/>
      <c r="H34" s="242"/>
      <c r="I34" s="242"/>
      <c r="J34" s="242"/>
      <c r="K34" s="242"/>
      <c r="L34" s="242"/>
      <c r="M34" s="245">
        <f t="shared" si="3"/>
        <v>100</v>
      </c>
      <c r="N34" s="145"/>
      <c r="O34" s="25"/>
      <c r="P34" s="11"/>
      <c r="Q34" s="11"/>
      <c r="R34" s="11"/>
      <c r="S34" s="11"/>
      <c r="T34" s="11"/>
      <c r="U34" s="11"/>
      <c r="V34" s="11"/>
    </row>
    <row r="35" spans="1:22" ht="16.5" thickBot="1" x14ac:dyDescent="0.3">
      <c r="A35" s="121" t="str">
        <f>'1.Usos&amp;Fontes'!A37</f>
        <v>3.9</v>
      </c>
      <c r="B35" s="251" t="str">
        <f>'1.Usos&amp;Fontes'!B37</f>
        <v>Programa de Educação Sanitária e Ambiental  (RAA)</v>
      </c>
      <c r="C35" s="242"/>
      <c r="D35" s="242">
        <v>0</v>
      </c>
      <c r="E35" s="242"/>
      <c r="F35" s="242">
        <v>10</v>
      </c>
      <c r="G35" s="242">
        <v>15</v>
      </c>
      <c r="H35" s="242">
        <v>15</v>
      </c>
      <c r="I35" s="242">
        <v>15</v>
      </c>
      <c r="J35" s="242">
        <v>15</v>
      </c>
      <c r="K35" s="242">
        <v>15</v>
      </c>
      <c r="L35" s="242">
        <v>15</v>
      </c>
      <c r="M35" s="245">
        <f t="shared" si="3"/>
        <v>100</v>
      </c>
      <c r="N35" s="145"/>
      <c r="O35" s="25"/>
      <c r="P35" s="11"/>
      <c r="Q35" s="11"/>
      <c r="R35" s="11"/>
      <c r="S35" s="11"/>
      <c r="T35" s="11"/>
      <c r="U35" s="11"/>
      <c r="V35" s="11"/>
    </row>
    <row r="36" spans="1:22" s="109" customFormat="1" ht="24.75" thickBot="1" x14ac:dyDescent="0.3">
      <c r="A36" s="121" t="str">
        <f>'1.Usos&amp;Fontes'!A38</f>
        <v>3.10</v>
      </c>
      <c r="B36" s="251" t="str">
        <f>'1.Usos&amp;Fontes'!B38</f>
        <v>Equipamentos sociais (Escola, CRAS, C. Comunitário, Creche, P. Policial)</v>
      </c>
      <c r="C36" s="242"/>
      <c r="D36" s="242">
        <v>0</v>
      </c>
      <c r="E36" s="242"/>
      <c r="F36" s="242"/>
      <c r="G36" s="242"/>
      <c r="H36" s="242">
        <v>50</v>
      </c>
      <c r="I36" s="242">
        <v>50</v>
      </c>
      <c r="J36" s="242"/>
      <c r="K36" s="242"/>
      <c r="L36" s="242"/>
      <c r="M36" s="245">
        <f t="shared" si="3"/>
        <v>100</v>
      </c>
      <c r="N36" s="148"/>
      <c r="O36" s="149"/>
      <c r="P36" s="149"/>
      <c r="Q36" s="149"/>
      <c r="R36" s="149"/>
      <c r="S36" s="149"/>
      <c r="T36" s="149"/>
      <c r="U36" s="149"/>
      <c r="V36" s="149"/>
    </row>
    <row r="37" spans="1:22" ht="16.5" thickBot="1" x14ac:dyDescent="0.3">
      <c r="A37" s="121" t="str">
        <f>'1.Usos&amp;Fontes'!A39</f>
        <v>3.11</v>
      </c>
      <c r="B37" s="251" t="str">
        <f>'1.Usos&amp;Fontes'!B39</f>
        <v>Capacitação para a geração  de emprego e renda</v>
      </c>
      <c r="C37" s="242"/>
      <c r="D37" s="242">
        <v>0</v>
      </c>
      <c r="E37" s="242"/>
      <c r="F37" s="242">
        <v>10</v>
      </c>
      <c r="G37" s="242">
        <v>15</v>
      </c>
      <c r="H37" s="242">
        <v>15</v>
      </c>
      <c r="I37" s="242">
        <v>15</v>
      </c>
      <c r="J37" s="242">
        <v>15</v>
      </c>
      <c r="K37" s="242">
        <v>15</v>
      </c>
      <c r="L37" s="242">
        <v>15</v>
      </c>
      <c r="M37" s="245">
        <f t="shared" si="3"/>
        <v>100</v>
      </c>
      <c r="N37" s="145"/>
      <c r="O37" s="25"/>
      <c r="P37" s="11"/>
      <c r="Q37" s="11"/>
      <c r="R37" s="11"/>
      <c r="S37" s="11"/>
      <c r="T37" s="11"/>
      <c r="U37" s="11"/>
      <c r="V37" s="11"/>
    </row>
    <row r="38" spans="1:22" ht="16.5" thickBot="1" x14ac:dyDescent="0.3">
      <c r="A38" s="121" t="str">
        <f>'1.Usos&amp;Fontes'!A40</f>
        <v>3.12</v>
      </c>
      <c r="B38" s="251" t="str">
        <f>'1.Usos&amp;Fontes'!B40</f>
        <v>Construção de  561 casas populares</v>
      </c>
      <c r="C38" s="242"/>
      <c r="D38" s="242">
        <v>0</v>
      </c>
      <c r="E38" s="242">
        <v>20</v>
      </c>
      <c r="F38" s="242">
        <v>20</v>
      </c>
      <c r="G38" s="242">
        <v>30</v>
      </c>
      <c r="H38" s="242">
        <v>30</v>
      </c>
      <c r="I38" s="242"/>
      <c r="J38" s="242"/>
      <c r="K38" s="242"/>
      <c r="L38" s="242"/>
      <c r="M38" s="246">
        <f t="shared" si="3"/>
        <v>100</v>
      </c>
      <c r="N38" s="145"/>
      <c r="O38" s="25"/>
      <c r="P38" s="11"/>
      <c r="Q38" s="11"/>
      <c r="R38" s="11"/>
      <c r="S38" s="11"/>
      <c r="T38" s="11"/>
      <c r="U38" s="11"/>
      <c r="V38" s="11"/>
    </row>
    <row r="39" spans="1:22" s="109" customFormat="1" ht="15.75" thickBot="1" x14ac:dyDescent="0.3">
      <c r="A39" s="129" t="str">
        <f>'1.Usos&amp;Fontes'!A42</f>
        <v>IV</v>
      </c>
      <c r="B39" s="661" t="str">
        <f>'1.Usos&amp;Fontes'!B42</f>
        <v xml:space="preserve">GERENCIAMENTO E MONITORAMENTO </v>
      </c>
      <c r="C39" s="662"/>
      <c r="D39" s="662"/>
      <c r="E39" s="662"/>
      <c r="F39" s="662"/>
      <c r="G39" s="662"/>
      <c r="H39" s="662"/>
      <c r="I39" s="662"/>
      <c r="J39" s="662"/>
      <c r="K39" s="662"/>
      <c r="L39" s="662"/>
      <c r="M39" s="662"/>
      <c r="N39" s="148"/>
      <c r="O39" s="149"/>
      <c r="P39" s="149"/>
      <c r="Q39" s="149"/>
      <c r="R39" s="149"/>
      <c r="S39" s="149"/>
      <c r="T39" s="149"/>
      <c r="U39" s="149"/>
      <c r="V39" s="149"/>
    </row>
    <row r="40" spans="1:22" ht="24.75" thickBot="1" x14ac:dyDescent="0.3">
      <c r="A40" s="121" t="str">
        <f>'1.Usos&amp;Fontes'!A43</f>
        <v>4.1</v>
      </c>
      <c r="B40" s="251" t="str">
        <f>'1.Usos&amp;Fontes'!B43</f>
        <v>Gerenciamento e Monitoramento do Programa e Supervisão do Programa</v>
      </c>
      <c r="C40" s="242"/>
      <c r="D40" s="242">
        <v>20</v>
      </c>
      <c r="E40" s="242">
        <v>10</v>
      </c>
      <c r="F40" s="242">
        <v>10</v>
      </c>
      <c r="G40" s="242">
        <v>10</v>
      </c>
      <c r="H40" s="242">
        <v>10</v>
      </c>
      <c r="I40" s="242">
        <v>10</v>
      </c>
      <c r="J40" s="242">
        <v>10</v>
      </c>
      <c r="K40" s="242">
        <v>10</v>
      </c>
      <c r="L40" s="242">
        <v>10</v>
      </c>
      <c r="M40" s="245">
        <f>SUM(C40:L40)</f>
        <v>100</v>
      </c>
      <c r="N40" s="145"/>
      <c r="O40" s="25"/>
      <c r="P40" s="151"/>
      <c r="Q40" s="11"/>
      <c r="R40" s="11"/>
      <c r="S40" s="11"/>
      <c r="T40" s="11"/>
      <c r="U40" s="11"/>
      <c r="V40" s="11"/>
    </row>
    <row r="41" spans="1:22" ht="16.5" thickBot="1" x14ac:dyDescent="0.3">
      <c r="A41" s="121" t="str">
        <f>'1.Usos&amp;Fontes'!A44</f>
        <v>4.2</v>
      </c>
      <c r="B41" s="251" t="str">
        <f>'1.Usos&amp;Fontes'!B44</f>
        <v>Taxas</v>
      </c>
      <c r="C41" s="242">
        <v>0</v>
      </c>
      <c r="D41" s="242">
        <v>20</v>
      </c>
      <c r="E41" s="242">
        <v>10</v>
      </c>
      <c r="F41" s="242">
        <v>10</v>
      </c>
      <c r="G41" s="242">
        <v>10</v>
      </c>
      <c r="H41" s="242">
        <v>10</v>
      </c>
      <c r="I41" s="242">
        <v>10</v>
      </c>
      <c r="J41" s="242">
        <v>10</v>
      </c>
      <c r="K41" s="242">
        <v>10</v>
      </c>
      <c r="L41" s="242">
        <v>10</v>
      </c>
      <c r="M41" s="245">
        <f>SUM(C41:L41)</f>
        <v>100</v>
      </c>
      <c r="N41" s="145"/>
      <c r="O41" s="25"/>
      <c r="P41" s="11"/>
      <c r="Q41" s="11"/>
      <c r="R41" s="11"/>
      <c r="S41" s="11"/>
      <c r="T41" s="11"/>
      <c r="U41" s="11"/>
      <c r="V41" s="11"/>
    </row>
    <row r="42" spans="1:22" ht="16.5" thickBot="1" x14ac:dyDescent="0.3">
      <c r="A42" s="121" t="str">
        <f>'1.Usos&amp;Fontes'!A45</f>
        <v>4.3</v>
      </c>
      <c r="B42" s="251" t="str">
        <f>'1.Usos&amp;Fontes'!B45</f>
        <v>Avaliacao e monitoramento</v>
      </c>
      <c r="C42" s="242">
        <v>0</v>
      </c>
      <c r="D42" s="242">
        <v>20</v>
      </c>
      <c r="E42" s="242">
        <v>10</v>
      </c>
      <c r="F42" s="242">
        <v>10</v>
      </c>
      <c r="G42" s="242">
        <v>10</v>
      </c>
      <c r="H42" s="242">
        <v>10</v>
      </c>
      <c r="I42" s="242">
        <v>10</v>
      </c>
      <c r="J42" s="242">
        <v>10</v>
      </c>
      <c r="K42" s="242">
        <v>10</v>
      </c>
      <c r="L42" s="242">
        <v>10</v>
      </c>
      <c r="M42" s="245">
        <f>SUM(C42:L42)</f>
        <v>100</v>
      </c>
      <c r="N42" s="145"/>
      <c r="O42" s="25"/>
      <c r="P42" s="11"/>
      <c r="Q42" s="11"/>
      <c r="R42" s="11"/>
      <c r="S42" s="11"/>
      <c r="T42" s="11"/>
      <c r="U42" s="11"/>
      <c r="V42" s="11"/>
    </row>
    <row r="43" spans="1:22" ht="15.75" thickBot="1" x14ac:dyDescent="0.3">
      <c r="K43" s="240"/>
      <c r="N43" s="11"/>
      <c r="O43" s="11"/>
      <c r="P43" s="11"/>
      <c r="Q43" s="11"/>
      <c r="R43" s="11"/>
      <c r="S43" s="11"/>
      <c r="T43" s="11"/>
      <c r="U43" s="11"/>
      <c r="V43" s="11"/>
    </row>
    <row r="44" spans="1:22" x14ac:dyDescent="0.25">
      <c r="N44" s="11"/>
      <c r="O44" s="11"/>
      <c r="P44" s="11"/>
      <c r="Q44" s="11"/>
      <c r="R44" s="11"/>
      <c r="S44" s="11"/>
      <c r="T44" s="11"/>
      <c r="U44" s="11"/>
      <c r="V44" s="11"/>
    </row>
    <row r="45" spans="1:22" x14ac:dyDescent="0.25">
      <c r="N45" s="11"/>
      <c r="O45" s="11"/>
      <c r="P45" s="11"/>
      <c r="Q45" s="11"/>
      <c r="R45" s="11"/>
      <c r="S45" s="11"/>
      <c r="T45" s="11"/>
      <c r="U45" s="11"/>
      <c r="V45" s="11"/>
    </row>
    <row r="46" spans="1:22" x14ac:dyDescent="0.25">
      <c r="N46" s="11"/>
      <c r="O46" s="11"/>
      <c r="P46" s="11"/>
      <c r="Q46" s="11"/>
      <c r="R46" s="11"/>
      <c r="S46" s="11"/>
      <c r="T46" s="11"/>
      <c r="U46" s="11"/>
      <c r="V46" s="11"/>
    </row>
    <row r="47" spans="1:22" x14ac:dyDescent="0.25">
      <c r="N47" s="11"/>
      <c r="O47" s="11"/>
      <c r="P47" s="11"/>
      <c r="Q47" s="11"/>
      <c r="R47" s="11"/>
      <c r="S47" s="11"/>
      <c r="T47" s="11"/>
      <c r="U47" s="11"/>
      <c r="V47" s="11"/>
    </row>
    <row r="50" spans="11:12" x14ac:dyDescent="0.25">
      <c r="K50" s="17"/>
      <c r="L50" s="17"/>
    </row>
  </sheetData>
  <sheetProtection formatCells="0" selectLockedCells="1"/>
  <protectedRanges>
    <protectedRange sqref="C8:C13" name="Intervalo2"/>
    <protectedRange algorithmName="SHA-512" hashValue="mldB1Pt74Ztiq/FoE3HqynHy+1AOVfOo7myoFHgJywFCEP1ZWwQf5eEP1cKtkjF+8NZrdjWRsiuePZ8soPMR7w==" saltValue="G0N27y66JoA2wP5dg1Hc1A==" spinCount="100000" sqref="C8:C13" name="Intervalo1"/>
  </protectedRanges>
  <mergeCells count="12">
    <mergeCell ref="A3:B3"/>
    <mergeCell ref="A4:B6"/>
    <mergeCell ref="M4:M6"/>
    <mergeCell ref="B39:M39"/>
    <mergeCell ref="B26:M26"/>
    <mergeCell ref="B7:M7"/>
    <mergeCell ref="B14:M14"/>
    <mergeCell ref="C4:D5"/>
    <mergeCell ref="E4:F5"/>
    <mergeCell ref="G4:H5"/>
    <mergeCell ref="I4:J5"/>
    <mergeCell ref="K4:L5"/>
  </mergeCells>
  <pageMargins left="1.9685039370078741" right="0.98425196850393704" top="0.39370078740157483" bottom="0.19685039370078741" header="0.51181102362204722" footer="0.51181102362204722"/>
  <pageSetup paperSize="8" scale="80" orientation="landscape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BF57"/>
  <sheetViews>
    <sheetView view="pageBreakPreview" zoomScaleNormal="50" zoomScaleSheetLayoutView="100" zoomScalePageLayoutView="5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C57" sqref="C57"/>
    </sheetView>
  </sheetViews>
  <sheetFormatPr defaultColWidth="8.85546875" defaultRowHeight="15" x14ac:dyDescent="0.25"/>
  <cols>
    <col min="1" max="1" width="7.140625" style="46" customWidth="1"/>
    <col min="2" max="2" width="55.140625" style="46" customWidth="1"/>
    <col min="3" max="3" width="5.85546875" style="46" customWidth="1"/>
    <col min="4" max="4" width="13.42578125" style="46" customWidth="1"/>
    <col min="5" max="5" width="5.7109375" style="46" hidden="1" customWidth="1"/>
    <col min="6" max="6" width="13.28515625" style="46" bestFit="1" customWidth="1"/>
    <col min="7" max="7" width="6.5703125" style="46" bestFit="1" customWidth="1"/>
    <col min="8" max="8" width="12.7109375" style="46" bestFit="1" customWidth="1"/>
    <col min="9" max="9" width="13.28515625" style="46" hidden="1" customWidth="1"/>
    <col min="10" max="10" width="14.28515625" style="46" bestFit="1" customWidth="1"/>
    <col min="11" max="11" width="5.85546875" style="46" customWidth="1"/>
    <col min="12" max="12" width="13" style="46" customWidth="1"/>
    <col min="13" max="13" width="14.28515625" style="46" hidden="1" customWidth="1"/>
    <col min="14" max="14" width="14.28515625" style="46" bestFit="1" customWidth="1"/>
    <col min="15" max="15" width="5.85546875" style="46" customWidth="1"/>
    <col min="16" max="16" width="12.5703125" style="46" customWidth="1"/>
    <col min="17" max="17" width="14.28515625" style="46" hidden="1" customWidth="1"/>
    <col min="18" max="18" width="14.28515625" style="46" bestFit="1" customWidth="1"/>
    <col min="19" max="19" width="5.85546875" style="46" customWidth="1"/>
    <col min="20" max="20" width="14" style="46" customWidth="1"/>
    <col min="21" max="21" width="14.28515625" style="46" hidden="1" customWidth="1"/>
    <col min="22" max="22" width="14.28515625" style="46" bestFit="1" customWidth="1"/>
    <col min="23" max="23" width="5.85546875" style="46" customWidth="1"/>
    <col min="24" max="24" width="13.5703125" style="46" customWidth="1"/>
    <col min="25" max="25" width="15.28515625" style="46" hidden="1" customWidth="1"/>
    <col min="26" max="26" width="13.42578125" style="46" bestFit="1" customWidth="1"/>
    <col min="27" max="27" width="5.85546875" style="46" customWidth="1"/>
    <col min="28" max="28" width="14.5703125" style="46" customWidth="1"/>
    <col min="29" max="29" width="5.7109375" style="46" hidden="1" customWidth="1"/>
    <col min="30" max="30" width="13.42578125" style="46" bestFit="1" customWidth="1"/>
    <col min="31" max="31" width="5.85546875" style="46" customWidth="1"/>
    <col min="32" max="32" width="17" style="46" customWidth="1"/>
    <col min="33" max="33" width="5.7109375" style="46" hidden="1" customWidth="1"/>
    <col min="34" max="34" width="13.42578125" style="46" bestFit="1" customWidth="1"/>
    <col min="35" max="35" width="5.85546875" style="46" customWidth="1"/>
    <col min="36" max="36" width="14.28515625" style="46" customWidth="1"/>
    <col min="37" max="37" width="5.7109375" style="46" hidden="1" customWidth="1"/>
    <col min="38" max="38" width="12.42578125" style="46" bestFit="1" customWidth="1"/>
    <col min="39" max="39" width="5.85546875" style="46" customWidth="1"/>
    <col min="40" max="40" width="13.5703125" style="46" customWidth="1"/>
    <col min="41" max="41" width="5.7109375" style="46" hidden="1" customWidth="1"/>
    <col min="42" max="42" width="12.7109375" style="46" bestFit="1" customWidth="1"/>
    <col min="43" max="43" width="21.5703125" style="46" customWidth="1"/>
    <col min="44" max="44" width="7.85546875" style="46" bestFit="1" customWidth="1"/>
    <col min="45" max="45" width="21.140625" style="46" bestFit="1" customWidth="1"/>
    <col min="46" max="46" width="7.85546875" style="46" bestFit="1" customWidth="1"/>
    <col min="47" max="47" width="21.140625" style="92" bestFit="1" customWidth="1"/>
    <col min="48" max="48" width="1.42578125" style="46" hidden="1" customWidth="1"/>
    <col min="49" max="49" width="21.140625" style="46" bestFit="1" customWidth="1"/>
    <col min="50" max="50" width="22" style="46" bestFit="1" customWidth="1"/>
    <col min="51" max="51" width="13.28515625" style="46" hidden="1" customWidth="1"/>
    <col min="52" max="52" width="14.28515625" style="46" hidden="1" customWidth="1"/>
    <col min="53" max="53" width="14.28515625" style="46" bestFit="1" customWidth="1"/>
    <col min="54" max="56" width="8.85546875" style="46"/>
    <col min="57" max="57" width="16.28515625" style="46" customWidth="1"/>
    <col min="58" max="58" width="13.7109375" style="46" customWidth="1"/>
    <col min="59" max="16384" width="8.85546875" style="46"/>
  </cols>
  <sheetData>
    <row r="1" spans="1:58" x14ac:dyDescent="0.25">
      <c r="A1" s="86"/>
      <c r="B1" s="86" t="s">
        <v>120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7"/>
    </row>
    <row r="2" spans="1:58" x14ac:dyDescent="0.25">
      <c r="B2" s="1" t="str">
        <f>'1.Usos&amp;Fontes'!B2</f>
        <v>PROGRAMA BRASILIA SUSTENTAVEL II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58" ht="15.75" customHeight="1" x14ac:dyDescent="0.25">
      <c r="A3" s="610" t="s">
        <v>13</v>
      </c>
      <c r="B3" s="611"/>
      <c r="C3" s="131"/>
      <c r="D3" s="284"/>
      <c r="E3" s="284"/>
      <c r="F3" s="131"/>
      <c r="G3" s="284"/>
      <c r="H3" s="284"/>
      <c r="I3" s="131"/>
      <c r="J3" s="131"/>
      <c r="K3" s="284"/>
      <c r="L3" s="284"/>
      <c r="M3" s="131"/>
      <c r="N3" s="611" t="s">
        <v>115</v>
      </c>
      <c r="O3" s="611"/>
      <c r="P3" s="611"/>
      <c r="Q3" s="611"/>
      <c r="R3" s="611"/>
      <c r="S3" s="284"/>
      <c r="T3" s="284"/>
      <c r="U3" s="131"/>
      <c r="V3" s="131"/>
      <c r="W3" s="284"/>
      <c r="X3" s="284"/>
      <c r="Y3" s="131"/>
      <c r="Z3" s="131"/>
      <c r="AA3" s="284"/>
      <c r="AB3" s="284"/>
      <c r="AC3" s="131"/>
      <c r="AD3" s="131"/>
      <c r="AE3" s="284"/>
      <c r="AF3" s="284"/>
      <c r="AG3" s="131"/>
      <c r="AH3" s="131"/>
      <c r="AI3" s="284"/>
      <c r="AJ3" s="284"/>
      <c r="AK3" s="131"/>
      <c r="AL3" s="131"/>
      <c r="AM3" s="284"/>
      <c r="AN3" s="284"/>
      <c r="AO3" s="131"/>
      <c r="AP3" s="131"/>
      <c r="AQ3" s="131"/>
      <c r="AR3" s="23"/>
      <c r="AS3" s="23"/>
      <c r="AT3" s="23"/>
      <c r="AU3" s="131"/>
      <c r="AV3" s="23"/>
      <c r="AW3" s="23"/>
      <c r="AX3" s="23"/>
      <c r="AY3" s="10"/>
    </row>
    <row r="4" spans="1:58" s="18" customFormat="1" ht="15.75" customHeight="1" thickBot="1" x14ac:dyDescent="0.3">
      <c r="AK4" s="105"/>
      <c r="AL4" s="105"/>
      <c r="AM4" s="105"/>
      <c r="AN4" s="105"/>
      <c r="AO4" s="105"/>
      <c r="AP4" s="105"/>
      <c r="AQ4" s="105"/>
      <c r="AR4" s="106"/>
      <c r="AS4" s="106"/>
      <c r="AT4" s="106"/>
      <c r="AU4" s="105"/>
      <c r="AV4" s="106"/>
      <c r="AW4" s="106"/>
      <c r="AX4" s="106"/>
      <c r="AY4" s="110"/>
    </row>
    <row r="5" spans="1:58" ht="15.75" customHeight="1" thickBot="1" x14ac:dyDescent="0.3">
      <c r="A5" s="618" t="s">
        <v>0</v>
      </c>
      <c r="B5" s="618"/>
      <c r="C5" s="615" t="s">
        <v>1</v>
      </c>
      <c r="D5" s="616"/>
      <c r="E5" s="616"/>
      <c r="F5" s="616"/>
      <c r="G5" s="616"/>
      <c r="H5" s="616"/>
      <c r="I5" s="616"/>
      <c r="J5" s="616"/>
      <c r="K5" s="616" t="s">
        <v>2</v>
      </c>
      <c r="L5" s="616"/>
      <c r="M5" s="616"/>
      <c r="N5" s="616"/>
      <c r="O5" s="616"/>
      <c r="P5" s="616"/>
      <c r="Q5" s="616"/>
      <c r="R5" s="616"/>
      <c r="S5" s="616" t="s">
        <v>7</v>
      </c>
      <c r="T5" s="616"/>
      <c r="U5" s="616"/>
      <c r="V5" s="616"/>
      <c r="W5" s="616"/>
      <c r="X5" s="616"/>
      <c r="Y5" s="616"/>
      <c r="Z5" s="616"/>
      <c r="AA5" s="616" t="s">
        <v>3</v>
      </c>
      <c r="AB5" s="616"/>
      <c r="AC5" s="616"/>
      <c r="AD5" s="616"/>
      <c r="AE5" s="616"/>
      <c r="AF5" s="616"/>
      <c r="AG5" s="616"/>
      <c r="AH5" s="616"/>
      <c r="AI5" s="616" t="s">
        <v>11</v>
      </c>
      <c r="AJ5" s="616"/>
      <c r="AK5" s="616"/>
      <c r="AL5" s="616"/>
      <c r="AM5" s="616"/>
      <c r="AN5" s="616"/>
      <c r="AO5" s="616"/>
      <c r="AP5" s="616"/>
      <c r="AQ5" s="671" t="s">
        <v>8</v>
      </c>
      <c r="AR5" s="671"/>
      <c r="AS5" s="671"/>
      <c r="AT5" s="671"/>
      <c r="AU5" s="671"/>
      <c r="AV5" s="671"/>
      <c r="AW5" s="671"/>
      <c r="AX5" s="671"/>
      <c r="AY5" s="10"/>
      <c r="AZ5" s="21"/>
    </row>
    <row r="6" spans="1:58" ht="33.75" customHeight="1" thickBot="1" x14ac:dyDescent="0.3">
      <c r="A6" s="618"/>
      <c r="B6" s="618"/>
      <c r="C6" s="646" t="s">
        <v>40</v>
      </c>
      <c r="D6" s="647"/>
      <c r="E6" s="647"/>
      <c r="F6" s="648"/>
      <c r="G6" s="646" t="s">
        <v>41</v>
      </c>
      <c r="H6" s="647"/>
      <c r="I6" s="647"/>
      <c r="J6" s="648"/>
      <c r="K6" s="646" t="s">
        <v>40</v>
      </c>
      <c r="L6" s="647"/>
      <c r="M6" s="647"/>
      <c r="N6" s="648"/>
      <c r="O6" s="646" t="s">
        <v>41</v>
      </c>
      <c r="P6" s="647"/>
      <c r="Q6" s="647"/>
      <c r="R6" s="648"/>
      <c r="S6" s="646" t="s">
        <v>40</v>
      </c>
      <c r="T6" s="647"/>
      <c r="U6" s="647"/>
      <c r="V6" s="648"/>
      <c r="W6" s="646" t="s">
        <v>41</v>
      </c>
      <c r="X6" s="647"/>
      <c r="Y6" s="647"/>
      <c r="Z6" s="648"/>
      <c r="AA6" s="646" t="s">
        <v>40</v>
      </c>
      <c r="AB6" s="647"/>
      <c r="AC6" s="647"/>
      <c r="AD6" s="648"/>
      <c r="AE6" s="646" t="s">
        <v>41</v>
      </c>
      <c r="AF6" s="647"/>
      <c r="AG6" s="647"/>
      <c r="AH6" s="648"/>
      <c r="AI6" s="646" t="s">
        <v>40</v>
      </c>
      <c r="AJ6" s="647"/>
      <c r="AK6" s="647"/>
      <c r="AL6" s="648"/>
      <c r="AM6" s="646" t="s">
        <v>41</v>
      </c>
      <c r="AN6" s="647"/>
      <c r="AO6" s="647"/>
      <c r="AP6" s="648"/>
      <c r="AQ6" s="652" t="s">
        <v>114</v>
      </c>
      <c r="AR6" s="667" t="s">
        <v>65</v>
      </c>
      <c r="AS6" s="667"/>
      <c r="AT6" s="634" t="s">
        <v>4</v>
      </c>
      <c r="AU6" s="634"/>
      <c r="AV6" s="446"/>
      <c r="AW6" s="577" t="s">
        <v>8</v>
      </c>
      <c r="AX6" s="578"/>
      <c r="AY6" s="10"/>
      <c r="AZ6" s="21"/>
    </row>
    <row r="7" spans="1:58" ht="15.75" hidden="1" customHeight="1" thickBot="1" x14ac:dyDescent="0.3">
      <c r="A7" s="618"/>
      <c r="B7" s="618"/>
      <c r="C7" s="326"/>
      <c r="D7" s="327"/>
      <c r="E7" s="327"/>
      <c r="F7" s="328"/>
      <c r="G7" s="327"/>
      <c r="H7" s="327"/>
      <c r="I7" s="327"/>
      <c r="J7" s="328"/>
      <c r="K7" s="327"/>
      <c r="L7" s="327"/>
      <c r="M7" s="326"/>
      <c r="N7" s="328"/>
      <c r="O7" s="327"/>
      <c r="P7" s="327"/>
      <c r="Q7" s="326"/>
      <c r="R7" s="328"/>
      <c r="S7" s="327"/>
      <c r="T7" s="327"/>
      <c r="U7" s="326"/>
      <c r="V7" s="328"/>
      <c r="W7" s="327"/>
      <c r="X7" s="327"/>
      <c r="Y7" s="326"/>
      <c r="Z7" s="328"/>
      <c r="AA7" s="327"/>
      <c r="AB7" s="327"/>
      <c r="AC7" s="326"/>
      <c r="AD7" s="328"/>
      <c r="AE7" s="327"/>
      <c r="AF7" s="327"/>
      <c r="AG7" s="327"/>
      <c r="AH7" s="328"/>
      <c r="AI7" s="327"/>
      <c r="AJ7" s="327"/>
      <c r="AK7" s="326"/>
      <c r="AL7" s="328"/>
      <c r="AM7" s="327"/>
      <c r="AN7" s="327"/>
      <c r="AO7" s="326"/>
      <c r="AP7" s="328"/>
      <c r="AQ7" s="652"/>
      <c r="AR7" s="667"/>
      <c r="AS7" s="667"/>
      <c r="AT7" s="634"/>
      <c r="AU7" s="634"/>
      <c r="AV7" s="132"/>
      <c r="AW7" s="579"/>
      <c r="AX7" s="580"/>
      <c r="AY7" s="10"/>
      <c r="AZ7" s="21"/>
    </row>
    <row r="8" spans="1:58" ht="34.5" thickBot="1" x14ac:dyDescent="0.3">
      <c r="A8" s="618"/>
      <c r="B8" s="618"/>
      <c r="C8" s="47" t="s">
        <v>5</v>
      </c>
      <c r="D8" s="9" t="s">
        <v>65</v>
      </c>
      <c r="E8" s="668" t="s">
        <v>4</v>
      </c>
      <c r="F8" s="668"/>
      <c r="G8" s="330" t="s">
        <v>5</v>
      </c>
      <c r="H8" s="9" t="s">
        <v>65</v>
      </c>
      <c r="I8" s="668" t="s">
        <v>4</v>
      </c>
      <c r="J8" s="668"/>
      <c r="K8" s="330" t="s">
        <v>5</v>
      </c>
      <c r="L8" s="9" t="s">
        <v>65</v>
      </c>
      <c r="M8" s="668" t="s">
        <v>4</v>
      </c>
      <c r="N8" s="668"/>
      <c r="O8" s="9" t="s">
        <v>5</v>
      </c>
      <c r="P8" s="9" t="s">
        <v>65</v>
      </c>
      <c r="Q8" s="668" t="s">
        <v>4</v>
      </c>
      <c r="R8" s="668"/>
      <c r="S8" s="9" t="s">
        <v>5</v>
      </c>
      <c r="T8" s="9" t="s">
        <v>65</v>
      </c>
      <c r="U8" s="668" t="s">
        <v>4</v>
      </c>
      <c r="V8" s="668"/>
      <c r="W8" s="331" t="s">
        <v>5</v>
      </c>
      <c r="X8" s="9" t="s">
        <v>65</v>
      </c>
      <c r="Y8" s="668" t="s">
        <v>4</v>
      </c>
      <c r="Z8" s="668"/>
      <c r="AA8" s="331" t="s">
        <v>5</v>
      </c>
      <c r="AB8" s="9" t="s">
        <v>65</v>
      </c>
      <c r="AC8" s="668" t="s">
        <v>4</v>
      </c>
      <c r="AD8" s="668"/>
      <c r="AE8" s="331" t="s">
        <v>5</v>
      </c>
      <c r="AF8" s="9" t="s">
        <v>65</v>
      </c>
      <c r="AG8" s="668" t="s">
        <v>4</v>
      </c>
      <c r="AH8" s="668"/>
      <c r="AI8" s="331" t="s">
        <v>5</v>
      </c>
      <c r="AJ8" s="9" t="s">
        <v>65</v>
      </c>
      <c r="AK8" s="668" t="s">
        <v>4</v>
      </c>
      <c r="AL8" s="668"/>
      <c r="AM8" s="331" t="s">
        <v>5</v>
      </c>
      <c r="AN8" s="9" t="s">
        <v>65</v>
      </c>
      <c r="AO8" s="668" t="s">
        <v>4</v>
      </c>
      <c r="AP8" s="668"/>
      <c r="AQ8" s="653"/>
      <c r="AR8" s="133" t="s">
        <v>5</v>
      </c>
      <c r="AS8" s="133" t="s">
        <v>6</v>
      </c>
      <c r="AT8" s="132" t="s">
        <v>5</v>
      </c>
      <c r="AU8" s="132" t="s">
        <v>6</v>
      </c>
      <c r="AV8" s="12" t="s">
        <v>10</v>
      </c>
      <c r="AW8" s="133" t="s">
        <v>6</v>
      </c>
      <c r="AX8" s="133" t="s">
        <v>10</v>
      </c>
      <c r="AY8" s="10"/>
      <c r="AZ8" s="21"/>
    </row>
    <row r="9" spans="1:58" s="18" customFormat="1" ht="15.75" customHeight="1" thickBot="1" x14ac:dyDescent="0.3">
      <c r="A9" s="132" t="str">
        <f>'1.Usos&amp;Fontes'!A7</f>
        <v>I</v>
      </c>
      <c r="B9" s="632" t="str">
        <f>'1.Usos&amp;Fontes'!B7</f>
        <v>COMPONENTE 1  - FORTALECIMENTO INSTITUCIONAL</v>
      </c>
      <c r="C9" s="572"/>
      <c r="D9" s="572"/>
      <c r="E9" s="572"/>
      <c r="F9" s="572"/>
      <c r="G9" s="572"/>
      <c r="H9" s="572"/>
      <c r="I9" s="572"/>
      <c r="J9" s="572"/>
      <c r="K9" s="572"/>
      <c r="L9" s="572"/>
      <c r="M9" s="572"/>
      <c r="N9" s="572"/>
      <c r="O9" s="572"/>
      <c r="P9" s="572"/>
      <c r="Q9" s="572"/>
      <c r="R9" s="572"/>
      <c r="S9" s="572"/>
      <c r="T9" s="572"/>
      <c r="U9" s="572"/>
      <c r="V9" s="572"/>
      <c r="W9" s="572"/>
      <c r="X9" s="572"/>
      <c r="Y9" s="572"/>
      <c r="Z9" s="572"/>
      <c r="AA9" s="572"/>
      <c r="AB9" s="572"/>
      <c r="AC9" s="572"/>
      <c r="AD9" s="572"/>
      <c r="AE9" s="572"/>
      <c r="AF9" s="572"/>
      <c r="AG9" s="572"/>
      <c r="AH9" s="572"/>
      <c r="AI9" s="572"/>
      <c r="AJ9" s="572"/>
      <c r="AK9" s="572"/>
      <c r="AL9" s="572"/>
      <c r="AM9" s="572"/>
      <c r="AN9" s="572"/>
      <c r="AO9" s="572"/>
      <c r="AP9" s="572"/>
      <c r="AQ9" s="572"/>
      <c r="AR9" s="572"/>
      <c r="AS9" s="572"/>
      <c r="AT9" s="572"/>
      <c r="AU9" s="572"/>
      <c r="AV9" s="572"/>
      <c r="AW9" s="572"/>
      <c r="AX9" s="573"/>
      <c r="AY9" s="110"/>
    </row>
    <row r="10" spans="1:58" ht="24.75" customHeight="1" thickBot="1" x14ac:dyDescent="0.3">
      <c r="A10" s="121" t="str">
        <f>'1.Usos&amp;Fontes'!A8</f>
        <v>1.1</v>
      </c>
      <c r="B10" s="2" t="str">
        <f>'1.Usos&amp;Fontes'!B8</f>
        <v>Fortalecimento Institucional  SEMA - Sistema Distrital de Informações Ambientais</v>
      </c>
      <c r="C10" s="123">
        <f>'4.Cronograma Fisico PEP'!C8</f>
        <v>0</v>
      </c>
      <c r="D10" s="123">
        <f>((AY10)*C10)/100</f>
        <v>0</v>
      </c>
      <c r="E10" s="123">
        <f>'4.Cronograma Fisico PEP'!C8</f>
        <v>0</v>
      </c>
      <c r="F10" s="123">
        <f>((AZ10)*E10)/100</f>
        <v>0</v>
      </c>
      <c r="G10" s="123">
        <f>'4.Cronograma Fisico PEP'!D8</f>
        <v>15</v>
      </c>
      <c r="H10" s="123">
        <f>((AY10)*G10)/100</f>
        <v>0</v>
      </c>
      <c r="I10" s="123">
        <f>'4.Cronograma Fisico PEP'!D8</f>
        <v>15</v>
      </c>
      <c r="J10" s="123">
        <f>((AZ10)*I10)/100</f>
        <v>150000</v>
      </c>
      <c r="K10" s="123">
        <f>'4.Cronograma Fisico PEP'!E8</f>
        <v>50</v>
      </c>
      <c r="L10" s="123">
        <f>((AY10)*K10)/100</f>
        <v>0</v>
      </c>
      <c r="M10" s="123">
        <f>'4.Cronograma Fisico PEP'!E8</f>
        <v>50</v>
      </c>
      <c r="N10" s="123">
        <f>((AZ10)*M10)/100</f>
        <v>500000</v>
      </c>
      <c r="O10" s="123">
        <f>'4.Cronograma Fisico PEP'!F8</f>
        <v>35</v>
      </c>
      <c r="P10" s="123">
        <f>((AY10)*O10)/100</f>
        <v>0</v>
      </c>
      <c r="Q10" s="123">
        <f>'4.Cronograma Fisico PEP'!F8</f>
        <v>35</v>
      </c>
      <c r="R10" s="123">
        <f>((AZ10)*Q10)/100</f>
        <v>350000</v>
      </c>
      <c r="S10" s="123">
        <f>'4.Cronograma Fisico PEP'!G7</f>
        <v>0</v>
      </c>
      <c r="T10" s="123">
        <f>((AY10)*S10)/100</f>
        <v>0</v>
      </c>
      <c r="U10" s="123">
        <f>'4.Cronograma Fisico PEP'!G8</f>
        <v>0</v>
      </c>
      <c r="V10" s="123">
        <f>((AZ10)*U10)/100</f>
        <v>0</v>
      </c>
      <c r="W10" s="123">
        <f>'4.Cronograma Fisico PEP'!H7</f>
        <v>0</v>
      </c>
      <c r="X10" s="123">
        <f>((AY10)*W10)/100</f>
        <v>0</v>
      </c>
      <c r="Y10" s="123">
        <f>'4.Cronograma Fisico PEP'!H8</f>
        <v>0</v>
      </c>
      <c r="Z10" s="123">
        <f>((AZ10)*Y10)/100</f>
        <v>0</v>
      </c>
      <c r="AA10" s="123">
        <f>'4.Cronograma Fisico PEP'!I7</f>
        <v>0</v>
      </c>
      <c r="AB10" s="123">
        <f>((AY10)*AA10)/100</f>
        <v>0</v>
      </c>
      <c r="AC10" s="123">
        <f>'4.Cronograma Fisico PEP'!I8</f>
        <v>0</v>
      </c>
      <c r="AD10" s="123">
        <f>((AZ10)*AC10)/100</f>
        <v>0</v>
      </c>
      <c r="AE10" s="123">
        <f>'4.Cronograma Fisico PEP'!J7</f>
        <v>0</v>
      </c>
      <c r="AF10" s="123">
        <f>((AY10)*AE10)/100</f>
        <v>0</v>
      </c>
      <c r="AG10" s="123">
        <f>'4.Cronograma Fisico PEP'!J8</f>
        <v>0</v>
      </c>
      <c r="AH10" s="123">
        <f>((AZ10)*AG10)/100</f>
        <v>0</v>
      </c>
      <c r="AI10" s="123">
        <f>'4.Cronograma Fisico PEP'!K7</f>
        <v>0</v>
      </c>
      <c r="AJ10" s="123">
        <f>((AY10)*AI10)/100</f>
        <v>0</v>
      </c>
      <c r="AK10" s="123">
        <f>'4.Cronograma Fisico PEP'!K8</f>
        <v>0</v>
      </c>
      <c r="AL10" s="123">
        <f>((AZ10)*AK10)/100</f>
        <v>0</v>
      </c>
      <c r="AM10" s="123">
        <f>'4.Cronograma Fisico PEP'!L7</f>
        <v>0</v>
      </c>
      <c r="AN10" s="123">
        <f>((AY10)*AM10)/100</f>
        <v>0</v>
      </c>
      <c r="AO10" s="123">
        <f>'4.Cronograma Fisico PEP'!L8</f>
        <v>0</v>
      </c>
      <c r="AP10" s="123">
        <f>((AZ10)*AO10)/100</f>
        <v>0</v>
      </c>
      <c r="AQ10" s="152">
        <f>C10+G10+K10+O10+S10+W10+AA10+AE10+AI10+AM10</f>
        <v>100</v>
      </c>
      <c r="AR10" s="153">
        <f>'1.Usos&amp;Fontes'!C8</f>
        <v>0</v>
      </c>
      <c r="AS10" s="124">
        <f>D10+H10+L10+P10+T10+X10+AB10+AF10+AJ10+AN10</f>
        <v>0</v>
      </c>
      <c r="AT10" s="154">
        <f>'1.Usos&amp;Fontes'!F8</f>
        <v>1</v>
      </c>
      <c r="AU10" s="176">
        <f t="shared" ref="AU10:AU15" si="0">F10+J10+N10+R10+V10+Z10+AD10+AH10+AL10+AP10</f>
        <v>1000000</v>
      </c>
      <c r="AV10" s="177">
        <f>'1.Usos&amp;Fontes'!G8</f>
        <v>3000000</v>
      </c>
      <c r="AW10" s="178">
        <f>AS10+AU10</f>
        <v>1000000</v>
      </c>
      <c r="AX10" s="179">
        <f>'5.Cronograma Financeiro PEP '!AW10*'1.Usos&amp;Fontes'!$I$2</f>
        <v>3000000</v>
      </c>
      <c r="AY10" s="7">
        <f>'1.Usos&amp;Fontes'!E8</f>
        <v>0</v>
      </c>
      <c r="AZ10" s="7">
        <f>'1.Usos&amp;Fontes'!H8</f>
        <v>1000000</v>
      </c>
      <c r="BC10" s="7"/>
      <c r="BD10" s="7"/>
      <c r="BE10" s="51"/>
      <c r="BF10" s="7"/>
    </row>
    <row r="11" spans="1:58" ht="23.25" thickBot="1" x14ac:dyDescent="0.3">
      <c r="A11" s="121" t="str">
        <f>'1.Usos&amp;Fontes'!A9</f>
        <v>1.2</v>
      </c>
      <c r="B11" s="2" t="str">
        <f>'1.Usos&amp;Fontes'!B9</f>
        <v>Fortalecimento Institucional - IBRAM - Melhoria dos processos de licenciamento</v>
      </c>
      <c r="C11" s="123">
        <f>'4.Cronograma Fisico PEP'!C9</f>
        <v>0</v>
      </c>
      <c r="D11" s="123">
        <f t="shared" ref="D11:D15" si="1">((AY11)*C11)/100</f>
        <v>0</v>
      </c>
      <c r="E11" s="123">
        <f>'4.Cronograma Fisico PEP'!C9</f>
        <v>0</v>
      </c>
      <c r="F11" s="123">
        <f t="shared" ref="F11:F15" si="2">((AZ11)*E11)/100</f>
        <v>0</v>
      </c>
      <c r="G11" s="123">
        <f>'4.Cronograma Fisico PEP'!D9</f>
        <v>20</v>
      </c>
      <c r="H11" s="123">
        <f t="shared" ref="H11:H15" si="3">((AY11)*G11)/100</f>
        <v>0</v>
      </c>
      <c r="I11" s="123">
        <f>'4.Cronograma Fisico PEP'!D9</f>
        <v>20</v>
      </c>
      <c r="J11" s="123">
        <f t="shared" ref="J11:J15" si="4">((AZ11)*I11)/100</f>
        <v>200000</v>
      </c>
      <c r="K11" s="123">
        <f>'4.Cronograma Fisico PEP'!E9</f>
        <v>50</v>
      </c>
      <c r="L11" s="123">
        <f t="shared" ref="L11:L15" si="5">((AY11)*K11)/100</f>
        <v>0</v>
      </c>
      <c r="M11" s="123">
        <f>'4.Cronograma Fisico PEP'!E9</f>
        <v>50</v>
      </c>
      <c r="N11" s="123">
        <f t="shared" ref="N11:N15" si="6">((AZ11)*M11)/100</f>
        <v>500000</v>
      </c>
      <c r="O11" s="123">
        <f>'4.Cronograma Fisico PEP'!F9</f>
        <v>30</v>
      </c>
      <c r="P11" s="123">
        <f t="shared" ref="P11:P15" si="7">((AY11)*O11)/100</f>
        <v>0</v>
      </c>
      <c r="Q11" s="123">
        <f>'4.Cronograma Fisico PEP'!F9</f>
        <v>30</v>
      </c>
      <c r="R11" s="123">
        <f t="shared" ref="R11:R15" si="8">((AZ11)*Q11)/100</f>
        <v>300000</v>
      </c>
      <c r="S11" s="123">
        <f>'4.Cronograma Fisico PEP'!G8</f>
        <v>0</v>
      </c>
      <c r="T11" s="123">
        <f t="shared" ref="T11:T15" si="9">((AY11)*S11)/100</f>
        <v>0</v>
      </c>
      <c r="U11" s="123">
        <f>'4.Cronograma Fisico PEP'!G9</f>
        <v>0</v>
      </c>
      <c r="V11" s="123">
        <f t="shared" ref="V11:V15" si="10">((AZ11)*U11)/100</f>
        <v>0</v>
      </c>
      <c r="W11" s="123">
        <f>'4.Cronograma Fisico PEP'!H8</f>
        <v>0</v>
      </c>
      <c r="X11" s="123">
        <f t="shared" ref="X11:X15" si="11">((AY11)*W11)/100</f>
        <v>0</v>
      </c>
      <c r="Y11" s="123">
        <f>'4.Cronograma Fisico PEP'!H9</f>
        <v>0</v>
      </c>
      <c r="Z11" s="123">
        <f t="shared" ref="Z11:Z15" si="12">((AZ11)*Y11)/100</f>
        <v>0</v>
      </c>
      <c r="AA11" s="123">
        <f>'4.Cronograma Fisico PEP'!I8</f>
        <v>0</v>
      </c>
      <c r="AB11" s="123">
        <f>((AY11)*AA11)/100</f>
        <v>0</v>
      </c>
      <c r="AC11" s="123">
        <f>'4.Cronograma Fisico PEP'!I9</f>
        <v>0</v>
      </c>
      <c r="AD11" s="123">
        <f t="shared" ref="AD11:AD15" si="13">((AZ11)*AC11)/100</f>
        <v>0</v>
      </c>
      <c r="AE11" s="123">
        <f>'4.Cronograma Fisico PEP'!J8</f>
        <v>0</v>
      </c>
      <c r="AF11" s="123">
        <f t="shared" ref="AF11:AF15" si="14">((AY11)*AE11)/100</f>
        <v>0</v>
      </c>
      <c r="AG11" s="123">
        <f>'4.Cronograma Fisico PEP'!J9</f>
        <v>0</v>
      </c>
      <c r="AH11" s="123">
        <f t="shared" ref="AH11:AH15" si="15">((AZ11)*AG11)/100</f>
        <v>0</v>
      </c>
      <c r="AI11" s="123">
        <f>'4.Cronograma Fisico PEP'!K8</f>
        <v>0</v>
      </c>
      <c r="AJ11" s="123">
        <f t="shared" ref="AJ11:AJ15" si="16">((AY11)*AI11)/100</f>
        <v>0</v>
      </c>
      <c r="AK11" s="123">
        <f>'4.Cronograma Fisico PEP'!K9</f>
        <v>0</v>
      </c>
      <c r="AL11" s="123">
        <f t="shared" ref="AL11:AL15" si="17">((AZ11)*AK11)/100</f>
        <v>0</v>
      </c>
      <c r="AM11" s="123">
        <f>'4.Cronograma Fisico PEP'!L8</f>
        <v>0</v>
      </c>
      <c r="AN11" s="123">
        <f t="shared" ref="AN11:AN15" si="18">((AY11)*AM11)/100</f>
        <v>0</v>
      </c>
      <c r="AO11" s="123">
        <f>'4.Cronograma Fisico PEP'!L9</f>
        <v>0</v>
      </c>
      <c r="AP11" s="123">
        <f t="shared" ref="AP11:AP15" si="19">((AZ11)*AO11)/100</f>
        <v>0</v>
      </c>
      <c r="AQ11" s="152">
        <f t="shared" ref="AQ11:AQ15" si="20">C11+G11+K11+O11+S11+W11+AA11+AE11+AI11+AM11</f>
        <v>100</v>
      </c>
      <c r="AR11" s="153">
        <f>'1.Usos&amp;Fontes'!C9</f>
        <v>0</v>
      </c>
      <c r="AS11" s="124">
        <f t="shared" ref="AS11:AS14" si="21">D11+H11+L11+P11+T11+X11+AB11+AF11+AJ11+AN11</f>
        <v>0</v>
      </c>
      <c r="AT11" s="154">
        <f>'1.Usos&amp;Fontes'!F9</f>
        <v>1</v>
      </c>
      <c r="AU11" s="176">
        <f t="shared" si="0"/>
        <v>1000000</v>
      </c>
      <c r="AV11" s="177">
        <f>'1.Usos&amp;Fontes'!G9</f>
        <v>3000000</v>
      </c>
      <c r="AW11" s="178">
        <f t="shared" ref="AW11:AW15" si="22">AS11+AU11</f>
        <v>1000000</v>
      </c>
      <c r="AX11" s="179">
        <f>'5.Cronograma Financeiro PEP '!AW11*'1.Usos&amp;Fontes'!$I$2</f>
        <v>3000000</v>
      </c>
      <c r="AY11" s="7">
        <f>'1.Usos&amp;Fontes'!E9</f>
        <v>0</v>
      </c>
      <c r="AZ11" s="7">
        <f>'1.Usos&amp;Fontes'!H9</f>
        <v>1000000</v>
      </c>
      <c r="BC11" s="7"/>
      <c r="BD11" s="7"/>
      <c r="BE11" s="51"/>
      <c r="BF11" s="7"/>
    </row>
    <row r="12" spans="1:58" ht="15.75" thickBot="1" x14ac:dyDescent="0.3">
      <c r="A12" s="121" t="str">
        <f>'1.Usos&amp;Fontes'!A10</f>
        <v>1.3</v>
      </c>
      <c r="B12" s="2" t="str">
        <f>'1.Usos&amp;Fontes'!B10</f>
        <v xml:space="preserve"> Fortalecimento Institucional do SLU - Automatização de processos</v>
      </c>
      <c r="C12" s="123">
        <f>'4.Cronograma Fisico PEP'!C10</f>
        <v>0</v>
      </c>
      <c r="D12" s="123">
        <f t="shared" si="1"/>
        <v>0</v>
      </c>
      <c r="E12" s="123">
        <f>'4.Cronograma Fisico PEP'!C10</f>
        <v>0</v>
      </c>
      <c r="F12" s="123">
        <f t="shared" si="2"/>
        <v>0</v>
      </c>
      <c r="G12" s="123">
        <f>'4.Cronograma Fisico PEP'!D10</f>
        <v>20</v>
      </c>
      <c r="H12" s="123">
        <f t="shared" si="3"/>
        <v>0</v>
      </c>
      <c r="I12" s="123">
        <f>'4.Cronograma Fisico PEP'!D10</f>
        <v>20</v>
      </c>
      <c r="J12" s="123">
        <f t="shared" si="4"/>
        <v>400000</v>
      </c>
      <c r="K12" s="123">
        <f>'4.Cronograma Fisico PEP'!E10</f>
        <v>50</v>
      </c>
      <c r="L12" s="123">
        <f t="shared" si="5"/>
        <v>0</v>
      </c>
      <c r="M12" s="123">
        <f>'4.Cronograma Fisico PEP'!E10</f>
        <v>50</v>
      </c>
      <c r="N12" s="123">
        <f t="shared" si="6"/>
        <v>1000000</v>
      </c>
      <c r="O12" s="123">
        <f>'4.Cronograma Fisico PEP'!F10</f>
        <v>30</v>
      </c>
      <c r="P12" s="123">
        <f t="shared" si="7"/>
        <v>0</v>
      </c>
      <c r="Q12" s="123">
        <f>'4.Cronograma Fisico PEP'!F10</f>
        <v>30</v>
      </c>
      <c r="R12" s="123">
        <f t="shared" si="8"/>
        <v>600000</v>
      </c>
      <c r="S12" s="123">
        <f>'4.Cronograma Fisico PEP'!G9</f>
        <v>0</v>
      </c>
      <c r="T12" s="123">
        <f t="shared" si="9"/>
        <v>0</v>
      </c>
      <c r="U12" s="123">
        <f>'4.Cronograma Fisico PEP'!G10</f>
        <v>0</v>
      </c>
      <c r="V12" s="123">
        <f t="shared" si="10"/>
        <v>0</v>
      </c>
      <c r="W12" s="123">
        <f>'4.Cronograma Fisico PEP'!H9</f>
        <v>0</v>
      </c>
      <c r="X12" s="123">
        <f t="shared" si="11"/>
        <v>0</v>
      </c>
      <c r="Y12" s="123">
        <f>'4.Cronograma Fisico PEP'!H10</f>
        <v>0</v>
      </c>
      <c r="Z12" s="123">
        <f t="shared" si="12"/>
        <v>0</v>
      </c>
      <c r="AA12" s="123">
        <f>'4.Cronograma Fisico PEP'!I9</f>
        <v>0</v>
      </c>
      <c r="AB12" s="123">
        <f>((AY12)*AA12)/100</f>
        <v>0</v>
      </c>
      <c r="AC12" s="123">
        <f>'4.Cronograma Fisico PEP'!I10</f>
        <v>0</v>
      </c>
      <c r="AD12" s="123">
        <f t="shared" si="13"/>
        <v>0</v>
      </c>
      <c r="AE12" s="123">
        <f>'4.Cronograma Fisico PEP'!J9</f>
        <v>0</v>
      </c>
      <c r="AF12" s="123">
        <f t="shared" si="14"/>
        <v>0</v>
      </c>
      <c r="AG12" s="123">
        <f>'4.Cronograma Fisico PEP'!J10</f>
        <v>0</v>
      </c>
      <c r="AH12" s="123">
        <f t="shared" si="15"/>
        <v>0</v>
      </c>
      <c r="AI12" s="123">
        <f>'4.Cronograma Fisico PEP'!K9</f>
        <v>0</v>
      </c>
      <c r="AJ12" s="123">
        <f t="shared" si="16"/>
        <v>0</v>
      </c>
      <c r="AK12" s="123">
        <f>'4.Cronograma Fisico PEP'!K10</f>
        <v>0</v>
      </c>
      <c r="AL12" s="123">
        <f t="shared" si="17"/>
        <v>0</v>
      </c>
      <c r="AM12" s="123">
        <f>'4.Cronograma Fisico PEP'!L9</f>
        <v>0</v>
      </c>
      <c r="AN12" s="123">
        <f t="shared" si="18"/>
        <v>0</v>
      </c>
      <c r="AO12" s="123">
        <f>'4.Cronograma Fisico PEP'!L10</f>
        <v>0</v>
      </c>
      <c r="AP12" s="123">
        <f t="shared" si="19"/>
        <v>0</v>
      </c>
      <c r="AQ12" s="152">
        <f t="shared" si="20"/>
        <v>100</v>
      </c>
      <c r="AR12" s="153">
        <f>'1.Usos&amp;Fontes'!C10</f>
        <v>0</v>
      </c>
      <c r="AS12" s="124">
        <f t="shared" si="21"/>
        <v>0</v>
      </c>
      <c r="AT12" s="154">
        <f>'1.Usos&amp;Fontes'!F10</f>
        <v>1</v>
      </c>
      <c r="AU12" s="176">
        <f t="shared" si="0"/>
        <v>2000000</v>
      </c>
      <c r="AV12" s="177">
        <f>'1.Usos&amp;Fontes'!G10</f>
        <v>6000000</v>
      </c>
      <c r="AW12" s="178">
        <f t="shared" si="22"/>
        <v>2000000</v>
      </c>
      <c r="AX12" s="179">
        <f>'5.Cronograma Financeiro PEP '!AW12*'1.Usos&amp;Fontes'!$I$2</f>
        <v>6000000</v>
      </c>
      <c r="AY12" s="7">
        <f>'1.Usos&amp;Fontes'!E10</f>
        <v>0</v>
      </c>
      <c r="AZ12" s="7">
        <f>'1.Usos&amp;Fontes'!H10</f>
        <v>2000000</v>
      </c>
      <c r="BC12" s="7"/>
      <c r="BD12" s="7"/>
      <c r="BE12" s="51"/>
      <c r="BF12" s="7"/>
    </row>
    <row r="13" spans="1:58" ht="21.75" customHeight="1" thickBot="1" x14ac:dyDescent="0.3">
      <c r="A13" s="121" t="str">
        <f>'1.Usos&amp;Fontes'!A11</f>
        <v>1.4</v>
      </c>
      <c r="B13" s="2" t="str">
        <f>'1.Usos&amp;Fontes'!B11</f>
        <v xml:space="preserve"> Fortalecimento Institucional SINESP</v>
      </c>
      <c r="C13" s="123">
        <f>'4.Cronograma Fisico PEP'!C11</f>
        <v>0</v>
      </c>
      <c r="D13" s="123">
        <f t="shared" si="1"/>
        <v>0</v>
      </c>
      <c r="E13" s="123">
        <f>'4.Cronograma Fisico PEP'!C11</f>
        <v>0</v>
      </c>
      <c r="F13" s="123">
        <f t="shared" si="2"/>
        <v>0</v>
      </c>
      <c r="G13" s="123">
        <f>'4.Cronograma Fisico PEP'!D11</f>
        <v>20</v>
      </c>
      <c r="H13" s="123">
        <f t="shared" si="3"/>
        <v>0</v>
      </c>
      <c r="I13" s="123">
        <f>'4.Cronograma Fisico PEP'!D11</f>
        <v>20</v>
      </c>
      <c r="J13" s="123">
        <f t="shared" si="4"/>
        <v>200000</v>
      </c>
      <c r="K13" s="123">
        <f>'4.Cronograma Fisico PEP'!E11</f>
        <v>50</v>
      </c>
      <c r="L13" s="123">
        <f t="shared" si="5"/>
        <v>0</v>
      </c>
      <c r="M13" s="123">
        <f>'4.Cronograma Fisico PEP'!E11</f>
        <v>50</v>
      </c>
      <c r="N13" s="123">
        <f t="shared" si="6"/>
        <v>500000</v>
      </c>
      <c r="O13" s="123">
        <f>'4.Cronograma Fisico PEP'!F11</f>
        <v>30</v>
      </c>
      <c r="P13" s="123">
        <f t="shared" si="7"/>
        <v>0</v>
      </c>
      <c r="Q13" s="123">
        <f>'4.Cronograma Fisico PEP'!F11</f>
        <v>30</v>
      </c>
      <c r="R13" s="123">
        <f t="shared" si="8"/>
        <v>300000</v>
      </c>
      <c r="S13" s="123">
        <f>'4.Cronograma Fisico PEP'!G10</f>
        <v>0</v>
      </c>
      <c r="T13" s="123">
        <f t="shared" si="9"/>
        <v>0</v>
      </c>
      <c r="U13" s="123">
        <f>'4.Cronograma Fisico PEP'!G11</f>
        <v>0</v>
      </c>
      <c r="V13" s="123">
        <f t="shared" si="10"/>
        <v>0</v>
      </c>
      <c r="W13" s="123">
        <f>'4.Cronograma Fisico PEP'!H10</f>
        <v>0</v>
      </c>
      <c r="X13" s="123">
        <f t="shared" si="11"/>
        <v>0</v>
      </c>
      <c r="Y13" s="123">
        <f>'4.Cronograma Fisico PEP'!H11</f>
        <v>0</v>
      </c>
      <c r="Z13" s="123">
        <f t="shared" si="12"/>
        <v>0</v>
      </c>
      <c r="AA13" s="123">
        <f>'4.Cronograma Fisico PEP'!I10</f>
        <v>0</v>
      </c>
      <c r="AB13" s="123">
        <f t="shared" ref="AB13:AB15" si="23">((AY13)*AA13)/100</f>
        <v>0</v>
      </c>
      <c r="AC13" s="123">
        <f>'4.Cronograma Fisico PEP'!I11</f>
        <v>0</v>
      </c>
      <c r="AD13" s="123">
        <f t="shared" si="13"/>
        <v>0</v>
      </c>
      <c r="AE13" s="123">
        <f>'4.Cronograma Fisico PEP'!J10</f>
        <v>0</v>
      </c>
      <c r="AF13" s="123">
        <f t="shared" si="14"/>
        <v>0</v>
      </c>
      <c r="AG13" s="123">
        <f>'4.Cronograma Fisico PEP'!J11</f>
        <v>0</v>
      </c>
      <c r="AH13" s="123">
        <f t="shared" si="15"/>
        <v>0</v>
      </c>
      <c r="AI13" s="123">
        <f>'4.Cronograma Fisico PEP'!K10</f>
        <v>0</v>
      </c>
      <c r="AJ13" s="123">
        <f t="shared" si="16"/>
        <v>0</v>
      </c>
      <c r="AK13" s="123">
        <f>'4.Cronograma Fisico PEP'!K11</f>
        <v>0</v>
      </c>
      <c r="AL13" s="123">
        <f t="shared" si="17"/>
        <v>0</v>
      </c>
      <c r="AM13" s="123">
        <f>'4.Cronograma Fisico PEP'!L10</f>
        <v>0</v>
      </c>
      <c r="AN13" s="123">
        <f t="shared" si="18"/>
        <v>0</v>
      </c>
      <c r="AO13" s="123">
        <f>'4.Cronograma Fisico PEP'!L11</f>
        <v>0</v>
      </c>
      <c r="AP13" s="123">
        <f t="shared" si="19"/>
        <v>0</v>
      </c>
      <c r="AQ13" s="152">
        <f t="shared" si="20"/>
        <v>100</v>
      </c>
      <c r="AR13" s="153">
        <f>'1.Usos&amp;Fontes'!C11</f>
        <v>0</v>
      </c>
      <c r="AS13" s="124">
        <f t="shared" si="21"/>
        <v>0</v>
      </c>
      <c r="AT13" s="154">
        <f>'1.Usos&amp;Fontes'!F11</f>
        <v>1</v>
      </c>
      <c r="AU13" s="176">
        <f t="shared" si="0"/>
        <v>1000000</v>
      </c>
      <c r="AV13" s="177" t="e">
        <f>'1.Usos&amp;Fontes'!#REF!</f>
        <v>#REF!</v>
      </c>
      <c r="AW13" s="178">
        <f t="shared" si="22"/>
        <v>1000000</v>
      </c>
      <c r="AX13" s="179">
        <f>'5.Cronograma Financeiro PEP '!AW13*'1.Usos&amp;Fontes'!$I$2</f>
        <v>3000000</v>
      </c>
      <c r="AY13" s="7">
        <f>'1.Usos&amp;Fontes'!E11</f>
        <v>0</v>
      </c>
      <c r="AZ13" s="7">
        <f>'1.Usos&amp;Fontes'!H11</f>
        <v>1000000</v>
      </c>
      <c r="BC13" s="7"/>
      <c r="BD13" s="7"/>
      <c r="BE13" s="51"/>
      <c r="BF13" s="7"/>
    </row>
    <row r="14" spans="1:58" ht="23.25" thickBot="1" x14ac:dyDescent="0.3">
      <c r="A14" s="121" t="str">
        <f>'1.Usos&amp;Fontes'!A12</f>
        <v>1.5</v>
      </c>
      <c r="B14" s="2" t="str">
        <f>'1.Usos&amp;Fontes'!B12</f>
        <v>Fortalecimento Institucional NOVACAP - Melhoria do Parque Tecnologico e automatizacao de processos</v>
      </c>
      <c r="C14" s="123">
        <f>'4.Cronograma Fisico PEP'!C12</f>
        <v>0</v>
      </c>
      <c r="D14" s="123">
        <f t="shared" si="1"/>
        <v>0</v>
      </c>
      <c r="E14" s="123">
        <f>'4.Cronograma Fisico PEP'!C12</f>
        <v>0</v>
      </c>
      <c r="F14" s="123">
        <f t="shared" si="2"/>
        <v>0</v>
      </c>
      <c r="G14" s="123">
        <f>'4.Cronograma Fisico PEP'!D12</f>
        <v>20</v>
      </c>
      <c r="H14" s="123">
        <f t="shared" si="3"/>
        <v>0</v>
      </c>
      <c r="I14" s="123">
        <f>'4.Cronograma Fisico PEP'!D12</f>
        <v>20</v>
      </c>
      <c r="J14" s="123">
        <f t="shared" si="4"/>
        <v>400000</v>
      </c>
      <c r="K14" s="123">
        <f>'4.Cronograma Fisico PEP'!E12</f>
        <v>50</v>
      </c>
      <c r="L14" s="123">
        <f t="shared" si="5"/>
        <v>0</v>
      </c>
      <c r="M14" s="123">
        <f>'4.Cronograma Fisico PEP'!E12</f>
        <v>50</v>
      </c>
      <c r="N14" s="123">
        <f t="shared" si="6"/>
        <v>1000000</v>
      </c>
      <c r="O14" s="123">
        <f>'4.Cronograma Fisico PEP'!F12</f>
        <v>30</v>
      </c>
      <c r="P14" s="123">
        <f t="shared" si="7"/>
        <v>0</v>
      </c>
      <c r="Q14" s="123">
        <f>'4.Cronograma Fisico PEP'!F12</f>
        <v>30</v>
      </c>
      <c r="R14" s="123">
        <f t="shared" si="8"/>
        <v>600000</v>
      </c>
      <c r="S14" s="123">
        <f>'4.Cronograma Fisico PEP'!G11</f>
        <v>0</v>
      </c>
      <c r="T14" s="123">
        <f t="shared" si="9"/>
        <v>0</v>
      </c>
      <c r="U14" s="123">
        <f>'4.Cronograma Fisico PEP'!G12</f>
        <v>0</v>
      </c>
      <c r="V14" s="123">
        <f t="shared" si="10"/>
        <v>0</v>
      </c>
      <c r="W14" s="123">
        <f>'4.Cronograma Fisico PEP'!H11</f>
        <v>0</v>
      </c>
      <c r="X14" s="123">
        <f t="shared" si="11"/>
        <v>0</v>
      </c>
      <c r="Y14" s="123">
        <f>'4.Cronograma Fisico PEP'!H12</f>
        <v>0</v>
      </c>
      <c r="Z14" s="123">
        <f t="shared" si="12"/>
        <v>0</v>
      </c>
      <c r="AA14" s="123">
        <f>'4.Cronograma Fisico PEP'!I11</f>
        <v>0</v>
      </c>
      <c r="AB14" s="123">
        <f t="shared" si="23"/>
        <v>0</v>
      </c>
      <c r="AC14" s="123">
        <f>'4.Cronograma Fisico PEP'!I12</f>
        <v>0</v>
      </c>
      <c r="AD14" s="123">
        <f t="shared" si="13"/>
        <v>0</v>
      </c>
      <c r="AE14" s="123">
        <f>'4.Cronograma Fisico PEP'!J11</f>
        <v>0</v>
      </c>
      <c r="AF14" s="123">
        <f t="shared" si="14"/>
        <v>0</v>
      </c>
      <c r="AG14" s="123">
        <f>'4.Cronograma Fisico PEP'!J12</f>
        <v>0</v>
      </c>
      <c r="AH14" s="123">
        <f t="shared" si="15"/>
        <v>0</v>
      </c>
      <c r="AI14" s="123">
        <f>'4.Cronograma Fisico PEP'!K11</f>
        <v>0</v>
      </c>
      <c r="AJ14" s="123">
        <f t="shared" si="16"/>
        <v>0</v>
      </c>
      <c r="AK14" s="123">
        <f>'4.Cronograma Fisico PEP'!K12</f>
        <v>0</v>
      </c>
      <c r="AL14" s="123">
        <f t="shared" si="17"/>
        <v>0</v>
      </c>
      <c r="AM14" s="123">
        <f>'4.Cronograma Fisico PEP'!L11</f>
        <v>0</v>
      </c>
      <c r="AN14" s="123">
        <f t="shared" si="18"/>
        <v>0</v>
      </c>
      <c r="AO14" s="123">
        <f>'4.Cronograma Fisico PEP'!L12</f>
        <v>0</v>
      </c>
      <c r="AP14" s="123">
        <f t="shared" si="19"/>
        <v>0</v>
      </c>
      <c r="AQ14" s="152">
        <f t="shared" si="20"/>
        <v>100</v>
      </c>
      <c r="AR14" s="153">
        <f>'1.Usos&amp;Fontes'!C12</f>
        <v>0</v>
      </c>
      <c r="AS14" s="124">
        <f t="shared" si="21"/>
        <v>0</v>
      </c>
      <c r="AT14" s="154">
        <f>'1.Usos&amp;Fontes'!F12</f>
        <v>1</v>
      </c>
      <c r="AU14" s="176">
        <f t="shared" si="0"/>
        <v>2000000</v>
      </c>
      <c r="AV14" s="177">
        <f>'1.Usos&amp;Fontes'!G11</f>
        <v>3000000</v>
      </c>
      <c r="AW14" s="178">
        <f t="shared" si="22"/>
        <v>2000000</v>
      </c>
      <c r="AX14" s="179">
        <f>'5.Cronograma Financeiro PEP '!AW14*'1.Usos&amp;Fontes'!$I$2</f>
        <v>6000000</v>
      </c>
      <c r="AY14" s="7">
        <f>'1.Usos&amp;Fontes'!E12</f>
        <v>0</v>
      </c>
      <c r="AZ14" s="7">
        <f>'1.Usos&amp;Fontes'!H12</f>
        <v>2000000</v>
      </c>
      <c r="BC14" s="7"/>
      <c r="BD14" s="7"/>
      <c r="BE14" s="51"/>
      <c r="BF14" s="7"/>
    </row>
    <row r="15" spans="1:58" ht="15.75" thickBot="1" x14ac:dyDescent="0.3">
      <c r="A15" s="121" t="str">
        <f>'1.Usos&amp;Fontes'!A13</f>
        <v>1.6</v>
      </c>
      <c r="B15" s="2" t="str">
        <f>'1.Usos&amp;Fontes'!B13</f>
        <v>Fortalecimento Institucional dos SEDESTMIDH - Aqusição de Computadores</v>
      </c>
      <c r="C15" s="123">
        <f>'4.Cronograma Fisico PEP'!C13</f>
        <v>0</v>
      </c>
      <c r="D15" s="123">
        <f t="shared" si="1"/>
        <v>0</v>
      </c>
      <c r="E15" s="123">
        <f>'4.Cronograma Fisico PEP'!C13</f>
        <v>0</v>
      </c>
      <c r="F15" s="123">
        <f t="shared" si="2"/>
        <v>0</v>
      </c>
      <c r="G15" s="123">
        <f>'4.Cronograma Fisico PEP'!D13</f>
        <v>20</v>
      </c>
      <c r="H15" s="123">
        <f t="shared" si="3"/>
        <v>0</v>
      </c>
      <c r="I15" s="123">
        <f>'4.Cronograma Fisico PEP'!D13</f>
        <v>20</v>
      </c>
      <c r="J15" s="123">
        <f t="shared" si="4"/>
        <v>200000</v>
      </c>
      <c r="K15" s="123">
        <f>'4.Cronograma Fisico PEP'!E13</f>
        <v>50</v>
      </c>
      <c r="L15" s="123">
        <f t="shared" si="5"/>
        <v>0</v>
      </c>
      <c r="M15" s="123">
        <f>'4.Cronograma Fisico PEP'!E13</f>
        <v>50</v>
      </c>
      <c r="N15" s="123">
        <f t="shared" si="6"/>
        <v>500000</v>
      </c>
      <c r="O15" s="123">
        <f>'4.Cronograma Fisico PEP'!F13</f>
        <v>30</v>
      </c>
      <c r="P15" s="123">
        <f t="shared" si="7"/>
        <v>0</v>
      </c>
      <c r="Q15" s="123">
        <f>'4.Cronograma Fisico PEP'!F13</f>
        <v>30</v>
      </c>
      <c r="R15" s="123">
        <f t="shared" si="8"/>
        <v>300000</v>
      </c>
      <c r="S15" s="123">
        <f>'4.Cronograma Fisico PEP'!G12</f>
        <v>0</v>
      </c>
      <c r="T15" s="123">
        <f t="shared" si="9"/>
        <v>0</v>
      </c>
      <c r="U15" s="123">
        <f>'4.Cronograma Fisico PEP'!G13</f>
        <v>0</v>
      </c>
      <c r="V15" s="123">
        <f t="shared" si="10"/>
        <v>0</v>
      </c>
      <c r="W15" s="123">
        <f>'4.Cronograma Fisico PEP'!H12</f>
        <v>0</v>
      </c>
      <c r="X15" s="123">
        <f t="shared" si="11"/>
        <v>0</v>
      </c>
      <c r="Y15" s="123">
        <f>'4.Cronograma Fisico PEP'!H13</f>
        <v>0</v>
      </c>
      <c r="Z15" s="123">
        <f t="shared" si="12"/>
        <v>0</v>
      </c>
      <c r="AA15" s="123">
        <f>'4.Cronograma Fisico PEP'!I12</f>
        <v>0</v>
      </c>
      <c r="AB15" s="123">
        <f t="shared" si="23"/>
        <v>0</v>
      </c>
      <c r="AC15" s="123">
        <f>'4.Cronograma Fisico PEP'!I13</f>
        <v>0</v>
      </c>
      <c r="AD15" s="123">
        <f t="shared" si="13"/>
        <v>0</v>
      </c>
      <c r="AE15" s="123">
        <f>'4.Cronograma Fisico PEP'!J12</f>
        <v>0</v>
      </c>
      <c r="AF15" s="123">
        <f t="shared" si="14"/>
        <v>0</v>
      </c>
      <c r="AG15" s="123">
        <f>'4.Cronograma Fisico PEP'!J13</f>
        <v>0</v>
      </c>
      <c r="AH15" s="123">
        <f t="shared" si="15"/>
        <v>0</v>
      </c>
      <c r="AI15" s="123">
        <f>'4.Cronograma Fisico PEP'!K12</f>
        <v>0</v>
      </c>
      <c r="AJ15" s="123">
        <f t="shared" si="16"/>
        <v>0</v>
      </c>
      <c r="AK15" s="123">
        <f>'4.Cronograma Fisico PEP'!K13</f>
        <v>0</v>
      </c>
      <c r="AL15" s="123">
        <f t="shared" si="17"/>
        <v>0</v>
      </c>
      <c r="AM15" s="123">
        <f>'4.Cronograma Fisico PEP'!L12</f>
        <v>0</v>
      </c>
      <c r="AN15" s="123">
        <f t="shared" si="18"/>
        <v>0</v>
      </c>
      <c r="AO15" s="123">
        <f>'4.Cronograma Fisico PEP'!L13</f>
        <v>0</v>
      </c>
      <c r="AP15" s="123">
        <f t="shared" si="19"/>
        <v>0</v>
      </c>
      <c r="AQ15" s="152">
        <f t="shared" si="20"/>
        <v>100</v>
      </c>
      <c r="AR15" s="153">
        <f>'1.Usos&amp;Fontes'!C13</f>
        <v>0</v>
      </c>
      <c r="AS15" s="124">
        <f>D15+H15+L15+P15+T15+X15+AB15+AF15+AJ15+AN15</f>
        <v>0</v>
      </c>
      <c r="AT15" s="154">
        <f>'1.Usos&amp;Fontes'!F13</f>
        <v>1</v>
      </c>
      <c r="AU15" s="176">
        <f t="shared" si="0"/>
        <v>1000000</v>
      </c>
      <c r="AV15" s="177">
        <f>'1.Usos&amp;Fontes'!G12</f>
        <v>6000000</v>
      </c>
      <c r="AW15" s="178">
        <f t="shared" si="22"/>
        <v>1000000</v>
      </c>
      <c r="AX15" s="179">
        <f>'5.Cronograma Financeiro PEP '!AW15*'1.Usos&amp;Fontes'!$I$2</f>
        <v>3000000</v>
      </c>
      <c r="AY15" s="7">
        <f>'1.Usos&amp;Fontes'!E13</f>
        <v>0</v>
      </c>
      <c r="AZ15" s="7">
        <f>'1.Usos&amp;Fontes'!H13</f>
        <v>1000000</v>
      </c>
      <c r="BC15" s="7"/>
      <c r="BD15" s="7"/>
      <c r="BE15" s="51"/>
      <c r="BF15" s="7"/>
    </row>
    <row r="16" spans="1:58" ht="15.75" thickBot="1" x14ac:dyDescent="0.3">
      <c r="A16" s="629" t="s">
        <v>9</v>
      </c>
      <c r="B16" s="629"/>
      <c r="C16" s="136"/>
      <c r="D16" s="164">
        <f>SUM(D10:D15)</f>
        <v>0</v>
      </c>
      <c r="E16" s="285"/>
      <c r="F16" s="164">
        <f>SUM(F10:F15)</f>
        <v>0</v>
      </c>
      <c r="G16" s="164"/>
      <c r="H16" s="164">
        <f>SUM(H10:H15)</f>
        <v>0</v>
      </c>
      <c r="I16" s="164"/>
      <c r="J16" s="164">
        <f>SUM(J10:J15)</f>
        <v>1550000</v>
      </c>
      <c r="K16" s="164"/>
      <c r="L16" s="164">
        <f>SUM(L10:L15)</f>
        <v>0</v>
      </c>
      <c r="M16" s="164"/>
      <c r="N16" s="164">
        <f>SUM(N10:N15)</f>
        <v>4000000</v>
      </c>
      <c r="O16" s="164"/>
      <c r="P16" s="164">
        <f>SUM(P10:P15)</f>
        <v>0</v>
      </c>
      <c r="Q16" s="164"/>
      <c r="R16" s="164">
        <f>SUM(R10:R15)</f>
        <v>2450000</v>
      </c>
      <c r="S16" s="164"/>
      <c r="T16" s="164">
        <f>SUM(T10:T15)</f>
        <v>0</v>
      </c>
      <c r="U16" s="164"/>
      <c r="V16" s="164">
        <f>SUM(V10:V15)</f>
        <v>0</v>
      </c>
      <c r="W16" s="164"/>
      <c r="X16" s="164">
        <f>SUM(X10:X15)</f>
        <v>0</v>
      </c>
      <c r="Y16" s="164"/>
      <c r="Z16" s="164">
        <f>SUM(Z10:Z15)</f>
        <v>0</v>
      </c>
      <c r="AA16" s="164"/>
      <c r="AB16" s="164">
        <f>SUM(AB10:AB15)</f>
        <v>0</v>
      </c>
      <c r="AC16" s="164"/>
      <c r="AD16" s="164">
        <f>SUM(AD10:AD15)</f>
        <v>0</v>
      </c>
      <c r="AE16" s="164"/>
      <c r="AF16" s="164">
        <f>SUM(AF10:AF15)</f>
        <v>0</v>
      </c>
      <c r="AG16" s="164"/>
      <c r="AH16" s="164">
        <f>SUM(AH10:AH15)</f>
        <v>0</v>
      </c>
      <c r="AI16" s="164"/>
      <c r="AJ16" s="164">
        <f>SUM(AJ10:AJ15)</f>
        <v>0</v>
      </c>
      <c r="AK16" s="164"/>
      <c r="AL16" s="164">
        <f>SUM(AL10:AL15)</f>
        <v>0</v>
      </c>
      <c r="AM16" s="164"/>
      <c r="AN16" s="164">
        <f>SUM(AN10:AN15)</f>
        <v>0</v>
      </c>
      <c r="AO16" s="164"/>
      <c r="AP16" s="164">
        <f>SUM(AP10:AP15)</f>
        <v>0</v>
      </c>
      <c r="AQ16" s="156"/>
      <c r="AR16" s="157"/>
      <c r="AS16" s="160">
        <f>SUM(AS10:AS15)</f>
        <v>0</v>
      </c>
      <c r="AT16" s="159"/>
      <c r="AU16" s="160">
        <f>SUM(AU10:AU15)</f>
        <v>8000000</v>
      </c>
      <c r="AV16" s="161" t="e">
        <f t="shared" ref="AV16" si="24">SUM(AV10:AV14)</f>
        <v>#REF!</v>
      </c>
      <c r="AW16" s="161">
        <f>SUM(AW10:AW15)</f>
        <v>8000000</v>
      </c>
      <c r="AX16" s="161">
        <f>SUM(AX10:AX15)</f>
        <v>24000000</v>
      </c>
      <c r="BC16" s="7"/>
      <c r="BD16" s="7"/>
      <c r="BE16" s="51"/>
      <c r="BF16" s="7"/>
    </row>
    <row r="17" spans="1:58" s="18" customFormat="1" ht="15.75" customHeight="1" thickBot="1" x14ac:dyDescent="0.3">
      <c r="A17" s="132" t="str">
        <f>'1.Usos&amp;Fontes'!A15</f>
        <v xml:space="preserve">II </v>
      </c>
      <c r="B17" s="632" t="str">
        <f>'1.Usos&amp;Fontes'!B15</f>
        <v xml:space="preserve">COMPONENTE 2  - GESTÃO DE RESÍDUOS SÓLIDOS E INCLUSÃO SOCIAL </v>
      </c>
      <c r="C17" s="572"/>
      <c r="D17" s="572"/>
      <c r="E17" s="572"/>
      <c r="F17" s="572"/>
      <c r="G17" s="572"/>
      <c r="H17" s="572"/>
      <c r="I17" s="572"/>
      <c r="J17" s="572"/>
      <c r="K17" s="572"/>
      <c r="L17" s="572"/>
      <c r="M17" s="572"/>
      <c r="N17" s="572"/>
      <c r="O17" s="572"/>
      <c r="P17" s="572"/>
      <c r="Q17" s="572"/>
      <c r="R17" s="572"/>
      <c r="S17" s="572"/>
      <c r="T17" s="572"/>
      <c r="U17" s="572"/>
      <c r="V17" s="572"/>
      <c r="W17" s="572"/>
      <c r="X17" s="572"/>
      <c r="Y17" s="572"/>
      <c r="Z17" s="572"/>
      <c r="AA17" s="572"/>
      <c r="AB17" s="572"/>
      <c r="AC17" s="572"/>
      <c r="AD17" s="572"/>
      <c r="AE17" s="572"/>
      <c r="AF17" s="572"/>
      <c r="AG17" s="572"/>
      <c r="AH17" s="572"/>
      <c r="AI17" s="572"/>
      <c r="AJ17" s="572"/>
      <c r="AK17" s="572"/>
      <c r="AL17" s="572"/>
      <c r="AM17" s="572"/>
      <c r="AN17" s="572"/>
      <c r="AO17" s="572"/>
      <c r="AP17" s="572"/>
      <c r="AQ17" s="572"/>
      <c r="AR17" s="572"/>
      <c r="AS17" s="572"/>
      <c r="AT17" s="572"/>
      <c r="AU17" s="572"/>
      <c r="AV17" s="572"/>
      <c r="AW17" s="572"/>
      <c r="AX17" s="572"/>
      <c r="AY17" s="110"/>
    </row>
    <row r="18" spans="1:58" s="109" customFormat="1" ht="15.75" thickBot="1" x14ac:dyDescent="0.3">
      <c r="A18" s="101" t="str">
        <f>'1.Usos&amp;Fontes'!A16</f>
        <v>2.1</v>
      </c>
      <c r="B18" s="20" t="str">
        <f>'1.Usos&amp;Fontes'!B16</f>
        <v>Reforma e recapacitação da unidade de Compostagem do Psul</v>
      </c>
      <c r="C18" s="123">
        <f>'4.Cronograma Fisico PEP'!C15</f>
        <v>0</v>
      </c>
      <c r="D18" s="123">
        <f>((AY18)*C18)/100</f>
        <v>0</v>
      </c>
      <c r="E18" s="123">
        <f>'4.Cronograma Fisico PEP'!C15</f>
        <v>0</v>
      </c>
      <c r="F18" s="123">
        <f>((AZ18)*E18)/100</f>
        <v>0</v>
      </c>
      <c r="G18" s="123">
        <f>'4.Cronograma Fisico PEP'!D15</f>
        <v>10</v>
      </c>
      <c r="H18" s="123">
        <f>((AY18)*G18)/100</f>
        <v>180654.7</v>
      </c>
      <c r="I18" s="123">
        <f>'4.Cronograma Fisico PEP'!D15</f>
        <v>10</v>
      </c>
      <c r="J18" s="123">
        <f>((AZ18)*I18)/100</f>
        <v>1625892.6</v>
      </c>
      <c r="K18" s="123">
        <f>'4.Cronograma Fisico PEP'!E15</f>
        <v>25</v>
      </c>
      <c r="L18" s="123">
        <f t="shared" ref="L18" si="25">((AY18)*K18)/100</f>
        <v>451636.75</v>
      </c>
      <c r="M18" s="123">
        <f>'4.Cronograma Fisico PEP'!E15</f>
        <v>25</v>
      </c>
      <c r="N18" s="123">
        <f t="shared" ref="N18" si="26">((AZ18)*M18)/100</f>
        <v>4064731.5</v>
      </c>
      <c r="O18" s="123">
        <f>'4.Cronograma Fisico PEP'!F15</f>
        <v>25</v>
      </c>
      <c r="P18" s="123">
        <f t="shared" ref="P18" si="27">((AY18)*O18)/100</f>
        <v>451636.75</v>
      </c>
      <c r="Q18" s="123">
        <f>'4.Cronograma Fisico PEP'!F15</f>
        <v>25</v>
      </c>
      <c r="R18" s="123">
        <f t="shared" ref="R18" si="28">((AZ18)*Q18)/100</f>
        <v>4064731.5</v>
      </c>
      <c r="S18" s="123">
        <f>'4.Cronograma Fisico PEP'!G15</f>
        <v>20</v>
      </c>
      <c r="T18" s="123">
        <f>((AY18)*S18)/100</f>
        <v>361309.4</v>
      </c>
      <c r="U18" s="123">
        <f>'4.Cronograma Fisico PEP'!G15</f>
        <v>20</v>
      </c>
      <c r="V18" s="123">
        <f>((AZ18)*U18)/100</f>
        <v>3251785.2</v>
      </c>
      <c r="W18" s="123">
        <f>'4.Cronograma Fisico PEP'!H15</f>
        <v>20</v>
      </c>
      <c r="X18" s="123">
        <f>((AY18)*W18)/100</f>
        <v>361309.4</v>
      </c>
      <c r="Y18" s="123">
        <f>'4.Cronograma Fisico PEP'!H15</f>
        <v>20</v>
      </c>
      <c r="Z18" s="123">
        <f>((AZ18)*Y18)/100</f>
        <v>3251785.2</v>
      </c>
      <c r="AA18" s="123">
        <f>'4.Cronograma Fisico PEP'!I15</f>
        <v>0</v>
      </c>
      <c r="AB18" s="123">
        <f>((AY18)*AA18)/100</f>
        <v>0</v>
      </c>
      <c r="AC18" s="123">
        <f>'4.Cronograma Fisico PEP'!I15</f>
        <v>0</v>
      </c>
      <c r="AD18" s="123">
        <f>((AZ18)*AC18)/100</f>
        <v>0</v>
      </c>
      <c r="AE18" s="123">
        <f>'4.Cronograma Fisico PEP'!J15</f>
        <v>0</v>
      </c>
      <c r="AF18" s="123">
        <f t="shared" ref="AF18" si="29">((AY18)*AE18)/100</f>
        <v>0</v>
      </c>
      <c r="AG18" s="123">
        <f>'4.Cronograma Fisico PEP'!J15</f>
        <v>0</v>
      </c>
      <c r="AH18" s="123">
        <f>((AZ18)*AG18)/100</f>
        <v>0</v>
      </c>
      <c r="AI18" s="123">
        <f>'4.Cronograma Fisico PEP'!K15</f>
        <v>0</v>
      </c>
      <c r="AJ18" s="123">
        <f t="shared" ref="AJ18" si="30">((AY18)*AI18)/100</f>
        <v>0</v>
      </c>
      <c r="AK18" s="123">
        <f>'4.Cronograma Fisico PEP'!K15</f>
        <v>0</v>
      </c>
      <c r="AL18" s="123">
        <f t="shared" ref="AL18" si="31">((AZ18)*AK18)/100</f>
        <v>0</v>
      </c>
      <c r="AM18" s="123">
        <f>'4.Cronograma Fisico PEP'!L15</f>
        <v>0</v>
      </c>
      <c r="AN18" s="123">
        <f t="shared" ref="AN18" si="32">((AY18)*AM18)/100</f>
        <v>0</v>
      </c>
      <c r="AO18" s="123">
        <f>'4.Cronograma Fisico PEP'!L15</f>
        <v>0</v>
      </c>
      <c r="AP18" s="123">
        <f t="shared" ref="AP18" si="33">((AZ18)*AO18)/100</f>
        <v>0</v>
      </c>
      <c r="AQ18" s="152">
        <f>C18+G18+K18+O18+S18+W18+AA18+AE18+AI18+AM18</f>
        <v>100</v>
      </c>
      <c r="AR18" s="141">
        <f>'1.Usos&amp;Fontes'!C16</f>
        <v>9.9999983393736766E-2</v>
      </c>
      <c r="AS18" s="479">
        <f>D18+H18+L18+P18+T18+X18+AB18+AF18+AJ18+AN18</f>
        <v>1806547</v>
      </c>
      <c r="AT18" s="162">
        <f>'1.Usos&amp;Fontes'!F16</f>
        <v>0.90000001660626328</v>
      </c>
      <c r="AU18" s="176">
        <f>F18+J18+N18+R18+V18+Z18+AD18+AH18+AL18+AP18</f>
        <v>16258926</v>
      </c>
      <c r="AV18" s="163">
        <f>'1.Usos&amp;Fontes'!G16</f>
        <v>48776778</v>
      </c>
      <c r="AW18" s="180">
        <f>AS18+AU18</f>
        <v>18065473</v>
      </c>
      <c r="AX18" s="179">
        <f>'5.Cronograma Financeiro PEP '!AW18*'1.Usos&amp;Fontes'!$I$2</f>
        <v>54196419</v>
      </c>
      <c r="AY18" s="476">
        <f>'1.Usos&amp;Fontes'!E16</f>
        <v>1806547</v>
      </c>
      <c r="AZ18" s="112">
        <f>'1.Usos&amp;Fontes'!H16</f>
        <v>16258926</v>
      </c>
      <c r="BC18" s="112"/>
      <c r="BD18" s="112"/>
      <c r="BE18" s="112"/>
      <c r="BF18" s="112"/>
    </row>
    <row r="19" spans="1:58" ht="23.25" thickBot="1" x14ac:dyDescent="0.3">
      <c r="A19" s="121" t="str">
        <f>'1.Usos&amp;Fontes'!A17</f>
        <v>2.2</v>
      </c>
      <c r="B19" s="2" t="str">
        <f>'1.Usos&amp;Fontes'!B17</f>
        <v>Programa de capacitação e assistência técnica a cooperativas e catadores em Centros de Triagem por 2 anos, completando os 5 anos planejados.</v>
      </c>
      <c r="C19" s="123">
        <f>'4.Cronograma Fisico PEP'!C16</f>
        <v>0</v>
      </c>
      <c r="D19" s="123">
        <f t="shared" ref="D19:D28" si="34">((AY19)*C19)/100</f>
        <v>0</v>
      </c>
      <c r="E19" s="123">
        <f>'4.Cronograma Fisico PEP'!C16</f>
        <v>0</v>
      </c>
      <c r="F19" s="123">
        <f t="shared" ref="F19:F28" si="35">((AZ19)*E19)/100</f>
        <v>0</v>
      </c>
      <c r="G19" s="123">
        <f>'4.Cronograma Fisico PEP'!D16</f>
        <v>0</v>
      </c>
      <c r="H19" s="123">
        <f t="shared" ref="H19:H28" si="36">((AY19)*G19)/100</f>
        <v>0</v>
      </c>
      <c r="I19" s="123">
        <f>'4.Cronograma Fisico PEP'!D16</f>
        <v>0</v>
      </c>
      <c r="J19" s="123">
        <f t="shared" ref="J19:J28" si="37">((AZ19)*I19)/100</f>
        <v>0</v>
      </c>
      <c r="K19" s="123">
        <f>'4.Cronograma Fisico PEP'!E16</f>
        <v>25</v>
      </c>
      <c r="L19" s="123">
        <f t="shared" ref="L19:L28" si="38">((AY19)*K19)/100</f>
        <v>437500</v>
      </c>
      <c r="M19" s="123">
        <f>'4.Cronograma Fisico PEP'!E16</f>
        <v>25</v>
      </c>
      <c r="N19" s="123">
        <f t="shared" ref="N19:N28" si="39">((AZ19)*M19)/100</f>
        <v>187500</v>
      </c>
      <c r="O19" s="123">
        <f>'4.Cronograma Fisico PEP'!F16</f>
        <v>30</v>
      </c>
      <c r="P19" s="123">
        <f t="shared" ref="P19:P28" si="40">((AY19)*O19)/100</f>
        <v>525000</v>
      </c>
      <c r="Q19" s="123">
        <f>'4.Cronograma Fisico PEP'!F16</f>
        <v>30</v>
      </c>
      <c r="R19" s="123">
        <f t="shared" ref="R19:R28" si="41">((AZ19)*Q19)/100</f>
        <v>225000</v>
      </c>
      <c r="S19" s="123">
        <f>'4.Cronograma Fisico PEP'!G16</f>
        <v>7.5</v>
      </c>
      <c r="T19" s="123">
        <f t="shared" ref="T19:T28" si="42">((AY19)*S19)/100</f>
        <v>131250</v>
      </c>
      <c r="U19" s="123">
        <f>'4.Cronograma Fisico PEP'!G16</f>
        <v>7.5</v>
      </c>
      <c r="V19" s="123">
        <f t="shared" ref="V19:V28" si="43">((AZ19)*U19)/100</f>
        <v>56250</v>
      </c>
      <c r="W19" s="123">
        <f>'4.Cronograma Fisico PEP'!H16</f>
        <v>7.5</v>
      </c>
      <c r="X19" s="123">
        <f t="shared" ref="X19:X28" si="44">((AY19)*W19)/100</f>
        <v>131250</v>
      </c>
      <c r="Y19" s="123">
        <f>'4.Cronograma Fisico PEP'!H16</f>
        <v>7.5</v>
      </c>
      <c r="Z19" s="123">
        <f t="shared" ref="Z19:Z28" si="45">((AZ19)*Y19)/100</f>
        <v>56250</v>
      </c>
      <c r="AA19" s="123">
        <f>'4.Cronograma Fisico PEP'!I16</f>
        <v>7.5</v>
      </c>
      <c r="AB19" s="123">
        <f t="shared" ref="AB19:AB28" si="46">((AY19)*AA19)/100</f>
        <v>131250</v>
      </c>
      <c r="AC19" s="123">
        <f>'4.Cronograma Fisico PEP'!I16</f>
        <v>7.5</v>
      </c>
      <c r="AD19" s="123">
        <f t="shared" ref="AD19:AD28" si="47">((AZ19)*AC19)/100</f>
        <v>56250</v>
      </c>
      <c r="AE19" s="123">
        <f>'4.Cronograma Fisico PEP'!J16</f>
        <v>7.5</v>
      </c>
      <c r="AF19" s="123">
        <f t="shared" ref="AF19:AF28" si="48">((AY19)*AE19)/100</f>
        <v>131250</v>
      </c>
      <c r="AG19" s="123">
        <f>'4.Cronograma Fisico PEP'!J16</f>
        <v>7.5</v>
      </c>
      <c r="AH19" s="123">
        <f t="shared" ref="AH19:AH28" si="49">((AZ19)*AG19)/100</f>
        <v>56250</v>
      </c>
      <c r="AI19" s="123">
        <f>'4.Cronograma Fisico PEP'!K16</f>
        <v>7.5</v>
      </c>
      <c r="AJ19" s="123">
        <f t="shared" ref="AJ19:AJ28" si="50">((AY19)*AI19)/100</f>
        <v>131250</v>
      </c>
      <c r="AK19" s="123">
        <f>'4.Cronograma Fisico PEP'!K16</f>
        <v>7.5</v>
      </c>
      <c r="AL19" s="123">
        <f t="shared" ref="AL19:AL28" si="51">((AZ19)*AK19)/100</f>
        <v>56250</v>
      </c>
      <c r="AM19" s="123">
        <f>'4.Cronograma Fisico PEP'!L16</f>
        <v>7.5</v>
      </c>
      <c r="AN19" s="123">
        <f t="shared" ref="AN19:AN28" si="52">((AY19)*AM19)/100</f>
        <v>131250</v>
      </c>
      <c r="AO19" s="123">
        <f>'4.Cronograma Fisico PEP'!L16</f>
        <v>7.5</v>
      </c>
      <c r="AP19" s="123">
        <f t="shared" ref="AP19:AP28" si="53">((AZ19)*AO19)/100</f>
        <v>56250</v>
      </c>
      <c r="AQ19" s="152">
        <f t="shared" ref="AQ19:AQ28" si="54">C19+G19+K19+O19+S19+W19+AA19+AE19+AI19+AM19</f>
        <v>100</v>
      </c>
      <c r="AR19" s="141">
        <f>'1.Usos&amp;Fontes'!C17</f>
        <v>0.7</v>
      </c>
      <c r="AS19" s="124">
        <f>D19+H19+L19+P19+T19+X19+AB19+AF19+AJ19+AN19</f>
        <v>1750000</v>
      </c>
      <c r="AT19" s="162">
        <f>'1.Usos&amp;Fontes'!F17</f>
        <v>0.3</v>
      </c>
      <c r="AU19" s="176">
        <f t="shared" ref="AU19:AU27" si="55">F19+J19+N19+R19+V19+Z19+AD19+AH19+AL19+AP19</f>
        <v>750000</v>
      </c>
      <c r="AV19" s="163">
        <f>'1.Usos&amp;Fontes'!G17</f>
        <v>2250000</v>
      </c>
      <c r="AW19" s="180">
        <f t="shared" ref="AW19:AW27" si="56">AS19+AU19</f>
        <v>2500000</v>
      </c>
      <c r="AX19" s="179">
        <f>'5.Cronograma Financeiro PEP '!AW19*'1.Usos&amp;Fontes'!$I$2</f>
        <v>7500000</v>
      </c>
      <c r="AY19" s="476">
        <f>'1.Usos&amp;Fontes'!E17</f>
        <v>1750000</v>
      </c>
      <c r="AZ19" s="112">
        <f>'1.Usos&amp;Fontes'!H17</f>
        <v>750000</v>
      </c>
      <c r="BC19" s="7"/>
      <c r="BD19" s="7"/>
      <c r="BE19" s="51"/>
      <c r="BF19" s="7"/>
    </row>
    <row r="20" spans="1:58" ht="23.25" thickBot="1" x14ac:dyDescent="0.3">
      <c r="A20" s="121" t="str">
        <f>'1.Usos&amp;Fontes'!A18</f>
        <v>2.3</v>
      </c>
      <c r="B20" s="2" t="str">
        <f>'1.Usos&amp;Fontes'!B18</f>
        <v>Programa de capacitação e assistência Técnica dos Catadores que optarem para migração em outros setores da economia</v>
      </c>
      <c r="C20" s="123">
        <f>'4.Cronograma Fisico PEP'!C17</f>
        <v>0</v>
      </c>
      <c r="D20" s="123">
        <f t="shared" si="34"/>
        <v>0</v>
      </c>
      <c r="E20" s="123">
        <f>'4.Cronograma Fisico PEP'!C17</f>
        <v>0</v>
      </c>
      <c r="F20" s="123">
        <f t="shared" si="35"/>
        <v>0</v>
      </c>
      <c r="G20" s="123">
        <f>'4.Cronograma Fisico PEP'!D17</f>
        <v>0</v>
      </c>
      <c r="H20" s="123">
        <f t="shared" si="36"/>
        <v>0</v>
      </c>
      <c r="I20" s="123">
        <f>'4.Cronograma Fisico PEP'!D17</f>
        <v>0</v>
      </c>
      <c r="J20" s="123">
        <f t="shared" si="37"/>
        <v>0</v>
      </c>
      <c r="K20" s="123">
        <f>'4.Cronograma Fisico PEP'!E17</f>
        <v>25</v>
      </c>
      <c r="L20" s="123">
        <f t="shared" si="38"/>
        <v>42500</v>
      </c>
      <c r="M20" s="123">
        <f>'4.Cronograma Fisico PEP'!E17</f>
        <v>25</v>
      </c>
      <c r="N20" s="123">
        <f t="shared" si="39"/>
        <v>25000</v>
      </c>
      <c r="O20" s="123">
        <f>'4.Cronograma Fisico PEP'!F17</f>
        <v>30</v>
      </c>
      <c r="P20" s="123">
        <f t="shared" si="40"/>
        <v>51000</v>
      </c>
      <c r="Q20" s="123">
        <f>'4.Cronograma Fisico PEP'!F17</f>
        <v>30</v>
      </c>
      <c r="R20" s="123">
        <f t="shared" si="41"/>
        <v>30000</v>
      </c>
      <c r="S20" s="123">
        <f>'4.Cronograma Fisico PEP'!G17</f>
        <v>7.5</v>
      </c>
      <c r="T20" s="123">
        <f t="shared" si="42"/>
        <v>12750</v>
      </c>
      <c r="U20" s="123">
        <f>'4.Cronograma Fisico PEP'!G17</f>
        <v>7.5</v>
      </c>
      <c r="V20" s="123">
        <f t="shared" si="43"/>
        <v>7500</v>
      </c>
      <c r="W20" s="123">
        <f>'4.Cronograma Fisico PEP'!H17</f>
        <v>7.5</v>
      </c>
      <c r="X20" s="123">
        <f t="shared" si="44"/>
        <v>12750</v>
      </c>
      <c r="Y20" s="123">
        <f>'4.Cronograma Fisico PEP'!H17</f>
        <v>7.5</v>
      </c>
      <c r="Z20" s="123">
        <f t="shared" si="45"/>
        <v>7500</v>
      </c>
      <c r="AA20" s="123">
        <f>'4.Cronograma Fisico PEP'!I17</f>
        <v>7.5</v>
      </c>
      <c r="AB20" s="123">
        <f t="shared" si="46"/>
        <v>12750</v>
      </c>
      <c r="AC20" s="123">
        <f>'4.Cronograma Fisico PEP'!I17</f>
        <v>7.5</v>
      </c>
      <c r="AD20" s="123">
        <f t="shared" si="47"/>
        <v>7500</v>
      </c>
      <c r="AE20" s="123">
        <f>'4.Cronograma Fisico PEP'!J17</f>
        <v>7.5</v>
      </c>
      <c r="AF20" s="123">
        <f t="shared" si="48"/>
        <v>12750</v>
      </c>
      <c r="AG20" s="123">
        <f>'4.Cronograma Fisico PEP'!J17</f>
        <v>7.5</v>
      </c>
      <c r="AH20" s="123">
        <f t="shared" si="49"/>
        <v>7500</v>
      </c>
      <c r="AI20" s="123">
        <f>'4.Cronograma Fisico PEP'!K17</f>
        <v>7.5</v>
      </c>
      <c r="AJ20" s="123">
        <f t="shared" si="50"/>
        <v>12750</v>
      </c>
      <c r="AK20" s="123">
        <f>'4.Cronograma Fisico PEP'!K17</f>
        <v>7.5</v>
      </c>
      <c r="AL20" s="123">
        <f t="shared" si="51"/>
        <v>7500</v>
      </c>
      <c r="AM20" s="123">
        <f>'4.Cronograma Fisico PEP'!L17</f>
        <v>7.5</v>
      </c>
      <c r="AN20" s="123">
        <f t="shared" si="52"/>
        <v>12750</v>
      </c>
      <c r="AO20" s="123">
        <f>'4.Cronograma Fisico PEP'!L17</f>
        <v>7.5</v>
      </c>
      <c r="AP20" s="123">
        <f t="shared" si="53"/>
        <v>7500</v>
      </c>
      <c r="AQ20" s="152">
        <f t="shared" si="54"/>
        <v>100</v>
      </c>
      <c r="AR20" s="141">
        <f>'1.Usos&amp;Fontes'!C18</f>
        <v>0.62962962962962965</v>
      </c>
      <c r="AS20" s="124">
        <f t="shared" ref="AS20:AS27" si="57">D20+H20+L20+P20+T20+X20+AB20+AF20+AJ20+AN20</f>
        <v>170000</v>
      </c>
      <c r="AT20" s="162">
        <f>'1.Usos&amp;Fontes'!F18</f>
        <v>0.37037037037037035</v>
      </c>
      <c r="AU20" s="176">
        <f t="shared" si="55"/>
        <v>100000</v>
      </c>
      <c r="AV20" s="163">
        <f>'1.Usos&amp;Fontes'!G18</f>
        <v>300000</v>
      </c>
      <c r="AW20" s="180">
        <f t="shared" si="56"/>
        <v>270000</v>
      </c>
      <c r="AX20" s="179">
        <f>'5.Cronograma Financeiro PEP '!AW20*'1.Usos&amp;Fontes'!$I$2</f>
        <v>810000</v>
      </c>
      <c r="AY20" s="476">
        <f>'1.Usos&amp;Fontes'!E18</f>
        <v>170000</v>
      </c>
      <c r="AZ20" s="112">
        <f>'1.Usos&amp;Fontes'!H18</f>
        <v>100000</v>
      </c>
      <c r="BC20" s="7"/>
      <c r="BD20" s="7"/>
      <c r="BE20" s="51"/>
      <c r="BF20" s="7"/>
    </row>
    <row r="21" spans="1:58" ht="15.75" thickBot="1" x14ac:dyDescent="0.3">
      <c r="A21" s="121" t="str">
        <f>'1.Usos&amp;Fontes'!A19</f>
        <v>2.4</v>
      </c>
      <c r="B21" s="2" t="str">
        <f>'1.Usos&amp;Fontes'!B19</f>
        <v>Construção de Centros de Triagem</v>
      </c>
      <c r="C21" s="123">
        <f>'4.Cronograma Fisico PEP'!C18</f>
        <v>0</v>
      </c>
      <c r="D21" s="123">
        <f t="shared" si="34"/>
        <v>0</v>
      </c>
      <c r="E21" s="123">
        <f>'4.Cronograma Fisico PEP'!C18</f>
        <v>0</v>
      </c>
      <c r="F21" s="123">
        <f t="shared" si="35"/>
        <v>0</v>
      </c>
      <c r="G21" s="123">
        <f>'4.Cronograma Fisico PEP'!D18</f>
        <v>30</v>
      </c>
      <c r="H21" s="123">
        <f t="shared" si="36"/>
        <v>900000</v>
      </c>
      <c r="I21" s="123">
        <f>'4.Cronograma Fisico PEP'!D18</f>
        <v>30</v>
      </c>
      <c r="J21" s="123">
        <f t="shared" si="37"/>
        <v>1315121.7</v>
      </c>
      <c r="K21" s="123">
        <f>'4.Cronograma Fisico PEP'!E18</f>
        <v>30</v>
      </c>
      <c r="L21" s="123">
        <f t="shared" si="38"/>
        <v>900000</v>
      </c>
      <c r="M21" s="123">
        <f>'4.Cronograma Fisico PEP'!E18</f>
        <v>30</v>
      </c>
      <c r="N21" s="123">
        <f t="shared" si="39"/>
        <v>1315121.7</v>
      </c>
      <c r="O21" s="123">
        <f>'4.Cronograma Fisico PEP'!F18</f>
        <v>30</v>
      </c>
      <c r="P21" s="123">
        <f t="shared" si="40"/>
        <v>900000</v>
      </c>
      <c r="Q21" s="123">
        <f>'4.Cronograma Fisico PEP'!F18</f>
        <v>30</v>
      </c>
      <c r="R21" s="123">
        <f t="shared" si="41"/>
        <v>1315121.7</v>
      </c>
      <c r="S21" s="123">
        <f>'4.Cronograma Fisico PEP'!G18</f>
        <v>10</v>
      </c>
      <c r="T21" s="123">
        <f t="shared" si="42"/>
        <v>300000</v>
      </c>
      <c r="U21" s="123">
        <f>'4.Cronograma Fisico PEP'!G18</f>
        <v>10</v>
      </c>
      <c r="V21" s="123">
        <f t="shared" si="43"/>
        <v>438373.9</v>
      </c>
      <c r="W21" s="123">
        <f>'4.Cronograma Fisico PEP'!H18</f>
        <v>0</v>
      </c>
      <c r="X21" s="123">
        <f t="shared" si="44"/>
        <v>0</v>
      </c>
      <c r="Y21" s="123">
        <f>'4.Cronograma Fisico PEP'!H18</f>
        <v>0</v>
      </c>
      <c r="Z21" s="123">
        <f t="shared" si="45"/>
        <v>0</v>
      </c>
      <c r="AA21" s="123">
        <f>'4.Cronograma Fisico PEP'!I18</f>
        <v>0</v>
      </c>
      <c r="AB21" s="123">
        <f t="shared" si="46"/>
        <v>0</v>
      </c>
      <c r="AC21" s="123">
        <f>'4.Cronograma Fisico PEP'!I18</f>
        <v>0</v>
      </c>
      <c r="AD21" s="123">
        <f t="shared" si="47"/>
        <v>0</v>
      </c>
      <c r="AE21" s="123">
        <f>'4.Cronograma Fisico PEP'!J18</f>
        <v>0</v>
      </c>
      <c r="AF21" s="123">
        <f t="shared" si="48"/>
        <v>0</v>
      </c>
      <c r="AG21" s="123">
        <f>'4.Cronograma Fisico PEP'!J18</f>
        <v>0</v>
      </c>
      <c r="AH21" s="123">
        <f t="shared" si="49"/>
        <v>0</v>
      </c>
      <c r="AI21" s="123">
        <f>'4.Cronograma Fisico PEP'!K18</f>
        <v>0</v>
      </c>
      <c r="AJ21" s="123">
        <f t="shared" si="50"/>
        <v>0</v>
      </c>
      <c r="AK21" s="123">
        <f>'4.Cronograma Fisico PEP'!K18</f>
        <v>0</v>
      </c>
      <c r="AL21" s="123">
        <f t="shared" si="51"/>
        <v>0</v>
      </c>
      <c r="AM21" s="123">
        <f>'4.Cronograma Fisico PEP'!L18</f>
        <v>0</v>
      </c>
      <c r="AN21" s="123">
        <f t="shared" si="52"/>
        <v>0</v>
      </c>
      <c r="AO21" s="123">
        <f>'4.Cronograma Fisico PEP'!L18</f>
        <v>0</v>
      </c>
      <c r="AP21" s="123">
        <f t="shared" si="53"/>
        <v>0</v>
      </c>
      <c r="AQ21" s="152">
        <f t="shared" si="54"/>
        <v>100</v>
      </c>
      <c r="AR21" s="141">
        <f>'1.Usos&amp;Fontes'!C19</f>
        <v>0.40629821828750989</v>
      </c>
      <c r="AS21" s="124">
        <f t="shared" si="57"/>
        <v>3000000</v>
      </c>
      <c r="AT21" s="162">
        <f>'1.Usos&amp;Fontes'!F19</f>
        <v>0.59370178171249011</v>
      </c>
      <c r="AU21" s="177">
        <f t="shared" si="55"/>
        <v>4383739</v>
      </c>
      <c r="AV21" s="163">
        <f>'1.Usos&amp;Fontes'!G19</f>
        <v>13151217</v>
      </c>
      <c r="AW21" s="180">
        <f t="shared" si="56"/>
        <v>7383739</v>
      </c>
      <c r="AX21" s="179">
        <f>'5.Cronograma Financeiro PEP '!AW21*'1.Usos&amp;Fontes'!$I$2</f>
        <v>22151217</v>
      </c>
      <c r="AY21" s="476">
        <f>'1.Usos&amp;Fontes'!E19</f>
        <v>3000000</v>
      </c>
      <c r="AZ21" s="112">
        <f>'1.Usos&amp;Fontes'!H19</f>
        <v>4383739</v>
      </c>
      <c r="BC21" s="7"/>
      <c r="BD21" s="7"/>
      <c r="BE21" s="51"/>
      <c r="BF21" s="7"/>
    </row>
    <row r="22" spans="1:58" ht="15.75" thickBot="1" x14ac:dyDescent="0.3">
      <c r="A22" s="121" t="str">
        <f>'1.Usos&amp;Fontes'!A20</f>
        <v>2.5</v>
      </c>
      <c r="B22" s="2" t="str">
        <f>'1.Usos&amp;Fontes'!B20</f>
        <v>Reforma e recapacitação da  unidade  de Compostagem da  Asa Sul - L4</v>
      </c>
      <c r="C22" s="123">
        <f>'4.Cronograma Fisico PEP'!C19</f>
        <v>0</v>
      </c>
      <c r="D22" s="123">
        <f t="shared" si="34"/>
        <v>0</v>
      </c>
      <c r="E22" s="123">
        <f>'4.Cronograma Fisico PEP'!C19</f>
        <v>0</v>
      </c>
      <c r="F22" s="123">
        <f t="shared" si="35"/>
        <v>0</v>
      </c>
      <c r="G22" s="123">
        <f>'4.Cronograma Fisico PEP'!D19</f>
        <v>10</v>
      </c>
      <c r="H22" s="123">
        <f t="shared" si="36"/>
        <v>61168.7</v>
      </c>
      <c r="I22" s="123">
        <f>'4.Cronograma Fisico PEP'!D19</f>
        <v>10</v>
      </c>
      <c r="J22" s="123">
        <f t="shared" si="37"/>
        <v>1058309.8999999999</v>
      </c>
      <c r="K22" s="123">
        <f>'4.Cronograma Fisico PEP'!E19</f>
        <v>25</v>
      </c>
      <c r="L22" s="123">
        <f t="shared" si="38"/>
        <v>152921.75</v>
      </c>
      <c r="M22" s="123">
        <f>'4.Cronograma Fisico PEP'!E19</f>
        <v>25</v>
      </c>
      <c r="N22" s="123">
        <f t="shared" si="39"/>
        <v>2645774.75</v>
      </c>
      <c r="O22" s="123">
        <f>'4.Cronograma Fisico PEP'!F19</f>
        <v>25</v>
      </c>
      <c r="P22" s="123">
        <f t="shared" si="40"/>
        <v>152921.75</v>
      </c>
      <c r="Q22" s="123">
        <f>'4.Cronograma Fisico PEP'!F19</f>
        <v>25</v>
      </c>
      <c r="R22" s="123">
        <f t="shared" si="41"/>
        <v>2645774.75</v>
      </c>
      <c r="S22" s="123">
        <f>'4.Cronograma Fisico PEP'!G19</f>
        <v>20</v>
      </c>
      <c r="T22" s="123">
        <f t="shared" si="42"/>
        <v>122337.4</v>
      </c>
      <c r="U22" s="123">
        <f>'4.Cronograma Fisico PEP'!G19</f>
        <v>20</v>
      </c>
      <c r="V22" s="123">
        <f t="shared" si="43"/>
        <v>2116619.7999999998</v>
      </c>
      <c r="W22" s="123">
        <f>'4.Cronograma Fisico PEP'!H19</f>
        <v>20</v>
      </c>
      <c r="X22" s="123">
        <f t="shared" si="44"/>
        <v>122337.4</v>
      </c>
      <c r="Y22" s="123">
        <f>'4.Cronograma Fisico PEP'!H19</f>
        <v>20</v>
      </c>
      <c r="Z22" s="123">
        <f t="shared" si="45"/>
        <v>2116619.7999999998</v>
      </c>
      <c r="AA22" s="123">
        <f>'4.Cronograma Fisico PEP'!I19</f>
        <v>0</v>
      </c>
      <c r="AB22" s="123">
        <f t="shared" si="46"/>
        <v>0</v>
      </c>
      <c r="AC22" s="123">
        <f>'4.Cronograma Fisico PEP'!I19</f>
        <v>0</v>
      </c>
      <c r="AD22" s="123">
        <f t="shared" si="47"/>
        <v>0</v>
      </c>
      <c r="AE22" s="123">
        <f>'4.Cronograma Fisico PEP'!J19</f>
        <v>0</v>
      </c>
      <c r="AF22" s="123">
        <f t="shared" si="48"/>
        <v>0</v>
      </c>
      <c r="AG22" s="123">
        <f>'4.Cronograma Fisico PEP'!J19</f>
        <v>0</v>
      </c>
      <c r="AH22" s="123">
        <f t="shared" si="49"/>
        <v>0</v>
      </c>
      <c r="AI22" s="123">
        <f>'4.Cronograma Fisico PEP'!K19</f>
        <v>0</v>
      </c>
      <c r="AJ22" s="123">
        <f t="shared" si="50"/>
        <v>0</v>
      </c>
      <c r="AK22" s="123">
        <f>'4.Cronograma Fisico PEP'!K19</f>
        <v>0</v>
      </c>
      <c r="AL22" s="123">
        <f t="shared" si="51"/>
        <v>0</v>
      </c>
      <c r="AM22" s="123">
        <f>'4.Cronograma Fisico PEP'!L19</f>
        <v>0</v>
      </c>
      <c r="AN22" s="123">
        <f t="shared" si="52"/>
        <v>0</v>
      </c>
      <c r="AO22" s="123">
        <f>'4.Cronograma Fisico PEP'!L19</f>
        <v>0</v>
      </c>
      <c r="AP22" s="123">
        <f t="shared" si="53"/>
        <v>0</v>
      </c>
      <c r="AQ22" s="152">
        <f t="shared" si="54"/>
        <v>100</v>
      </c>
      <c r="AR22" s="141">
        <f>'1.Usos&amp;Fontes'!C20</f>
        <v>5.4640347747603214E-2</v>
      </c>
      <c r="AS22" s="124">
        <f t="shared" si="57"/>
        <v>611687</v>
      </c>
      <c r="AT22" s="162">
        <f>'1.Usos&amp;Fontes'!F20</f>
        <v>0.94535965225239682</v>
      </c>
      <c r="AU22" s="176">
        <f t="shared" si="55"/>
        <v>10583099</v>
      </c>
      <c r="AV22" s="163">
        <f>'1.Usos&amp;Fontes'!G20</f>
        <v>31749297</v>
      </c>
      <c r="AW22" s="180">
        <f>AS22+AU22</f>
        <v>11194786</v>
      </c>
      <c r="AX22" s="179">
        <f>'5.Cronograma Financeiro PEP '!AW22*'1.Usos&amp;Fontes'!$I$2</f>
        <v>33584358</v>
      </c>
      <c r="AY22" s="476">
        <f>'1.Usos&amp;Fontes'!E20</f>
        <v>611687</v>
      </c>
      <c r="AZ22" s="112">
        <f>'1.Usos&amp;Fontes'!H20</f>
        <v>10583099</v>
      </c>
      <c r="BC22" s="7"/>
      <c r="BD22" s="7"/>
      <c r="BE22" s="51"/>
      <c r="BF22" s="7"/>
    </row>
    <row r="23" spans="1:58" ht="15.75" thickBot="1" x14ac:dyDescent="0.3">
      <c r="A23" s="121" t="str">
        <f>'1.Usos&amp;Fontes'!A21</f>
        <v>2.6</v>
      </c>
      <c r="B23" s="2" t="str">
        <f>'1.Usos&amp;Fontes'!B21</f>
        <v>Apoio ao Sistema de gestão dos resíduos sólidos do SLU</v>
      </c>
      <c r="C23" s="123">
        <f>'4.Cronograma Fisico PEP'!C20</f>
        <v>0</v>
      </c>
      <c r="D23" s="123">
        <f t="shared" si="34"/>
        <v>0</v>
      </c>
      <c r="E23" s="123">
        <f>'4.Cronograma Fisico PEP'!C20</f>
        <v>0</v>
      </c>
      <c r="F23" s="123">
        <f t="shared" si="35"/>
        <v>0</v>
      </c>
      <c r="G23" s="123">
        <f>'4.Cronograma Fisico PEP'!D20</f>
        <v>20</v>
      </c>
      <c r="H23" s="123">
        <f t="shared" si="36"/>
        <v>0</v>
      </c>
      <c r="I23" s="123">
        <f>'4.Cronograma Fisico PEP'!D20</f>
        <v>20</v>
      </c>
      <c r="J23" s="123">
        <f t="shared" si="37"/>
        <v>1200000</v>
      </c>
      <c r="K23" s="123">
        <f>'4.Cronograma Fisico PEP'!E20</f>
        <v>10</v>
      </c>
      <c r="L23" s="123">
        <f t="shared" si="38"/>
        <v>0</v>
      </c>
      <c r="M23" s="123">
        <f>'4.Cronograma Fisico PEP'!E20</f>
        <v>10</v>
      </c>
      <c r="N23" s="123">
        <f t="shared" si="39"/>
        <v>600000</v>
      </c>
      <c r="O23" s="123">
        <f>'4.Cronograma Fisico PEP'!F20</f>
        <v>10</v>
      </c>
      <c r="P23" s="123">
        <f t="shared" si="40"/>
        <v>0</v>
      </c>
      <c r="Q23" s="123">
        <f>'4.Cronograma Fisico PEP'!F20</f>
        <v>10</v>
      </c>
      <c r="R23" s="123">
        <f t="shared" si="41"/>
        <v>600000</v>
      </c>
      <c r="S23" s="123">
        <f>'4.Cronograma Fisico PEP'!G20</f>
        <v>10</v>
      </c>
      <c r="T23" s="123">
        <f t="shared" si="42"/>
        <v>0</v>
      </c>
      <c r="U23" s="123">
        <f>'4.Cronograma Fisico PEP'!G20</f>
        <v>10</v>
      </c>
      <c r="V23" s="123">
        <f t="shared" si="43"/>
        <v>600000</v>
      </c>
      <c r="W23" s="123">
        <f>'4.Cronograma Fisico PEP'!H20</f>
        <v>10</v>
      </c>
      <c r="X23" s="123">
        <f t="shared" si="44"/>
        <v>0</v>
      </c>
      <c r="Y23" s="123">
        <f>'4.Cronograma Fisico PEP'!H20</f>
        <v>10</v>
      </c>
      <c r="Z23" s="123">
        <f t="shared" si="45"/>
        <v>600000</v>
      </c>
      <c r="AA23" s="123">
        <f>'4.Cronograma Fisico PEP'!I20</f>
        <v>10</v>
      </c>
      <c r="AB23" s="123">
        <f t="shared" si="46"/>
        <v>0</v>
      </c>
      <c r="AC23" s="123">
        <f>'4.Cronograma Fisico PEP'!I20</f>
        <v>10</v>
      </c>
      <c r="AD23" s="123">
        <f t="shared" si="47"/>
        <v>600000</v>
      </c>
      <c r="AE23" s="123">
        <f>'4.Cronograma Fisico PEP'!J20</f>
        <v>10</v>
      </c>
      <c r="AF23" s="123">
        <f t="shared" si="48"/>
        <v>0</v>
      </c>
      <c r="AG23" s="123">
        <f>'4.Cronograma Fisico PEP'!J20</f>
        <v>10</v>
      </c>
      <c r="AH23" s="123">
        <f t="shared" si="49"/>
        <v>600000</v>
      </c>
      <c r="AI23" s="123">
        <f>'4.Cronograma Fisico PEP'!K20</f>
        <v>10</v>
      </c>
      <c r="AJ23" s="123">
        <f t="shared" si="50"/>
        <v>0</v>
      </c>
      <c r="AK23" s="123">
        <f>'4.Cronograma Fisico PEP'!K20</f>
        <v>10</v>
      </c>
      <c r="AL23" s="123">
        <f t="shared" si="51"/>
        <v>600000</v>
      </c>
      <c r="AM23" s="123">
        <f>'4.Cronograma Fisico PEP'!L20</f>
        <v>10</v>
      </c>
      <c r="AN23" s="123">
        <f t="shared" si="52"/>
        <v>0</v>
      </c>
      <c r="AO23" s="123">
        <f>'4.Cronograma Fisico PEP'!L20</f>
        <v>10</v>
      </c>
      <c r="AP23" s="123">
        <f t="shared" si="53"/>
        <v>600000</v>
      </c>
      <c r="AQ23" s="152">
        <f t="shared" si="54"/>
        <v>100</v>
      </c>
      <c r="AR23" s="141">
        <f>'1.Usos&amp;Fontes'!C21</f>
        <v>0</v>
      </c>
      <c r="AS23" s="124">
        <f t="shared" si="57"/>
        <v>0</v>
      </c>
      <c r="AT23" s="162">
        <f>'1.Usos&amp;Fontes'!F21</f>
        <v>1</v>
      </c>
      <c r="AU23" s="176">
        <f t="shared" si="55"/>
        <v>6000000</v>
      </c>
      <c r="AV23" s="163">
        <f>'1.Usos&amp;Fontes'!G21</f>
        <v>18000000</v>
      </c>
      <c r="AW23" s="180">
        <f t="shared" si="56"/>
        <v>6000000</v>
      </c>
      <c r="AX23" s="179">
        <f>'5.Cronograma Financeiro PEP '!AW23*'1.Usos&amp;Fontes'!$I$2</f>
        <v>18000000</v>
      </c>
      <c r="AY23" s="476">
        <f>'1.Usos&amp;Fontes'!E21</f>
        <v>0</v>
      </c>
      <c r="AZ23" s="112">
        <f>'1.Usos&amp;Fontes'!H21</f>
        <v>6000000</v>
      </c>
      <c r="BC23" s="7"/>
      <c r="BD23" s="7"/>
      <c r="BE23" s="51"/>
      <c r="BF23" s="7"/>
    </row>
    <row r="24" spans="1:58" ht="15.75" thickBot="1" x14ac:dyDescent="0.3">
      <c r="A24" s="121" t="str">
        <f>'1.Usos&amp;Fontes'!A22</f>
        <v>2.7</v>
      </c>
      <c r="B24" s="2" t="str">
        <f>'1.Usos&amp;Fontes'!B22</f>
        <v>Elaboração de projetos  para centro de transbordo</v>
      </c>
      <c r="C24" s="123">
        <f>'4.Cronograma Fisico PEP'!C21</f>
        <v>0</v>
      </c>
      <c r="D24" s="123">
        <f t="shared" si="34"/>
        <v>0</v>
      </c>
      <c r="E24" s="123">
        <f>'4.Cronograma Fisico PEP'!C21</f>
        <v>0</v>
      </c>
      <c r="F24" s="123">
        <f t="shared" si="35"/>
        <v>0</v>
      </c>
      <c r="G24" s="123">
        <f>'4.Cronograma Fisico PEP'!D21</f>
        <v>100</v>
      </c>
      <c r="H24" s="123">
        <f t="shared" si="36"/>
        <v>70000</v>
      </c>
      <c r="I24" s="123">
        <f>'4.Cronograma Fisico PEP'!D21</f>
        <v>100</v>
      </c>
      <c r="J24" s="123">
        <f t="shared" si="37"/>
        <v>230000</v>
      </c>
      <c r="K24" s="123">
        <f>'4.Cronograma Fisico PEP'!E21</f>
        <v>0</v>
      </c>
      <c r="L24" s="123">
        <f t="shared" si="38"/>
        <v>0</v>
      </c>
      <c r="M24" s="123">
        <f>'4.Cronograma Fisico PEP'!E21</f>
        <v>0</v>
      </c>
      <c r="N24" s="123">
        <f t="shared" si="39"/>
        <v>0</v>
      </c>
      <c r="O24" s="123">
        <f>'4.Cronograma Fisico PEP'!F21</f>
        <v>0</v>
      </c>
      <c r="P24" s="123">
        <f t="shared" si="40"/>
        <v>0</v>
      </c>
      <c r="Q24" s="123">
        <f>'4.Cronograma Fisico PEP'!F21</f>
        <v>0</v>
      </c>
      <c r="R24" s="123">
        <f t="shared" si="41"/>
        <v>0</v>
      </c>
      <c r="S24" s="123">
        <f>'4.Cronograma Fisico PEP'!G21</f>
        <v>0</v>
      </c>
      <c r="T24" s="123">
        <f t="shared" si="42"/>
        <v>0</v>
      </c>
      <c r="U24" s="123">
        <f>'4.Cronograma Fisico PEP'!G21</f>
        <v>0</v>
      </c>
      <c r="V24" s="123">
        <f t="shared" si="43"/>
        <v>0</v>
      </c>
      <c r="W24" s="123">
        <f>'4.Cronograma Fisico PEP'!H21</f>
        <v>0</v>
      </c>
      <c r="X24" s="123">
        <f t="shared" si="44"/>
        <v>0</v>
      </c>
      <c r="Y24" s="123">
        <f>'4.Cronograma Fisico PEP'!H21</f>
        <v>0</v>
      </c>
      <c r="Z24" s="123">
        <f t="shared" si="45"/>
        <v>0</v>
      </c>
      <c r="AA24" s="123">
        <f>'4.Cronograma Fisico PEP'!I21</f>
        <v>0</v>
      </c>
      <c r="AB24" s="123">
        <f t="shared" si="46"/>
        <v>0</v>
      </c>
      <c r="AC24" s="123">
        <f>'4.Cronograma Fisico PEP'!I21</f>
        <v>0</v>
      </c>
      <c r="AD24" s="123">
        <f t="shared" si="47"/>
        <v>0</v>
      </c>
      <c r="AE24" s="123">
        <f>'4.Cronograma Fisico PEP'!J21</f>
        <v>0</v>
      </c>
      <c r="AF24" s="123">
        <f t="shared" si="48"/>
        <v>0</v>
      </c>
      <c r="AG24" s="123">
        <f>'4.Cronograma Fisico PEP'!J21</f>
        <v>0</v>
      </c>
      <c r="AH24" s="123">
        <f t="shared" si="49"/>
        <v>0</v>
      </c>
      <c r="AI24" s="123">
        <f>'4.Cronograma Fisico PEP'!K21</f>
        <v>0</v>
      </c>
      <c r="AJ24" s="123">
        <f t="shared" si="50"/>
        <v>0</v>
      </c>
      <c r="AK24" s="123">
        <f>'4.Cronograma Fisico PEP'!K21</f>
        <v>0</v>
      </c>
      <c r="AL24" s="123">
        <f t="shared" si="51"/>
        <v>0</v>
      </c>
      <c r="AM24" s="123">
        <f>'4.Cronograma Fisico PEP'!L21</f>
        <v>0</v>
      </c>
      <c r="AN24" s="123">
        <f t="shared" si="52"/>
        <v>0</v>
      </c>
      <c r="AO24" s="123">
        <f>'4.Cronograma Fisico PEP'!L21</f>
        <v>0</v>
      </c>
      <c r="AP24" s="123">
        <f t="shared" si="53"/>
        <v>0</v>
      </c>
      <c r="AQ24" s="152">
        <f t="shared" si="54"/>
        <v>100</v>
      </c>
      <c r="AR24" s="141">
        <f>'1.Usos&amp;Fontes'!C22</f>
        <v>0.23333333333333334</v>
      </c>
      <c r="AS24" s="124">
        <f t="shared" si="57"/>
        <v>70000</v>
      </c>
      <c r="AT24" s="162">
        <f>'1.Usos&amp;Fontes'!F22</f>
        <v>0.76666666666666672</v>
      </c>
      <c r="AU24" s="176">
        <f t="shared" si="55"/>
        <v>230000</v>
      </c>
      <c r="AV24" s="163">
        <f>'1.Usos&amp;Fontes'!G22</f>
        <v>690000</v>
      </c>
      <c r="AW24" s="180">
        <f t="shared" si="56"/>
        <v>300000</v>
      </c>
      <c r="AX24" s="179">
        <f>'5.Cronograma Financeiro PEP '!AW24*'1.Usos&amp;Fontes'!$I$2</f>
        <v>900000</v>
      </c>
      <c r="AY24" s="476">
        <f>'1.Usos&amp;Fontes'!E22</f>
        <v>70000</v>
      </c>
      <c r="AZ24" s="112">
        <f>'1.Usos&amp;Fontes'!H22</f>
        <v>230000</v>
      </c>
      <c r="BC24" s="7"/>
      <c r="BD24" s="7"/>
      <c r="BE24" s="51"/>
      <c r="BF24" s="7"/>
    </row>
    <row r="25" spans="1:58" s="432" customFormat="1" ht="15.75" thickBot="1" x14ac:dyDescent="0.3">
      <c r="A25" s="523" t="str">
        <f>'1.Usos&amp;Fontes'!A23</f>
        <v>2.8</v>
      </c>
      <c r="B25" s="524" t="str">
        <f>'1.Usos&amp;Fontes'!B23</f>
        <v>Fechamento do lixão do Jóquei e Recuperação Ambiental</v>
      </c>
      <c r="C25" s="206">
        <f>'4.Cronograma Fisico PEP'!C22</f>
        <v>0</v>
      </c>
      <c r="D25" s="206">
        <f t="shared" si="34"/>
        <v>0</v>
      </c>
      <c r="E25" s="206">
        <f>'4.Cronograma Fisico PEP'!C22</f>
        <v>0</v>
      </c>
      <c r="F25" s="206">
        <f>((AZ25)*E25)/100</f>
        <v>0</v>
      </c>
      <c r="G25" s="206">
        <f>'4.Cronograma Fisico PEP'!D22</f>
        <v>20</v>
      </c>
      <c r="H25" s="206">
        <f t="shared" si="36"/>
        <v>2248100</v>
      </c>
      <c r="I25" s="206">
        <f>'4.Cronograma Fisico PEP'!D22</f>
        <v>20</v>
      </c>
      <c r="J25" s="206">
        <f t="shared" si="37"/>
        <v>0</v>
      </c>
      <c r="K25" s="206">
        <f>'4.Cronograma Fisico PEP'!E22</f>
        <v>10</v>
      </c>
      <c r="L25" s="206">
        <f t="shared" si="38"/>
        <v>1124050</v>
      </c>
      <c r="M25" s="206">
        <f>'4.Cronograma Fisico PEP'!E22</f>
        <v>10</v>
      </c>
      <c r="N25" s="206">
        <f t="shared" si="39"/>
        <v>0</v>
      </c>
      <c r="O25" s="206">
        <f>'4.Cronograma Fisico PEP'!F22</f>
        <v>10</v>
      </c>
      <c r="P25" s="206">
        <f t="shared" si="40"/>
        <v>1124050</v>
      </c>
      <c r="Q25" s="206">
        <f>'4.Cronograma Fisico PEP'!F22</f>
        <v>10</v>
      </c>
      <c r="R25" s="206">
        <f t="shared" si="41"/>
        <v>0</v>
      </c>
      <c r="S25" s="206">
        <f>'4.Cronograma Fisico PEP'!G22</f>
        <v>10</v>
      </c>
      <c r="T25" s="206">
        <f t="shared" si="42"/>
        <v>1124050</v>
      </c>
      <c r="U25" s="206">
        <f>'4.Cronograma Fisico PEP'!G22</f>
        <v>10</v>
      </c>
      <c r="V25" s="206">
        <f t="shared" si="43"/>
        <v>0</v>
      </c>
      <c r="W25" s="206">
        <f>'4.Cronograma Fisico PEP'!H22</f>
        <v>10</v>
      </c>
      <c r="X25" s="206">
        <f t="shared" si="44"/>
        <v>1124050</v>
      </c>
      <c r="Y25" s="206">
        <f>'4.Cronograma Fisico PEP'!H22</f>
        <v>10</v>
      </c>
      <c r="Z25" s="206">
        <f t="shared" si="45"/>
        <v>0</v>
      </c>
      <c r="AA25" s="206">
        <f>'4.Cronograma Fisico PEP'!I22</f>
        <v>10</v>
      </c>
      <c r="AB25" s="206">
        <f t="shared" si="46"/>
        <v>1124050</v>
      </c>
      <c r="AC25" s="206">
        <f>'4.Cronograma Fisico PEP'!I22</f>
        <v>10</v>
      </c>
      <c r="AD25" s="206">
        <f t="shared" si="47"/>
        <v>0</v>
      </c>
      <c r="AE25" s="206">
        <f>'4.Cronograma Fisico PEP'!J22</f>
        <v>10</v>
      </c>
      <c r="AF25" s="206">
        <f>((AY25)*AE25)/100</f>
        <v>1124050</v>
      </c>
      <c r="AG25" s="206">
        <f>'4.Cronograma Fisico PEP'!J22</f>
        <v>10</v>
      </c>
      <c r="AH25" s="206">
        <f>((AZ25)*AG25)/100</f>
        <v>0</v>
      </c>
      <c r="AI25" s="206">
        <f>'4.Cronograma Fisico PEP'!K22</f>
        <v>10</v>
      </c>
      <c r="AJ25" s="206">
        <f>((AY25)*AI25)/100</f>
        <v>1124050</v>
      </c>
      <c r="AK25" s="206">
        <f>'4.Cronograma Fisico PEP'!K22</f>
        <v>10</v>
      </c>
      <c r="AL25" s="206">
        <f>((AZ25)*AK25)/100</f>
        <v>0</v>
      </c>
      <c r="AM25" s="206">
        <f>'4.Cronograma Fisico PEP'!L22</f>
        <v>10</v>
      </c>
      <c r="AN25" s="206">
        <f>((AY25)*AM25)/100</f>
        <v>1124050</v>
      </c>
      <c r="AO25" s="206">
        <f>'4.Cronograma Fisico PEP'!L22</f>
        <v>10</v>
      </c>
      <c r="AP25" s="206">
        <f>((AZ25)*AO25)/100</f>
        <v>0</v>
      </c>
      <c r="AQ25" s="442">
        <f>C25+G25+K25+O25+S25+W25+AA25+AE25+AI25+AM25</f>
        <v>100</v>
      </c>
      <c r="AR25" s="496">
        <f>'1.Usos&amp;Fontes'!C23</f>
        <v>1</v>
      </c>
      <c r="AS25" s="525">
        <f>D25+H25+L25+P25+T25+X25+AB25+AF25+AJ25+AN25</f>
        <v>11240500</v>
      </c>
      <c r="AT25" s="497">
        <f>'1.Usos&amp;Fontes'!F23</f>
        <v>0</v>
      </c>
      <c r="AU25" s="526">
        <f t="shared" si="55"/>
        <v>0</v>
      </c>
      <c r="AV25" s="527">
        <f>'1.Usos&amp;Fontes'!G23</f>
        <v>0</v>
      </c>
      <c r="AW25" s="528">
        <f t="shared" si="56"/>
        <v>11240500</v>
      </c>
      <c r="AX25" s="529">
        <f>'5.Cronograma Financeiro PEP '!AW25*'1.Usos&amp;Fontes'!$I$2</f>
        <v>33721500</v>
      </c>
      <c r="AY25" s="530">
        <f>'1.Usos&amp;Fontes'!E23</f>
        <v>11240500</v>
      </c>
      <c r="AZ25" s="435">
        <f>'1.Usos&amp;Fontes'!H23</f>
        <v>0</v>
      </c>
      <c r="BC25" s="435"/>
      <c r="BD25" s="435"/>
      <c r="BE25" s="435"/>
      <c r="BF25" s="435"/>
    </row>
    <row r="26" spans="1:58" s="430" customFormat="1" ht="15.75" thickBot="1" x14ac:dyDescent="0.3">
      <c r="A26" s="101" t="str">
        <f>'1.Usos&amp;Fontes'!A24</f>
        <v>2.9</v>
      </c>
      <c r="B26" s="20" t="str">
        <f>'1.Usos&amp;Fontes'!B24</f>
        <v xml:space="preserve"> Projeto de Educação Ambiental para a Coleta Seletiva</v>
      </c>
      <c r="C26" s="123">
        <f>'4.Cronograma Fisico PEP'!C23</f>
        <v>0</v>
      </c>
      <c r="D26" s="123">
        <f>((AY26)*C26)/100</f>
        <v>0</v>
      </c>
      <c r="E26" s="123">
        <f>'4.Cronograma Fisico PEP'!C23</f>
        <v>0</v>
      </c>
      <c r="F26" s="123">
        <f>((AZ26)*E26)/100</f>
        <v>0</v>
      </c>
      <c r="G26" s="123">
        <f>'4.Cronograma Fisico PEP'!D23</f>
        <v>10</v>
      </c>
      <c r="H26" s="123">
        <f>((AY26)*G26)/100</f>
        <v>316300</v>
      </c>
      <c r="I26" s="123">
        <f>'4.Cronograma Fisico PEP'!D23</f>
        <v>10</v>
      </c>
      <c r="J26" s="123">
        <f>((AZ26)*I26)/100</f>
        <v>250000</v>
      </c>
      <c r="K26" s="123">
        <f>'4.Cronograma Fisico PEP'!E23</f>
        <v>22.5</v>
      </c>
      <c r="L26" s="123">
        <f>((AY26)*K26)/100</f>
        <v>711675</v>
      </c>
      <c r="M26" s="123">
        <f>'4.Cronograma Fisico PEP'!E23</f>
        <v>22.5</v>
      </c>
      <c r="N26" s="123">
        <f>((AZ26)*M26)/100</f>
        <v>562500</v>
      </c>
      <c r="O26" s="123">
        <f>'4.Cronograma Fisico PEP'!F23</f>
        <v>30</v>
      </c>
      <c r="P26" s="123">
        <f>((AY26)*O26)/100</f>
        <v>948900</v>
      </c>
      <c r="Q26" s="123">
        <f>'4.Cronograma Fisico PEP'!F23</f>
        <v>30</v>
      </c>
      <c r="R26" s="123">
        <f>((AZ26)*Q26)/100</f>
        <v>750000</v>
      </c>
      <c r="S26" s="123">
        <f>'4.Cronograma Fisico PEP'!G23</f>
        <v>6.25</v>
      </c>
      <c r="T26" s="123">
        <f>((AY26)*S26)/100</f>
        <v>197687.5</v>
      </c>
      <c r="U26" s="123">
        <f>'4.Cronograma Fisico PEP'!G23</f>
        <v>6.25</v>
      </c>
      <c r="V26" s="123">
        <f>((AZ26)*U26)/100</f>
        <v>156250</v>
      </c>
      <c r="W26" s="123">
        <f>'4.Cronograma Fisico PEP'!H23</f>
        <v>6.25</v>
      </c>
      <c r="X26" s="123">
        <f>((AY26)*W26)/100</f>
        <v>197687.5</v>
      </c>
      <c r="Y26" s="123">
        <f>'4.Cronograma Fisico PEP'!H23</f>
        <v>6.25</v>
      </c>
      <c r="Z26" s="123">
        <f>((AZ26)*Y26)/100</f>
        <v>156250</v>
      </c>
      <c r="AA26" s="123">
        <f>'4.Cronograma Fisico PEP'!I23</f>
        <v>6.25</v>
      </c>
      <c r="AB26" s="123">
        <f>((AY26)*AA26)/100</f>
        <v>197687.5</v>
      </c>
      <c r="AC26" s="123">
        <f>'4.Cronograma Fisico PEP'!I23</f>
        <v>6.25</v>
      </c>
      <c r="AD26" s="123">
        <f>((AZ26)*AC26)/100</f>
        <v>156250</v>
      </c>
      <c r="AE26" s="123">
        <f>'4.Cronograma Fisico PEP'!J23</f>
        <v>6.25</v>
      </c>
      <c r="AF26" s="123">
        <f>((AY26)*AE26)/100</f>
        <v>197687.5</v>
      </c>
      <c r="AG26" s="123">
        <f>'4.Cronograma Fisico PEP'!J23</f>
        <v>6.25</v>
      </c>
      <c r="AH26" s="123">
        <f>((AZ26)*AG26)/100</f>
        <v>156250</v>
      </c>
      <c r="AI26" s="123">
        <f>'4.Cronograma Fisico PEP'!K23</f>
        <v>6.25</v>
      </c>
      <c r="AJ26" s="123">
        <f>((AY26)*AI26)/100</f>
        <v>197687.5</v>
      </c>
      <c r="AK26" s="123">
        <f>'4.Cronograma Fisico PEP'!K23</f>
        <v>6.25</v>
      </c>
      <c r="AL26" s="123">
        <f>((AZ26)*AK26)/100</f>
        <v>156250</v>
      </c>
      <c r="AM26" s="123">
        <f>'4.Cronograma Fisico PEP'!L23</f>
        <v>6.25</v>
      </c>
      <c r="AN26" s="123">
        <f>((AY26)*AM26)/100</f>
        <v>197687.5</v>
      </c>
      <c r="AO26" s="123">
        <f>'4.Cronograma Fisico PEP'!L23</f>
        <v>6.25</v>
      </c>
      <c r="AP26" s="123">
        <f>((AZ26)*AO26)/100</f>
        <v>156250</v>
      </c>
      <c r="AQ26" s="152">
        <f t="shared" si="54"/>
        <v>100</v>
      </c>
      <c r="AR26" s="141">
        <f>'1.Usos&amp;Fontes'!C24</f>
        <v>0.55853787745011474</v>
      </c>
      <c r="AS26" s="484">
        <f t="shared" si="57"/>
        <v>3163000</v>
      </c>
      <c r="AT26" s="162">
        <f>'1.Usos&amp;Fontes'!F24</f>
        <v>0.44146212254988521</v>
      </c>
      <c r="AU26" s="485">
        <f t="shared" si="55"/>
        <v>2500000</v>
      </c>
      <c r="AV26" s="163">
        <f>'1.Usos&amp;Fontes'!G24</f>
        <v>7500000</v>
      </c>
      <c r="AW26" s="180">
        <f t="shared" si="56"/>
        <v>5663000</v>
      </c>
      <c r="AX26" s="489">
        <f>'5.Cronograma Financeiro PEP '!AW26*'1.Usos&amp;Fontes'!$I$2</f>
        <v>16989000</v>
      </c>
      <c r="AY26" s="480">
        <f>'1.Usos&amp;Fontes'!E24</f>
        <v>3163000</v>
      </c>
      <c r="AZ26" s="481">
        <f>'1.Usos&amp;Fontes'!H24</f>
        <v>2500000</v>
      </c>
      <c r="BC26" s="481"/>
      <c r="BD26" s="481"/>
      <c r="BE26" s="481"/>
      <c r="BF26" s="481"/>
    </row>
    <row r="27" spans="1:58" s="432" customFormat="1" ht="15.75" thickBot="1" x14ac:dyDescent="0.3">
      <c r="A27" s="440" t="str">
        <f>'1.Usos&amp;Fontes'!A25</f>
        <v>2.10</v>
      </c>
      <c r="B27" s="441" t="str">
        <f>'1.Usos&amp;Fontes'!B25</f>
        <v xml:space="preserve">Construção de centros de transbordo </v>
      </c>
      <c r="C27" s="123">
        <f>'4.Cronograma Fisico PEP'!C24</f>
        <v>0</v>
      </c>
      <c r="D27" s="123">
        <f t="shared" si="34"/>
        <v>0</v>
      </c>
      <c r="E27" s="123">
        <f>'4.Cronograma Fisico PEP'!C24</f>
        <v>0</v>
      </c>
      <c r="F27" s="123">
        <f t="shared" si="35"/>
        <v>0</v>
      </c>
      <c r="G27" s="123">
        <f>'4.Cronograma Fisico PEP'!D24</f>
        <v>0</v>
      </c>
      <c r="H27" s="123">
        <f>((AY27)*G27)/100</f>
        <v>0</v>
      </c>
      <c r="I27" s="123">
        <f>'4.Cronograma Fisico PEP'!D24</f>
        <v>0</v>
      </c>
      <c r="J27" s="123">
        <f>((AZ27)*I27)/100</f>
        <v>0</v>
      </c>
      <c r="K27" s="123">
        <f>'4.Cronograma Fisico PEP'!E24</f>
        <v>0</v>
      </c>
      <c r="L27" s="123">
        <f t="shared" si="38"/>
        <v>0</v>
      </c>
      <c r="M27" s="123">
        <f>'4.Cronograma Fisico PEP'!E24</f>
        <v>0</v>
      </c>
      <c r="N27" s="123">
        <f t="shared" si="39"/>
        <v>0</v>
      </c>
      <c r="O27" s="123">
        <f>'4.Cronograma Fisico PEP'!F24</f>
        <v>0</v>
      </c>
      <c r="P27" s="123">
        <f t="shared" si="40"/>
        <v>0</v>
      </c>
      <c r="Q27" s="123">
        <f>'4.Cronograma Fisico PEP'!F24</f>
        <v>0</v>
      </c>
      <c r="R27" s="123">
        <f t="shared" si="41"/>
        <v>0</v>
      </c>
      <c r="S27" s="123">
        <f>'4.Cronograma Fisico PEP'!G24</f>
        <v>0</v>
      </c>
      <c r="T27" s="123">
        <f t="shared" si="42"/>
        <v>0</v>
      </c>
      <c r="U27" s="123">
        <f>'4.Cronograma Fisico PEP'!G24</f>
        <v>0</v>
      </c>
      <c r="V27" s="123">
        <f t="shared" si="43"/>
        <v>0</v>
      </c>
      <c r="W27" s="123">
        <f>'4.Cronograma Fisico PEP'!H24</f>
        <v>0</v>
      </c>
      <c r="X27" s="123">
        <f t="shared" si="44"/>
        <v>0</v>
      </c>
      <c r="Y27" s="123">
        <f>'4.Cronograma Fisico PEP'!H24</f>
        <v>0</v>
      </c>
      <c r="Z27" s="123">
        <f t="shared" si="45"/>
        <v>0</v>
      </c>
      <c r="AA27" s="123">
        <f>'4.Cronograma Fisico PEP'!I24</f>
        <v>10</v>
      </c>
      <c r="AB27" s="123">
        <f>((AY27)*AA27)/100</f>
        <v>0</v>
      </c>
      <c r="AC27" s="123">
        <f>'4.Cronograma Fisico PEP'!I24</f>
        <v>10</v>
      </c>
      <c r="AD27" s="123">
        <f>((AZ27)*AC27)/100</f>
        <v>450000</v>
      </c>
      <c r="AE27" s="123">
        <f>'4.Cronograma Fisico PEP'!J24</f>
        <v>10</v>
      </c>
      <c r="AF27" s="123">
        <f t="shared" si="48"/>
        <v>0</v>
      </c>
      <c r="AG27" s="123">
        <f>'4.Cronograma Fisico PEP'!J24</f>
        <v>10</v>
      </c>
      <c r="AH27" s="123">
        <f t="shared" si="49"/>
        <v>450000</v>
      </c>
      <c r="AI27" s="123">
        <f>'4.Cronograma Fisico PEP'!K24</f>
        <v>40</v>
      </c>
      <c r="AJ27" s="123">
        <f t="shared" si="50"/>
        <v>0</v>
      </c>
      <c r="AK27" s="123">
        <f>'4.Cronograma Fisico PEP'!K24</f>
        <v>40</v>
      </c>
      <c r="AL27" s="123">
        <f t="shared" si="51"/>
        <v>1800000</v>
      </c>
      <c r="AM27" s="123">
        <f>'4.Cronograma Fisico PEP'!L24</f>
        <v>40</v>
      </c>
      <c r="AN27" s="123">
        <f t="shared" si="52"/>
        <v>0</v>
      </c>
      <c r="AO27" s="123">
        <f>'4.Cronograma Fisico PEP'!L24</f>
        <v>40</v>
      </c>
      <c r="AP27" s="123">
        <f t="shared" si="53"/>
        <v>1800000</v>
      </c>
      <c r="AQ27" s="152">
        <f t="shared" si="54"/>
        <v>100</v>
      </c>
      <c r="AR27" s="141">
        <f>'1.Usos&amp;Fontes'!C25</f>
        <v>0</v>
      </c>
      <c r="AS27" s="124">
        <f t="shared" si="57"/>
        <v>0</v>
      </c>
      <c r="AT27" s="162">
        <f>'1.Usos&amp;Fontes'!F25</f>
        <v>1</v>
      </c>
      <c r="AU27" s="176">
        <f t="shared" si="55"/>
        <v>4500000</v>
      </c>
      <c r="AV27" s="163">
        <f>'1.Usos&amp;Fontes'!G25</f>
        <v>13500000</v>
      </c>
      <c r="AW27" s="180">
        <f t="shared" si="56"/>
        <v>4500000</v>
      </c>
      <c r="AX27" s="179">
        <f>'5.Cronograma Financeiro PEP '!AW27*'1.Usos&amp;Fontes'!$I$2</f>
        <v>13500000</v>
      </c>
      <c r="AY27" s="476">
        <f>'1.Usos&amp;Fontes'!E25</f>
        <v>0</v>
      </c>
      <c r="AZ27" s="112">
        <f>'1.Usos&amp;Fontes'!H25</f>
        <v>4500000</v>
      </c>
      <c r="BC27" s="435"/>
      <c r="BD27" s="435"/>
      <c r="BE27" s="435"/>
      <c r="BF27" s="435"/>
    </row>
    <row r="28" spans="1:58" s="109" customFormat="1" ht="23.25" thickBot="1" x14ac:dyDescent="0.3">
      <c r="A28" s="101" t="str">
        <f>'1.Usos&amp;Fontes'!A26</f>
        <v>2.11</v>
      </c>
      <c r="B28" s="20" t="str">
        <f>'1.Usos&amp;Fontes'!B26</f>
        <v xml:space="preserve"> Pagamento dos serviços prestados pelos catadores de materiais reciclados e reutlizáveis por 5 anos</v>
      </c>
      <c r="C28" s="123">
        <f>'4.Cronograma Fisico PEP'!C25</f>
        <v>0</v>
      </c>
      <c r="D28" s="123">
        <f t="shared" si="34"/>
        <v>0</v>
      </c>
      <c r="E28" s="123">
        <f>'4.Cronograma Fisico PEP'!C25</f>
        <v>0</v>
      </c>
      <c r="F28" s="123">
        <f t="shared" si="35"/>
        <v>0</v>
      </c>
      <c r="G28" s="123">
        <f>'4.Cronograma Fisico PEP'!D25</f>
        <v>5</v>
      </c>
      <c r="H28" s="123">
        <f t="shared" si="36"/>
        <v>150000</v>
      </c>
      <c r="I28" s="123">
        <f>'4.Cronograma Fisico PEP'!D25</f>
        <v>5</v>
      </c>
      <c r="J28" s="123">
        <f t="shared" si="37"/>
        <v>0</v>
      </c>
      <c r="K28" s="123">
        <f>'4.Cronograma Fisico PEP'!E25</f>
        <v>10</v>
      </c>
      <c r="L28" s="123">
        <f t="shared" si="38"/>
        <v>300000</v>
      </c>
      <c r="M28" s="123">
        <f>'4.Cronograma Fisico PEP'!E25</f>
        <v>10</v>
      </c>
      <c r="N28" s="123">
        <f t="shared" si="39"/>
        <v>0</v>
      </c>
      <c r="O28" s="123">
        <f>'4.Cronograma Fisico PEP'!F25</f>
        <v>10</v>
      </c>
      <c r="P28" s="123">
        <f t="shared" si="40"/>
        <v>300000</v>
      </c>
      <c r="Q28" s="123">
        <f>'4.Cronograma Fisico PEP'!F25</f>
        <v>10</v>
      </c>
      <c r="R28" s="123">
        <f t="shared" si="41"/>
        <v>0</v>
      </c>
      <c r="S28" s="123">
        <f>'4.Cronograma Fisico PEP'!G25</f>
        <v>10</v>
      </c>
      <c r="T28" s="123">
        <f t="shared" si="42"/>
        <v>300000</v>
      </c>
      <c r="U28" s="123">
        <f>'4.Cronograma Fisico PEP'!G25</f>
        <v>10</v>
      </c>
      <c r="V28" s="123">
        <f t="shared" si="43"/>
        <v>0</v>
      </c>
      <c r="W28" s="123">
        <f>'4.Cronograma Fisico PEP'!H25</f>
        <v>10</v>
      </c>
      <c r="X28" s="123">
        <f t="shared" si="44"/>
        <v>300000</v>
      </c>
      <c r="Y28" s="123">
        <f>'4.Cronograma Fisico PEP'!H25</f>
        <v>10</v>
      </c>
      <c r="Z28" s="123">
        <f t="shared" si="45"/>
        <v>0</v>
      </c>
      <c r="AA28" s="123">
        <f>'4.Cronograma Fisico PEP'!I25</f>
        <v>12.5</v>
      </c>
      <c r="AB28" s="123">
        <f t="shared" si="46"/>
        <v>375000</v>
      </c>
      <c r="AC28" s="123">
        <f>'4.Cronograma Fisico PEP'!I25</f>
        <v>12.5</v>
      </c>
      <c r="AD28" s="123">
        <f t="shared" si="47"/>
        <v>0</v>
      </c>
      <c r="AE28" s="123">
        <f>'4.Cronograma Fisico PEP'!J25</f>
        <v>12.5</v>
      </c>
      <c r="AF28" s="123">
        <f t="shared" si="48"/>
        <v>375000</v>
      </c>
      <c r="AG28" s="123">
        <f>'4.Cronograma Fisico PEP'!J25</f>
        <v>12.5</v>
      </c>
      <c r="AH28" s="123">
        <f t="shared" si="49"/>
        <v>0</v>
      </c>
      <c r="AI28" s="123">
        <f>'4.Cronograma Fisico PEP'!K25</f>
        <v>15</v>
      </c>
      <c r="AJ28" s="123">
        <f t="shared" si="50"/>
        <v>450000</v>
      </c>
      <c r="AK28" s="123">
        <f>'4.Cronograma Fisico PEP'!K25</f>
        <v>15</v>
      </c>
      <c r="AL28" s="123">
        <f t="shared" si="51"/>
        <v>0</v>
      </c>
      <c r="AM28" s="123">
        <f>'4.Cronograma Fisico PEP'!L25</f>
        <v>15</v>
      </c>
      <c r="AN28" s="123">
        <f t="shared" si="52"/>
        <v>450000</v>
      </c>
      <c r="AO28" s="123">
        <f>'4.Cronograma Fisico PEP'!L25</f>
        <v>15</v>
      </c>
      <c r="AP28" s="123">
        <f t="shared" si="53"/>
        <v>0</v>
      </c>
      <c r="AQ28" s="152">
        <f t="shared" si="54"/>
        <v>100</v>
      </c>
      <c r="AR28" s="141">
        <f>'1.Usos&amp;Fontes'!C26</f>
        <v>1</v>
      </c>
      <c r="AS28" s="124">
        <f>D28+H28+L28+P28+T28+X28+AB28+AF28+AJ28+AN28</f>
        <v>3000000</v>
      </c>
      <c r="AT28" s="162">
        <f>'1.Usos&amp;Fontes'!F26</f>
        <v>0</v>
      </c>
      <c r="AU28" s="176">
        <f>F28+J28+N28+R28+V28+Z28+AD28+AH28+AL28+AP28</f>
        <v>0</v>
      </c>
      <c r="AV28" s="163">
        <f>'1.Usos&amp;Fontes'!G26</f>
        <v>0</v>
      </c>
      <c r="AW28" s="180">
        <f>AS28+AU28</f>
        <v>3000000</v>
      </c>
      <c r="AX28" s="179">
        <f>'5.Cronograma Financeiro PEP '!AW28*'1.Usos&amp;Fontes'!$I$2</f>
        <v>9000000</v>
      </c>
      <c r="AY28" s="476">
        <f>'1.Usos&amp;Fontes'!E26</f>
        <v>3000000</v>
      </c>
      <c r="AZ28" s="112">
        <f>'1.Usos&amp;Fontes'!H26</f>
        <v>0</v>
      </c>
      <c r="BC28" s="112"/>
      <c r="BD28" s="112"/>
      <c r="BE28" s="112"/>
      <c r="BF28" s="112"/>
    </row>
    <row r="29" spans="1:58" s="109" customFormat="1" ht="15.75" thickBot="1" x14ac:dyDescent="0.3">
      <c r="A29" s="629" t="s">
        <v>9</v>
      </c>
      <c r="B29" s="629"/>
      <c r="C29" s="136"/>
      <c r="D29" s="164">
        <f>SUM(D18:D28)</f>
        <v>0</v>
      </c>
      <c r="E29" s="285"/>
      <c r="F29" s="164">
        <f>SUM(F18:F28)</f>
        <v>0</v>
      </c>
      <c r="G29" s="164"/>
      <c r="H29" s="164">
        <f>SUM(H18:H28)</f>
        <v>3926223.4</v>
      </c>
      <c r="I29" s="164"/>
      <c r="J29" s="164">
        <f>SUM(J18:J28)</f>
        <v>5679324.1999999993</v>
      </c>
      <c r="K29" s="164"/>
      <c r="L29" s="164">
        <f>SUM(L18:L28)</f>
        <v>4120283.5</v>
      </c>
      <c r="M29" s="164"/>
      <c r="N29" s="164">
        <f>SUM(N18:N28)</f>
        <v>9400627.9499999993</v>
      </c>
      <c r="O29" s="164"/>
      <c r="P29" s="164">
        <f>SUM(P18:P28)</f>
        <v>4453508.5</v>
      </c>
      <c r="Q29" s="164"/>
      <c r="R29" s="164">
        <f>SUM(R18:R28)</f>
        <v>9630627.9499999993</v>
      </c>
      <c r="S29" s="164"/>
      <c r="T29" s="164">
        <f>SUM(T18:T28)</f>
        <v>2549384.2999999998</v>
      </c>
      <c r="U29" s="164"/>
      <c r="V29" s="164">
        <f>SUM(V18:V28)</f>
        <v>6626778.9000000004</v>
      </c>
      <c r="W29" s="164"/>
      <c r="X29" s="164">
        <f>SUM(X18:X28)</f>
        <v>2249384.2999999998</v>
      </c>
      <c r="Y29" s="164"/>
      <c r="Z29" s="164">
        <f>SUM(Z18:Z28)</f>
        <v>6188405</v>
      </c>
      <c r="AA29" s="164"/>
      <c r="AB29" s="164">
        <f>SUM(AB18:AB28)</f>
        <v>1840737.5</v>
      </c>
      <c r="AC29" s="164"/>
      <c r="AD29" s="164">
        <f>SUM(AD18:AD28)</f>
        <v>1270000</v>
      </c>
      <c r="AE29" s="164"/>
      <c r="AF29" s="164">
        <f>SUM(AF18:AF28)</f>
        <v>1840737.5</v>
      </c>
      <c r="AG29" s="164"/>
      <c r="AH29" s="164">
        <f>SUM(AH18:AH28)</f>
        <v>1270000</v>
      </c>
      <c r="AI29" s="164"/>
      <c r="AJ29" s="164">
        <f>SUM(AJ18:AJ28)</f>
        <v>1915737.5</v>
      </c>
      <c r="AK29" s="164"/>
      <c r="AL29" s="164">
        <f>SUM(AL18:AL28)</f>
        <v>2620000</v>
      </c>
      <c r="AM29" s="164"/>
      <c r="AN29" s="164">
        <f>SUM(AN18:AN28)</f>
        <v>1915737.5</v>
      </c>
      <c r="AO29" s="164"/>
      <c r="AP29" s="164">
        <f>SUM(AP18:AP28)</f>
        <v>2620000</v>
      </c>
      <c r="AQ29" s="156"/>
      <c r="AR29" s="157"/>
      <c r="AS29" s="158">
        <f>SUM(AS18:AS28)</f>
        <v>24811734</v>
      </c>
      <c r="AT29" s="159"/>
      <c r="AU29" s="160">
        <f>SUM(AU18:AU28)</f>
        <v>45305764</v>
      </c>
      <c r="AV29" s="161">
        <f>SUM(AV18:AV25)</f>
        <v>114917292</v>
      </c>
      <c r="AW29" s="161">
        <f>SUM(AW18:AW28)</f>
        <v>70117498</v>
      </c>
      <c r="AX29" s="161">
        <f>SUM(AX18:AX28)</f>
        <v>210352494</v>
      </c>
      <c r="AY29" s="111"/>
      <c r="BC29" s="112"/>
      <c r="BD29" s="112"/>
      <c r="BE29" s="112"/>
      <c r="BF29" s="112"/>
    </row>
    <row r="30" spans="1:58" ht="17.25" thickTop="1" thickBot="1" x14ac:dyDescent="0.3">
      <c r="A30" s="132" t="str">
        <f>'1.Usos&amp;Fontes'!A28</f>
        <v>III</v>
      </c>
      <c r="B30" s="632" t="str">
        <f>'1.Usos&amp;Fontes'!B28</f>
        <v xml:space="preserve">COMPONENTE 3  -  READEQUAÇÃO URBANA DO CONDOMÍNIO PÔR DO SOL </v>
      </c>
      <c r="C30" s="572"/>
      <c r="D30" s="572"/>
      <c r="E30" s="572"/>
      <c r="F30" s="572"/>
      <c r="G30" s="572"/>
      <c r="H30" s="572"/>
      <c r="I30" s="572"/>
      <c r="J30" s="572"/>
      <c r="K30" s="572"/>
      <c r="L30" s="572"/>
      <c r="M30" s="572"/>
      <c r="N30" s="572"/>
      <c r="O30" s="572"/>
      <c r="P30" s="572"/>
      <c r="Q30" s="572"/>
      <c r="R30" s="572"/>
      <c r="S30" s="572"/>
      <c r="T30" s="572"/>
      <c r="U30" s="572"/>
      <c r="V30" s="572"/>
      <c r="W30" s="572"/>
      <c r="X30" s="572"/>
      <c r="Y30" s="572"/>
      <c r="Z30" s="572"/>
      <c r="AA30" s="572"/>
      <c r="AB30" s="572"/>
      <c r="AC30" s="572"/>
      <c r="AD30" s="572"/>
      <c r="AE30" s="572"/>
      <c r="AF30" s="572"/>
      <c r="AG30" s="572"/>
      <c r="AH30" s="572"/>
      <c r="AI30" s="572"/>
      <c r="AJ30" s="572"/>
      <c r="AK30" s="572"/>
      <c r="AL30" s="572"/>
      <c r="AM30" s="572"/>
      <c r="AN30" s="572"/>
      <c r="AO30" s="572"/>
      <c r="AP30" s="572"/>
      <c r="AQ30" s="572"/>
      <c r="AR30" s="572"/>
      <c r="AS30" s="572"/>
      <c r="AT30" s="572"/>
      <c r="AU30" s="572"/>
      <c r="AV30" s="572"/>
      <c r="AW30" s="572"/>
      <c r="AX30" s="572"/>
      <c r="AY30" s="10"/>
      <c r="AZ30" s="24"/>
      <c r="BC30" s="7"/>
      <c r="BD30" s="7"/>
      <c r="BE30" s="51"/>
      <c r="BF30" s="7"/>
    </row>
    <row r="31" spans="1:58" ht="17.25" thickTop="1" thickBot="1" x14ac:dyDescent="0.3">
      <c r="A31" s="121" t="str">
        <f>'1.Usos&amp;Fontes'!A29</f>
        <v>3.1</v>
      </c>
      <c r="B31" s="2" t="str">
        <f>'1.Usos&amp;Fontes'!B29</f>
        <v xml:space="preserve"> Rede de Drenagem  Pluvial - Bacia IV C  </v>
      </c>
      <c r="C31" s="123">
        <f>'4.Cronograma Fisico PEP'!C27</f>
        <v>0</v>
      </c>
      <c r="D31" s="123">
        <f t="shared" ref="D31" si="58">((AY31)*C31)/100</f>
        <v>0</v>
      </c>
      <c r="E31" s="123">
        <f>'4.Cronograma Fisico PEP'!C27</f>
        <v>0</v>
      </c>
      <c r="F31" s="123">
        <f t="shared" ref="F31" si="59">((AZ31)*E31)/100</f>
        <v>0</v>
      </c>
      <c r="G31" s="123">
        <f>'4.Cronograma Fisico PEP'!D27</f>
        <v>0</v>
      </c>
      <c r="H31" s="123">
        <f t="shared" ref="H31" si="60">((AY31)*G31)/100</f>
        <v>0</v>
      </c>
      <c r="I31" s="123">
        <f>'4.Cronograma Fisico PEP'!D27</f>
        <v>0</v>
      </c>
      <c r="J31" s="123">
        <f t="shared" ref="J31" si="61">((AZ31)*I31)/100</f>
        <v>0</v>
      </c>
      <c r="K31" s="123">
        <f>'4.Cronograma Fisico PEP'!E27</f>
        <v>15</v>
      </c>
      <c r="L31" s="123">
        <f t="shared" ref="L31" si="62">((AY31)*K31)/100</f>
        <v>300000</v>
      </c>
      <c r="M31" s="123">
        <f>'4.Cronograma Fisico PEP'!E27</f>
        <v>15</v>
      </c>
      <c r="N31" s="123">
        <f t="shared" ref="N31" si="63">((AZ31)*M31)/100</f>
        <v>300000</v>
      </c>
      <c r="O31" s="123">
        <f>'4.Cronograma Fisico PEP'!F27</f>
        <v>15</v>
      </c>
      <c r="P31" s="123">
        <f t="shared" ref="P31" si="64">((AY31)*O31)/100</f>
        <v>300000</v>
      </c>
      <c r="Q31" s="123">
        <f>'4.Cronograma Fisico PEP'!F27</f>
        <v>15</v>
      </c>
      <c r="R31" s="123">
        <f t="shared" ref="R31" si="65">((AZ31)*Q31)/100</f>
        <v>300000</v>
      </c>
      <c r="S31" s="123">
        <f>'4.Cronograma Fisico PEP'!G27</f>
        <v>30</v>
      </c>
      <c r="T31" s="123">
        <f>((AY31)*S31)/100</f>
        <v>600000</v>
      </c>
      <c r="U31" s="123">
        <f>'4.Cronograma Fisico PEP'!G27</f>
        <v>30</v>
      </c>
      <c r="V31" s="123">
        <f>((AZ31)*U31)/100</f>
        <v>600000</v>
      </c>
      <c r="W31" s="123">
        <f>'4.Cronograma Fisico PEP'!H27</f>
        <v>30</v>
      </c>
      <c r="X31" s="123">
        <f>((AY31)*W31)/100</f>
        <v>600000</v>
      </c>
      <c r="Y31" s="123">
        <f>'4.Cronograma Fisico PEP'!H27</f>
        <v>30</v>
      </c>
      <c r="Z31" s="123">
        <f>((AZ31)*Y31)/100</f>
        <v>600000</v>
      </c>
      <c r="AA31" s="123">
        <f>'4.Cronograma Fisico PEP'!I27</f>
        <v>10</v>
      </c>
      <c r="AB31" s="123">
        <f>((AY31)*AA31)/100</f>
        <v>200000</v>
      </c>
      <c r="AC31" s="123">
        <f>'4.Cronograma Fisico PEP'!I27</f>
        <v>10</v>
      </c>
      <c r="AD31" s="123">
        <f>((AZ31)*AC31)/100</f>
        <v>200000</v>
      </c>
      <c r="AE31" s="123">
        <f>'4.Cronograma Fisico PEP'!J27</f>
        <v>0</v>
      </c>
      <c r="AF31" s="123">
        <f>((AY31)*AE31)/100</f>
        <v>0</v>
      </c>
      <c r="AG31" s="123">
        <f>'4.Cronograma Fisico PEP'!J27</f>
        <v>0</v>
      </c>
      <c r="AH31" s="123">
        <f>((AZ31)*AG31)/100</f>
        <v>0</v>
      </c>
      <c r="AI31" s="123">
        <f>'4.Cronograma Fisico PEP'!K27</f>
        <v>0</v>
      </c>
      <c r="AJ31" s="123">
        <f>((AY31)*AI31)/100</f>
        <v>0</v>
      </c>
      <c r="AK31" s="123">
        <f>'4.Cronograma Fisico PEP'!K27</f>
        <v>0</v>
      </c>
      <c r="AL31" s="123">
        <f>((AZ31)*AK31)/100</f>
        <v>0</v>
      </c>
      <c r="AM31" s="123">
        <f>'4.Cronograma Fisico PEP'!L27</f>
        <v>0</v>
      </c>
      <c r="AN31" s="123">
        <f>((AY31)*AM31)/100</f>
        <v>0</v>
      </c>
      <c r="AO31" s="123">
        <f>'4.Cronograma Fisico PEP'!L27</f>
        <v>0</v>
      </c>
      <c r="AP31" s="123">
        <f>((AZ31)*AO31)/100</f>
        <v>0</v>
      </c>
      <c r="AQ31" s="152">
        <f t="shared" ref="AQ31:AQ42" si="66">C31+G31+K31+O31+S31+W31+AA31+AE31+AI31+AM31</f>
        <v>100</v>
      </c>
      <c r="AR31" s="141">
        <f>'1.Usos&amp;Fontes'!C29</f>
        <v>0.5</v>
      </c>
      <c r="AS31" s="124">
        <f>D31+H31+L31+P31+T31+X31+AB31+AF31+AJ31+AN31</f>
        <v>2000000</v>
      </c>
      <c r="AT31" s="140">
        <f>'1.Usos&amp;Fontes'!F29</f>
        <v>0.5</v>
      </c>
      <c r="AU31" s="176">
        <f>F31+J31+N31+R31+V31+Z31+AD31+AH31+AL31+AP31</f>
        <v>2000000</v>
      </c>
      <c r="AV31" s="12">
        <f>'1.Usos&amp;Fontes'!G29</f>
        <v>6000000</v>
      </c>
      <c r="AW31" s="181">
        <f>AS31+AU31</f>
        <v>4000000</v>
      </c>
      <c r="AX31" s="182">
        <f>'5.Cronograma Financeiro PEP '!AW31*'1.Usos&amp;Fontes'!$I$2</f>
        <v>12000000</v>
      </c>
      <c r="AY31" s="477">
        <f>'1.Usos&amp;Fontes'!E29</f>
        <v>2000000</v>
      </c>
      <c r="AZ31" s="24">
        <f>'1.Usos&amp;Fontes'!H29</f>
        <v>2000000</v>
      </c>
      <c r="BC31" s="7"/>
      <c r="BD31" s="7"/>
      <c r="BE31" s="51"/>
      <c r="BF31" s="7"/>
    </row>
    <row r="32" spans="1:58" ht="17.25" thickTop="1" thickBot="1" x14ac:dyDescent="0.3">
      <c r="A32" s="121" t="str">
        <f>'1.Usos&amp;Fontes'!A30</f>
        <v>3.2</v>
      </c>
      <c r="B32" s="2" t="str">
        <f>'1.Usos&amp;Fontes'!B30</f>
        <v>Rede de Microdrenagem</v>
      </c>
      <c r="C32" s="123">
        <f>'4.Cronograma Fisico PEP'!C28</f>
        <v>0</v>
      </c>
      <c r="D32" s="123">
        <f t="shared" ref="D32:D42" si="67">((AY32)*C32)/100</f>
        <v>0</v>
      </c>
      <c r="E32" s="123">
        <f>'4.Cronograma Fisico PEP'!C28</f>
        <v>0</v>
      </c>
      <c r="F32" s="123">
        <f t="shared" ref="F32:F42" si="68">((AZ32)*E32)/100</f>
        <v>0</v>
      </c>
      <c r="G32" s="123">
        <f>'4.Cronograma Fisico PEP'!D28</f>
        <v>0</v>
      </c>
      <c r="H32" s="123">
        <f t="shared" ref="H32:H42" si="69">((AY32)*G32)/100</f>
        <v>0</v>
      </c>
      <c r="I32" s="123">
        <f>'4.Cronograma Fisico PEP'!D28</f>
        <v>0</v>
      </c>
      <c r="J32" s="123">
        <f t="shared" ref="J32:J42" si="70">((AZ32)*I32)/100</f>
        <v>0</v>
      </c>
      <c r="K32" s="123">
        <f>'4.Cronograma Fisico PEP'!E28</f>
        <v>15</v>
      </c>
      <c r="L32" s="123">
        <f t="shared" ref="L32:L42" si="71">((AY32)*K32)/100</f>
        <v>450000</v>
      </c>
      <c r="M32" s="123">
        <f>'4.Cronograma Fisico PEP'!E28</f>
        <v>15</v>
      </c>
      <c r="N32" s="123">
        <f t="shared" ref="N32:N42" si="72">((AZ32)*M32)/100</f>
        <v>450000</v>
      </c>
      <c r="O32" s="123">
        <f>'4.Cronograma Fisico PEP'!F28</f>
        <v>15</v>
      </c>
      <c r="P32" s="123">
        <f t="shared" ref="P32:P42" si="73">((AY32)*O32)/100</f>
        <v>450000</v>
      </c>
      <c r="Q32" s="123">
        <f>'4.Cronograma Fisico PEP'!F28</f>
        <v>15</v>
      </c>
      <c r="R32" s="123">
        <f t="shared" ref="R32:R42" si="74">((AZ32)*Q32)/100</f>
        <v>450000</v>
      </c>
      <c r="S32" s="123">
        <f>'4.Cronograma Fisico PEP'!G28</f>
        <v>30</v>
      </c>
      <c r="T32" s="123">
        <f t="shared" ref="T32:T42" si="75">((AY32)*S32)/100</f>
        <v>900000</v>
      </c>
      <c r="U32" s="123">
        <f>'4.Cronograma Fisico PEP'!G28</f>
        <v>30</v>
      </c>
      <c r="V32" s="123">
        <f t="shared" ref="V32:V42" si="76">((AZ32)*U32)/100</f>
        <v>900000</v>
      </c>
      <c r="W32" s="123">
        <f>'4.Cronograma Fisico PEP'!H28</f>
        <v>30</v>
      </c>
      <c r="X32" s="123">
        <f t="shared" ref="X32:X42" si="77">((AY32)*W32)/100</f>
        <v>900000</v>
      </c>
      <c r="Y32" s="123">
        <f>'4.Cronograma Fisico PEP'!H28</f>
        <v>30</v>
      </c>
      <c r="Z32" s="123">
        <f t="shared" ref="Z32:Z42" si="78">((AZ32)*Y32)/100</f>
        <v>900000</v>
      </c>
      <c r="AA32" s="123">
        <f>'4.Cronograma Fisico PEP'!I28</f>
        <v>10</v>
      </c>
      <c r="AB32" s="123">
        <f t="shared" ref="AB32:AB42" si="79">((AY32)*AA32)/100</f>
        <v>300000</v>
      </c>
      <c r="AC32" s="123">
        <f>'4.Cronograma Fisico PEP'!I28</f>
        <v>10</v>
      </c>
      <c r="AD32" s="123">
        <f t="shared" ref="AD32:AD42" si="80">((AZ32)*AC32)/100</f>
        <v>300000</v>
      </c>
      <c r="AE32" s="123">
        <f>'4.Cronograma Fisico PEP'!J28</f>
        <v>0</v>
      </c>
      <c r="AF32" s="123">
        <f t="shared" ref="AF32:AF42" si="81">((AY32)*AE32)/100</f>
        <v>0</v>
      </c>
      <c r="AG32" s="123">
        <f>'4.Cronograma Fisico PEP'!J28</f>
        <v>0</v>
      </c>
      <c r="AH32" s="123">
        <f t="shared" ref="AH32:AH42" si="82">((AZ32)*AG32)/100</f>
        <v>0</v>
      </c>
      <c r="AI32" s="123">
        <f>'4.Cronograma Fisico PEP'!K28</f>
        <v>0</v>
      </c>
      <c r="AJ32" s="123">
        <f t="shared" ref="AJ32:AJ42" si="83">((AY32)*AI32)/100</f>
        <v>0</v>
      </c>
      <c r="AK32" s="123">
        <f>'4.Cronograma Fisico PEP'!K28</f>
        <v>0</v>
      </c>
      <c r="AL32" s="123">
        <f t="shared" ref="AL32:AL42" si="84">((AZ32)*AK32)/100</f>
        <v>0</v>
      </c>
      <c r="AM32" s="123">
        <f>'4.Cronograma Fisico PEP'!L28</f>
        <v>0</v>
      </c>
      <c r="AN32" s="123">
        <f t="shared" ref="AN32:AN42" si="85">((AY32)*AM32)/100</f>
        <v>0</v>
      </c>
      <c r="AO32" s="123">
        <f>'4.Cronograma Fisico PEP'!L28</f>
        <v>0</v>
      </c>
      <c r="AP32" s="123">
        <f t="shared" ref="AP32:AP42" si="86">((AZ32)*AO32)/100</f>
        <v>0</v>
      </c>
      <c r="AQ32" s="152">
        <f t="shared" si="66"/>
        <v>100</v>
      </c>
      <c r="AR32" s="141">
        <f>'1.Usos&amp;Fontes'!C30</f>
        <v>0.5</v>
      </c>
      <c r="AS32" s="124">
        <f t="shared" ref="AS32:AS42" si="87">D32+H32+L32+P32+T32+X32+AB32+AF32+AJ32+AN32</f>
        <v>3000000</v>
      </c>
      <c r="AT32" s="140">
        <f>'1.Usos&amp;Fontes'!F30</f>
        <v>0.5</v>
      </c>
      <c r="AU32" s="176">
        <f t="shared" ref="AU32:AU41" si="88">F32+J32+N32+R32+V32+Z32+AD32+AH32+AL32+AP32</f>
        <v>3000000</v>
      </c>
      <c r="AV32" s="12">
        <f>'1.Usos&amp;Fontes'!G30</f>
        <v>9000000</v>
      </c>
      <c r="AW32" s="181">
        <f t="shared" ref="AW32:AW41" si="89">AS32+AU32</f>
        <v>6000000</v>
      </c>
      <c r="AX32" s="182">
        <f>'5.Cronograma Financeiro PEP '!AW32*'1.Usos&amp;Fontes'!$I$2</f>
        <v>18000000</v>
      </c>
      <c r="AY32" s="477">
        <f>'1.Usos&amp;Fontes'!E30</f>
        <v>3000000</v>
      </c>
      <c r="AZ32" s="24">
        <f>'1.Usos&amp;Fontes'!H30</f>
        <v>3000000</v>
      </c>
      <c r="BC32" s="7"/>
      <c r="BD32" s="7"/>
      <c r="BE32" s="51"/>
      <c r="BF32" s="7"/>
    </row>
    <row r="33" spans="1:58" ht="17.25" thickTop="1" thickBot="1" x14ac:dyDescent="0.3">
      <c r="A33" s="121" t="str">
        <f>'1.Usos&amp;Fontes'!A31</f>
        <v>3.3</v>
      </c>
      <c r="B33" s="2" t="str">
        <f>'1.Usos&amp;Fontes'!B31</f>
        <v>Saneamento Básico - água e esgoto</v>
      </c>
      <c r="C33" s="123">
        <f>'4.Cronograma Fisico PEP'!C29</f>
        <v>0</v>
      </c>
      <c r="D33" s="123">
        <f t="shared" si="67"/>
        <v>0</v>
      </c>
      <c r="E33" s="123">
        <f>'4.Cronograma Fisico PEP'!C29</f>
        <v>0</v>
      </c>
      <c r="F33" s="123">
        <f t="shared" si="68"/>
        <v>0</v>
      </c>
      <c r="G33" s="123">
        <f>'4.Cronograma Fisico PEP'!D29</f>
        <v>0</v>
      </c>
      <c r="H33" s="123">
        <f t="shared" si="69"/>
        <v>0</v>
      </c>
      <c r="I33" s="123">
        <f>'4.Cronograma Fisico PEP'!D29</f>
        <v>0</v>
      </c>
      <c r="J33" s="123">
        <f t="shared" si="70"/>
        <v>0</v>
      </c>
      <c r="K33" s="123">
        <f>'4.Cronograma Fisico PEP'!E29</f>
        <v>15</v>
      </c>
      <c r="L33" s="123">
        <f t="shared" si="71"/>
        <v>129000</v>
      </c>
      <c r="M33" s="123">
        <f>'4.Cronograma Fisico PEP'!E29</f>
        <v>15</v>
      </c>
      <c r="N33" s="123">
        <f t="shared" si="72"/>
        <v>234000</v>
      </c>
      <c r="O33" s="123">
        <f>'4.Cronograma Fisico PEP'!F29</f>
        <v>15</v>
      </c>
      <c r="P33" s="123">
        <f t="shared" si="73"/>
        <v>129000</v>
      </c>
      <c r="Q33" s="123">
        <f>'4.Cronograma Fisico PEP'!F29</f>
        <v>15</v>
      </c>
      <c r="R33" s="123">
        <f t="shared" si="74"/>
        <v>234000</v>
      </c>
      <c r="S33" s="123">
        <f>'4.Cronograma Fisico PEP'!G29</f>
        <v>30</v>
      </c>
      <c r="T33" s="123">
        <f t="shared" si="75"/>
        <v>258000</v>
      </c>
      <c r="U33" s="123">
        <f>'4.Cronograma Fisico PEP'!G29</f>
        <v>30</v>
      </c>
      <c r="V33" s="123">
        <f t="shared" si="76"/>
        <v>468000</v>
      </c>
      <c r="W33" s="123">
        <f>'4.Cronograma Fisico PEP'!H29</f>
        <v>30</v>
      </c>
      <c r="X33" s="123">
        <f t="shared" si="77"/>
        <v>258000</v>
      </c>
      <c r="Y33" s="123">
        <f>'4.Cronograma Fisico PEP'!H29</f>
        <v>30</v>
      </c>
      <c r="Z33" s="123">
        <f t="shared" si="78"/>
        <v>468000</v>
      </c>
      <c r="AA33" s="123">
        <f>'4.Cronograma Fisico PEP'!I29</f>
        <v>10</v>
      </c>
      <c r="AB33" s="123">
        <f t="shared" si="79"/>
        <v>86000</v>
      </c>
      <c r="AC33" s="123">
        <f>'4.Cronograma Fisico PEP'!I29</f>
        <v>10</v>
      </c>
      <c r="AD33" s="123">
        <f t="shared" si="80"/>
        <v>156000</v>
      </c>
      <c r="AE33" s="123">
        <f>'4.Cronograma Fisico PEP'!J29</f>
        <v>0</v>
      </c>
      <c r="AF33" s="123">
        <f t="shared" si="81"/>
        <v>0</v>
      </c>
      <c r="AG33" s="123">
        <f>'4.Cronograma Fisico PEP'!J29</f>
        <v>0</v>
      </c>
      <c r="AH33" s="123">
        <f t="shared" si="82"/>
        <v>0</v>
      </c>
      <c r="AI33" s="123">
        <f>'4.Cronograma Fisico PEP'!K29</f>
        <v>0</v>
      </c>
      <c r="AJ33" s="123">
        <f t="shared" si="83"/>
        <v>0</v>
      </c>
      <c r="AK33" s="123">
        <f>'4.Cronograma Fisico PEP'!K29</f>
        <v>0</v>
      </c>
      <c r="AL33" s="123">
        <f t="shared" si="84"/>
        <v>0</v>
      </c>
      <c r="AM33" s="123">
        <f>'4.Cronograma Fisico PEP'!L29</f>
        <v>0</v>
      </c>
      <c r="AN33" s="123">
        <f t="shared" si="85"/>
        <v>0</v>
      </c>
      <c r="AO33" s="123">
        <f>'4.Cronograma Fisico PEP'!L29</f>
        <v>0</v>
      </c>
      <c r="AP33" s="123">
        <f t="shared" si="86"/>
        <v>0</v>
      </c>
      <c r="AQ33" s="152">
        <f t="shared" si="66"/>
        <v>100</v>
      </c>
      <c r="AR33" s="141">
        <f>'1.Usos&amp;Fontes'!C31</f>
        <v>0.35537190082644626</v>
      </c>
      <c r="AS33" s="124">
        <f t="shared" si="87"/>
        <v>860000</v>
      </c>
      <c r="AT33" s="140">
        <f>'1.Usos&amp;Fontes'!F31</f>
        <v>0.64462809917355368</v>
      </c>
      <c r="AU33" s="176">
        <f t="shared" si="88"/>
        <v>1560000</v>
      </c>
      <c r="AV33" s="12">
        <f>'1.Usos&amp;Fontes'!G31</f>
        <v>4680000</v>
      </c>
      <c r="AW33" s="181">
        <f t="shared" si="89"/>
        <v>2420000</v>
      </c>
      <c r="AX33" s="182">
        <f>'5.Cronograma Financeiro PEP '!AW33*'1.Usos&amp;Fontes'!$I$2</f>
        <v>7260000</v>
      </c>
      <c r="AY33" s="477">
        <f>'1.Usos&amp;Fontes'!E31</f>
        <v>860000</v>
      </c>
      <c r="AZ33" s="24">
        <f>'1.Usos&amp;Fontes'!H31</f>
        <v>1560000</v>
      </c>
      <c r="BC33" s="7"/>
      <c r="BD33" s="7"/>
      <c r="BE33" s="51"/>
      <c r="BF33" s="7"/>
    </row>
    <row r="34" spans="1:58" ht="17.25" thickTop="1" thickBot="1" x14ac:dyDescent="0.3">
      <c r="A34" s="121" t="str">
        <f>'1.Usos&amp;Fontes'!A32</f>
        <v>3.4</v>
      </c>
      <c r="B34" s="2" t="str">
        <f>'1.Usos&amp;Fontes'!B32</f>
        <v>Pavimentação das Vias Arteriais, Coletoras e Locais</v>
      </c>
      <c r="C34" s="123">
        <f>'4.Cronograma Fisico PEP'!C30</f>
        <v>0</v>
      </c>
      <c r="D34" s="123">
        <f t="shared" si="67"/>
        <v>0</v>
      </c>
      <c r="E34" s="123">
        <f>'4.Cronograma Fisico PEP'!C30</f>
        <v>0</v>
      </c>
      <c r="F34" s="123">
        <f t="shared" si="68"/>
        <v>0</v>
      </c>
      <c r="G34" s="123">
        <f>'4.Cronograma Fisico PEP'!D30</f>
        <v>0</v>
      </c>
      <c r="H34" s="123">
        <f t="shared" si="69"/>
        <v>0</v>
      </c>
      <c r="I34" s="123">
        <f>'4.Cronograma Fisico PEP'!D30</f>
        <v>0</v>
      </c>
      <c r="J34" s="123">
        <f t="shared" si="70"/>
        <v>0</v>
      </c>
      <c r="K34" s="123">
        <f>'4.Cronograma Fisico PEP'!E30</f>
        <v>15</v>
      </c>
      <c r="L34" s="123">
        <f t="shared" si="71"/>
        <v>1290045</v>
      </c>
      <c r="M34" s="123">
        <f>'4.Cronograma Fisico PEP'!E30</f>
        <v>15</v>
      </c>
      <c r="N34" s="123">
        <f t="shared" si="72"/>
        <v>1290000</v>
      </c>
      <c r="O34" s="123">
        <f>'4.Cronograma Fisico PEP'!F30</f>
        <v>15</v>
      </c>
      <c r="P34" s="123">
        <f t="shared" si="73"/>
        <v>1290045</v>
      </c>
      <c r="Q34" s="123">
        <f>'4.Cronograma Fisico PEP'!F30</f>
        <v>15</v>
      </c>
      <c r="R34" s="123">
        <f t="shared" si="74"/>
        <v>1290000</v>
      </c>
      <c r="S34" s="123">
        <f>'4.Cronograma Fisico PEP'!G30</f>
        <v>30</v>
      </c>
      <c r="T34" s="123">
        <f t="shared" si="75"/>
        <v>2580090</v>
      </c>
      <c r="U34" s="123">
        <f>'4.Cronograma Fisico PEP'!G30</f>
        <v>30</v>
      </c>
      <c r="V34" s="123">
        <f t="shared" si="76"/>
        <v>2580000</v>
      </c>
      <c r="W34" s="123">
        <f>'4.Cronograma Fisico PEP'!H30</f>
        <v>30</v>
      </c>
      <c r="X34" s="123">
        <f t="shared" si="77"/>
        <v>2580090</v>
      </c>
      <c r="Y34" s="123">
        <f>'4.Cronograma Fisico PEP'!H30</f>
        <v>30</v>
      </c>
      <c r="Z34" s="123">
        <f t="shared" si="78"/>
        <v>2580000</v>
      </c>
      <c r="AA34" s="123">
        <f>'4.Cronograma Fisico PEP'!I30</f>
        <v>10</v>
      </c>
      <c r="AB34" s="123">
        <f t="shared" si="79"/>
        <v>860030</v>
      </c>
      <c r="AC34" s="123">
        <f>'4.Cronograma Fisico PEP'!I30</f>
        <v>10</v>
      </c>
      <c r="AD34" s="123">
        <f t="shared" si="80"/>
        <v>860000</v>
      </c>
      <c r="AE34" s="123">
        <f>'4.Cronograma Fisico PEP'!J30</f>
        <v>0</v>
      </c>
      <c r="AF34" s="123">
        <f t="shared" si="81"/>
        <v>0</v>
      </c>
      <c r="AG34" s="123">
        <f>'4.Cronograma Fisico PEP'!J30</f>
        <v>0</v>
      </c>
      <c r="AH34" s="123">
        <f t="shared" si="82"/>
        <v>0</v>
      </c>
      <c r="AI34" s="123">
        <f>'4.Cronograma Fisico PEP'!K30</f>
        <v>0</v>
      </c>
      <c r="AJ34" s="123">
        <f t="shared" si="83"/>
        <v>0</v>
      </c>
      <c r="AK34" s="123">
        <f>'4.Cronograma Fisico PEP'!K30</f>
        <v>0</v>
      </c>
      <c r="AL34" s="123">
        <f t="shared" si="84"/>
        <v>0</v>
      </c>
      <c r="AM34" s="123">
        <f>'4.Cronograma Fisico PEP'!L30</f>
        <v>0</v>
      </c>
      <c r="AN34" s="123">
        <f t="shared" si="85"/>
        <v>0</v>
      </c>
      <c r="AO34" s="123">
        <f>'4.Cronograma Fisico PEP'!L30</f>
        <v>0</v>
      </c>
      <c r="AP34" s="123">
        <f t="shared" si="86"/>
        <v>0</v>
      </c>
      <c r="AQ34" s="152">
        <f t="shared" si="66"/>
        <v>100</v>
      </c>
      <c r="AR34" s="141">
        <f>'1.Usos&amp;Fontes'!C32</f>
        <v>0.50000872077812597</v>
      </c>
      <c r="AS34" s="124">
        <f t="shared" si="87"/>
        <v>8600300</v>
      </c>
      <c r="AT34" s="140">
        <f>'1.Usos&amp;Fontes'!F32</f>
        <v>0.49999127922187403</v>
      </c>
      <c r="AU34" s="176">
        <f t="shared" si="88"/>
        <v>8600000</v>
      </c>
      <c r="AV34" s="12">
        <f>'1.Usos&amp;Fontes'!G32</f>
        <v>25800000</v>
      </c>
      <c r="AW34" s="181">
        <f t="shared" si="89"/>
        <v>17200300</v>
      </c>
      <c r="AX34" s="182">
        <f>'5.Cronograma Financeiro PEP '!AW34*'1.Usos&amp;Fontes'!$I$2</f>
        <v>51600900</v>
      </c>
      <c r="AY34" s="477">
        <f>'1.Usos&amp;Fontes'!E32</f>
        <v>8600300</v>
      </c>
      <c r="AZ34" s="24">
        <f>'1.Usos&amp;Fontes'!H32</f>
        <v>8600000</v>
      </c>
      <c r="BC34" s="7"/>
      <c r="BD34" s="7"/>
      <c r="BE34" s="51"/>
      <c r="BF34" s="7"/>
    </row>
    <row r="35" spans="1:58" s="109" customFormat="1" ht="17.25" thickTop="1" thickBot="1" x14ac:dyDescent="0.3">
      <c r="A35" s="121" t="str">
        <f>'1.Usos&amp;Fontes'!A33</f>
        <v>3.5</v>
      </c>
      <c r="B35" s="2" t="str">
        <f>'1.Usos&amp;Fontes'!B33</f>
        <v>Mobilidade e Acessibilidade</v>
      </c>
      <c r="C35" s="123">
        <f>'4.Cronograma Fisico PEP'!C31</f>
        <v>0</v>
      </c>
      <c r="D35" s="123">
        <f t="shared" si="67"/>
        <v>0</v>
      </c>
      <c r="E35" s="123">
        <f>'4.Cronograma Fisico PEP'!C31</f>
        <v>0</v>
      </c>
      <c r="F35" s="123">
        <f t="shared" si="68"/>
        <v>0</v>
      </c>
      <c r="G35" s="123">
        <f>'4.Cronograma Fisico PEP'!D31</f>
        <v>0</v>
      </c>
      <c r="H35" s="123">
        <f t="shared" si="69"/>
        <v>0</v>
      </c>
      <c r="I35" s="123">
        <f>'4.Cronograma Fisico PEP'!D31</f>
        <v>0</v>
      </c>
      <c r="J35" s="123">
        <f t="shared" si="70"/>
        <v>0</v>
      </c>
      <c r="K35" s="123">
        <f>'4.Cronograma Fisico PEP'!E31</f>
        <v>15</v>
      </c>
      <c r="L35" s="123">
        <f t="shared" si="71"/>
        <v>50100</v>
      </c>
      <c r="M35" s="123">
        <f>'4.Cronograma Fisico PEP'!E31</f>
        <v>15</v>
      </c>
      <c r="N35" s="123">
        <f t="shared" si="72"/>
        <v>50100</v>
      </c>
      <c r="O35" s="123">
        <f>'4.Cronograma Fisico PEP'!F31</f>
        <v>15</v>
      </c>
      <c r="P35" s="123">
        <f t="shared" si="73"/>
        <v>50100</v>
      </c>
      <c r="Q35" s="123">
        <f>'4.Cronograma Fisico PEP'!F31</f>
        <v>15</v>
      </c>
      <c r="R35" s="123">
        <f t="shared" si="74"/>
        <v>50100</v>
      </c>
      <c r="S35" s="123">
        <f>'4.Cronograma Fisico PEP'!G31</f>
        <v>30</v>
      </c>
      <c r="T35" s="123">
        <f t="shared" si="75"/>
        <v>100200</v>
      </c>
      <c r="U35" s="123">
        <f>'4.Cronograma Fisico PEP'!G31</f>
        <v>30</v>
      </c>
      <c r="V35" s="123">
        <f t="shared" si="76"/>
        <v>100200</v>
      </c>
      <c r="W35" s="123">
        <f>'4.Cronograma Fisico PEP'!H31</f>
        <v>30</v>
      </c>
      <c r="X35" s="123">
        <f t="shared" si="77"/>
        <v>100200</v>
      </c>
      <c r="Y35" s="123">
        <f>'4.Cronograma Fisico PEP'!H31</f>
        <v>30</v>
      </c>
      <c r="Z35" s="123">
        <f t="shared" si="78"/>
        <v>100200</v>
      </c>
      <c r="AA35" s="123">
        <f>'4.Cronograma Fisico PEP'!I31</f>
        <v>10</v>
      </c>
      <c r="AB35" s="123">
        <f t="shared" si="79"/>
        <v>33400</v>
      </c>
      <c r="AC35" s="123">
        <f>'4.Cronograma Fisico PEP'!I31</f>
        <v>10</v>
      </c>
      <c r="AD35" s="123">
        <f t="shared" si="80"/>
        <v>33400</v>
      </c>
      <c r="AE35" s="123">
        <f>'4.Cronograma Fisico PEP'!J31</f>
        <v>0</v>
      </c>
      <c r="AF35" s="123">
        <f t="shared" si="81"/>
        <v>0</v>
      </c>
      <c r="AG35" s="123">
        <f>'4.Cronograma Fisico PEP'!J31</f>
        <v>0</v>
      </c>
      <c r="AH35" s="123">
        <f t="shared" si="82"/>
        <v>0</v>
      </c>
      <c r="AI35" s="123">
        <f>'4.Cronograma Fisico PEP'!K31</f>
        <v>0</v>
      </c>
      <c r="AJ35" s="123">
        <f t="shared" si="83"/>
        <v>0</v>
      </c>
      <c r="AK35" s="123">
        <f>'4.Cronograma Fisico PEP'!K31</f>
        <v>0</v>
      </c>
      <c r="AL35" s="123">
        <f t="shared" si="84"/>
        <v>0</v>
      </c>
      <c r="AM35" s="123">
        <f>'4.Cronograma Fisico PEP'!L31</f>
        <v>0</v>
      </c>
      <c r="AN35" s="123">
        <f t="shared" si="85"/>
        <v>0</v>
      </c>
      <c r="AO35" s="123">
        <f>'4.Cronograma Fisico PEP'!L31</f>
        <v>0</v>
      </c>
      <c r="AP35" s="123">
        <f t="shared" si="86"/>
        <v>0</v>
      </c>
      <c r="AQ35" s="152">
        <f t="shared" si="66"/>
        <v>100</v>
      </c>
      <c r="AR35" s="141">
        <f>'1.Usos&amp;Fontes'!C33</f>
        <v>0.5</v>
      </c>
      <c r="AS35" s="124">
        <f t="shared" si="87"/>
        <v>334000</v>
      </c>
      <c r="AT35" s="140">
        <f>'1.Usos&amp;Fontes'!F33</f>
        <v>0.5</v>
      </c>
      <c r="AU35" s="176">
        <f t="shared" si="88"/>
        <v>334000</v>
      </c>
      <c r="AV35" s="12">
        <f>'1.Usos&amp;Fontes'!G33</f>
        <v>1002000</v>
      </c>
      <c r="AW35" s="181">
        <f t="shared" si="89"/>
        <v>668000</v>
      </c>
      <c r="AX35" s="182">
        <f>'5.Cronograma Financeiro PEP '!AW35*'1.Usos&amp;Fontes'!$I$2</f>
        <v>2004000</v>
      </c>
      <c r="AY35" s="477">
        <f>'1.Usos&amp;Fontes'!E33</f>
        <v>334000</v>
      </c>
      <c r="AZ35" s="24">
        <f>'1.Usos&amp;Fontes'!H33</f>
        <v>334000</v>
      </c>
      <c r="BC35" s="112"/>
      <c r="BD35" s="112"/>
      <c r="BE35" s="112"/>
      <c r="BF35" s="112"/>
    </row>
    <row r="36" spans="1:58" s="430" customFormat="1" ht="17.25" thickTop="1" thickBot="1" x14ac:dyDescent="0.3">
      <c r="A36" s="101" t="str">
        <f>'1.Usos&amp;Fontes'!A34</f>
        <v>3.6</v>
      </c>
      <c r="B36" s="20" t="str">
        <f>'1.Usos&amp;Fontes'!B34</f>
        <v>Programa de Reassentamento</v>
      </c>
      <c r="C36" s="123">
        <f>'4.Cronograma Fisico PEP'!C32</f>
        <v>0</v>
      </c>
      <c r="D36" s="123">
        <f t="shared" si="67"/>
        <v>0</v>
      </c>
      <c r="E36" s="123">
        <f>'4.Cronograma Fisico PEP'!C32</f>
        <v>0</v>
      </c>
      <c r="F36" s="123">
        <f>((AZ36)*E36)/100</f>
        <v>0</v>
      </c>
      <c r="G36" s="123">
        <f>'4.Cronograma Fisico PEP'!D32</f>
        <v>0</v>
      </c>
      <c r="H36" s="123">
        <f t="shared" si="69"/>
        <v>0</v>
      </c>
      <c r="I36" s="123">
        <f>'4.Cronograma Fisico PEP'!D32</f>
        <v>0</v>
      </c>
      <c r="J36" s="123">
        <f>((AZ36)*I36)/100</f>
        <v>0</v>
      </c>
      <c r="K36" s="123">
        <f>'4.Cronograma Fisico PEP'!E32</f>
        <v>0</v>
      </c>
      <c r="L36" s="123">
        <f t="shared" si="71"/>
        <v>0</v>
      </c>
      <c r="M36" s="123">
        <f>'4.Cronograma Fisico PEP'!E32</f>
        <v>0</v>
      </c>
      <c r="N36" s="123">
        <f>((AZ36)*M36)/100</f>
        <v>0</v>
      </c>
      <c r="O36" s="123">
        <f>'4.Cronograma Fisico PEP'!F32</f>
        <v>10</v>
      </c>
      <c r="P36" s="123">
        <f t="shared" si="73"/>
        <v>536050.6</v>
      </c>
      <c r="Q36" s="123">
        <f>'4.Cronograma Fisico PEP'!F32</f>
        <v>10</v>
      </c>
      <c r="R36" s="123">
        <f>((AZ36)*Q36)/100</f>
        <v>344200.6</v>
      </c>
      <c r="S36" s="123">
        <f>'4.Cronograma Fisico PEP'!G32</f>
        <v>15</v>
      </c>
      <c r="T36" s="123">
        <f t="shared" si="75"/>
        <v>804075.9</v>
      </c>
      <c r="U36" s="123">
        <f>'4.Cronograma Fisico PEP'!G32</f>
        <v>15</v>
      </c>
      <c r="V36" s="123">
        <f>((AZ36)*U36)/100</f>
        <v>516300.9</v>
      </c>
      <c r="W36" s="123">
        <f>'4.Cronograma Fisico PEP'!H32</f>
        <v>15</v>
      </c>
      <c r="X36" s="123">
        <f t="shared" si="77"/>
        <v>804075.9</v>
      </c>
      <c r="Y36" s="123">
        <f>'4.Cronograma Fisico PEP'!H32</f>
        <v>15</v>
      </c>
      <c r="Z36" s="123">
        <f>((AZ36)*Y36)/100</f>
        <v>516300.9</v>
      </c>
      <c r="AA36" s="123">
        <f>'4.Cronograma Fisico PEP'!I32</f>
        <v>15</v>
      </c>
      <c r="AB36" s="123">
        <f t="shared" si="79"/>
        <v>804075.9</v>
      </c>
      <c r="AC36" s="123">
        <f>'4.Cronograma Fisico PEP'!I32</f>
        <v>15</v>
      </c>
      <c r="AD36" s="123">
        <f>((AZ36)*AC36)/100</f>
        <v>516300.9</v>
      </c>
      <c r="AE36" s="123">
        <f>'4.Cronograma Fisico PEP'!J32</f>
        <v>15</v>
      </c>
      <c r="AF36" s="123">
        <f t="shared" si="81"/>
        <v>804075.9</v>
      </c>
      <c r="AG36" s="123">
        <f>'4.Cronograma Fisico PEP'!J32</f>
        <v>15</v>
      </c>
      <c r="AH36" s="123">
        <f>((AZ36)*AG36)/100</f>
        <v>516300.9</v>
      </c>
      <c r="AI36" s="123">
        <f>'4.Cronograma Fisico PEP'!K32</f>
        <v>15</v>
      </c>
      <c r="AJ36" s="123">
        <f t="shared" si="83"/>
        <v>804075.9</v>
      </c>
      <c r="AK36" s="123">
        <f>'4.Cronograma Fisico PEP'!K32</f>
        <v>15</v>
      </c>
      <c r="AL36" s="123">
        <f>((AZ36)*AK36)/100</f>
        <v>516300.9</v>
      </c>
      <c r="AM36" s="123">
        <f>'4.Cronograma Fisico PEP'!L32</f>
        <v>15</v>
      </c>
      <c r="AN36" s="123">
        <f>((AY36)*AM36)/100</f>
        <v>804075.9</v>
      </c>
      <c r="AO36" s="123">
        <f>'4.Cronograma Fisico PEP'!L32</f>
        <v>15</v>
      </c>
      <c r="AP36" s="123">
        <f>((AZ36)*AO36)/100</f>
        <v>516300.9</v>
      </c>
      <c r="AQ36" s="152">
        <f t="shared" si="66"/>
        <v>100</v>
      </c>
      <c r="AR36" s="141">
        <f>'1.Usos&amp;Fontes'!C34</f>
        <v>0.60897457453054304</v>
      </c>
      <c r="AS36" s="484">
        <f>D36+H36+L36+P36+T36+X36+AB36+AF36+AJ36+AN36</f>
        <v>5360506</v>
      </c>
      <c r="AT36" s="140">
        <f>'1.Usos&amp;Fontes'!F34</f>
        <v>0.3910254254694569</v>
      </c>
      <c r="AU36" s="485">
        <f>F36+J36+N36+R36+V36+Z36+AD36+AH36+AL36+AP36</f>
        <v>3442005.9999999995</v>
      </c>
      <c r="AV36" s="486">
        <f>'1.Usos&amp;Fontes'!G34</f>
        <v>10326018</v>
      </c>
      <c r="AW36" s="487">
        <f t="shared" si="89"/>
        <v>8802512</v>
      </c>
      <c r="AX36" s="488">
        <f>'5.Cronograma Financeiro PEP '!AW36*'1.Usos&amp;Fontes'!$I$2</f>
        <v>26407536</v>
      </c>
      <c r="AY36" s="480">
        <f>'1.Usos&amp;Fontes'!E34</f>
        <v>5360506</v>
      </c>
      <c r="AZ36" s="482">
        <f>'1.Usos&amp;Fontes'!H34</f>
        <v>3442006</v>
      </c>
      <c r="BC36" s="481"/>
      <c r="BD36" s="481"/>
      <c r="BE36" s="481"/>
      <c r="BF36" s="481"/>
    </row>
    <row r="37" spans="1:58" ht="17.25" thickTop="1" thickBot="1" x14ac:dyDescent="0.3">
      <c r="A37" s="101" t="str">
        <f>'1.Usos&amp;Fontes'!A35</f>
        <v>3.7</v>
      </c>
      <c r="B37" s="20" t="str">
        <f>'1.Usos&amp;Fontes'!B35</f>
        <v>Ações de  Recuperação de Áreas Degradadas  (RAA)</v>
      </c>
      <c r="C37" s="123">
        <f>'4.Cronograma Fisico PEP'!C33</f>
        <v>0</v>
      </c>
      <c r="D37" s="123">
        <f t="shared" si="67"/>
        <v>0</v>
      </c>
      <c r="E37" s="123">
        <f>'4.Cronograma Fisico PEP'!C33</f>
        <v>0</v>
      </c>
      <c r="F37" s="123">
        <f t="shared" si="68"/>
        <v>0</v>
      </c>
      <c r="G37" s="123">
        <f>'4.Cronograma Fisico PEP'!D33</f>
        <v>0</v>
      </c>
      <c r="H37" s="123">
        <f t="shared" si="69"/>
        <v>0</v>
      </c>
      <c r="I37" s="123">
        <f>'4.Cronograma Fisico PEP'!D33</f>
        <v>0</v>
      </c>
      <c r="J37" s="123">
        <f t="shared" si="70"/>
        <v>0</v>
      </c>
      <c r="K37" s="123">
        <f>'4.Cronograma Fisico PEP'!E33</f>
        <v>0</v>
      </c>
      <c r="L37" s="123">
        <f t="shared" si="71"/>
        <v>0</v>
      </c>
      <c r="M37" s="123">
        <f>'4.Cronograma Fisico PEP'!E33</f>
        <v>0</v>
      </c>
      <c r="N37" s="123">
        <f t="shared" si="72"/>
        <v>0</v>
      </c>
      <c r="O37" s="123">
        <f>'4.Cronograma Fisico PEP'!F33</f>
        <v>0</v>
      </c>
      <c r="P37" s="123">
        <f t="shared" si="73"/>
        <v>0</v>
      </c>
      <c r="Q37" s="123">
        <f>'4.Cronograma Fisico PEP'!F33</f>
        <v>0</v>
      </c>
      <c r="R37" s="123">
        <f t="shared" si="74"/>
        <v>0</v>
      </c>
      <c r="S37" s="123">
        <f>'4.Cronograma Fisico PEP'!G33</f>
        <v>0</v>
      </c>
      <c r="T37" s="123">
        <f t="shared" si="75"/>
        <v>0</v>
      </c>
      <c r="U37" s="123">
        <f>'4.Cronograma Fisico PEP'!G33</f>
        <v>0</v>
      </c>
      <c r="V37" s="123">
        <f t="shared" si="76"/>
        <v>0</v>
      </c>
      <c r="W37" s="123">
        <f>'4.Cronograma Fisico PEP'!H33</f>
        <v>0</v>
      </c>
      <c r="X37" s="123">
        <f t="shared" si="77"/>
        <v>0</v>
      </c>
      <c r="Y37" s="123">
        <f>'4.Cronograma Fisico PEP'!H33</f>
        <v>0</v>
      </c>
      <c r="Z37" s="123">
        <f t="shared" si="78"/>
        <v>0</v>
      </c>
      <c r="AA37" s="123">
        <f>'4.Cronograma Fisico PEP'!I33</f>
        <v>0</v>
      </c>
      <c r="AB37" s="123">
        <f t="shared" si="79"/>
        <v>0</v>
      </c>
      <c r="AC37" s="123">
        <f>'4.Cronograma Fisico PEP'!I33</f>
        <v>0</v>
      </c>
      <c r="AD37" s="123">
        <f t="shared" si="80"/>
        <v>0</v>
      </c>
      <c r="AE37" s="123">
        <f>'4.Cronograma Fisico PEP'!J33</f>
        <v>0</v>
      </c>
      <c r="AF37" s="123">
        <f t="shared" si="81"/>
        <v>0</v>
      </c>
      <c r="AG37" s="123">
        <f>'4.Cronograma Fisico PEP'!J33</f>
        <v>0</v>
      </c>
      <c r="AH37" s="123">
        <f t="shared" si="82"/>
        <v>0</v>
      </c>
      <c r="AI37" s="123">
        <f>'4.Cronograma Fisico PEP'!K33</f>
        <v>50</v>
      </c>
      <c r="AJ37" s="123">
        <f t="shared" si="83"/>
        <v>1125000</v>
      </c>
      <c r="AK37" s="123">
        <f>'4.Cronograma Fisico PEP'!K33</f>
        <v>50</v>
      </c>
      <c r="AL37" s="123">
        <f t="shared" si="84"/>
        <v>1125000</v>
      </c>
      <c r="AM37" s="123">
        <f>'4.Cronograma Fisico PEP'!L33</f>
        <v>50</v>
      </c>
      <c r="AN37" s="123">
        <f t="shared" si="85"/>
        <v>1125000</v>
      </c>
      <c r="AO37" s="123">
        <f>'4.Cronograma Fisico PEP'!L33</f>
        <v>50</v>
      </c>
      <c r="AP37" s="123">
        <f t="shared" si="86"/>
        <v>1125000</v>
      </c>
      <c r="AQ37" s="152">
        <f t="shared" si="66"/>
        <v>100</v>
      </c>
      <c r="AR37" s="141">
        <f>'1.Usos&amp;Fontes'!C35</f>
        <v>0.5</v>
      </c>
      <c r="AS37" s="484">
        <f t="shared" si="87"/>
        <v>2250000</v>
      </c>
      <c r="AT37" s="140">
        <f>'1.Usos&amp;Fontes'!F35</f>
        <v>0.5</v>
      </c>
      <c r="AU37" s="485">
        <f t="shared" si="88"/>
        <v>2250000</v>
      </c>
      <c r="AV37" s="486">
        <f>'1.Usos&amp;Fontes'!G35</f>
        <v>6750000</v>
      </c>
      <c r="AW37" s="487">
        <f t="shared" si="89"/>
        <v>4500000</v>
      </c>
      <c r="AX37" s="488">
        <f>'5.Cronograma Financeiro PEP '!AW37*'1.Usos&amp;Fontes'!$I$2</f>
        <v>13500000</v>
      </c>
      <c r="AY37" s="477">
        <f>'1.Usos&amp;Fontes'!E35</f>
        <v>2250000</v>
      </c>
      <c r="AZ37" s="24">
        <f>'1.Usos&amp;Fontes'!H35</f>
        <v>2250000</v>
      </c>
      <c r="BC37" s="7"/>
      <c r="BD37" s="7"/>
      <c r="BE37" s="51"/>
      <c r="BF37" s="7"/>
    </row>
    <row r="38" spans="1:58" s="430" customFormat="1" ht="17.25" thickTop="1" thickBot="1" x14ac:dyDescent="0.3">
      <c r="A38" s="101" t="str">
        <f>'1.Usos&amp;Fontes'!A36</f>
        <v>3.8</v>
      </c>
      <c r="B38" s="20" t="str">
        <f>'1.Usos&amp;Fontes'!B36</f>
        <v>Estudos e Projetos de Recuperação Ambiental e Sondagem</v>
      </c>
      <c r="C38" s="123">
        <f>'4.Cronograma Fisico PEP'!C34</f>
        <v>0</v>
      </c>
      <c r="D38" s="123">
        <f t="shared" si="67"/>
        <v>0</v>
      </c>
      <c r="E38" s="123">
        <f>'4.Cronograma Fisico PEP'!C34</f>
        <v>0</v>
      </c>
      <c r="F38" s="123">
        <f t="shared" si="68"/>
        <v>0</v>
      </c>
      <c r="G38" s="123">
        <f>'4.Cronograma Fisico PEP'!D34</f>
        <v>50</v>
      </c>
      <c r="H38" s="123">
        <f t="shared" si="69"/>
        <v>77500</v>
      </c>
      <c r="I38" s="123">
        <f>'4.Cronograma Fisico PEP'!D34</f>
        <v>50</v>
      </c>
      <c r="J38" s="123">
        <f t="shared" si="70"/>
        <v>144450</v>
      </c>
      <c r="K38" s="123">
        <f>'4.Cronograma Fisico PEP'!E34</f>
        <v>50</v>
      </c>
      <c r="L38" s="123">
        <f t="shared" si="71"/>
        <v>77500</v>
      </c>
      <c r="M38" s="123">
        <f>'4.Cronograma Fisico PEP'!E34</f>
        <v>50</v>
      </c>
      <c r="N38" s="123">
        <f t="shared" si="72"/>
        <v>144450</v>
      </c>
      <c r="O38" s="123">
        <f>'4.Cronograma Fisico PEP'!F34</f>
        <v>0</v>
      </c>
      <c r="P38" s="123">
        <f t="shared" si="73"/>
        <v>0</v>
      </c>
      <c r="Q38" s="123">
        <f>'4.Cronograma Fisico PEP'!F34</f>
        <v>0</v>
      </c>
      <c r="R38" s="123">
        <f t="shared" si="74"/>
        <v>0</v>
      </c>
      <c r="S38" s="123">
        <f>'4.Cronograma Fisico PEP'!G34</f>
        <v>0</v>
      </c>
      <c r="T38" s="123">
        <f t="shared" si="75"/>
        <v>0</v>
      </c>
      <c r="U38" s="123">
        <f>'4.Cronograma Fisico PEP'!G34</f>
        <v>0</v>
      </c>
      <c r="V38" s="123">
        <f t="shared" si="76"/>
        <v>0</v>
      </c>
      <c r="W38" s="123">
        <f>'4.Cronograma Fisico PEP'!H34</f>
        <v>0</v>
      </c>
      <c r="X38" s="123">
        <f t="shared" si="77"/>
        <v>0</v>
      </c>
      <c r="Y38" s="123">
        <f>'4.Cronograma Fisico PEP'!H34</f>
        <v>0</v>
      </c>
      <c r="Z38" s="123">
        <f t="shared" si="78"/>
        <v>0</v>
      </c>
      <c r="AA38" s="123">
        <f>'4.Cronograma Fisico PEP'!I34</f>
        <v>0</v>
      </c>
      <c r="AB38" s="123">
        <f t="shared" si="79"/>
        <v>0</v>
      </c>
      <c r="AC38" s="123">
        <f>'4.Cronograma Fisico PEP'!I34</f>
        <v>0</v>
      </c>
      <c r="AD38" s="123">
        <f t="shared" si="80"/>
        <v>0</v>
      </c>
      <c r="AE38" s="123">
        <f>'4.Cronograma Fisico PEP'!J34</f>
        <v>0</v>
      </c>
      <c r="AF38" s="123">
        <f t="shared" si="81"/>
        <v>0</v>
      </c>
      <c r="AG38" s="123">
        <f>'4.Cronograma Fisico PEP'!J34</f>
        <v>0</v>
      </c>
      <c r="AH38" s="123">
        <f t="shared" si="82"/>
        <v>0</v>
      </c>
      <c r="AI38" s="123">
        <f>'4.Cronograma Fisico PEP'!K34</f>
        <v>0</v>
      </c>
      <c r="AJ38" s="123">
        <f t="shared" si="83"/>
        <v>0</v>
      </c>
      <c r="AK38" s="123">
        <f>'4.Cronograma Fisico PEP'!K34</f>
        <v>0</v>
      </c>
      <c r="AL38" s="123">
        <f t="shared" si="84"/>
        <v>0</v>
      </c>
      <c r="AM38" s="123">
        <f>'4.Cronograma Fisico PEP'!L34</f>
        <v>0</v>
      </c>
      <c r="AN38" s="123">
        <f t="shared" si="85"/>
        <v>0</v>
      </c>
      <c r="AO38" s="123">
        <f>'4.Cronograma Fisico PEP'!L34</f>
        <v>0</v>
      </c>
      <c r="AP38" s="123">
        <f t="shared" si="86"/>
        <v>0</v>
      </c>
      <c r="AQ38" s="152">
        <f t="shared" si="66"/>
        <v>100</v>
      </c>
      <c r="AR38" s="141">
        <f>'1.Usos&amp;Fontes'!C36</f>
        <v>0.34917774273485019</v>
      </c>
      <c r="AS38" s="484">
        <f t="shared" si="87"/>
        <v>155000</v>
      </c>
      <c r="AT38" s="140">
        <f>'1.Usos&amp;Fontes'!F36</f>
        <v>0.65082225726514986</v>
      </c>
      <c r="AU38" s="485">
        <f t="shared" si="88"/>
        <v>288900</v>
      </c>
      <c r="AV38" s="486">
        <f>'1.Usos&amp;Fontes'!G36</f>
        <v>866700</v>
      </c>
      <c r="AW38" s="487">
        <f t="shared" si="89"/>
        <v>443900</v>
      </c>
      <c r="AX38" s="488">
        <f>'5.Cronograma Financeiro PEP '!AW38*'1.Usos&amp;Fontes'!$I$2</f>
        <v>1331700</v>
      </c>
      <c r="AY38" s="480">
        <f>'1.Usos&amp;Fontes'!E36</f>
        <v>155000</v>
      </c>
      <c r="AZ38" s="482">
        <f>'1.Usos&amp;Fontes'!H36</f>
        <v>288900</v>
      </c>
      <c r="BC38" s="481"/>
      <c r="BD38" s="481"/>
      <c r="BE38" s="481"/>
      <c r="BF38" s="481"/>
    </row>
    <row r="39" spans="1:58" s="430" customFormat="1" ht="17.25" thickTop="1" thickBot="1" x14ac:dyDescent="0.3">
      <c r="A39" s="101" t="str">
        <f>'1.Usos&amp;Fontes'!A37</f>
        <v>3.9</v>
      </c>
      <c r="B39" s="20" t="str">
        <f>'1.Usos&amp;Fontes'!B37</f>
        <v>Programa de Educação Sanitária e Ambiental  (RAA)</v>
      </c>
      <c r="C39" s="123">
        <f>'4.Cronograma Fisico PEP'!C35</f>
        <v>0</v>
      </c>
      <c r="D39" s="123">
        <f t="shared" si="67"/>
        <v>0</v>
      </c>
      <c r="E39" s="123">
        <f>'4.Cronograma Fisico PEP'!C35</f>
        <v>0</v>
      </c>
      <c r="F39" s="123">
        <f t="shared" si="68"/>
        <v>0</v>
      </c>
      <c r="G39" s="123">
        <f>'4.Cronograma Fisico PEP'!D35</f>
        <v>0</v>
      </c>
      <c r="H39" s="123">
        <f t="shared" si="69"/>
        <v>0</v>
      </c>
      <c r="I39" s="123">
        <f>'4.Cronograma Fisico PEP'!D35</f>
        <v>0</v>
      </c>
      <c r="J39" s="123">
        <f t="shared" si="70"/>
        <v>0</v>
      </c>
      <c r="K39" s="123">
        <f>'4.Cronograma Fisico PEP'!E35</f>
        <v>0</v>
      </c>
      <c r="L39" s="123">
        <f t="shared" si="71"/>
        <v>0</v>
      </c>
      <c r="M39" s="123">
        <f>'4.Cronograma Fisico PEP'!E35</f>
        <v>0</v>
      </c>
      <c r="N39" s="123">
        <f t="shared" si="72"/>
        <v>0</v>
      </c>
      <c r="O39" s="123">
        <f>'4.Cronograma Fisico PEP'!F35</f>
        <v>10</v>
      </c>
      <c r="P39" s="123">
        <f t="shared" si="73"/>
        <v>34000</v>
      </c>
      <c r="Q39" s="123">
        <f>'4.Cronograma Fisico PEP'!F35</f>
        <v>10</v>
      </c>
      <c r="R39" s="123">
        <f t="shared" si="74"/>
        <v>34000</v>
      </c>
      <c r="S39" s="123">
        <f>'4.Cronograma Fisico PEP'!G35</f>
        <v>15</v>
      </c>
      <c r="T39" s="123">
        <f t="shared" si="75"/>
        <v>51000</v>
      </c>
      <c r="U39" s="123">
        <f>'4.Cronograma Fisico PEP'!G35</f>
        <v>15</v>
      </c>
      <c r="V39" s="123">
        <f t="shared" si="76"/>
        <v>51000</v>
      </c>
      <c r="W39" s="123">
        <f>'4.Cronograma Fisico PEP'!H35</f>
        <v>15</v>
      </c>
      <c r="X39" s="123">
        <f t="shared" si="77"/>
        <v>51000</v>
      </c>
      <c r="Y39" s="123">
        <f>'4.Cronograma Fisico PEP'!H35</f>
        <v>15</v>
      </c>
      <c r="Z39" s="123">
        <f t="shared" si="78"/>
        <v>51000</v>
      </c>
      <c r="AA39" s="123">
        <f>'4.Cronograma Fisico PEP'!I35</f>
        <v>15</v>
      </c>
      <c r="AB39" s="123">
        <f t="shared" si="79"/>
        <v>51000</v>
      </c>
      <c r="AC39" s="123">
        <f>'4.Cronograma Fisico PEP'!I35</f>
        <v>15</v>
      </c>
      <c r="AD39" s="123">
        <f t="shared" si="80"/>
        <v>51000</v>
      </c>
      <c r="AE39" s="123">
        <f>'4.Cronograma Fisico PEP'!J35</f>
        <v>15</v>
      </c>
      <c r="AF39" s="123">
        <f t="shared" si="81"/>
        <v>51000</v>
      </c>
      <c r="AG39" s="123">
        <f>'4.Cronograma Fisico PEP'!J35</f>
        <v>15</v>
      </c>
      <c r="AH39" s="123">
        <f t="shared" si="82"/>
        <v>51000</v>
      </c>
      <c r="AI39" s="123">
        <f>'4.Cronograma Fisico PEP'!K35</f>
        <v>15</v>
      </c>
      <c r="AJ39" s="123">
        <f t="shared" si="83"/>
        <v>51000</v>
      </c>
      <c r="AK39" s="123">
        <f>'4.Cronograma Fisico PEP'!K35</f>
        <v>15</v>
      </c>
      <c r="AL39" s="123">
        <f t="shared" si="84"/>
        <v>51000</v>
      </c>
      <c r="AM39" s="123">
        <f>'4.Cronograma Fisico PEP'!L35</f>
        <v>15</v>
      </c>
      <c r="AN39" s="123">
        <f t="shared" si="85"/>
        <v>51000</v>
      </c>
      <c r="AO39" s="123">
        <f>'4.Cronograma Fisico PEP'!L35</f>
        <v>15</v>
      </c>
      <c r="AP39" s="123">
        <f t="shared" si="86"/>
        <v>51000</v>
      </c>
      <c r="AQ39" s="152">
        <f t="shared" si="66"/>
        <v>100</v>
      </c>
      <c r="AR39" s="141">
        <f>'1.Usos&amp;Fontes'!C37</f>
        <v>0.5</v>
      </c>
      <c r="AS39" s="484">
        <f t="shared" si="87"/>
        <v>340000</v>
      </c>
      <c r="AT39" s="140">
        <f>'1.Usos&amp;Fontes'!F37</f>
        <v>0.5</v>
      </c>
      <c r="AU39" s="485">
        <f t="shared" si="88"/>
        <v>340000</v>
      </c>
      <c r="AV39" s="486">
        <f>'1.Usos&amp;Fontes'!G37</f>
        <v>1020000</v>
      </c>
      <c r="AW39" s="487">
        <f t="shared" si="89"/>
        <v>680000</v>
      </c>
      <c r="AX39" s="488">
        <f>'5.Cronograma Financeiro PEP '!AW39*'1.Usos&amp;Fontes'!$I$2</f>
        <v>2040000</v>
      </c>
      <c r="AY39" s="480">
        <f>'1.Usos&amp;Fontes'!E37</f>
        <v>340000</v>
      </c>
      <c r="AZ39" s="482">
        <f>'1.Usos&amp;Fontes'!H37</f>
        <v>340000</v>
      </c>
      <c r="BC39" s="481"/>
      <c r="BD39" s="481"/>
      <c r="BE39" s="481"/>
      <c r="BF39" s="481"/>
    </row>
    <row r="40" spans="1:58" s="109" customFormat="1" ht="17.25" thickTop="1" thickBot="1" x14ac:dyDescent="0.3">
      <c r="A40" s="101" t="str">
        <f>'1.Usos&amp;Fontes'!A38</f>
        <v>3.10</v>
      </c>
      <c r="B40" s="20" t="str">
        <f>'1.Usos&amp;Fontes'!B38</f>
        <v>Equipamentos sociais (Escola, CRAS, C. Comunitário, Creche, P. Policial)</v>
      </c>
      <c r="C40" s="123">
        <f>'4.Cronograma Fisico PEP'!C36</f>
        <v>0</v>
      </c>
      <c r="D40" s="123">
        <f t="shared" si="67"/>
        <v>0</v>
      </c>
      <c r="E40" s="123">
        <f>'4.Cronograma Fisico PEP'!C36</f>
        <v>0</v>
      </c>
      <c r="F40" s="123">
        <f t="shared" si="68"/>
        <v>0</v>
      </c>
      <c r="G40" s="123">
        <f>'4.Cronograma Fisico PEP'!D36</f>
        <v>0</v>
      </c>
      <c r="H40" s="123">
        <f t="shared" si="69"/>
        <v>0</v>
      </c>
      <c r="I40" s="123">
        <f>'4.Cronograma Fisico PEP'!D36</f>
        <v>0</v>
      </c>
      <c r="J40" s="123">
        <f t="shared" si="70"/>
        <v>0</v>
      </c>
      <c r="K40" s="123">
        <f>'4.Cronograma Fisico PEP'!E36</f>
        <v>0</v>
      </c>
      <c r="L40" s="123">
        <f t="shared" si="71"/>
        <v>0</v>
      </c>
      <c r="M40" s="123">
        <f>'4.Cronograma Fisico PEP'!E36</f>
        <v>0</v>
      </c>
      <c r="N40" s="123">
        <f t="shared" si="72"/>
        <v>0</v>
      </c>
      <c r="O40" s="123">
        <f>'4.Cronograma Fisico PEP'!F36</f>
        <v>0</v>
      </c>
      <c r="P40" s="123">
        <f t="shared" si="73"/>
        <v>0</v>
      </c>
      <c r="Q40" s="123">
        <f>'4.Cronograma Fisico PEP'!F36</f>
        <v>0</v>
      </c>
      <c r="R40" s="123">
        <f t="shared" si="74"/>
        <v>0</v>
      </c>
      <c r="S40" s="123">
        <f>'4.Cronograma Fisico PEP'!G36</f>
        <v>0</v>
      </c>
      <c r="T40" s="123">
        <f t="shared" si="75"/>
        <v>0</v>
      </c>
      <c r="U40" s="123">
        <f>'4.Cronograma Fisico PEP'!G36</f>
        <v>0</v>
      </c>
      <c r="V40" s="123">
        <f t="shared" si="76"/>
        <v>0</v>
      </c>
      <c r="W40" s="123">
        <f>'4.Cronograma Fisico PEP'!H36</f>
        <v>50</v>
      </c>
      <c r="X40" s="123">
        <f t="shared" si="77"/>
        <v>766665</v>
      </c>
      <c r="Y40" s="123">
        <f>'4.Cronograma Fisico PEP'!H36</f>
        <v>50</v>
      </c>
      <c r="Z40" s="123">
        <f t="shared" si="78"/>
        <v>766665</v>
      </c>
      <c r="AA40" s="123">
        <f>'4.Cronograma Fisico PEP'!I36</f>
        <v>50</v>
      </c>
      <c r="AB40" s="123">
        <f t="shared" si="79"/>
        <v>766665</v>
      </c>
      <c r="AC40" s="123">
        <f>'4.Cronograma Fisico PEP'!I36</f>
        <v>50</v>
      </c>
      <c r="AD40" s="123">
        <f t="shared" si="80"/>
        <v>766665</v>
      </c>
      <c r="AE40" s="123">
        <f>'4.Cronograma Fisico PEP'!J36</f>
        <v>0</v>
      </c>
      <c r="AF40" s="123">
        <f t="shared" si="81"/>
        <v>0</v>
      </c>
      <c r="AG40" s="123">
        <f>'4.Cronograma Fisico PEP'!J36</f>
        <v>0</v>
      </c>
      <c r="AH40" s="123">
        <f t="shared" si="82"/>
        <v>0</v>
      </c>
      <c r="AI40" s="123">
        <f>'4.Cronograma Fisico PEP'!K36</f>
        <v>0</v>
      </c>
      <c r="AJ40" s="123">
        <f t="shared" si="83"/>
        <v>0</v>
      </c>
      <c r="AK40" s="123">
        <f>'4.Cronograma Fisico PEP'!K36</f>
        <v>0</v>
      </c>
      <c r="AL40" s="123">
        <f t="shared" si="84"/>
        <v>0</v>
      </c>
      <c r="AM40" s="123">
        <f>'4.Cronograma Fisico PEP'!L36</f>
        <v>0</v>
      </c>
      <c r="AN40" s="123">
        <f t="shared" si="85"/>
        <v>0</v>
      </c>
      <c r="AO40" s="123">
        <f>'4.Cronograma Fisico PEP'!L36</f>
        <v>0</v>
      </c>
      <c r="AP40" s="123">
        <f t="shared" si="86"/>
        <v>0</v>
      </c>
      <c r="AQ40" s="152">
        <f t="shared" si="66"/>
        <v>100</v>
      </c>
      <c r="AR40" s="141">
        <f>'1.Usos&amp;Fontes'!C38</f>
        <v>0.5</v>
      </c>
      <c r="AS40" s="484">
        <f t="shared" si="87"/>
        <v>1533330</v>
      </c>
      <c r="AT40" s="140">
        <f>'1.Usos&amp;Fontes'!F38</f>
        <v>0.5</v>
      </c>
      <c r="AU40" s="485">
        <f t="shared" si="88"/>
        <v>1533330</v>
      </c>
      <c r="AV40" s="486">
        <f>'1.Usos&amp;Fontes'!G38</f>
        <v>4599990</v>
      </c>
      <c r="AW40" s="487">
        <f t="shared" si="89"/>
        <v>3066660</v>
      </c>
      <c r="AX40" s="488">
        <f>'5.Cronograma Financeiro PEP '!AW40*'1.Usos&amp;Fontes'!$I$2</f>
        <v>9199980</v>
      </c>
      <c r="AY40" s="477">
        <f>'1.Usos&amp;Fontes'!E38</f>
        <v>1533330</v>
      </c>
      <c r="AZ40" s="24">
        <f>'1.Usos&amp;Fontes'!H38</f>
        <v>1533330</v>
      </c>
      <c r="BC40" s="112"/>
      <c r="BD40" s="112"/>
      <c r="BE40" s="112"/>
      <c r="BF40" s="112"/>
    </row>
    <row r="41" spans="1:58" s="430" customFormat="1" ht="17.25" thickTop="1" thickBot="1" x14ac:dyDescent="0.3">
      <c r="A41" s="101" t="str">
        <f>'1.Usos&amp;Fontes'!A39</f>
        <v>3.11</v>
      </c>
      <c r="B41" s="20" t="str">
        <f>'1.Usos&amp;Fontes'!B39</f>
        <v>Capacitação para a geração  de emprego e renda</v>
      </c>
      <c r="C41" s="123">
        <f>'4.Cronograma Fisico PEP'!C37</f>
        <v>0</v>
      </c>
      <c r="D41" s="123">
        <f t="shared" si="67"/>
        <v>0</v>
      </c>
      <c r="E41" s="123">
        <f>'4.Cronograma Fisico PEP'!C37</f>
        <v>0</v>
      </c>
      <c r="F41" s="123">
        <f t="shared" si="68"/>
        <v>0</v>
      </c>
      <c r="G41" s="123">
        <f>'4.Cronograma Fisico PEP'!D37</f>
        <v>0</v>
      </c>
      <c r="H41" s="123">
        <f t="shared" si="69"/>
        <v>0</v>
      </c>
      <c r="I41" s="123">
        <f>'4.Cronograma Fisico PEP'!D37</f>
        <v>0</v>
      </c>
      <c r="J41" s="123">
        <f t="shared" si="70"/>
        <v>0</v>
      </c>
      <c r="K41" s="123">
        <f>'4.Cronograma Fisico PEP'!E37</f>
        <v>0</v>
      </c>
      <c r="L41" s="123">
        <f t="shared" si="71"/>
        <v>0</v>
      </c>
      <c r="M41" s="123">
        <f>'4.Cronograma Fisico PEP'!E37</f>
        <v>0</v>
      </c>
      <c r="N41" s="123">
        <f t="shared" si="72"/>
        <v>0</v>
      </c>
      <c r="O41" s="123">
        <f>'4.Cronograma Fisico PEP'!F37</f>
        <v>10</v>
      </c>
      <c r="P41" s="123">
        <f t="shared" si="73"/>
        <v>30000</v>
      </c>
      <c r="Q41" s="123">
        <f>'4.Cronograma Fisico PEP'!F37</f>
        <v>10</v>
      </c>
      <c r="R41" s="123">
        <f t="shared" si="74"/>
        <v>18000</v>
      </c>
      <c r="S41" s="123">
        <f>'4.Cronograma Fisico PEP'!G37</f>
        <v>15</v>
      </c>
      <c r="T41" s="123">
        <f t="shared" si="75"/>
        <v>45000</v>
      </c>
      <c r="U41" s="123">
        <f>'4.Cronograma Fisico PEP'!G37</f>
        <v>15</v>
      </c>
      <c r="V41" s="123">
        <f t="shared" si="76"/>
        <v>27000</v>
      </c>
      <c r="W41" s="123">
        <f>'4.Cronograma Fisico PEP'!H37</f>
        <v>15</v>
      </c>
      <c r="X41" s="123">
        <f t="shared" si="77"/>
        <v>45000</v>
      </c>
      <c r="Y41" s="123">
        <f>'4.Cronograma Fisico PEP'!H37</f>
        <v>15</v>
      </c>
      <c r="Z41" s="123">
        <f t="shared" si="78"/>
        <v>27000</v>
      </c>
      <c r="AA41" s="123">
        <f>'4.Cronograma Fisico PEP'!I37</f>
        <v>15</v>
      </c>
      <c r="AB41" s="123">
        <f t="shared" si="79"/>
        <v>45000</v>
      </c>
      <c r="AC41" s="123">
        <f>'4.Cronograma Fisico PEP'!I37</f>
        <v>15</v>
      </c>
      <c r="AD41" s="123">
        <f t="shared" si="80"/>
        <v>27000</v>
      </c>
      <c r="AE41" s="123">
        <f>'4.Cronograma Fisico PEP'!J37</f>
        <v>15</v>
      </c>
      <c r="AF41" s="123">
        <f t="shared" si="81"/>
        <v>45000</v>
      </c>
      <c r="AG41" s="123">
        <f>'4.Cronograma Fisico PEP'!J37</f>
        <v>15</v>
      </c>
      <c r="AH41" s="123">
        <f t="shared" si="82"/>
        <v>27000</v>
      </c>
      <c r="AI41" s="123">
        <f>'4.Cronograma Fisico PEP'!K37</f>
        <v>15</v>
      </c>
      <c r="AJ41" s="123">
        <f t="shared" si="83"/>
        <v>45000</v>
      </c>
      <c r="AK41" s="123">
        <f>'4.Cronograma Fisico PEP'!K37</f>
        <v>15</v>
      </c>
      <c r="AL41" s="123">
        <f t="shared" si="84"/>
        <v>27000</v>
      </c>
      <c r="AM41" s="123">
        <f>'4.Cronograma Fisico PEP'!L37</f>
        <v>15</v>
      </c>
      <c r="AN41" s="123">
        <f t="shared" si="85"/>
        <v>45000</v>
      </c>
      <c r="AO41" s="123">
        <f>'4.Cronograma Fisico PEP'!L37</f>
        <v>15</v>
      </c>
      <c r="AP41" s="123">
        <f t="shared" si="86"/>
        <v>27000</v>
      </c>
      <c r="AQ41" s="152">
        <f t="shared" si="66"/>
        <v>100</v>
      </c>
      <c r="AR41" s="141">
        <f>'1.Usos&amp;Fontes'!C39</f>
        <v>0.625</v>
      </c>
      <c r="AS41" s="484">
        <f t="shared" si="87"/>
        <v>300000</v>
      </c>
      <c r="AT41" s="140">
        <f>'1.Usos&amp;Fontes'!F39</f>
        <v>0.375</v>
      </c>
      <c r="AU41" s="485">
        <f t="shared" si="88"/>
        <v>180000</v>
      </c>
      <c r="AV41" s="486">
        <f>'1.Usos&amp;Fontes'!G39</f>
        <v>540000</v>
      </c>
      <c r="AW41" s="487">
        <f t="shared" si="89"/>
        <v>480000</v>
      </c>
      <c r="AX41" s="488">
        <f>'5.Cronograma Financeiro PEP '!AW41*'1.Usos&amp;Fontes'!$I$2</f>
        <v>1440000</v>
      </c>
      <c r="AY41" s="480">
        <f>'1.Usos&amp;Fontes'!E39</f>
        <v>300000</v>
      </c>
      <c r="AZ41" s="482">
        <f>'1.Usos&amp;Fontes'!H39</f>
        <v>180000</v>
      </c>
      <c r="BC41" s="481"/>
      <c r="BD41" s="481"/>
      <c r="BE41" s="481"/>
      <c r="BF41" s="481"/>
    </row>
    <row r="42" spans="1:58" ht="17.25" thickTop="1" thickBot="1" x14ac:dyDescent="0.3">
      <c r="A42" s="121" t="str">
        <f>'1.Usos&amp;Fontes'!A40</f>
        <v>3.12</v>
      </c>
      <c r="B42" s="2" t="str">
        <f>'1.Usos&amp;Fontes'!B40</f>
        <v>Construção de  561 casas populares</v>
      </c>
      <c r="C42" s="123">
        <f>'4.Cronograma Fisico PEP'!C38</f>
        <v>0</v>
      </c>
      <c r="D42" s="123">
        <f t="shared" si="67"/>
        <v>0</v>
      </c>
      <c r="E42" s="123">
        <f>'4.Cronograma Fisico PEP'!C38</f>
        <v>0</v>
      </c>
      <c r="F42" s="123">
        <f t="shared" si="68"/>
        <v>0</v>
      </c>
      <c r="G42" s="123">
        <f>'4.Cronograma Fisico PEP'!D38</f>
        <v>0</v>
      </c>
      <c r="H42" s="123">
        <f t="shared" si="69"/>
        <v>0</v>
      </c>
      <c r="I42" s="123">
        <f>'4.Cronograma Fisico PEP'!D38</f>
        <v>0</v>
      </c>
      <c r="J42" s="123">
        <f t="shared" si="70"/>
        <v>0</v>
      </c>
      <c r="K42" s="123">
        <f>'4.Cronograma Fisico PEP'!E38</f>
        <v>20</v>
      </c>
      <c r="L42" s="123">
        <f t="shared" si="71"/>
        <v>0</v>
      </c>
      <c r="M42" s="123">
        <f>'4.Cronograma Fisico PEP'!E38</f>
        <v>20</v>
      </c>
      <c r="N42" s="123">
        <f t="shared" si="72"/>
        <v>2733200</v>
      </c>
      <c r="O42" s="123">
        <f>'4.Cronograma Fisico PEP'!F38</f>
        <v>20</v>
      </c>
      <c r="P42" s="123">
        <f t="shared" si="73"/>
        <v>0</v>
      </c>
      <c r="Q42" s="123">
        <f>'4.Cronograma Fisico PEP'!F38</f>
        <v>20</v>
      </c>
      <c r="R42" s="123">
        <f t="shared" si="74"/>
        <v>2733200</v>
      </c>
      <c r="S42" s="123">
        <f>'4.Cronograma Fisico PEP'!G38</f>
        <v>30</v>
      </c>
      <c r="T42" s="123">
        <f t="shared" si="75"/>
        <v>0</v>
      </c>
      <c r="U42" s="123">
        <f>'4.Cronograma Fisico PEP'!G38</f>
        <v>30</v>
      </c>
      <c r="V42" s="123">
        <f t="shared" si="76"/>
        <v>4099800</v>
      </c>
      <c r="W42" s="123">
        <f>'4.Cronograma Fisico PEP'!H38</f>
        <v>30</v>
      </c>
      <c r="X42" s="123">
        <f t="shared" si="77"/>
        <v>0</v>
      </c>
      <c r="Y42" s="123">
        <f>'4.Cronograma Fisico PEP'!H38</f>
        <v>30</v>
      </c>
      <c r="Z42" s="123">
        <f t="shared" si="78"/>
        <v>4099800</v>
      </c>
      <c r="AA42" s="123">
        <f>'4.Cronograma Fisico PEP'!I38</f>
        <v>0</v>
      </c>
      <c r="AB42" s="123">
        <f t="shared" si="79"/>
        <v>0</v>
      </c>
      <c r="AC42" s="123">
        <f>'4.Cronograma Fisico PEP'!I38</f>
        <v>0</v>
      </c>
      <c r="AD42" s="123">
        <f t="shared" si="80"/>
        <v>0</v>
      </c>
      <c r="AE42" s="123">
        <f>'4.Cronograma Fisico PEP'!J38</f>
        <v>0</v>
      </c>
      <c r="AF42" s="123">
        <f t="shared" si="81"/>
        <v>0</v>
      </c>
      <c r="AG42" s="123">
        <f>'4.Cronograma Fisico PEP'!J38</f>
        <v>0</v>
      </c>
      <c r="AH42" s="123">
        <f t="shared" si="82"/>
        <v>0</v>
      </c>
      <c r="AI42" s="123">
        <f>'4.Cronograma Fisico PEP'!K38</f>
        <v>0</v>
      </c>
      <c r="AJ42" s="123">
        <f t="shared" si="83"/>
        <v>0</v>
      </c>
      <c r="AK42" s="123">
        <f>'4.Cronograma Fisico PEP'!K38</f>
        <v>0</v>
      </c>
      <c r="AL42" s="123">
        <f t="shared" si="84"/>
        <v>0</v>
      </c>
      <c r="AM42" s="123">
        <f>'4.Cronograma Fisico PEP'!L38</f>
        <v>0</v>
      </c>
      <c r="AN42" s="123">
        <f t="shared" si="85"/>
        <v>0</v>
      </c>
      <c r="AO42" s="123">
        <f>'4.Cronograma Fisico PEP'!L38</f>
        <v>0</v>
      </c>
      <c r="AP42" s="123">
        <f t="shared" si="86"/>
        <v>0</v>
      </c>
      <c r="AQ42" s="152">
        <f t="shared" si="66"/>
        <v>100</v>
      </c>
      <c r="AR42" s="141">
        <f>'1.Usos&amp;Fontes'!C40</f>
        <v>0</v>
      </c>
      <c r="AS42" s="124">
        <f t="shared" si="87"/>
        <v>0</v>
      </c>
      <c r="AT42" s="140">
        <f>'1.Usos&amp;Fontes'!F40</f>
        <v>1</v>
      </c>
      <c r="AU42" s="176">
        <f>F42+J42+N42+R42+V42+Z42+AD42+AH42+AL42+AP42</f>
        <v>13666000</v>
      </c>
      <c r="AV42" s="12">
        <f>'1.Usos&amp;Fontes'!G40</f>
        <v>40998000</v>
      </c>
      <c r="AW42" s="181">
        <f>AS42+AU42</f>
        <v>13666000</v>
      </c>
      <c r="AX42" s="182">
        <f>'5.Cronograma Financeiro PEP '!AW42*'1.Usos&amp;Fontes'!$I$2</f>
        <v>40998000</v>
      </c>
      <c r="AY42" s="477">
        <f>'1.Usos&amp;Fontes'!E40</f>
        <v>0</v>
      </c>
      <c r="AZ42" s="24">
        <f>'1.Usos&amp;Fontes'!H40</f>
        <v>13666000</v>
      </c>
      <c r="BC42" s="7"/>
      <c r="BD42" s="7"/>
      <c r="BE42" s="51"/>
      <c r="BF42" s="7"/>
    </row>
    <row r="43" spans="1:58" ht="17.25" customHeight="1" thickTop="1" thickBot="1" x14ac:dyDescent="0.3">
      <c r="A43" s="629" t="s">
        <v>9</v>
      </c>
      <c r="B43" s="629"/>
      <c r="C43" s="136"/>
      <c r="D43" s="164">
        <f>SUM(D31:D42)</f>
        <v>0</v>
      </c>
      <c r="E43" s="285"/>
      <c r="F43" s="164">
        <f>SUM(F31:F42)</f>
        <v>0</v>
      </c>
      <c r="G43" s="164"/>
      <c r="H43" s="164">
        <f>SUM(H31:H42)</f>
        <v>77500</v>
      </c>
      <c r="I43" s="164"/>
      <c r="J43" s="164">
        <f>SUM(J31:J42)</f>
        <v>144450</v>
      </c>
      <c r="K43" s="164"/>
      <c r="L43" s="164">
        <f>SUM(L31:L42)</f>
        <v>2296645</v>
      </c>
      <c r="M43" s="164"/>
      <c r="N43" s="164">
        <f>SUM(N31:N42)</f>
        <v>5201750</v>
      </c>
      <c r="O43" s="164"/>
      <c r="P43" s="164">
        <f>SUM(P31:P42)</f>
        <v>2819195.6</v>
      </c>
      <c r="Q43" s="164"/>
      <c r="R43" s="164">
        <f>SUM(R31:R42)</f>
        <v>5453500.5999999996</v>
      </c>
      <c r="S43" s="164"/>
      <c r="T43" s="164">
        <f>SUM(T31:T42)</f>
        <v>5338365.9000000004</v>
      </c>
      <c r="U43" s="164"/>
      <c r="V43" s="164">
        <f>SUM(V31:V42)</f>
        <v>9342300.9000000004</v>
      </c>
      <c r="W43" s="164"/>
      <c r="X43" s="164">
        <f>SUM(X31:X42)</f>
        <v>6105030.9000000004</v>
      </c>
      <c r="Y43" s="164"/>
      <c r="Z43" s="164">
        <f>SUM(Z31:Z42)</f>
        <v>10108965.9</v>
      </c>
      <c r="AA43" s="164"/>
      <c r="AB43" s="164">
        <f>SUM(AB31:AB42)</f>
        <v>3146170.9</v>
      </c>
      <c r="AC43" s="164"/>
      <c r="AD43" s="164">
        <f>SUM(AD31:AD42)</f>
        <v>2910365.9</v>
      </c>
      <c r="AE43" s="164"/>
      <c r="AF43" s="164">
        <f>SUM(AF31:AF42)</f>
        <v>900075.9</v>
      </c>
      <c r="AG43" s="164"/>
      <c r="AH43" s="164">
        <f>SUM(AH31:AH42)</f>
        <v>594300.9</v>
      </c>
      <c r="AI43" s="164"/>
      <c r="AJ43" s="164">
        <f>SUM(AJ31:AJ42)</f>
        <v>2025075.9</v>
      </c>
      <c r="AK43" s="164"/>
      <c r="AL43" s="164">
        <f>SUM(AL31:AL42)</f>
        <v>1719300.9</v>
      </c>
      <c r="AM43" s="164"/>
      <c r="AN43" s="164">
        <f>SUM(AN31:AN42)</f>
        <v>2025075.9</v>
      </c>
      <c r="AO43" s="164"/>
      <c r="AP43" s="164">
        <f>SUM(AP31:AP42)</f>
        <v>1719300.9</v>
      </c>
      <c r="AQ43" s="136"/>
      <c r="AR43" s="8"/>
      <c r="AS43" s="15">
        <f>SUM(AS31:AS42)</f>
        <v>24733136</v>
      </c>
      <c r="AT43" s="14"/>
      <c r="AU43" s="41">
        <f>SUM(AU31:AU42)</f>
        <v>37194236</v>
      </c>
      <c r="AV43" s="16">
        <f t="shared" ref="AV43" si="90">SUM(AV31:AV42)</f>
        <v>111582708</v>
      </c>
      <c r="AW43" s="16">
        <f>SUM(AW31:AW42)</f>
        <v>61927372</v>
      </c>
      <c r="AX43" s="16">
        <f>SUM(AX31:AX42)</f>
        <v>185782116</v>
      </c>
      <c r="AY43" s="10"/>
      <c r="AZ43" s="24"/>
      <c r="BC43" s="7"/>
      <c r="BD43" s="7"/>
      <c r="BE43" s="51"/>
      <c r="BF43" s="7"/>
    </row>
    <row r="44" spans="1:58" s="109" customFormat="1" ht="15.75" thickBot="1" x14ac:dyDescent="0.3">
      <c r="A44" s="132" t="str">
        <f>'1.Usos&amp;Fontes'!A42</f>
        <v>IV</v>
      </c>
      <c r="B44" s="632" t="str">
        <f>'1.Usos&amp;Fontes'!B42</f>
        <v xml:space="preserve">GERENCIAMENTO E MONITORAMENTO </v>
      </c>
      <c r="C44" s="572"/>
      <c r="D44" s="572"/>
      <c r="E44" s="572"/>
      <c r="F44" s="572"/>
      <c r="G44" s="572"/>
      <c r="H44" s="572"/>
      <c r="I44" s="572"/>
      <c r="J44" s="572"/>
      <c r="K44" s="572"/>
      <c r="L44" s="572"/>
      <c r="M44" s="572"/>
      <c r="N44" s="572"/>
      <c r="O44" s="572"/>
      <c r="P44" s="572"/>
      <c r="Q44" s="572"/>
      <c r="R44" s="572"/>
      <c r="S44" s="572"/>
      <c r="T44" s="572"/>
      <c r="U44" s="572"/>
      <c r="V44" s="572"/>
      <c r="W44" s="572"/>
      <c r="X44" s="572"/>
      <c r="Y44" s="572"/>
      <c r="Z44" s="572"/>
      <c r="AA44" s="572"/>
      <c r="AB44" s="572"/>
      <c r="AC44" s="572"/>
      <c r="AD44" s="572"/>
      <c r="AE44" s="572"/>
      <c r="AF44" s="572"/>
      <c r="AG44" s="572"/>
      <c r="AH44" s="572"/>
      <c r="AI44" s="572"/>
      <c r="AJ44" s="572"/>
      <c r="AK44" s="572"/>
      <c r="AL44" s="572"/>
      <c r="AM44" s="572"/>
      <c r="AN44" s="572"/>
      <c r="AO44" s="572"/>
      <c r="AP44" s="572"/>
      <c r="AQ44" s="572"/>
      <c r="AR44" s="572"/>
      <c r="AS44" s="572"/>
      <c r="AT44" s="572"/>
      <c r="AU44" s="572"/>
      <c r="AV44" s="572">
        <f t="shared" ref="AV44:AX44" si="91">SUM(AV45:AV47)</f>
        <v>28500000</v>
      </c>
      <c r="AW44" s="572">
        <f t="shared" si="91"/>
        <v>9955130</v>
      </c>
      <c r="AX44" s="572">
        <f t="shared" si="91"/>
        <v>29865390</v>
      </c>
      <c r="AY44" s="111"/>
      <c r="BC44" s="112"/>
      <c r="BD44" s="112"/>
      <c r="BE44" s="112"/>
      <c r="BF44" s="112"/>
    </row>
    <row r="45" spans="1:58" ht="16.5" customHeight="1" thickTop="1" thickBot="1" x14ac:dyDescent="0.3">
      <c r="A45" s="121" t="str">
        <f>'1.Usos&amp;Fontes'!A43</f>
        <v>4.1</v>
      </c>
      <c r="B45" s="2" t="str">
        <f>'1.Usos&amp;Fontes'!B43</f>
        <v>Gerenciamento e Monitoramento do Programa e Supervisão do Programa</v>
      </c>
      <c r="C45" s="123">
        <f>'4.Cronograma Fisico PEP'!C40</f>
        <v>0</v>
      </c>
      <c r="D45" s="206">
        <f t="shared" ref="D45" si="92">((AY45)*C45)/100</f>
        <v>0</v>
      </c>
      <c r="E45" s="206">
        <f>'4.Cronograma Fisico PEP'!C40</f>
        <v>0</v>
      </c>
      <c r="F45" s="206">
        <f t="shared" ref="F45" si="93">((AZ45)*E45)/100</f>
        <v>0</v>
      </c>
      <c r="G45" s="206">
        <f>'4.Cronograma Fisico PEP'!D40</f>
        <v>20</v>
      </c>
      <c r="H45" s="206">
        <f>((AY45)*G45)/100</f>
        <v>91026</v>
      </c>
      <c r="I45" s="206">
        <f>'4.Cronograma Fisico PEP'!D40</f>
        <v>20</v>
      </c>
      <c r="J45" s="206">
        <f>((AZ45)*I45)/100</f>
        <v>1800000</v>
      </c>
      <c r="K45" s="123">
        <f>'4.Cronograma Fisico PEP'!E40</f>
        <v>10</v>
      </c>
      <c r="L45" s="123">
        <f t="shared" ref="L45" si="94">((AY45)*K45)/100</f>
        <v>45513</v>
      </c>
      <c r="M45" s="123">
        <f>'4.Cronograma Fisico PEP'!E40</f>
        <v>10</v>
      </c>
      <c r="N45" s="123">
        <f t="shared" ref="N45" si="95">((AZ45)*M45)/100</f>
        <v>900000</v>
      </c>
      <c r="O45" s="123">
        <f>'4.Cronograma Fisico PEP'!F40</f>
        <v>10</v>
      </c>
      <c r="P45" s="123">
        <f t="shared" ref="P45" si="96">((AY45)*O45)/100</f>
        <v>45513</v>
      </c>
      <c r="Q45" s="123">
        <f>'4.Cronograma Fisico PEP'!F40</f>
        <v>10</v>
      </c>
      <c r="R45" s="123">
        <f t="shared" ref="R45" si="97">((AZ45)*Q45)/100</f>
        <v>900000</v>
      </c>
      <c r="S45" s="123">
        <f>'4.Cronograma Fisico PEP'!G40</f>
        <v>10</v>
      </c>
      <c r="T45" s="123">
        <f>((AY45)*S45)/100</f>
        <v>45513</v>
      </c>
      <c r="U45" s="123">
        <f>'4.Cronograma Fisico PEP'!G40</f>
        <v>10</v>
      </c>
      <c r="V45" s="123">
        <f>((AZ45)*U45)/100</f>
        <v>900000</v>
      </c>
      <c r="W45" s="123">
        <f>'4.Cronograma Fisico PEP'!H40</f>
        <v>10</v>
      </c>
      <c r="X45" s="123">
        <f>((AY45)*W45)/100</f>
        <v>45513</v>
      </c>
      <c r="Y45" s="123">
        <f>'4.Cronograma Fisico PEP'!H40</f>
        <v>10</v>
      </c>
      <c r="Z45" s="123">
        <f>((AZ45)*Y45)/100</f>
        <v>900000</v>
      </c>
      <c r="AA45" s="123">
        <f>'4.Cronograma Fisico PEP'!I40</f>
        <v>10</v>
      </c>
      <c r="AB45" s="123">
        <f>((AY45)*AA45)/100</f>
        <v>45513</v>
      </c>
      <c r="AC45" s="123">
        <f>'4.Cronograma Fisico PEP'!I40</f>
        <v>10</v>
      </c>
      <c r="AD45" s="123">
        <f t="shared" ref="AD45" si="98">((AZ45)*AC45)/100</f>
        <v>900000</v>
      </c>
      <c r="AE45" s="123">
        <f>'4.Cronograma Fisico PEP'!J40</f>
        <v>10</v>
      </c>
      <c r="AF45" s="123">
        <f t="shared" ref="AF45" si="99">((AY45)*AE45)/100</f>
        <v>45513</v>
      </c>
      <c r="AG45" s="123">
        <f>'4.Cronograma Fisico PEP'!J40</f>
        <v>10</v>
      </c>
      <c r="AH45" s="123">
        <f t="shared" ref="AH45" si="100">((AZ45)*AG45)/100</f>
        <v>900000</v>
      </c>
      <c r="AI45" s="123">
        <f>'4.Cronograma Fisico PEP'!K40</f>
        <v>10</v>
      </c>
      <c r="AJ45" s="123">
        <f t="shared" ref="AJ45" si="101">((AY45)*AI45)/100</f>
        <v>45513</v>
      </c>
      <c r="AK45" s="123">
        <f>'4.Cronograma Fisico PEP'!K40</f>
        <v>10</v>
      </c>
      <c r="AL45" s="123">
        <f t="shared" ref="AL45" si="102">((AZ45)*AK45)/100</f>
        <v>900000</v>
      </c>
      <c r="AM45" s="123">
        <f>'4.Cronograma Fisico PEP'!L40</f>
        <v>10</v>
      </c>
      <c r="AN45" s="123">
        <f t="shared" ref="AN45" si="103">((AY45)*AM45)/100</f>
        <v>45513</v>
      </c>
      <c r="AO45" s="123">
        <f>'4.Cronograma Fisico PEP'!L40</f>
        <v>10</v>
      </c>
      <c r="AP45" s="123">
        <f t="shared" ref="AP45" si="104">((AZ45)*AO45)/100</f>
        <v>900000</v>
      </c>
      <c r="AQ45" s="152">
        <f t="shared" ref="AQ45:AQ47" si="105">C45+G45+K45+O45+S45+W45+AA45+AE45+AI45+AM45</f>
        <v>100</v>
      </c>
      <c r="AR45" s="141">
        <f>'1.Usos&amp;Fontes'!C43</f>
        <v>4.8135773913209022E-2</v>
      </c>
      <c r="AS45" s="124">
        <f>D45+H45+L45+P45+T45+X45+AB45+AF45+AJ45+AN45</f>
        <v>455130</v>
      </c>
      <c r="AT45" s="140">
        <f>'1.Usos&amp;Fontes'!F43</f>
        <v>0.951864226086791</v>
      </c>
      <c r="AU45" s="176">
        <f>F45+J45+N45+R45+V45+Z45+AD45+AH45+AL45+AP45</f>
        <v>9000000</v>
      </c>
      <c r="AV45" s="12">
        <f>'1.Usos&amp;Fontes'!G43</f>
        <v>27000000</v>
      </c>
      <c r="AW45" s="181">
        <f>AS45+AU45</f>
        <v>9455130</v>
      </c>
      <c r="AX45" s="182">
        <f>'5.Cronograma Financeiro PEP '!AW45*'1.Usos&amp;Fontes'!$I$2</f>
        <v>28365390</v>
      </c>
      <c r="AY45" s="477">
        <f>'1.Usos&amp;Fontes'!E43</f>
        <v>455130</v>
      </c>
      <c r="AZ45" s="24">
        <f>'1.Usos&amp;Fontes'!H43</f>
        <v>9000000</v>
      </c>
      <c r="BA45" s="7"/>
      <c r="BC45" s="7"/>
      <c r="BD45" s="7"/>
      <c r="BE45" s="51"/>
      <c r="BF45" s="7"/>
    </row>
    <row r="46" spans="1:58" ht="17.25" hidden="1" thickTop="1" thickBot="1" x14ac:dyDescent="0.3">
      <c r="A46" s="121" t="str">
        <f>'1.Usos&amp;Fontes'!A44</f>
        <v>4.2</v>
      </c>
      <c r="B46" s="2" t="str">
        <f>'1.Usos&amp;Fontes'!B44</f>
        <v>Taxas</v>
      </c>
      <c r="C46" s="123">
        <f>'4.Cronograma Fisico PEP'!C41</f>
        <v>0</v>
      </c>
      <c r="D46" s="206">
        <f>((AY46)*C46)/100</f>
        <v>0</v>
      </c>
      <c r="E46" s="206">
        <f>'4.Cronograma Fisico PEP'!C41</f>
        <v>0</v>
      </c>
      <c r="F46" s="206">
        <f t="shared" ref="F46:F47" si="106">((AZ46)*E46)/100</f>
        <v>0</v>
      </c>
      <c r="G46" s="206">
        <f>'4.Cronograma Fisico PEP'!D41</f>
        <v>20</v>
      </c>
      <c r="H46" s="206">
        <f>((AY46)*G46)/100</f>
        <v>0</v>
      </c>
      <c r="I46" s="206">
        <f>'4.Cronograma Fisico PEP'!D41</f>
        <v>20</v>
      </c>
      <c r="J46" s="206">
        <f t="shared" ref="J46:J47" si="107">((AZ46)*I46)/100</f>
        <v>0</v>
      </c>
      <c r="K46" s="123">
        <f>'4.Cronograma Fisico PEP'!E41</f>
        <v>10</v>
      </c>
      <c r="L46" s="123">
        <f t="shared" ref="L46:L47" si="108">((AY46)*K46)/100</f>
        <v>0</v>
      </c>
      <c r="M46" s="123">
        <f>'4.Cronograma Fisico PEP'!E41</f>
        <v>10</v>
      </c>
      <c r="N46" s="123">
        <f t="shared" ref="N46:N47" si="109">((AZ46)*M46)/100</f>
        <v>0</v>
      </c>
      <c r="O46" s="123">
        <f>'4.Cronograma Fisico PEP'!F41</f>
        <v>10</v>
      </c>
      <c r="P46" s="123">
        <f t="shared" ref="P46:P47" si="110">((AY46)*O46)/100</f>
        <v>0</v>
      </c>
      <c r="Q46" s="123">
        <f>'4.Cronograma Fisico PEP'!F41</f>
        <v>10</v>
      </c>
      <c r="R46" s="123">
        <f t="shared" ref="R46:R47" si="111">((AZ46)*Q46)/100</f>
        <v>0</v>
      </c>
      <c r="S46" s="123">
        <f>'4.Cronograma Fisico PEP'!G41</f>
        <v>10</v>
      </c>
      <c r="T46" s="123">
        <f t="shared" ref="T46:T47" si="112">((AY46)*S46)/100</f>
        <v>0</v>
      </c>
      <c r="U46" s="123">
        <f>'4.Cronograma Fisico PEP'!G41</f>
        <v>10</v>
      </c>
      <c r="V46" s="123">
        <f t="shared" ref="V46:V47" si="113">((AZ46)*U46)/100</f>
        <v>0</v>
      </c>
      <c r="W46" s="123">
        <f>'4.Cronograma Fisico PEP'!H41</f>
        <v>10</v>
      </c>
      <c r="X46" s="123">
        <f t="shared" ref="X46:X47" si="114">((AY46)*W46)/100</f>
        <v>0</v>
      </c>
      <c r="Y46" s="123">
        <f>'4.Cronograma Fisico PEP'!H41</f>
        <v>10</v>
      </c>
      <c r="Z46" s="123">
        <f t="shared" ref="Z46:Z47" si="115">((AZ46)*Y46)/100</f>
        <v>0</v>
      </c>
      <c r="AA46" s="123">
        <f>'4.Cronograma Fisico PEP'!I41</f>
        <v>10</v>
      </c>
      <c r="AB46" s="123">
        <f t="shared" ref="AB46:AB47" si="116">((AY46)*AA46)/100</f>
        <v>0</v>
      </c>
      <c r="AC46" s="123">
        <f>'4.Cronograma Fisico PEP'!I41</f>
        <v>10</v>
      </c>
      <c r="AD46" s="123">
        <f t="shared" ref="AD46:AD47" si="117">((AZ46)*AC46)/100</f>
        <v>0</v>
      </c>
      <c r="AE46" s="123">
        <f>'4.Cronograma Fisico PEP'!J41</f>
        <v>10</v>
      </c>
      <c r="AF46" s="123">
        <f t="shared" ref="AF46:AF47" si="118">((AY46)*AE46)/100</f>
        <v>0</v>
      </c>
      <c r="AG46" s="123">
        <f>'4.Cronograma Fisico PEP'!J41</f>
        <v>10</v>
      </c>
      <c r="AH46" s="123">
        <f t="shared" ref="AH46:AH47" si="119">((AZ46)*AG46)/100</f>
        <v>0</v>
      </c>
      <c r="AI46" s="123">
        <f>'4.Cronograma Fisico PEP'!K41</f>
        <v>10</v>
      </c>
      <c r="AJ46" s="123">
        <f t="shared" ref="AJ46:AJ47" si="120">((AY46)*AI46)/100</f>
        <v>0</v>
      </c>
      <c r="AK46" s="123">
        <f>'4.Cronograma Fisico PEP'!K41</f>
        <v>10</v>
      </c>
      <c r="AL46" s="123">
        <f t="shared" ref="AL46:AL47" si="121">((AZ46)*AK46)/100</f>
        <v>0</v>
      </c>
      <c r="AM46" s="123">
        <f>'4.Cronograma Fisico PEP'!L41</f>
        <v>10</v>
      </c>
      <c r="AN46" s="123">
        <f t="shared" ref="AN46:AN47" si="122">((AY46)*AM46)/100</f>
        <v>0</v>
      </c>
      <c r="AO46" s="123">
        <f>'4.Cronograma Fisico PEP'!L41</f>
        <v>10</v>
      </c>
      <c r="AP46" s="123">
        <f t="shared" ref="AP46:AP47" si="123">((AZ46)*AO46)/100</f>
        <v>0</v>
      </c>
      <c r="AQ46" s="152">
        <f t="shared" si="105"/>
        <v>100</v>
      </c>
      <c r="AR46" s="141" t="e">
        <f>'1.Usos&amp;Fontes'!C44</f>
        <v>#DIV/0!</v>
      </c>
      <c r="AS46" s="124">
        <f>D46+H46+L46+P46+T46+X46+AB46+AF46+AJ46+AN46</f>
        <v>0</v>
      </c>
      <c r="AT46" s="140" t="e">
        <f>'1.Usos&amp;Fontes'!F44</f>
        <v>#DIV/0!</v>
      </c>
      <c r="AU46" s="176">
        <f>F46+J46+N46+R46+V46+Z46+AD46+AH46+AL46+AP46</f>
        <v>0</v>
      </c>
      <c r="AV46" s="12">
        <f>'1.Usos&amp;Fontes'!G44</f>
        <v>0</v>
      </c>
      <c r="AW46" s="181">
        <f t="shared" ref="AW46" si="124">AS46+AU46</f>
        <v>0</v>
      </c>
      <c r="AX46" s="182">
        <f>'5.Cronograma Financeiro PEP '!AW46*'1.Usos&amp;Fontes'!$I$2</f>
        <v>0</v>
      </c>
      <c r="AY46" s="477">
        <f>'1.Usos&amp;Fontes'!E44</f>
        <v>0</v>
      </c>
      <c r="AZ46" s="478">
        <f>'1.Usos&amp;Fontes'!H44</f>
        <v>0</v>
      </c>
      <c r="BC46" s="7"/>
      <c r="BD46" s="7"/>
      <c r="BE46" s="51"/>
      <c r="BF46" s="7"/>
    </row>
    <row r="47" spans="1:58" ht="16.5" customHeight="1" thickTop="1" thickBot="1" x14ac:dyDescent="0.3">
      <c r="A47" s="121" t="str">
        <f>'1.Usos&amp;Fontes'!A45</f>
        <v>4.3</v>
      </c>
      <c r="B47" s="2" t="str">
        <f>'1.Usos&amp;Fontes'!B45</f>
        <v>Avaliacao e monitoramento</v>
      </c>
      <c r="C47" s="123">
        <f>'4.Cronograma Fisico PEP'!C42</f>
        <v>0</v>
      </c>
      <c r="D47" s="206">
        <f t="shared" ref="D47" si="125">((AY47)*C47)/100</f>
        <v>0</v>
      </c>
      <c r="E47" s="206">
        <f>'4.Cronograma Fisico PEP'!C42</f>
        <v>0</v>
      </c>
      <c r="F47" s="206">
        <f t="shared" si="106"/>
        <v>0</v>
      </c>
      <c r="G47" s="206">
        <f>'4.Cronograma Fisico PEP'!D42</f>
        <v>20</v>
      </c>
      <c r="H47" s="206">
        <f>((AY47)*G47)/100</f>
        <v>0</v>
      </c>
      <c r="I47" s="206">
        <f>'4.Cronograma Fisico PEP'!D42</f>
        <v>20</v>
      </c>
      <c r="J47" s="206">
        <f t="shared" si="107"/>
        <v>100000</v>
      </c>
      <c r="K47" s="123">
        <f>'4.Cronograma Fisico PEP'!E42</f>
        <v>10</v>
      </c>
      <c r="L47" s="123">
        <f t="shared" si="108"/>
        <v>0</v>
      </c>
      <c r="M47" s="123">
        <f>'4.Cronograma Fisico PEP'!E42</f>
        <v>10</v>
      </c>
      <c r="N47" s="123">
        <f t="shared" si="109"/>
        <v>50000</v>
      </c>
      <c r="O47" s="123">
        <f>'4.Cronograma Fisico PEP'!F42</f>
        <v>10</v>
      </c>
      <c r="P47" s="123">
        <f t="shared" si="110"/>
        <v>0</v>
      </c>
      <c r="Q47" s="123">
        <f>'4.Cronograma Fisico PEP'!F42</f>
        <v>10</v>
      </c>
      <c r="R47" s="123">
        <f t="shared" si="111"/>
        <v>50000</v>
      </c>
      <c r="S47" s="123">
        <f>'4.Cronograma Fisico PEP'!G42</f>
        <v>10</v>
      </c>
      <c r="T47" s="123">
        <f t="shared" si="112"/>
        <v>0</v>
      </c>
      <c r="U47" s="123">
        <f>'4.Cronograma Fisico PEP'!G42</f>
        <v>10</v>
      </c>
      <c r="V47" s="123">
        <f t="shared" si="113"/>
        <v>50000</v>
      </c>
      <c r="W47" s="123">
        <f>'4.Cronograma Fisico PEP'!H42</f>
        <v>10</v>
      </c>
      <c r="X47" s="123">
        <f t="shared" si="114"/>
        <v>0</v>
      </c>
      <c r="Y47" s="123">
        <f>'4.Cronograma Fisico PEP'!H42</f>
        <v>10</v>
      </c>
      <c r="Z47" s="123">
        <f t="shared" si="115"/>
        <v>50000</v>
      </c>
      <c r="AA47" s="123">
        <f>'4.Cronograma Fisico PEP'!I42</f>
        <v>10</v>
      </c>
      <c r="AB47" s="123">
        <f t="shared" si="116"/>
        <v>0</v>
      </c>
      <c r="AC47" s="123">
        <f>'4.Cronograma Fisico PEP'!I42</f>
        <v>10</v>
      </c>
      <c r="AD47" s="123">
        <f t="shared" si="117"/>
        <v>50000</v>
      </c>
      <c r="AE47" s="123">
        <f>'4.Cronograma Fisico PEP'!J42</f>
        <v>10</v>
      </c>
      <c r="AF47" s="123">
        <f t="shared" si="118"/>
        <v>0</v>
      </c>
      <c r="AG47" s="123">
        <f>'4.Cronograma Fisico PEP'!J42</f>
        <v>10</v>
      </c>
      <c r="AH47" s="123">
        <f t="shared" si="119"/>
        <v>50000</v>
      </c>
      <c r="AI47" s="123">
        <f>'4.Cronograma Fisico PEP'!K42</f>
        <v>10</v>
      </c>
      <c r="AJ47" s="123">
        <f t="shared" si="120"/>
        <v>0</v>
      </c>
      <c r="AK47" s="123">
        <f>'4.Cronograma Fisico PEP'!K42</f>
        <v>10</v>
      </c>
      <c r="AL47" s="123">
        <f t="shared" si="121"/>
        <v>50000</v>
      </c>
      <c r="AM47" s="123">
        <f>'4.Cronograma Fisico PEP'!L42</f>
        <v>10</v>
      </c>
      <c r="AN47" s="123">
        <f t="shared" si="122"/>
        <v>0</v>
      </c>
      <c r="AO47" s="123">
        <f>'4.Cronograma Fisico PEP'!L42</f>
        <v>10</v>
      </c>
      <c r="AP47" s="123">
        <f t="shared" si="123"/>
        <v>50000</v>
      </c>
      <c r="AQ47" s="152">
        <f t="shared" si="105"/>
        <v>100</v>
      </c>
      <c r="AR47" s="141">
        <f>'1.Usos&amp;Fontes'!C45</f>
        <v>0</v>
      </c>
      <c r="AS47" s="124">
        <f>D47+H47+L47+P47+T47+X47+AB47+AF47+AJ47+AN47</f>
        <v>0</v>
      </c>
      <c r="AT47" s="140">
        <f>'1.Usos&amp;Fontes'!F45</f>
        <v>1</v>
      </c>
      <c r="AU47" s="176">
        <f>F47+J47+N47+R47+V47+Z47+AD47+AH47+AL47+AP47</f>
        <v>500000</v>
      </c>
      <c r="AV47" s="12">
        <f>'1.Usos&amp;Fontes'!G45</f>
        <v>1500000</v>
      </c>
      <c r="AW47" s="181">
        <f>AS47+AU47</f>
        <v>500000</v>
      </c>
      <c r="AX47" s="182">
        <f>'5.Cronograma Financeiro PEP '!AW47*'1.Usos&amp;Fontes'!$I$2</f>
        <v>1500000</v>
      </c>
      <c r="AY47" s="477">
        <f>'1.Usos&amp;Fontes'!E45</f>
        <v>0</v>
      </c>
      <c r="AZ47" s="24">
        <f>'1.Usos&amp;Fontes'!H45</f>
        <v>500000</v>
      </c>
      <c r="BC47" s="7"/>
      <c r="BD47" s="7"/>
      <c r="BE47" s="51"/>
      <c r="BF47" s="7"/>
    </row>
    <row r="48" spans="1:58" ht="15.75" customHeight="1" thickBot="1" x14ac:dyDescent="0.3">
      <c r="A48" s="629" t="s">
        <v>9</v>
      </c>
      <c r="B48" s="629"/>
      <c r="C48" s="136"/>
      <c r="D48" s="164">
        <f>SUM(D45:D47)</f>
        <v>0</v>
      </c>
      <c r="E48" s="285"/>
      <c r="F48" s="164">
        <f>SUM(F45:F47)</f>
        <v>0</v>
      </c>
      <c r="G48" s="164"/>
      <c r="H48" s="164">
        <f>SUM(H45:H47)</f>
        <v>91026</v>
      </c>
      <c r="I48" s="164"/>
      <c r="J48" s="164">
        <f>SUM(J45:J47)</f>
        <v>1900000</v>
      </c>
      <c r="K48" s="164"/>
      <c r="L48" s="164">
        <f>SUM(L45:L47)</f>
        <v>45513</v>
      </c>
      <c r="M48" s="164"/>
      <c r="N48" s="164">
        <f>SUM(N45:N47)</f>
        <v>950000</v>
      </c>
      <c r="O48" s="164"/>
      <c r="P48" s="164">
        <f>SUM(P45:P47)</f>
        <v>45513</v>
      </c>
      <c r="Q48" s="164"/>
      <c r="R48" s="164">
        <f>SUM(R45:R47)</f>
        <v>950000</v>
      </c>
      <c r="S48" s="164"/>
      <c r="T48" s="164">
        <f>SUM(T45:T47)</f>
        <v>45513</v>
      </c>
      <c r="U48" s="164"/>
      <c r="V48" s="164">
        <f>SUM(V45:V47)</f>
        <v>950000</v>
      </c>
      <c r="W48" s="164"/>
      <c r="X48" s="164">
        <f>SUM(X45:X47)</f>
        <v>45513</v>
      </c>
      <c r="Y48" s="164"/>
      <c r="Z48" s="164">
        <f>SUM(Z45:Z47)</f>
        <v>950000</v>
      </c>
      <c r="AA48" s="164"/>
      <c r="AB48" s="164">
        <f>SUM(AB45:AB47)</f>
        <v>45513</v>
      </c>
      <c r="AC48" s="164"/>
      <c r="AD48" s="164">
        <f>SUM(AD45:AD47)</f>
        <v>950000</v>
      </c>
      <c r="AE48" s="164"/>
      <c r="AF48" s="164">
        <f>SUM(AF45:AF47)</f>
        <v>45513</v>
      </c>
      <c r="AG48" s="164"/>
      <c r="AH48" s="164">
        <f>SUM(AH45:AH47)</f>
        <v>950000</v>
      </c>
      <c r="AI48" s="164"/>
      <c r="AJ48" s="164">
        <f>SUM(AJ45:AJ47)</f>
        <v>45513</v>
      </c>
      <c r="AK48" s="164"/>
      <c r="AL48" s="164">
        <f>SUM(AL45:AL47)</f>
        <v>950000</v>
      </c>
      <c r="AM48" s="164"/>
      <c r="AN48" s="164">
        <f>SUM(AN45:AN47)</f>
        <v>45513</v>
      </c>
      <c r="AO48" s="164"/>
      <c r="AP48" s="164">
        <f>SUM(AP45:AP47)</f>
        <v>950000</v>
      </c>
      <c r="AQ48" s="136"/>
      <c r="AR48" s="8"/>
      <c r="AS48" s="15">
        <f>SUM(AS45:AS47)</f>
        <v>455130</v>
      </c>
      <c r="AT48" s="14"/>
      <c r="AU48" s="41">
        <f>SUM(AU45:AU47)</f>
        <v>9500000</v>
      </c>
      <c r="AV48" s="16">
        <f t="shared" ref="AV48:AX48" si="126">SUM(AV45:AV47)</f>
        <v>28500000</v>
      </c>
      <c r="AW48" s="16">
        <f>SUM(AW45:AW47)</f>
        <v>9955130</v>
      </c>
      <c r="AX48" s="16">
        <f t="shared" si="126"/>
        <v>29865390</v>
      </c>
      <c r="BC48" s="7"/>
      <c r="BD48" s="7"/>
      <c r="BE48" s="51"/>
      <c r="BF48" s="7"/>
    </row>
    <row r="49" spans="1:51" x14ac:dyDescent="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670"/>
      <c r="AS49" s="670"/>
      <c r="AT49" s="134"/>
      <c r="AU49" s="135"/>
    </row>
    <row r="50" spans="1:51" s="172" customFormat="1" ht="0.75" customHeight="1" x14ac:dyDescent="0.2">
      <c r="A50" s="669" t="s">
        <v>289</v>
      </c>
      <c r="B50" s="669"/>
      <c r="C50" s="166"/>
      <c r="D50" s="167">
        <f>D48+D43+D29+D16</f>
        <v>0</v>
      </c>
      <c r="E50" s="287"/>
      <c r="F50" s="167">
        <f>F43+F48+F29+F16</f>
        <v>0</v>
      </c>
      <c r="G50" s="167"/>
      <c r="H50" s="167">
        <f>H48+H43+H29+H16</f>
        <v>4094749.4</v>
      </c>
      <c r="I50" s="167">
        <f t="shared" ref="I50:AO50" si="127">I48+I43+I29+I16</f>
        <v>0</v>
      </c>
      <c r="J50" s="167">
        <f>J48+J43+J29+J16</f>
        <v>9273774.1999999993</v>
      </c>
      <c r="K50" s="167"/>
      <c r="L50" s="167">
        <f>L48+L43+L29+L16</f>
        <v>6462441.5</v>
      </c>
      <c r="M50" s="167">
        <f t="shared" si="127"/>
        <v>0</v>
      </c>
      <c r="N50" s="167">
        <f t="shared" si="127"/>
        <v>19552377.949999999</v>
      </c>
      <c r="O50" s="167"/>
      <c r="P50" s="167">
        <f>P48+P43+P16+P29</f>
        <v>7318217.0999999996</v>
      </c>
      <c r="Q50" s="167">
        <f t="shared" si="127"/>
        <v>0</v>
      </c>
      <c r="R50" s="167">
        <f t="shared" si="127"/>
        <v>18484128.549999997</v>
      </c>
      <c r="S50" s="167"/>
      <c r="T50" s="167">
        <f>T48+T43+T29+T16</f>
        <v>7933263.2000000002</v>
      </c>
      <c r="U50" s="167">
        <f t="shared" si="127"/>
        <v>0</v>
      </c>
      <c r="V50" s="167">
        <f t="shared" si="127"/>
        <v>16919079.800000001</v>
      </c>
      <c r="W50" s="167"/>
      <c r="X50" s="167">
        <f>X48+X43+X29+X16</f>
        <v>8399928.1999999993</v>
      </c>
      <c r="Y50" s="167">
        <f t="shared" si="127"/>
        <v>0</v>
      </c>
      <c r="Z50" s="167">
        <f t="shared" si="127"/>
        <v>17247370.899999999</v>
      </c>
      <c r="AA50" s="167"/>
      <c r="AB50" s="167">
        <f>AB48+AB43+AB29+AB16</f>
        <v>5032421.4000000004</v>
      </c>
      <c r="AC50" s="167">
        <f t="shared" si="127"/>
        <v>0</v>
      </c>
      <c r="AD50" s="167">
        <f t="shared" si="127"/>
        <v>5130365.9000000004</v>
      </c>
      <c r="AE50" s="167"/>
      <c r="AF50" s="167">
        <f>AF48+AF43+AF29+AF16</f>
        <v>2786326.4</v>
      </c>
      <c r="AG50" s="167">
        <f t="shared" si="127"/>
        <v>0</v>
      </c>
      <c r="AH50" s="167">
        <f t="shared" si="127"/>
        <v>2814300.9</v>
      </c>
      <c r="AI50" s="167"/>
      <c r="AJ50" s="167">
        <f>AJ48+AJ43+AJ29+AJ16</f>
        <v>3986326.4</v>
      </c>
      <c r="AK50" s="167">
        <f t="shared" si="127"/>
        <v>0</v>
      </c>
      <c r="AL50" s="167">
        <f>AL48+AL43+AL29+AL16</f>
        <v>5289300.9000000004</v>
      </c>
      <c r="AM50" s="167"/>
      <c r="AN50" s="167">
        <f>AN48+AN43+AN29+AN16</f>
        <v>3986326.4</v>
      </c>
      <c r="AO50" s="167">
        <f t="shared" si="127"/>
        <v>0</v>
      </c>
      <c r="AP50" s="167">
        <f>AP48+AP43+AP29+AP16</f>
        <v>5289300.9000000004</v>
      </c>
      <c r="AQ50" s="474"/>
      <c r="AR50" s="168">
        <f>AS50/AW51</f>
        <v>0.33333333333333331</v>
      </c>
      <c r="AS50" s="188">
        <f>AS16+AS29+AS43+AS48</f>
        <v>50000000</v>
      </c>
      <c r="AT50" s="169"/>
      <c r="AU50" s="170"/>
      <c r="AV50" s="171" t="e">
        <f>AU51+#REF!</f>
        <v>#REF!</v>
      </c>
      <c r="AY50" s="173"/>
    </row>
    <row r="51" spans="1:51" s="172" customFormat="1" ht="15" customHeight="1" x14ac:dyDescent="0.2">
      <c r="A51" s="669" t="s">
        <v>290</v>
      </c>
      <c r="B51" s="669"/>
      <c r="C51" s="675">
        <v>9798774</v>
      </c>
      <c r="D51" s="675"/>
      <c r="E51" s="675"/>
      <c r="F51" s="675"/>
      <c r="G51" s="675"/>
      <c r="H51" s="675"/>
      <c r="I51" s="675"/>
      <c r="J51" s="675"/>
      <c r="K51" s="672">
        <v>37861507</v>
      </c>
      <c r="L51" s="673"/>
      <c r="M51" s="673"/>
      <c r="N51" s="673"/>
      <c r="O51" s="673"/>
      <c r="P51" s="673"/>
      <c r="Q51" s="673"/>
      <c r="R51" s="674"/>
      <c r="S51" s="672">
        <v>33766451</v>
      </c>
      <c r="T51" s="673"/>
      <c r="U51" s="673"/>
      <c r="V51" s="673"/>
      <c r="W51" s="673"/>
      <c r="X51" s="673"/>
      <c r="Y51" s="673"/>
      <c r="Z51" s="674"/>
      <c r="AA51" s="672">
        <v>7969667</v>
      </c>
      <c r="AB51" s="673"/>
      <c r="AC51" s="673"/>
      <c r="AD51" s="673"/>
      <c r="AE51" s="673"/>
      <c r="AF51" s="673"/>
      <c r="AG51" s="673"/>
      <c r="AH51" s="674"/>
      <c r="AI51" s="672">
        <v>10603602</v>
      </c>
      <c r="AJ51" s="673"/>
      <c r="AK51" s="673"/>
      <c r="AL51" s="673"/>
      <c r="AM51" s="673"/>
      <c r="AN51" s="673"/>
      <c r="AO51" s="673"/>
      <c r="AP51" s="674"/>
      <c r="AQ51" s="490">
        <f>SUM(C51:AP51)</f>
        <v>100000001</v>
      </c>
      <c r="AT51" s="174">
        <f>AU51/AW51</f>
        <v>0.66666666666666663</v>
      </c>
      <c r="AU51" s="189">
        <f>AU16+AU29+AU43+AU48</f>
        <v>100000000</v>
      </c>
      <c r="AV51" s="175"/>
      <c r="AW51" s="350">
        <f>AW16+AW29+AW43+AW48</f>
        <v>150000000</v>
      </c>
    </row>
    <row r="52" spans="1:51" x14ac:dyDescent="0.25">
      <c r="A52" s="669" t="s">
        <v>291</v>
      </c>
      <c r="B52" s="669"/>
      <c r="C52" s="675">
        <v>7050049</v>
      </c>
      <c r="D52" s="675"/>
      <c r="E52" s="675"/>
      <c r="F52" s="675"/>
      <c r="G52" s="675"/>
      <c r="H52" s="675"/>
      <c r="I52" s="675"/>
      <c r="J52" s="675"/>
      <c r="K52" s="672">
        <v>15258309</v>
      </c>
      <c r="L52" s="673"/>
      <c r="M52" s="673"/>
      <c r="N52" s="673"/>
      <c r="O52" s="673"/>
      <c r="P52" s="673"/>
      <c r="Q52" s="673"/>
      <c r="R52" s="674"/>
      <c r="S52" s="672">
        <v>14855541</v>
      </c>
      <c r="T52" s="673"/>
      <c r="U52" s="673"/>
      <c r="V52" s="673"/>
      <c r="W52" s="673"/>
      <c r="X52" s="673"/>
      <c r="Y52" s="673"/>
      <c r="Z52" s="674"/>
      <c r="AA52" s="672">
        <v>6341098</v>
      </c>
      <c r="AB52" s="673"/>
      <c r="AC52" s="673"/>
      <c r="AD52" s="673"/>
      <c r="AE52" s="673"/>
      <c r="AF52" s="673"/>
      <c r="AG52" s="673"/>
      <c r="AH52" s="674"/>
      <c r="AI52" s="672">
        <v>6495003</v>
      </c>
      <c r="AJ52" s="673"/>
      <c r="AK52" s="673"/>
      <c r="AL52" s="673"/>
      <c r="AM52" s="673"/>
      <c r="AN52" s="673"/>
      <c r="AO52" s="673"/>
      <c r="AP52" s="674"/>
      <c r="AQ52" s="491">
        <f>SUM(C52:AP52)</f>
        <v>50000000</v>
      </c>
      <c r="AR52" s="134"/>
      <c r="AS52" s="165"/>
      <c r="AT52" s="134"/>
      <c r="AU52" s="135"/>
      <c r="AY52" s="7"/>
    </row>
    <row r="53" spans="1:51" x14ac:dyDescent="0.25">
      <c r="B53" s="11" t="s">
        <v>292</v>
      </c>
      <c r="C53" s="676">
        <f>SUM(C51:C52)</f>
        <v>16848823</v>
      </c>
      <c r="D53" s="677"/>
      <c r="E53" s="677"/>
      <c r="F53" s="677"/>
      <c r="G53" s="677"/>
      <c r="H53" s="677"/>
      <c r="I53" s="677"/>
      <c r="J53" s="677"/>
      <c r="K53" s="676">
        <f>SUM(K51:K52)</f>
        <v>53119816</v>
      </c>
      <c r="L53" s="677"/>
      <c r="M53" s="677"/>
      <c r="N53" s="677"/>
      <c r="O53" s="677"/>
      <c r="P53" s="677"/>
      <c r="Q53" s="677"/>
      <c r="R53" s="677"/>
      <c r="S53" s="676">
        <f>SUM(S51:S52)</f>
        <v>48621992</v>
      </c>
      <c r="T53" s="677"/>
      <c r="U53" s="677"/>
      <c r="V53" s="677"/>
      <c r="W53" s="677"/>
      <c r="X53" s="677"/>
      <c r="Y53" s="677"/>
      <c r="Z53" s="677"/>
      <c r="AA53" s="676">
        <f>SUM(AA51:AA52)</f>
        <v>14310765</v>
      </c>
      <c r="AB53" s="677"/>
      <c r="AC53" s="677"/>
      <c r="AD53" s="677"/>
      <c r="AE53" s="677"/>
      <c r="AF53" s="677"/>
      <c r="AG53" s="677"/>
      <c r="AH53" s="677"/>
      <c r="AI53" s="676">
        <f>SUM(AI51:AI52)</f>
        <v>17098605</v>
      </c>
      <c r="AJ53" s="677"/>
      <c r="AK53" s="677"/>
      <c r="AL53" s="677"/>
      <c r="AM53" s="677"/>
      <c r="AN53" s="677"/>
      <c r="AO53" s="677"/>
      <c r="AP53" s="677"/>
      <c r="AQ53" s="491">
        <f>AI53+AA53+S53+K53+C53</f>
        <v>150000001</v>
      </c>
      <c r="AR53" s="431"/>
      <c r="AS53" s="165"/>
      <c r="AT53" s="431"/>
      <c r="AU53" s="135"/>
      <c r="AY53" s="7"/>
    </row>
    <row r="54" spans="1:51" x14ac:dyDescent="0.25">
      <c r="B54" s="11"/>
      <c r="C54" s="11"/>
      <c r="D54" s="11"/>
      <c r="E54" s="11"/>
      <c r="F54" s="11"/>
      <c r="G54" s="11"/>
      <c r="H54" s="11"/>
      <c r="I54" s="11"/>
      <c r="J54" s="15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431"/>
      <c r="AS54" s="165"/>
      <c r="AT54" s="431"/>
      <c r="AU54" s="135"/>
      <c r="AY54" s="7"/>
    </row>
    <row r="55" spans="1:5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431"/>
      <c r="AS55" s="165"/>
      <c r="AT55" s="431"/>
      <c r="AU55" s="135"/>
      <c r="AY55" s="7"/>
    </row>
    <row r="56" spans="1:51" x14ac:dyDescent="0.25">
      <c r="F56" s="92" t="s">
        <v>146</v>
      </c>
      <c r="G56" s="92"/>
      <c r="H56" s="92"/>
      <c r="I56" s="92" t="s">
        <v>147</v>
      </c>
      <c r="J56" s="92" t="s">
        <v>148</v>
      </c>
      <c r="K56" s="92"/>
      <c r="L56" s="92"/>
      <c r="M56" s="92" t="s">
        <v>149</v>
      </c>
      <c r="N56" s="92" t="s">
        <v>150</v>
      </c>
      <c r="O56" s="92"/>
      <c r="P56" s="92"/>
      <c r="Q56" s="92" t="s">
        <v>151</v>
      </c>
      <c r="R56" s="92" t="s">
        <v>152</v>
      </c>
      <c r="S56" s="92"/>
      <c r="T56" s="92"/>
      <c r="U56" s="92" t="s">
        <v>153</v>
      </c>
      <c r="V56" s="92" t="s">
        <v>154</v>
      </c>
      <c r="W56" s="92"/>
      <c r="X56" s="92"/>
      <c r="Y56" s="92" t="s">
        <v>155</v>
      </c>
      <c r="AC56" s="92"/>
      <c r="AG56" s="92"/>
      <c r="AK56" s="92"/>
      <c r="AO56" s="92"/>
      <c r="AV56" s="27">
        <v>170840000</v>
      </c>
      <c r="AW56" s="7"/>
      <c r="AY56" s="7"/>
    </row>
    <row r="57" spans="1:51" x14ac:dyDescent="0.25">
      <c r="F57" s="7">
        <f>F50</f>
        <v>0</v>
      </c>
      <c r="G57" s="7"/>
      <c r="H57" s="7"/>
      <c r="I57" s="7">
        <f>F50+J50</f>
        <v>9273774.1999999993</v>
      </c>
      <c r="J57" s="7">
        <f>I57+N50</f>
        <v>28826152.149999999</v>
      </c>
      <c r="K57" s="7"/>
      <c r="L57" s="7"/>
      <c r="M57" s="7">
        <f>J57+R50</f>
        <v>47310280.699999996</v>
      </c>
      <c r="N57" s="7">
        <f>M57+V50</f>
        <v>64229360.5</v>
      </c>
      <c r="O57" s="7"/>
      <c r="P57" s="7"/>
      <c r="Q57" s="7">
        <f>N57+Z50</f>
        <v>81476731.400000006</v>
      </c>
      <c r="R57" s="7">
        <f>Q57+AD50</f>
        <v>86607097.300000012</v>
      </c>
      <c r="S57" s="7"/>
      <c r="T57" s="7"/>
      <c r="U57" s="7">
        <f>R57+AH50</f>
        <v>89421398.200000018</v>
      </c>
      <c r="V57" s="7">
        <f>U57+AL50</f>
        <v>94710699.100000024</v>
      </c>
      <c r="W57" s="7"/>
      <c r="X57" s="7"/>
      <c r="Y57" s="7">
        <f>V57+AP50</f>
        <v>100000000.00000003</v>
      </c>
      <c r="AU57" s="483">
        <f>AU36-AZ36</f>
        <v>0</v>
      </c>
    </row>
  </sheetData>
  <sheetProtection formatCells="0"/>
  <protectedRanges>
    <protectedRange sqref="AK10:AK15 AG10:AG15 AC10:AC15 Q10:Q15 M10:M15 I10:I15 E10:E15 U10:U15 Y10:Y15 AO10:AO15 I18:I28 Q18:Q28 U18:U28 Y18:Y28 AC18:AC28 AG18:AG28 AK18:AK28 AO18:AO28 E18:E28 E31:E42 I31:I42 E45:E47 I45:I47 M45:M47 Q45:Q47 U45:U47 Y45:Y47 AC45:AC47 AG45:AG47 AK45:AK47 AO45:AO47 M31:M42 Q31:Q42 U31:U42 Y31:Y42 AC31:AC42 AG31:AG42 AK31:AK42 AO31:AO42" name="Intervalo2"/>
    <protectedRange algorithmName="SHA-512" hashValue="mldB1Pt74Ztiq/FoE3HqynHy+1AOVfOo7myoFHgJywFCEP1ZWwQf5eEP1cKtkjF+8NZrdjWRsiuePZ8soPMR7w==" saltValue="G0N27y66JoA2wP5dg1Hc1A==" spinCount="100000" sqref="AK10:AK15 AG10:AG15 AC10:AC15 Q10:Q15 M10:M15 I10:I15 E10:E15 U10:U15 Y10:Y15 AO10:AO15 I18:I28 Q18:Q28 U18:U28 Y18:Y28 AC18:AC28 AG18:AG28 AK18:AK28 AO18:AO28 E18:E28 E31:E42 I31:I42 E45:E47 I45:I47 M45:M47 Q45:Q47 U45:U47 Y45:Y47 AC45:AC47 AG45:AG47 AK45:AK47 AO45:AO47 M31:M42 Q31:Q42 U31:U42 Y31:Y42 AC31:AC42 AG31:AG42 AK31:AK42 AO31:AO42" name="Intervalo1"/>
  </protectedRanges>
  <mergeCells count="60">
    <mergeCell ref="C53:J53"/>
    <mergeCell ref="K53:R53"/>
    <mergeCell ref="S53:Z53"/>
    <mergeCell ref="AA53:AH53"/>
    <mergeCell ref="AI53:AP53"/>
    <mergeCell ref="A52:B52"/>
    <mergeCell ref="S51:Z51"/>
    <mergeCell ref="S52:Z52"/>
    <mergeCell ref="K51:R51"/>
    <mergeCell ref="K52:R52"/>
    <mergeCell ref="C52:J52"/>
    <mergeCell ref="A51:B51"/>
    <mergeCell ref="C51:J51"/>
    <mergeCell ref="AQ6:AQ8"/>
    <mergeCell ref="AQ5:AX5"/>
    <mergeCell ref="AI51:AP51"/>
    <mergeCell ref="AI52:AP52"/>
    <mergeCell ref="AA51:AH51"/>
    <mergeCell ref="AA52:AH52"/>
    <mergeCell ref="AI5:AP5"/>
    <mergeCell ref="AW6:AX7"/>
    <mergeCell ref="K5:R5"/>
    <mergeCell ref="U8:V8"/>
    <mergeCell ref="S5:Z5"/>
    <mergeCell ref="AA5:AH5"/>
    <mergeCell ref="A50:B50"/>
    <mergeCell ref="C5:J5"/>
    <mergeCell ref="A29:B29"/>
    <mergeCell ref="B30:AX30"/>
    <mergeCell ref="A43:B43"/>
    <mergeCell ref="B44:AX44"/>
    <mergeCell ref="A48:B48"/>
    <mergeCell ref="AR49:AS49"/>
    <mergeCell ref="B17:AX17"/>
    <mergeCell ref="B9:AX9"/>
    <mergeCell ref="A16:B16"/>
    <mergeCell ref="C6:F6"/>
    <mergeCell ref="I8:J8"/>
    <mergeCell ref="AI6:AL6"/>
    <mergeCell ref="AM6:AP6"/>
    <mergeCell ref="AO8:AP8"/>
    <mergeCell ref="AK8:AL8"/>
    <mergeCell ref="AG8:AH8"/>
    <mergeCell ref="AC8:AD8"/>
    <mergeCell ref="A3:B3"/>
    <mergeCell ref="A5:B8"/>
    <mergeCell ref="AR6:AS7"/>
    <mergeCell ref="AT6:AU7"/>
    <mergeCell ref="N3:R3"/>
    <mergeCell ref="K6:N6"/>
    <mergeCell ref="O6:R6"/>
    <mergeCell ref="S6:V6"/>
    <mergeCell ref="W6:Z6"/>
    <mergeCell ref="AA6:AD6"/>
    <mergeCell ref="AE6:AH6"/>
    <mergeCell ref="Q8:R8"/>
    <mergeCell ref="Y8:Z8"/>
    <mergeCell ref="M8:N8"/>
    <mergeCell ref="E8:F8"/>
    <mergeCell ref="G6:J6"/>
  </mergeCells>
  <pageMargins left="0.70866141732283472" right="0.70866141732283472" top="2.1259842519685042" bottom="0.74803149606299213" header="0.31496062992125984" footer="0.31496062992125984"/>
  <pageSetup paperSize="8" scale="37" orientation="landscape" horizontalDpi="4294967294" r:id="rId1"/>
  <colBreaks count="1" manualBreakCount="1">
    <brk id="36" max="79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U47"/>
  <sheetViews>
    <sheetView view="pageBreakPreview" zoomScaleNormal="50" zoomScaleSheetLayoutView="100" zoomScalePageLayoutView="50" workbookViewId="0">
      <selection activeCell="F59" sqref="F59"/>
    </sheetView>
  </sheetViews>
  <sheetFormatPr defaultColWidth="8.85546875" defaultRowHeight="15" x14ac:dyDescent="0.25"/>
  <cols>
    <col min="1" max="1" width="9" style="46" customWidth="1"/>
    <col min="2" max="2" width="55.140625" style="46" customWidth="1"/>
    <col min="3" max="3" width="11.140625" style="46" customWidth="1"/>
    <col min="4" max="4" width="13.140625" style="46" customWidth="1"/>
    <col min="5" max="5" width="12.85546875" style="46" bestFit="1" customWidth="1"/>
    <col min="6" max="6" width="14.28515625" style="46" customWidth="1"/>
    <col min="7" max="7" width="17.42578125" style="46" bestFit="1" customWidth="1"/>
    <col min="8" max="8" width="16.140625" style="46" bestFit="1" customWidth="1"/>
    <col min="9" max="9" width="14.140625" style="46" customWidth="1"/>
    <col min="10" max="10" width="28" style="46" customWidth="1"/>
    <col min="11" max="12" width="8.85546875" style="46"/>
    <col min="13" max="13" width="18.42578125" style="46" customWidth="1"/>
    <col min="14" max="14" width="8.85546875" style="46"/>
    <col min="15" max="15" width="17.7109375" style="46" bestFit="1" customWidth="1"/>
    <col min="16" max="16" width="18.28515625" style="46" bestFit="1" customWidth="1"/>
    <col min="17" max="16384" width="8.85546875" style="46"/>
  </cols>
  <sheetData>
    <row r="1" spans="1:21" ht="18.75" x14ac:dyDescent="0.3">
      <c r="B1" s="90" t="s">
        <v>53</v>
      </c>
    </row>
    <row r="2" spans="1:21" ht="15.75" customHeight="1" x14ac:dyDescent="0.25">
      <c r="F2" s="681"/>
      <c r="G2" s="681"/>
      <c r="H2" s="681"/>
      <c r="I2" s="100"/>
      <c r="J2" s="43">
        <v>41913</v>
      </c>
    </row>
    <row r="3" spans="1:21" ht="15.75" thickBot="1" x14ac:dyDescent="0.3"/>
    <row r="4" spans="1:21" ht="15.75" thickBot="1" x14ac:dyDescent="0.3">
      <c r="A4" s="685" t="s">
        <v>15</v>
      </c>
      <c r="B4" s="686"/>
      <c r="C4" s="686"/>
      <c r="D4" s="686"/>
      <c r="E4" s="686"/>
      <c r="F4" s="686"/>
      <c r="G4" s="686"/>
      <c r="H4" s="686"/>
      <c r="I4" s="686"/>
      <c r="J4" s="687"/>
    </row>
    <row r="5" spans="1:21" ht="15.75" customHeight="1" thickBot="1" x14ac:dyDescent="0.3">
      <c r="A5" s="682" t="s">
        <v>142</v>
      </c>
      <c r="B5" s="682" t="s">
        <v>17</v>
      </c>
      <c r="C5" s="682" t="s">
        <v>18</v>
      </c>
      <c r="D5" s="688" t="s">
        <v>42</v>
      </c>
      <c r="E5" s="689"/>
      <c r="F5" s="682" t="s">
        <v>23</v>
      </c>
      <c r="G5" s="682" t="s">
        <v>143</v>
      </c>
      <c r="H5" s="682"/>
      <c r="I5" s="683" t="s">
        <v>14</v>
      </c>
      <c r="J5" s="682" t="s">
        <v>25</v>
      </c>
    </row>
    <row r="6" spans="1:21" s="50" customFormat="1" ht="34.5" thickBot="1" x14ac:dyDescent="0.3">
      <c r="A6" s="682"/>
      <c r="B6" s="682"/>
      <c r="C6" s="682"/>
      <c r="D6" s="225" t="s">
        <v>4</v>
      </c>
      <c r="E6" s="225" t="s">
        <v>65</v>
      </c>
      <c r="F6" s="682"/>
      <c r="G6" s="94" t="s">
        <v>34</v>
      </c>
      <c r="H6" s="94" t="s">
        <v>33</v>
      </c>
      <c r="I6" s="684"/>
      <c r="J6" s="682"/>
      <c r="L6" s="127"/>
    </row>
    <row r="7" spans="1:21" ht="15.75" customHeight="1" thickBot="1" x14ac:dyDescent="0.3">
      <c r="A7" s="223" t="str">
        <f>'1.Usos&amp;Fontes'!A7</f>
        <v>I</v>
      </c>
      <c r="B7" s="198" t="str">
        <f>'1.Usos&amp;Fontes'!B7</f>
        <v>COMPONENTE 1  - FORTALECIMENTO INSTITUCIONAL</v>
      </c>
      <c r="C7" s="199"/>
      <c r="D7" s="199"/>
      <c r="E7" s="199"/>
      <c r="F7" s="199"/>
      <c r="G7" s="199"/>
      <c r="H7" s="199"/>
      <c r="I7" s="199"/>
      <c r="J7" s="277"/>
      <c r="L7" s="92"/>
      <c r="M7" s="43"/>
      <c r="O7" s="126"/>
      <c r="P7" s="126"/>
      <c r="Q7" s="678"/>
      <c r="R7" s="678"/>
      <c r="S7" s="678"/>
      <c r="T7" s="678"/>
      <c r="U7" s="678"/>
    </row>
    <row r="8" spans="1:21" ht="23.25" thickBot="1" x14ac:dyDescent="0.3">
      <c r="A8" s="121" t="str">
        <f>'1.Usos&amp;Fontes'!A8</f>
        <v>1.1</v>
      </c>
      <c r="B8" s="2" t="str">
        <f>'1.Usos&amp;Fontes'!B8</f>
        <v>Fortalecimento Institucional  SEMA - Sistema Distrital de Informações Ambientais</v>
      </c>
      <c r="C8" s="38"/>
      <c r="D8" s="37">
        <f>'1.Usos&amp;Fontes'!H8</f>
        <v>1000000</v>
      </c>
      <c r="E8" s="37">
        <f>'1.Usos&amp;Fontes'!E8</f>
        <v>0</v>
      </c>
      <c r="F8" s="253">
        <f>D8/H8</f>
        <v>1</v>
      </c>
      <c r="G8" s="253">
        <f t="shared" ref="G8:G12" si="0">E8/H8</f>
        <v>0</v>
      </c>
      <c r="H8" s="252">
        <f t="shared" ref="H8:H12" si="1">D8+E8</f>
        <v>1000000</v>
      </c>
      <c r="I8" s="95"/>
      <c r="J8" s="93"/>
      <c r="L8" s="92"/>
      <c r="M8" s="43"/>
      <c r="O8" s="126"/>
      <c r="P8" s="126"/>
      <c r="Q8" s="678"/>
      <c r="R8" s="678"/>
      <c r="S8" s="678"/>
      <c r="T8" s="678"/>
      <c r="U8" s="678"/>
    </row>
    <row r="9" spans="1:21" ht="23.25" thickBot="1" x14ac:dyDescent="0.3">
      <c r="A9" s="121" t="str">
        <f>'1.Usos&amp;Fontes'!A9</f>
        <v>1.2</v>
      </c>
      <c r="B9" s="2" t="str">
        <f>'1.Usos&amp;Fontes'!B9</f>
        <v>Fortalecimento Institucional - IBRAM - Melhoria dos processos de licenciamento</v>
      </c>
      <c r="C9" s="38"/>
      <c r="D9" s="37">
        <f>'1.Usos&amp;Fontes'!H9</f>
        <v>1000000</v>
      </c>
      <c r="E9" s="37">
        <f>'1.Usos&amp;Fontes'!E9</f>
        <v>0</v>
      </c>
      <c r="F9" s="253">
        <f t="shared" ref="F9:F12" si="2">D9/H9</f>
        <v>1</v>
      </c>
      <c r="G9" s="253">
        <f t="shared" si="0"/>
        <v>0</v>
      </c>
      <c r="H9" s="252">
        <f t="shared" si="1"/>
        <v>1000000</v>
      </c>
      <c r="I9" s="95"/>
      <c r="J9" s="93"/>
      <c r="L9" s="92"/>
      <c r="M9" s="43"/>
      <c r="O9" s="126"/>
      <c r="P9" s="126"/>
    </row>
    <row r="10" spans="1:21" s="50" customFormat="1" ht="15.75" thickBot="1" x14ac:dyDescent="0.3">
      <c r="A10" s="121" t="str">
        <f>'1.Usos&amp;Fontes'!A10</f>
        <v>1.3</v>
      </c>
      <c r="B10" s="2" t="str">
        <f>'1.Usos&amp;Fontes'!B10</f>
        <v xml:space="preserve"> Fortalecimento Institucional do SLU - Automatização de processos</v>
      </c>
      <c r="C10" s="38"/>
      <c r="D10" s="37">
        <f>'1.Usos&amp;Fontes'!H10</f>
        <v>2000000</v>
      </c>
      <c r="E10" s="37">
        <f>'1.Usos&amp;Fontes'!E10</f>
        <v>0</v>
      </c>
      <c r="F10" s="253">
        <f t="shared" si="2"/>
        <v>1</v>
      </c>
      <c r="G10" s="253">
        <f t="shared" si="0"/>
        <v>0</v>
      </c>
      <c r="H10" s="252">
        <f t="shared" si="1"/>
        <v>2000000</v>
      </c>
      <c r="I10" s="95"/>
      <c r="J10" s="93"/>
      <c r="K10" s="46"/>
      <c r="L10" s="92"/>
      <c r="M10" s="43"/>
      <c r="O10" s="126"/>
      <c r="P10" s="126"/>
    </row>
    <row r="11" spans="1:21" ht="15.75" thickBot="1" x14ac:dyDescent="0.3">
      <c r="A11" s="121" t="str">
        <f>'1.Usos&amp;Fontes'!A11</f>
        <v>1.4</v>
      </c>
      <c r="B11" s="2" t="str">
        <f>'1.Usos&amp;Fontes'!B11</f>
        <v xml:space="preserve"> Fortalecimento Institucional SINESP</v>
      </c>
      <c r="C11" s="38"/>
      <c r="D11" s="37">
        <f>'1.Usos&amp;Fontes'!H11</f>
        <v>1000000</v>
      </c>
      <c r="E11" s="37">
        <f>'1.Usos&amp;Fontes'!E11</f>
        <v>0</v>
      </c>
      <c r="F11" s="253">
        <f t="shared" si="2"/>
        <v>1</v>
      </c>
      <c r="G11" s="253">
        <f t="shared" si="0"/>
        <v>0</v>
      </c>
      <c r="H11" s="252">
        <f t="shared" si="1"/>
        <v>1000000</v>
      </c>
      <c r="I11" s="95"/>
      <c r="J11" s="93"/>
      <c r="L11" s="92"/>
      <c r="M11" s="43"/>
      <c r="O11" s="126"/>
      <c r="P11" s="126"/>
    </row>
    <row r="12" spans="1:21" ht="23.25" thickBot="1" x14ac:dyDescent="0.3">
      <c r="A12" s="121" t="str">
        <f>'1.Usos&amp;Fontes'!A12</f>
        <v>1.5</v>
      </c>
      <c r="B12" s="2" t="str">
        <f>'1.Usos&amp;Fontes'!B12</f>
        <v>Fortalecimento Institucional NOVACAP - Melhoria do Parque Tecnologico e automatizacao de processos</v>
      </c>
      <c r="C12" s="38"/>
      <c r="D12" s="37">
        <f>'1.Usos&amp;Fontes'!H12</f>
        <v>2000000</v>
      </c>
      <c r="E12" s="37">
        <f>'1.Usos&amp;Fontes'!E12</f>
        <v>0</v>
      </c>
      <c r="F12" s="253">
        <f t="shared" si="2"/>
        <v>1</v>
      </c>
      <c r="G12" s="253">
        <f t="shared" si="0"/>
        <v>0</v>
      </c>
      <c r="H12" s="252">
        <f t="shared" si="1"/>
        <v>2000000</v>
      </c>
      <c r="I12" s="95"/>
      <c r="J12" s="93"/>
      <c r="L12" s="92"/>
      <c r="M12" s="43"/>
      <c r="O12" s="126"/>
      <c r="P12" s="126"/>
    </row>
    <row r="13" spans="1:21" ht="15.75" thickBot="1" x14ac:dyDescent="0.3">
      <c r="A13" s="121" t="str">
        <f>'1.Usos&amp;Fontes'!A13</f>
        <v>1.6</v>
      </c>
      <c r="B13" s="2" t="str">
        <f>'1.Usos&amp;Fontes'!B13</f>
        <v>Fortalecimento Institucional dos SEDESTMIDH - Aqusição de Computadores</v>
      </c>
      <c r="C13" s="38"/>
      <c r="D13" s="37">
        <f>'1.Usos&amp;Fontes'!H13</f>
        <v>1000000</v>
      </c>
      <c r="E13" s="37">
        <f>'1.Usos&amp;Fontes'!E13</f>
        <v>0</v>
      </c>
      <c r="F13" s="253">
        <f t="shared" ref="F13" si="3">D13/H13</f>
        <v>1</v>
      </c>
      <c r="G13" s="253">
        <f t="shared" ref="G13" si="4">E13/H13</f>
        <v>0</v>
      </c>
      <c r="H13" s="252">
        <f t="shared" ref="H13" si="5">D13+E13</f>
        <v>1000000</v>
      </c>
      <c r="I13" s="95"/>
      <c r="J13" s="353"/>
      <c r="L13" s="92"/>
      <c r="M13" s="43"/>
      <c r="O13" s="126"/>
      <c r="P13" s="126"/>
    </row>
    <row r="14" spans="1:21" ht="15.75" customHeight="1" thickBot="1" x14ac:dyDescent="0.3">
      <c r="A14" s="223" t="str">
        <f>'1.Usos&amp;Fontes'!A15</f>
        <v xml:space="preserve">II </v>
      </c>
      <c r="B14" s="198" t="str">
        <f>'1.Usos&amp;Fontes'!B15:I15</f>
        <v xml:space="preserve">COMPONENTE 2  - GESTÃO DE RESÍDUOS SÓLIDOS E INCLUSÃO SOCIAL </v>
      </c>
      <c r="C14" s="199"/>
      <c r="D14" s="199"/>
      <c r="E14" s="199"/>
      <c r="F14" s="199"/>
      <c r="G14" s="199"/>
      <c r="H14" s="199"/>
      <c r="I14" s="199"/>
      <c r="J14" s="277"/>
      <c r="L14" s="92"/>
      <c r="M14" s="43"/>
      <c r="O14" s="126"/>
      <c r="P14" s="126"/>
    </row>
    <row r="15" spans="1:21" s="50" customFormat="1" ht="15.75" thickBot="1" x14ac:dyDescent="0.3">
      <c r="A15" s="121" t="str">
        <f>'1.Usos&amp;Fontes'!A16</f>
        <v>2.1</v>
      </c>
      <c r="B15" s="2" t="str">
        <f>'1.Usos&amp;Fontes'!B16</f>
        <v>Reforma e recapacitação da unidade de Compostagem do Psul</v>
      </c>
      <c r="C15" s="38"/>
      <c r="D15" s="37">
        <f>'1.Usos&amp;Fontes'!H16</f>
        <v>16258926</v>
      </c>
      <c r="E15" s="37">
        <f>'1.Usos&amp;Fontes'!E16</f>
        <v>1806547</v>
      </c>
      <c r="F15" s="253">
        <f>D15/H15</f>
        <v>0.90000001660626328</v>
      </c>
      <c r="G15" s="253">
        <f>E15/H15</f>
        <v>9.9999983393736766E-2</v>
      </c>
      <c r="H15" s="252">
        <f>D15+E15</f>
        <v>18065473</v>
      </c>
      <c r="I15" s="95"/>
      <c r="J15" s="93"/>
      <c r="K15" s="46"/>
      <c r="L15" s="92"/>
      <c r="M15" s="43"/>
      <c r="O15" s="126"/>
      <c r="P15" s="126"/>
    </row>
    <row r="16" spans="1:21" ht="23.25" thickBot="1" x14ac:dyDescent="0.3">
      <c r="A16" s="121" t="str">
        <f>'1.Usos&amp;Fontes'!A17</f>
        <v>2.2</v>
      </c>
      <c r="B16" s="2" t="str">
        <f>'1.Usos&amp;Fontes'!B17</f>
        <v>Programa de capacitação e assistência técnica a cooperativas e catadores em Centros de Triagem por 2 anos, completando os 5 anos planejados.</v>
      </c>
      <c r="C16" s="38"/>
      <c r="D16" s="37">
        <f>'1.Usos&amp;Fontes'!H17</f>
        <v>750000</v>
      </c>
      <c r="E16" s="37">
        <f>'1.Usos&amp;Fontes'!E17</f>
        <v>1750000</v>
      </c>
      <c r="F16" s="253">
        <f t="shared" ref="F16:F22" si="6">D16/H16</f>
        <v>0.3</v>
      </c>
      <c r="G16" s="253">
        <f t="shared" ref="G16:G22" si="7">E16/H16</f>
        <v>0.7</v>
      </c>
      <c r="H16" s="252">
        <f t="shared" ref="H16:H38" si="8">D16+E16</f>
        <v>2500000</v>
      </c>
      <c r="I16" s="95"/>
      <c r="J16" s="93"/>
      <c r="L16" s="92"/>
      <c r="M16" s="43"/>
      <c r="O16" s="126"/>
      <c r="P16" s="126"/>
    </row>
    <row r="17" spans="1:16" ht="23.25" thickBot="1" x14ac:dyDescent="0.3">
      <c r="A17" s="121" t="str">
        <f>'1.Usos&amp;Fontes'!A18</f>
        <v>2.3</v>
      </c>
      <c r="B17" s="2" t="str">
        <f>'1.Usos&amp;Fontes'!B18</f>
        <v>Programa de capacitação e assistência Técnica dos Catadores que optarem para migração em outros setores da economia</v>
      </c>
      <c r="C17" s="38"/>
      <c r="D17" s="37">
        <f>'1.Usos&amp;Fontes'!H18</f>
        <v>100000</v>
      </c>
      <c r="E17" s="37">
        <f>'1.Usos&amp;Fontes'!E18</f>
        <v>170000</v>
      </c>
      <c r="F17" s="253">
        <f t="shared" si="6"/>
        <v>0.37037037037037035</v>
      </c>
      <c r="G17" s="253">
        <f t="shared" si="7"/>
        <v>0.62962962962962965</v>
      </c>
      <c r="H17" s="252">
        <f t="shared" si="8"/>
        <v>270000</v>
      </c>
      <c r="I17" s="95"/>
      <c r="J17" s="93"/>
      <c r="L17" s="92"/>
      <c r="M17" s="43"/>
      <c r="O17" s="126"/>
      <c r="P17" s="126"/>
    </row>
    <row r="18" spans="1:16" ht="15.75" thickBot="1" x14ac:dyDescent="0.3">
      <c r="A18" s="121" t="str">
        <f>'1.Usos&amp;Fontes'!A19</f>
        <v>2.4</v>
      </c>
      <c r="B18" s="2" t="str">
        <f>'1.Usos&amp;Fontes'!B19</f>
        <v>Construção de Centros de Triagem</v>
      </c>
      <c r="C18" s="38"/>
      <c r="D18" s="37">
        <f>'1.Usos&amp;Fontes'!H19</f>
        <v>4383739</v>
      </c>
      <c r="E18" s="37">
        <f>'1.Usos&amp;Fontes'!E19</f>
        <v>3000000</v>
      </c>
      <c r="F18" s="253">
        <f t="shared" si="6"/>
        <v>0.59370178171249011</v>
      </c>
      <c r="G18" s="253">
        <f t="shared" si="7"/>
        <v>0.40629821828750989</v>
      </c>
      <c r="H18" s="252">
        <f t="shared" si="8"/>
        <v>7383739</v>
      </c>
      <c r="I18" s="95"/>
      <c r="J18" s="93"/>
      <c r="L18" s="92"/>
      <c r="M18" s="43"/>
      <c r="O18" s="126"/>
      <c r="P18" s="126"/>
    </row>
    <row r="19" spans="1:16" s="50" customFormat="1" ht="15.75" thickBot="1" x14ac:dyDescent="0.3">
      <c r="A19" s="121" t="str">
        <f>'1.Usos&amp;Fontes'!A20</f>
        <v>2.5</v>
      </c>
      <c r="B19" s="2" t="str">
        <f>'1.Usos&amp;Fontes'!B20</f>
        <v>Reforma e recapacitação da  unidade  de Compostagem da  Asa Sul - L4</v>
      </c>
      <c r="C19" s="38"/>
      <c r="D19" s="37">
        <f>'1.Usos&amp;Fontes'!H20</f>
        <v>10583099</v>
      </c>
      <c r="E19" s="37">
        <f>'1.Usos&amp;Fontes'!E20</f>
        <v>611687</v>
      </c>
      <c r="F19" s="253">
        <f t="shared" si="6"/>
        <v>0.94535965225239682</v>
      </c>
      <c r="G19" s="253">
        <f t="shared" si="7"/>
        <v>5.4640347747603214E-2</v>
      </c>
      <c r="H19" s="252">
        <f t="shared" si="8"/>
        <v>11194786</v>
      </c>
      <c r="I19" s="95"/>
      <c r="J19" s="93"/>
      <c r="K19" s="46"/>
      <c r="L19" s="92"/>
      <c r="M19" s="43"/>
      <c r="O19" s="126"/>
      <c r="P19" s="126"/>
    </row>
    <row r="20" spans="1:16" ht="15.75" thickBot="1" x14ac:dyDescent="0.3">
      <c r="A20" s="121" t="str">
        <f>'1.Usos&amp;Fontes'!A21</f>
        <v>2.6</v>
      </c>
      <c r="B20" s="2" t="str">
        <f>'1.Usos&amp;Fontes'!B21</f>
        <v>Apoio ao Sistema de gestão dos resíduos sólidos do SLU</v>
      </c>
      <c r="C20" s="38"/>
      <c r="D20" s="37">
        <f>'1.Usos&amp;Fontes'!H21</f>
        <v>6000000</v>
      </c>
      <c r="E20" s="37">
        <f>'1.Usos&amp;Fontes'!E21</f>
        <v>0</v>
      </c>
      <c r="F20" s="253">
        <f t="shared" si="6"/>
        <v>1</v>
      </c>
      <c r="G20" s="253">
        <f t="shared" si="7"/>
        <v>0</v>
      </c>
      <c r="H20" s="252">
        <f t="shared" si="8"/>
        <v>6000000</v>
      </c>
      <c r="I20" s="95"/>
      <c r="J20" s="93"/>
      <c r="L20" s="92"/>
      <c r="M20" s="43"/>
      <c r="O20" s="126"/>
      <c r="P20" s="126"/>
    </row>
    <row r="21" spans="1:16" ht="15.75" thickBot="1" x14ac:dyDescent="0.3">
      <c r="A21" s="121" t="str">
        <f>'1.Usos&amp;Fontes'!A22</f>
        <v>2.7</v>
      </c>
      <c r="B21" s="2" t="str">
        <f>'1.Usos&amp;Fontes'!B22</f>
        <v>Elaboração de projetos  para centro de transbordo</v>
      </c>
      <c r="C21" s="38"/>
      <c r="D21" s="37">
        <f>'1.Usos&amp;Fontes'!H22</f>
        <v>230000</v>
      </c>
      <c r="E21" s="37">
        <f>'1.Usos&amp;Fontes'!E22</f>
        <v>70000</v>
      </c>
      <c r="F21" s="253">
        <f t="shared" si="6"/>
        <v>0.76666666666666672</v>
      </c>
      <c r="G21" s="253">
        <f t="shared" si="7"/>
        <v>0.23333333333333334</v>
      </c>
      <c r="H21" s="252">
        <f t="shared" si="8"/>
        <v>300000</v>
      </c>
      <c r="I21" s="95"/>
      <c r="J21" s="93"/>
      <c r="L21" s="92"/>
      <c r="M21" s="43"/>
      <c r="O21" s="126"/>
      <c r="P21" s="126"/>
    </row>
    <row r="22" spans="1:16" s="50" customFormat="1" ht="15.75" thickBot="1" x14ac:dyDescent="0.3">
      <c r="A22" s="121" t="str">
        <f>'1.Usos&amp;Fontes'!A23</f>
        <v>2.8</v>
      </c>
      <c r="B22" s="2" t="str">
        <f>'1.Usos&amp;Fontes'!B23</f>
        <v>Fechamento do lixão do Jóquei e Recuperação Ambiental</v>
      </c>
      <c r="C22" s="38"/>
      <c r="D22" s="37">
        <f>'1.Usos&amp;Fontes'!H23</f>
        <v>0</v>
      </c>
      <c r="E22" s="37">
        <f>'1.Usos&amp;Fontes'!E23</f>
        <v>11240500</v>
      </c>
      <c r="F22" s="253">
        <f t="shared" si="6"/>
        <v>0</v>
      </c>
      <c r="G22" s="253">
        <f t="shared" si="7"/>
        <v>1</v>
      </c>
      <c r="H22" s="252">
        <f t="shared" si="8"/>
        <v>11240500</v>
      </c>
      <c r="I22" s="95"/>
      <c r="J22" s="93"/>
      <c r="K22" s="46"/>
      <c r="L22" s="92"/>
      <c r="M22" s="43"/>
      <c r="O22" s="126"/>
      <c r="P22" s="126"/>
    </row>
    <row r="23" spans="1:16" s="50" customFormat="1" ht="15.75" thickBot="1" x14ac:dyDescent="0.3">
      <c r="A23" s="121" t="str">
        <f>'1.Usos&amp;Fontes'!A24</f>
        <v>2.9</v>
      </c>
      <c r="B23" s="2" t="str">
        <f>'1.Usos&amp;Fontes'!B24</f>
        <v xml:space="preserve"> Projeto de Educação Ambiental para a Coleta Seletiva</v>
      </c>
      <c r="C23" s="38"/>
      <c r="D23" s="37">
        <f>'1.Usos&amp;Fontes'!H24</f>
        <v>2500000</v>
      </c>
      <c r="E23" s="37">
        <f>'1.Usos&amp;Fontes'!E24</f>
        <v>3163000</v>
      </c>
      <c r="F23" s="253">
        <f t="shared" ref="F23:F25" si="9">D23/H23</f>
        <v>0.44146212254988521</v>
      </c>
      <c r="G23" s="253">
        <f t="shared" ref="G23:G25" si="10">E23/H23</f>
        <v>0.55853787745011474</v>
      </c>
      <c r="H23" s="252">
        <f t="shared" ref="H23:H25" si="11">D23+E23</f>
        <v>5663000</v>
      </c>
      <c r="I23" s="95"/>
      <c r="J23" s="339"/>
      <c r="K23" s="46"/>
      <c r="L23" s="92"/>
      <c r="M23" s="43"/>
      <c r="O23" s="126"/>
      <c r="P23" s="126"/>
    </row>
    <row r="24" spans="1:16" s="432" customFormat="1" ht="15.75" thickBot="1" x14ac:dyDescent="0.3">
      <c r="A24" s="440" t="str">
        <f>'1.Usos&amp;Fontes'!A25</f>
        <v>2.10</v>
      </c>
      <c r="B24" s="441" t="str">
        <f>'1.Usos&amp;Fontes'!B25</f>
        <v xml:space="preserve">Construção de centros de transbordo </v>
      </c>
      <c r="C24" s="508"/>
      <c r="D24" s="509"/>
      <c r="E24" s="509"/>
      <c r="F24" s="510"/>
      <c r="G24" s="510"/>
      <c r="H24" s="511"/>
      <c r="I24" s="512"/>
      <c r="J24" s="513"/>
      <c r="L24" s="514"/>
      <c r="M24" s="515"/>
      <c r="O24" s="516"/>
      <c r="P24" s="516"/>
    </row>
    <row r="25" spans="1:16" s="50" customFormat="1" ht="23.25" thickBot="1" x14ac:dyDescent="0.3">
      <c r="A25" s="121" t="str">
        <f>'1.Usos&amp;Fontes'!A26</f>
        <v>2.11</v>
      </c>
      <c r="B25" s="2" t="str">
        <f>'1.Usos&amp;Fontes'!B26</f>
        <v xml:space="preserve"> Pagamento dos serviços prestados pelos catadores de materiais reciclados e reutlizáveis por 5 anos</v>
      </c>
      <c r="C25" s="38"/>
      <c r="D25" s="37">
        <f>'1.Usos&amp;Fontes'!H26</f>
        <v>0</v>
      </c>
      <c r="E25" s="37">
        <f>'1.Usos&amp;Fontes'!E26</f>
        <v>3000000</v>
      </c>
      <c r="F25" s="253">
        <f t="shared" si="9"/>
        <v>0</v>
      </c>
      <c r="G25" s="253">
        <f t="shared" si="10"/>
        <v>1</v>
      </c>
      <c r="H25" s="252">
        <f t="shared" si="11"/>
        <v>3000000</v>
      </c>
      <c r="I25" s="95"/>
      <c r="J25" s="339"/>
      <c r="K25" s="46"/>
      <c r="L25" s="92"/>
      <c r="M25" s="43"/>
      <c r="O25" s="126"/>
      <c r="P25" s="126"/>
    </row>
    <row r="26" spans="1:16" s="50" customFormat="1" ht="15.75" customHeight="1" thickBot="1" x14ac:dyDescent="0.3">
      <c r="A26" s="223" t="str">
        <f>'1.Usos&amp;Fontes'!A28</f>
        <v>III</v>
      </c>
      <c r="B26" s="632" t="str">
        <f>'1.Usos&amp;Fontes'!B28:I28</f>
        <v xml:space="preserve">COMPONENTE 3  -  READEQUAÇÃO URBANA DO CONDOMÍNIO PÔR DO SOL </v>
      </c>
      <c r="C26" s="572"/>
      <c r="D26" s="199"/>
      <c r="E26" s="199"/>
      <c r="F26" s="199"/>
      <c r="G26" s="199"/>
      <c r="H26" s="199"/>
      <c r="I26" s="199"/>
      <c r="J26" s="277"/>
      <c r="K26" s="46"/>
      <c r="L26" s="92"/>
      <c r="M26" s="43"/>
      <c r="O26" s="126"/>
      <c r="P26" s="126"/>
    </row>
    <row r="27" spans="1:16" s="50" customFormat="1" ht="15.75" thickBot="1" x14ac:dyDescent="0.3">
      <c r="A27" s="121" t="str">
        <f>'1.Usos&amp;Fontes'!A29</f>
        <v>3.1</v>
      </c>
      <c r="B27" s="2" t="str">
        <f>'1.Usos&amp;Fontes'!B29</f>
        <v xml:space="preserve"> Rede de Drenagem  Pluvial - Bacia IV C  </v>
      </c>
      <c r="C27" s="38"/>
      <c r="D27" s="37">
        <f>'1.Usos&amp;Fontes'!H29</f>
        <v>2000000</v>
      </c>
      <c r="E27" s="37">
        <f>'1.Usos&amp;Fontes'!E29</f>
        <v>2000000</v>
      </c>
      <c r="F27" s="253">
        <f t="shared" ref="F27" si="12">D27/H27</f>
        <v>0.5</v>
      </c>
      <c r="G27" s="253">
        <f t="shared" ref="G27" si="13">E27/H27</f>
        <v>0.5</v>
      </c>
      <c r="H27" s="252">
        <f t="shared" si="8"/>
        <v>4000000</v>
      </c>
      <c r="I27" s="95"/>
      <c r="J27" s="224"/>
      <c r="K27" s="46"/>
      <c r="L27" s="92"/>
      <c r="M27" s="43"/>
      <c r="O27" s="126"/>
      <c r="P27" s="126"/>
    </row>
    <row r="28" spans="1:16" s="50" customFormat="1" ht="15.75" thickBot="1" x14ac:dyDescent="0.3">
      <c r="A28" s="121" t="str">
        <f>'1.Usos&amp;Fontes'!A30</f>
        <v>3.2</v>
      </c>
      <c r="B28" s="2" t="str">
        <f>'1.Usos&amp;Fontes'!B30</f>
        <v>Rede de Microdrenagem</v>
      </c>
      <c r="C28" s="38"/>
      <c r="D28" s="37">
        <f>'1.Usos&amp;Fontes'!H30</f>
        <v>3000000</v>
      </c>
      <c r="E28" s="37">
        <f>'1.Usos&amp;Fontes'!E30</f>
        <v>3000000</v>
      </c>
      <c r="F28" s="253">
        <f t="shared" ref="F28:F38" si="14">D28/H28</f>
        <v>0.5</v>
      </c>
      <c r="G28" s="253">
        <f t="shared" ref="G28:G38" si="15">E28/H28</f>
        <v>0.5</v>
      </c>
      <c r="H28" s="252">
        <f t="shared" si="8"/>
        <v>6000000</v>
      </c>
      <c r="I28" s="95"/>
      <c r="J28" s="224"/>
      <c r="K28" s="46"/>
      <c r="L28" s="92"/>
      <c r="M28" s="43"/>
      <c r="O28" s="126"/>
      <c r="P28" s="126"/>
    </row>
    <row r="29" spans="1:16" s="50" customFormat="1" ht="15.75" thickBot="1" x14ac:dyDescent="0.3">
      <c r="A29" s="121" t="str">
        <f>'1.Usos&amp;Fontes'!A31</f>
        <v>3.3</v>
      </c>
      <c r="B29" s="2" t="str">
        <f>'1.Usos&amp;Fontes'!B31</f>
        <v>Saneamento Básico - água e esgoto</v>
      </c>
      <c r="C29" s="38"/>
      <c r="D29" s="37">
        <f>'1.Usos&amp;Fontes'!H31</f>
        <v>1560000</v>
      </c>
      <c r="E29" s="37">
        <f>'1.Usos&amp;Fontes'!E31</f>
        <v>860000</v>
      </c>
      <c r="F29" s="253">
        <f t="shared" si="14"/>
        <v>0.64462809917355368</v>
      </c>
      <c r="G29" s="253">
        <f t="shared" si="15"/>
        <v>0.35537190082644626</v>
      </c>
      <c r="H29" s="252">
        <f t="shared" si="8"/>
        <v>2420000</v>
      </c>
      <c r="I29" s="95"/>
      <c r="J29" s="224"/>
      <c r="K29" s="46"/>
      <c r="L29" s="92"/>
      <c r="M29" s="43"/>
      <c r="O29" s="126"/>
      <c r="P29" s="126"/>
    </row>
    <row r="30" spans="1:16" s="50" customFormat="1" ht="15.75" thickBot="1" x14ac:dyDescent="0.3">
      <c r="A30" s="121" t="str">
        <f>'1.Usos&amp;Fontes'!A32</f>
        <v>3.4</v>
      </c>
      <c r="B30" s="2" t="str">
        <f>'1.Usos&amp;Fontes'!B32</f>
        <v>Pavimentação das Vias Arteriais, Coletoras e Locais</v>
      </c>
      <c r="C30" s="38"/>
      <c r="D30" s="37">
        <f>'1.Usos&amp;Fontes'!H32</f>
        <v>8600000</v>
      </c>
      <c r="E30" s="37">
        <f>'1.Usos&amp;Fontes'!E32</f>
        <v>8600300</v>
      </c>
      <c r="F30" s="253">
        <f t="shared" si="14"/>
        <v>0.49999127922187403</v>
      </c>
      <c r="G30" s="253">
        <f t="shared" si="15"/>
        <v>0.50000872077812597</v>
      </c>
      <c r="H30" s="252">
        <f t="shared" si="8"/>
        <v>17200300</v>
      </c>
      <c r="I30" s="95"/>
      <c r="J30" s="224"/>
      <c r="K30" s="46"/>
      <c r="L30" s="92"/>
      <c r="M30" s="43"/>
      <c r="O30" s="126"/>
      <c r="P30" s="126"/>
    </row>
    <row r="31" spans="1:16" s="50" customFormat="1" ht="15.75" thickBot="1" x14ac:dyDescent="0.3">
      <c r="A31" s="121" t="str">
        <f>'1.Usos&amp;Fontes'!A33</f>
        <v>3.5</v>
      </c>
      <c r="B31" s="2" t="str">
        <f>'1.Usos&amp;Fontes'!B33</f>
        <v>Mobilidade e Acessibilidade</v>
      </c>
      <c r="C31" s="38"/>
      <c r="D31" s="37">
        <f>'1.Usos&amp;Fontes'!H33</f>
        <v>334000</v>
      </c>
      <c r="E31" s="37">
        <f>'1.Usos&amp;Fontes'!E33</f>
        <v>334000</v>
      </c>
      <c r="F31" s="253">
        <f t="shared" si="14"/>
        <v>0.5</v>
      </c>
      <c r="G31" s="253">
        <f t="shared" si="15"/>
        <v>0.5</v>
      </c>
      <c r="H31" s="252">
        <f t="shared" si="8"/>
        <v>668000</v>
      </c>
      <c r="I31" s="95"/>
      <c r="J31" s="224"/>
      <c r="K31" s="46"/>
      <c r="L31" s="92"/>
      <c r="M31" s="43"/>
      <c r="O31" s="126"/>
      <c r="P31" s="126"/>
    </row>
    <row r="32" spans="1:16" s="50" customFormat="1" ht="15.75" thickBot="1" x14ac:dyDescent="0.3">
      <c r="A32" s="121" t="str">
        <f>'1.Usos&amp;Fontes'!A34</f>
        <v>3.6</v>
      </c>
      <c r="B32" s="2" t="str">
        <f>'1.Usos&amp;Fontes'!B34</f>
        <v>Programa de Reassentamento</v>
      </c>
      <c r="C32" s="38"/>
      <c r="D32" s="37">
        <f>'1.Usos&amp;Fontes'!H34</f>
        <v>3442006</v>
      </c>
      <c r="E32" s="37">
        <f>'1.Usos&amp;Fontes'!E34</f>
        <v>5360506</v>
      </c>
      <c r="F32" s="253">
        <f t="shared" si="14"/>
        <v>0.3910254254694569</v>
      </c>
      <c r="G32" s="253">
        <f t="shared" si="15"/>
        <v>0.60897457453054304</v>
      </c>
      <c r="H32" s="252">
        <f t="shared" si="8"/>
        <v>8802512</v>
      </c>
      <c r="I32" s="95"/>
      <c r="J32" s="224"/>
      <c r="K32" s="46"/>
      <c r="L32" s="92"/>
      <c r="M32" s="43"/>
      <c r="O32" s="126"/>
      <c r="P32" s="126"/>
    </row>
    <row r="33" spans="1:16" s="50" customFormat="1" ht="15.75" thickBot="1" x14ac:dyDescent="0.3">
      <c r="A33" s="121" t="str">
        <f>'1.Usos&amp;Fontes'!A35</f>
        <v>3.7</v>
      </c>
      <c r="B33" s="2" t="str">
        <f>'1.Usos&amp;Fontes'!B35</f>
        <v>Ações de  Recuperação de Áreas Degradadas  (RAA)</v>
      </c>
      <c r="C33" s="38"/>
      <c r="D33" s="37">
        <f>'1.Usos&amp;Fontes'!H35</f>
        <v>2250000</v>
      </c>
      <c r="E33" s="37">
        <f>'1.Usos&amp;Fontes'!E35</f>
        <v>2250000</v>
      </c>
      <c r="F33" s="253">
        <f t="shared" si="14"/>
        <v>0.5</v>
      </c>
      <c r="G33" s="253">
        <f t="shared" si="15"/>
        <v>0.5</v>
      </c>
      <c r="H33" s="252">
        <f t="shared" si="8"/>
        <v>4500000</v>
      </c>
      <c r="I33" s="95"/>
      <c r="J33" s="224"/>
      <c r="K33" s="46"/>
      <c r="L33" s="92"/>
      <c r="M33" s="43"/>
      <c r="O33" s="126"/>
      <c r="P33" s="126"/>
    </row>
    <row r="34" spans="1:16" s="50" customFormat="1" ht="15.75" thickBot="1" x14ac:dyDescent="0.3">
      <c r="A34" s="121" t="str">
        <f>'1.Usos&amp;Fontes'!A36</f>
        <v>3.8</v>
      </c>
      <c r="B34" s="2" t="str">
        <f>'1.Usos&amp;Fontes'!B36</f>
        <v>Estudos e Projetos de Recuperação Ambiental e Sondagem</v>
      </c>
      <c r="C34" s="38"/>
      <c r="D34" s="37">
        <f>'1.Usos&amp;Fontes'!H36</f>
        <v>288900</v>
      </c>
      <c r="E34" s="37">
        <f>'1.Usos&amp;Fontes'!E36</f>
        <v>155000</v>
      </c>
      <c r="F34" s="253">
        <f t="shared" si="14"/>
        <v>0.65082225726514986</v>
      </c>
      <c r="G34" s="253">
        <f t="shared" si="15"/>
        <v>0.34917774273485019</v>
      </c>
      <c r="H34" s="252">
        <f t="shared" si="8"/>
        <v>443900</v>
      </c>
      <c r="I34" s="95"/>
      <c r="J34" s="224"/>
      <c r="K34" s="46"/>
      <c r="L34" s="92"/>
      <c r="M34" s="43"/>
      <c r="O34" s="126"/>
      <c r="P34" s="126"/>
    </row>
    <row r="35" spans="1:16" s="50" customFormat="1" ht="15.75" thickBot="1" x14ac:dyDescent="0.3">
      <c r="A35" s="121" t="str">
        <f>'1.Usos&amp;Fontes'!A37</f>
        <v>3.9</v>
      </c>
      <c r="B35" s="2" t="str">
        <f>'1.Usos&amp;Fontes'!B37</f>
        <v>Programa de Educação Sanitária e Ambiental  (RAA)</v>
      </c>
      <c r="C35" s="38"/>
      <c r="D35" s="37">
        <f>'1.Usos&amp;Fontes'!H37</f>
        <v>340000</v>
      </c>
      <c r="E35" s="37">
        <f>'1.Usos&amp;Fontes'!E37</f>
        <v>340000</v>
      </c>
      <c r="F35" s="253">
        <f t="shared" si="14"/>
        <v>0.5</v>
      </c>
      <c r="G35" s="253">
        <f t="shared" si="15"/>
        <v>0.5</v>
      </c>
      <c r="H35" s="252">
        <f t="shared" si="8"/>
        <v>680000</v>
      </c>
      <c r="I35" s="95"/>
      <c r="J35" s="224"/>
      <c r="K35" s="46"/>
      <c r="L35" s="92"/>
      <c r="M35" s="43"/>
      <c r="O35" s="126"/>
      <c r="P35" s="126"/>
    </row>
    <row r="36" spans="1:16" s="50" customFormat="1" ht="15.75" thickBot="1" x14ac:dyDescent="0.3">
      <c r="A36" s="121" t="str">
        <f>'1.Usos&amp;Fontes'!A38</f>
        <v>3.10</v>
      </c>
      <c r="B36" s="2" t="str">
        <f>'1.Usos&amp;Fontes'!B38</f>
        <v>Equipamentos sociais (Escola, CRAS, C. Comunitário, Creche, P. Policial)</v>
      </c>
      <c r="C36" s="38"/>
      <c r="D36" s="37">
        <f>'1.Usos&amp;Fontes'!H38</f>
        <v>1533330</v>
      </c>
      <c r="E36" s="37">
        <f>'1.Usos&amp;Fontes'!E38</f>
        <v>1533330</v>
      </c>
      <c r="F36" s="253">
        <f t="shared" si="14"/>
        <v>0.5</v>
      </c>
      <c r="G36" s="253">
        <f t="shared" si="15"/>
        <v>0.5</v>
      </c>
      <c r="H36" s="252">
        <f t="shared" si="8"/>
        <v>3066660</v>
      </c>
      <c r="I36" s="95"/>
      <c r="J36" s="224"/>
      <c r="K36" s="46"/>
      <c r="L36" s="92"/>
      <c r="M36" s="43"/>
      <c r="O36" s="126"/>
      <c r="P36" s="126"/>
    </row>
    <row r="37" spans="1:16" s="50" customFormat="1" ht="15.75" thickBot="1" x14ac:dyDescent="0.3">
      <c r="A37" s="121" t="str">
        <f>'1.Usos&amp;Fontes'!A39</f>
        <v>3.11</v>
      </c>
      <c r="B37" s="2" t="str">
        <f>'1.Usos&amp;Fontes'!B39</f>
        <v>Capacitação para a geração  de emprego e renda</v>
      </c>
      <c r="C37" s="38"/>
      <c r="D37" s="37">
        <f>'1.Usos&amp;Fontes'!H39</f>
        <v>180000</v>
      </c>
      <c r="E37" s="37">
        <f>'1.Usos&amp;Fontes'!E39</f>
        <v>300000</v>
      </c>
      <c r="F37" s="253">
        <f t="shared" si="14"/>
        <v>0.375</v>
      </c>
      <c r="G37" s="253">
        <f t="shared" si="15"/>
        <v>0.625</v>
      </c>
      <c r="H37" s="252">
        <f t="shared" si="8"/>
        <v>480000</v>
      </c>
      <c r="I37" s="95"/>
      <c r="J37" s="224"/>
      <c r="K37" s="46"/>
      <c r="L37" s="92"/>
      <c r="M37" s="43"/>
      <c r="O37" s="126"/>
      <c r="P37" s="126"/>
    </row>
    <row r="38" spans="1:16" s="50" customFormat="1" ht="15.75" thickBot="1" x14ac:dyDescent="0.3">
      <c r="A38" s="121" t="str">
        <f>'1.Usos&amp;Fontes'!A40</f>
        <v>3.12</v>
      </c>
      <c r="B38" s="2" t="str">
        <f>'1.Usos&amp;Fontes'!B40</f>
        <v>Construção de  561 casas populares</v>
      </c>
      <c r="C38" s="38"/>
      <c r="D38" s="37">
        <f>'1.Usos&amp;Fontes'!H40</f>
        <v>13666000</v>
      </c>
      <c r="E38" s="37">
        <f>'1.Usos&amp;Fontes'!E40</f>
        <v>0</v>
      </c>
      <c r="F38" s="253">
        <f t="shared" si="14"/>
        <v>1</v>
      </c>
      <c r="G38" s="253">
        <f t="shared" si="15"/>
        <v>0</v>
      </c>
      <c r="H38" s="252">
        <f t="shared" si="8"/>
        <v>13666000</v>
      </c>
      <c r="I38" s="95"/>
      <c r="J38" s="224"/>
      <c r="K38" s="46"/>
      <c r="L38" s="92"/>
      <c r="M38" s="43"/>
      <c r="O38" s="126"/>
      <c r="P38" s="126"/>
    </row>
    <row r="39" spans="1:16" s="50" customFormat="1" ht="15.75" thickBot="1" x14ac:dyDescent="0.3">
      <c r="A39" s="223" t="str">
        <f>'1.Usos&amp;Fontes'!A42</f>
        <v>IV</v>
      </c>
      <c r="B39" s="198" t="str">
        <f>'1.Usos&amp;Fontes'!B42:I42</f>
        <v xml:space="preserve">GERENCIAMENTO E MONITORAMENTO </v>
      </c>
      <c r="C39" s="199"/>
      <c r="D39" s="199"/>
      <c r="E39" s="199"/>
      <c r="F39" s="199"/>
      <c r="G39" s="199"/>
      <c r="H39" s="199"/>
      <c r="I39" s="199"/>
      <c r="J39" s="277"/>
      <c r="K39" s="46"/>
      <c r="L39" s="92"/>
      <c r="M39" s="43"/>
      <c r="O39" s="126"/>
      <c r="P39" s="126"/>
    </row>
    <row r="40" spans="1:16" s="50" customFormat="1" ht="15.75" thickBot="1" x14ac:dyDescent="0.3">
      <c r="A40" s="121" t="str">
        <f>'1.Usos&amp;Fontes'!A43</f>
        <v>4.1</v>
      </c>
      <c r="B40" s="2" t="str">
        <f>'1.Usos&amp;Fontes'!B43</f>
        <v>Gerenciamento e Monitoramento do Programa e Supervisão do Programa</v>
      </c>
      <c r="C40" s="38"/>
      <c r="D40" s="37">
        <f>'1.Usos&amp;Fontes'!H43</f>
        <v>9000000</v>
      </c>
      <c r="E40" s="37">
        <f>'1.Usos&amp;Fontes'!E43</f>
        <v>455130</v>
      </c>
      <c r="F40" s="38"/>
      <c r="G40" s="39"/>
      <c r="H40" s="39"/>
      <c r="I40" s="95"/>
      <c r="J40" s="224"/>
      <c r="K40" s="46"/>
      <c r="L40" s="92"/>
      <c r="M40" s="43"/>
      <c r="O40" s="126"/>
      <c r="P40" s="126"/>
    </row>
    <row r="41" spans="1:16" s="50" customFormat="1" ht="15.75" thickBot="1" x14ac:dyDescent="0.3">
      <c r="A41" s="121" t="str">
        <f>'1.Usos&amp;Fontes'!A44</f>
        <v>4.2</v>
      </c>
      <c r="B41" s="2" t="str">
        <f>'1.Usos&amp;Fontes'!B44</f>
        <v>Taxas</v>
      </c>
      <c r="C41" s="38"/>
      <c r="D41" s="37"/>
      <c r="E41" s="37">
        <f>'1.Usos&amp;Fontes'!E44</f>
        <v>0</v>
      </c>
      <c r="F41" s="38"/>
      <c r="G41" s="39"/>
      <c r="H41" s="39"/>
      <c r="I41" s="95"/>
      <c r="J41" s="224"/>
      <c r="K41" s="46"/>
      <c r="L41" s="92"/>
      <c r="M41" s="43"/>
      <c r="O41" s="126"/>
      <c r="P41" s="126"/>
    </row>
    <row r="42" spans="1:16" s="50" customFormat="1" ht="15.75" thickBot="1" x14ac:dyDescent="0.3">
      <c r="A42" s="121" t="str">
        <f>'1.Usos&amp;Fontes'!A45</f>
        <v>4.3</v>
      </c>
      <c r="B42" s="2" t="str">
        <f>'1.Usos&amp;Fontes'!B45</f>
        <v>Avaliacao e monitoramento</v>
      </c>
      <c r="C42" s="38"/>
      <c r="D42" s="37"/>
      <c r="E42" s="37">
        <f>'1.Usos&amp;Fontes'!E45</f>
        <v>0</v>
      </c>
      <c r="F42" s="38"/>
      <c r="G42" s="39"/>
      <c r="H42" s="39"/>
      <c r="I42" s="95"/>
      <c r="J42" s="224"/>
      <c r="K42" s="46"/>
      <c r="L42" s="92"/>
      <c r="M42" s="43"/>
      <c r="O42" s="126"/>
      <c r="P42" s="126"/>
    </row>
    <row r="43" spans="1:16" s="50" customFormat="1" ht="15.75" thickBot="1" x14ac:dyDescent="0.3">
      <c r="A43" s="2"/>
      <c r="B43" s="2"/>
      <c r="C43" s="38"/>
      <c r="D43" s="37"/>
      <c r="E43" s="37"/>
      <c r="F43" s="38"/>
      <c r="G43" s="39"/>
      <c r="H43" s="39"/>
      <c r="I43" s="95"/>
      <c r="J43" s="224"/>
      <c r="K43" s="46"/>
      <c r="L43" s="92"/>
      <c r="M43" s="43"/>
      <c r="O43" s="126"/>
      <c r="P43" s="126"/>
    </row>
    <row r="44" spans="1:16" x14ac:dyDescent="0.25">
      <c r="P44" s="126"/>
    </row>
    <row r="45" spans="1:16" x14ac:dyDescent="0.25">
      <c r="A45" s="679" t="s">
        <v>31</v>
      </c>
      <c r="B45" s="679"/>
      <c r="C45" s="679"/>
      <c r="D45" s="679"/>
      <c r="E45" s="679"/>
      <c r="F45" s="679"/>
      <c r="G45" s="679"/>
      <c r="H45" s="679"/>
      <c r="I45" s="679"/>
      <c r="J45" s="679"/>
      <c r="P45" s="126"/>
    </row>
    <row r="46" spans="1:16" x14ac:dyDescent="0.25">
      <c r="A46" s="679"/>
      <c r="B46" s="679"/>
      <c r="C46" s="679"/>
      <c r="D46" s="679"/>
      <c r="E46" s="679"/>
      <c r="F46" s="679"/>
      <c r="G46" s="679"/>
      <c r="H46" s="679"/>
      <c r="I46" s="679"/>
      <c r="J46" s="679"/>
    </row>
    <row r="47" spans="1:16" x14ac:dyDescent="0.25">
      <c r="A47" s="680" t="s">
        <v>32</v>
      </c>
      <c r="B47" s="680"/>
      <c r="C47" s="680"/>
      <c r="D47" s="680"/>
      <c r="E47" s="680"/>
      <c r="F47" s="680"/>
      <c r="G47" s="680"/>
      <c r="H47" s="680"/>
      <c r="I47" s="680"/>
      <c r="J47" s="680"/>
    </row>
  </sheetData>
  <sheetProtection formatCells="0" selectLockedCells="1"/>
  <mergeCells count="14">
    <mergeCell ref="Q7:U8"/>
    <mergeCell ref="A45:J46"/>
    <mergeCell ref="A47:J47"/>
    <mergeCell ref="F2:H2"/>
    <mergeCell ref="G5:H5"/>
    <mergeCell ref="I5:I6"/>
    <mergeCell ref="J5:J6"/>
    <mergeCell ref="A4:J4"/>
    <mergeCell ref="A5:A6"/>
    <mergeCell ref="B5:B6"/>
    <mergeCell ref="C5:C6"/>
    <mergeCell ref="F5:F6"/>
    <mergeCell ref="D5:E5"/>
    <mergeCell ref="B26:C26"/>
  </mergeCells>
  <pageMargins left="0.94488188976377963" right="0.15748031496062992" top="0.43307086614173229" bottom="0.78740157480314965" header="0.31496062992125984" footer="0.31496062992125984"/>
  <pageSetup paperSize="8" scale="97" orientation="landscape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30" zoomScaleNormal="130" zoomScalePageLayoutView="130" workbookViewId="0">
      <selection activeCell="G14" sqref="G14"/>
    </sheetView>
  </sheetViews>
  <sheetFormatPr defaultColWidth="8.85546875" defaultRowHeight="15" x14ac:dyDescent="0.25"/>
  <cols>
    <col min="1" max="1" width="8.85546875" style="46"/>
    <col min="2" max="3" width="7" style="46" customWidth="1"/>
    <col min="4" max="4" width="40.42578125" style="46" customWidth="1"/>
    <col min="6" max="6" width="11.28515625" bestFit="1" customWidth="1"/>
    <col min="8" max="8" width="13.85546875" customWidth="1"/>
    <col min="9" max="9" width="10.85546875" customWidth="1"/>
    <col min="11" max="11" width="13.7109375" customWidth="1"/>
    <col min="12" max="12" width="14.28515625" customWidth="1"/>
    <col min="13" max="13" width="10.85546875" customWidth="1"/>
  </cols>
  <sheetData>
    <row r="1" spans="2:12" s="92" customFormat="1" x14ac:dyDescent="0.25">
      <c r="B1" s="692" t="s">
        <v>216</v>
      </c>
      <c r="C1" s="693"/>
      <c r="D1" s="693"/>
      <c r="E1" s="694" t="s">
        <v>218</v>
      </c>
      <c r="F1" s="695"/>
      <c r="G1" s="696"/>
      <c r="H1" s="293" t="s">
        <v>222</v>
      </c>
      <c r="I1" s="294" t="s">
        <v>225</v>
      </c>
      <c r="J1" s="295" t="s">
        <v>226</v>
      </c>
      <c r="K1" s="293" t="s">
        <v>228</v>
      </c>
      <c r="L1" s="296" t="s">
        <v>227</v>
      </c>
    </row>
    <row r="2" spans="2:12" s="288" customFormat="1" ht="94.5" customHeight="1" thickBot="1" x14ac:dyDescent="0.3">
      <c r="B2" s="297" t="s">
        <v>217</v>
      </c>
      <c r="C2" s="298" t="s">
        <v>142</v>
      </c>
      <c r="D2" s="300" t="s">
        <v>145</v>
      </c>
      <c r="E2" s="304" t="s">
        <v>219</v>
      </c>
      <c r="F2" s="305" t="s">
        <v>220</v>
      </c>
      <c r="G2" s="289" t="s">
        <v>221</v>
      </c>
      <c r="H2" s="320" t="s">
        <v>236</v>
      </c>
      <c r="I2" s="290" t="s">
        <v>223</v>
      </c>
      <c r="J2" s="291" t="s">
        <v>224</v>
      </c>
      <c r="K2" s="290" t="s">
        <v>230</v>
      </c>
      <c r="L2" s="292" t="s">
        <v>229</v>
      </c>
    </row>
    <row r="3" spans="2:12" ht="23.25" customHeight="1" thickBot="1" x14ac:dyDescent="0.3">
      <c r="B3" s="697" t="s">
        <v>231</v>
      </c>
      <c r="C3" s="101" t="s">
        <v>35</v>
      </c>
      <c r="D3" s="301" t="s">
        <v>59</v>
      </c>
      <c r="E3" s="306" t="s">
        <v>235</v>
      </c>
      <c r="F3" s="307">
        <v>42734</v>
      </c>
      <c r="G3" s="172"/>
      <c r="H3" s="321">
        <v>300000</v>
      </c>
      <c r="I3" s="172"/>
      <c r="J3" s="172"/>
      <c r="K3" s="172"/>
      <c r="L3" s="172"/>
    </row>
    <row r="4" spans="2:12" ht="23.25" thickBot="1" x14ac:dyDescent="0.3">
      <c r="B4" s="698"/>
      <c r="C4" s="101" t="s">
        <v>36</v>
      </c>
      <c r="D4" s="301" t="s">
        <v>60</v>
      </c>
      <c r="E4" s="308"/>
      <c r="F4" s="309"/>
      <c r="G4" s="172"/>
      <c r="H4" s="322">
        <v>600000</v>
      </c>
      <c r="I4" s="172"/>
      <c r="J4" s="172"/>
      <c r="K4" s="172"/>
      <c r="L4" s="172"/>
    </row>
    <row r="5" spans="2:12" ht="23.25" thickBot="1" x14ac:dyDescent="0.3">
      <c r="B5" s="698"/>
      <c r="C5" s="101" t="s">
        <v>45</v>
      </c>
      <c r="D5" s="301" t="s">
        <v>61</v>
      </c>
      <c r="E5" s="308"/>
      <c r="F5" s="309"/>
      <c r="G5" s="172"/>
      <c r="H5" s="322">
        <v>640000</v>
      </c>
      <c r="I5" s="172"/>
      <c r="J5" s="172"/>
      <c r="K5" s="172"/>
      <c r="L5" s="172"/>
    </row>
    <row r="6" spans="2:12" ht="23.25" thickBot="1" x14ac:dyDescent="0.3">
      <c r="B6" s="698"/>
      <c r="C6" s="101" t="s">
        <v>46</v>
      </c>
      <c r="D6" s="301" t="s">
        <v>62</v>
      </c>
      <c r="E6" s="308"/>
      <c r="F6" s="309"/>
      <c r="G6" s="172"/>
      <c r="H6" s="322">
        <v>315000</v>
      </c>
      <c r="I6" s="172"/>
      <c r="J6" s="172"/>
      <c r="K6" s="172"/>
      <c r="L6" s="172"/>
    </row>
    <row r="7" spans="2:12" ht="15.75" thickBot="1" x14ac:dyDescent="0.3">
      <c r="B7" s="698"/>
      <c r="C7" s="101" t="s">
        <v>47</v>
      </c>
      <c r="D7" s="301" t="s">
        <v>63</v>
      </c>
      <c r="E7" s="308"/>
      <c r="F7" s="309"/>
      <c r="G7" s="172"/>
      <c r="H7" s="322">
        <v>0</v>
      </c>
      <c r="I7" s="172"/>
      <c r="J7" s="172"/>
      <c r="K7" s="172"/>
      <c r="L7" s="172"/>
    </row>
    <row r="8" spans="2:12" ht="15.75" thickBot="1" x14ac:dyDescent="0.3">
      <c r="B8" s="699"/>
      <c r="C8" s="101" t="s">
        <v>48</v>
      </c>
      <c r="D8" s="301" t="s">
        <v>64</v>
      </c>
      <c r="E8" s="308"/>
      <c r="F8" s="309"/>
      <c r="G8" s="172"/>
      <c r="H8" s="322">
        <v>225000</v>
      </c>
      <c r="I8" s="172"/>
      <c r="J8" s="172"/>
      <c r="K8" s="172"/>
      <c r="L8" s="172"/>
    </row>
    <row r="9" spans="2:12" ht="23.25" customHeight="1" thickBot="1" x14ac:dyDescent="0.3">
      <c r="B9" s="700" t="s">
        <v>232</v>
      </c>
      <c r="C9" s="101" t="s">
        <v>37</v>
      </c>
      <c r="D9" s="302" t="s">
        <v>70</v>
      </c>
      <c r="E9" s="308"/>
      <c r="F9" s="309"/>
      <c r="G9" s="172"/>
      <c r="H9" s="323">
        <v>20003800</v>
      </c>
      <c r="I9" s="172"/>
      <c r="J9" s="172"/>
      <c r="K9" s="172"/>
      <c r="L9" s="172"/>
    </row>
    <row r="10" spans="2:12" ht="34.5" thickBot="1" x14ac:dyDescent="0.3">
      <c r="B10" s="701"/>
      <c r="C10" s="101" t="s">
        <v>38</v>
      </c>
      <c r="D10" s="302" t="s">
        <v>71</v>
      </c>
      <c r="E10" s="308"/>
      <c r="F10" s="309"/>
      <c r="G10" s="172"/>
      <c r="H10" s="323">
        <v>2500000</v>
      </c>
      <c r="I10" s="172"/>
      <c r="J10" s="172"/>
      <c r="K10" s="172"/>
      <c r="L10" s="172"/>
    </row>
    <row r="11" spans="2:12" ht="34.5" thickBot="1" x14ac:dyDescent="0.3">
      <c r="B11" s="701"/>
      <c r="C11" s="101" t="s">
        <v>66</v>
      </c>
      <c r="D11" s="302" t="s">
        <v>72</v>
      </c>
      <c r="E11" s="308"/>
      <c r="F11" s="309"/>
      <c r="G11" s="172"/>
      <c r="H11" s="323">
        <v>270000</v>
      </c>
      <c r="I11" s="172"/>
      <c r="J11" s="172"/>
      <c r="K11" s="172"/>
      <c r="L11" s="172"/>
    </row>
    <row r="12" spans="2:12" ht="15.75" thickBot="1" x14ac:dyDescent="0.3">
      <c r="B12" s="701"/>
      <c r="C12" s="101" t="s">
        <v>67</v>
      </c>
      <c r="D12" s="302" t="s">
        <v>73</v>
      </c>
      <c r="E12" s="308"/>
      <c r="F12" s="309"/>
      <c r="G12" s="172"/>
      <c r="H12" s="323">
        <v>4000000</v>
      </c>
      <c r="I12" s="172"/>
      <c r="J12" s="172"/>
      <c r="K12" s="172"/>
      <c r="L12" s="172"/>
    </row>
    <row r="13" spans="2:12" ht="23.25" thickBot="1" x14ac:dyDescent="0.3">
      <c r="B13" s="701"/>
      <c r="C13" s="101" t="s">
        <v>68</v>
      </c>
      <c r="D13" s="302" t="s">
        <v>74</v>
      </c>
      <c r="E13" s="308"/>
      <c r="F13" s="309"/>
      <c r="G13" s="172"/>
      <c r="H13" s="323">
        <v>21300000</v>
      </c>
      <c r="I13" s="172"/>
      <c r="J13" s="172"/>
      <c r="K13" s="172"/>
      <c r="L13" s="172"/>
    </row>
    <row r="14" spans="2:12" ht="23.25" thickBot="1" x14ac:dyDescent="0.3">
      <c r="B14" s="701"/>
      <c r="C14" s="101" t="s">
        <v>69</v>
      </c>
      <c r="D14" s="302" t="s">
        <v>75</v>
      </c>
      <c r="E14" s="308"/>
      <c r="F14" s="309"/>
      <c r="G14" s="172"/>
      <c r="H14" s="323">
        <v>600000</v>
      </c>
      <c r="I14" s="172"/>
      <c r="J14" s="172"/>
      <c r="K14" s="172"/>
      <c r="L14" s="172"/>
    </row>
    <row r="15" spans="2:12" ht="15.75" thickBot="1" x14ac:dyDescent="0.3">
      <c r="B15" s="701"/>
      <c r="C15" s="101" t="s">
        <v>43</v>
      </c>
      <c r="D15" s="302" t="s">
        <v>76</v>
      </c>
      <c r="E15" s="308"/>
      <c r="F15" s="309"/>
      <c r="G15" s="172"/>
      <c r="H15" s="323">
        <v>300000</v>
      </c>
      <c r="I15" s="172"/>
      <c r="J15" s="172"/>
      <c r="K15" s="172"/>
      <c r="L15" s="172"/>
    </row>
    <row r="16" spans="2:12" ht="23.25" thickBot="1" x14ac:dyDescent="0.3">
      <c r="B16" s="701"/>
      <c r="C16" s="101" t="s">
        <v>44</v>
      </c>
      <c r="D16" s="302" t="s">
        <v>77</v>
      </c>
      <c r="E16" s="308"/>
      <c r="F16" s="309"/>
      <c r="G16" s="172"/>
      <c r="H16" s="323">
        <v>7072000</v>
      </c>
      <c r="I16" s="172"/>
      <c r="J16" s="172"/>
      <c r="K16" s="172"/>
      <c r="L16" s="172"/>
    </row>
    <row r="17" spans="2:12" ht="15.75" customHeight="1" thickBot="1" x14ac:dyDescent="0.3">
      <c r="B17" s="690" t="s">
        <v>233</v>
      </c>
      <c r="C17" s="299" t="s">
        <v>39</v>
      </c>
      <c r="D17" s="303" t="s">
        <v>90</v>
      </c>
      <c r="E17" s="308"/>
      <c r="F17" s="309"/>
      <c r="G17" s="172"/>
      <c r="H17" s="324">
        <v>6645000</v>
      </c>
      <c r="I17" s="172"/>
      <c r="J17" s="172"/>
      <c r="K17" s="172"/>
      <c r="L17" s="172"/>
    </row>
    <row r="18" spans="2:12" ht="15.75" thickBot="1" x14ac:dyDescent="0.3">
      <c r="B18" s="690"/>
      <c r="C18" s="299" t="s">
        <v>79</v>
      </c>
      <c r="D18" s="303" t="s">
        <v>91</v>
      </c>
      <c r="E18" s="308"/>
      <c r="F18" s="309"/>
      <c r="G18" s="172"/>
      <c r="H18" s="324">
        <v>7500000</v>
      </c>
      <c r="I18" s="172"/>
      <c r="J18" s="172"/>
      <c r="K18" s="172"/>
      <c r="L18" s="172"/>
    </row>
    <row r="19" spans="2:12" ht="15.75" thickBot="1" x14ac:dyDescent="0.3">
      <c r="B19" s="690"/>
      <c r="C19" s="299" t="s">
        <v>80</v>
      </c>
      <c r="D19" s="303" t="s">
        <v>92</v>
      </c>
      <c r="E19" s="308"/>
      <c r="F19" s="309"/>
      <c r="G19" s="172"/>
      <c r="H19" s="324">
        <v>4943000</v>
      </c>
      <c r="I19" s="172"/>
      <c r="J19" s="172"/>
      <c r="K19" s="172"/>
      <c r="L19" s="172"/>
    </row>
    <row r="20" spans="2:12" ht="15.75" thickBot="1" x14ac:dyDescent="0.3">
      <c r="B20" s="690"/>
      <c r="C20" s="299" t="s">
        <v>81</v>
      </c>
      <c r="D20" s="303" t="s">
        <v>93</v>
      </c>
      <c r="E20" s="308"/>
      <c r="F20" s="309"/>
      <c r="G20" s="172"/>
      <c r="H20" s="324">
        <v>25710000</v>
      </c>
      <c r="I20" s="172"/>
      <c r="J20" s="172"/>
      <c r="K20" s="172"/>
      <c r="L20" s="172"/>
    </row>
    <row r="21" spans="2:12" ht="15.75" thickBot="1" x14ac:dyDescent="0.3">
      <c r="B21" s="690"/>
      <c r="C21" s="299" t="s">
        <v>82</v>
      </c>
      <c r="D21" s="303" t="s">
        <v>94</v>
      </c>
      <c r="E21" s="308"/>
      <c r="F21" s="309"/>
      <c r="G21" s="172"/>
      <c r="H21" s="324">
        <v>1221000</v>
      </c>
      <c r="I21" s="172"/>
      <c r="J21" s="172"/>
      <c r="K21" s="172"/>
      <c r="L21" s="172"/>
    </row>
    <row r="22" spans="2:12" ht="15.75" thickBot="1" x14ac:dyDescent="0.3">
      <c r="B22" s="690"/>
      <c r="C22" s="299" t="s">
        <v>83</v>
      </c>
      <c r="D22" s="303" t="s">
        <v>95</v>
      </c>
      <c r="E22" s="308"/>
      <c r="F22" s="309"/>
      <c r="G22" s="172"/>
      <c r="H22" s="324">
        <v>2277000</v>
      </c>
      <c r="I22" s="172"/>
      <c r="J22" s="172"/>
      <c r="K22" s="172"/>
      <c r="L22" s="172"/>
    </row>
    <row r="23" spans="2:12" ht="15.75" thickBot="1" x14ac:dyDescent="0.3">
      <c r="B23" s="690"/>
      <c r="C23" s="299" t="s">
        <v>84</v>
      </c>
      <c r="D23" s="303" t="s">
        <v>96</v>
      </c>
      <c r="E23" s="308"/>
      <c r="F23" s="309"/>
      <c r="G23" s="172"/>
      <c r="H23" s="324">
        <v>4788000</v>
      </c>
      <c r="I23" s="172"/>
      <c r="J23" s="172"/>
      <c r="K23" s="172"/>
      <c r="L23" s="172"/>
    </row>
    <row r="24" spans="2:12" ht="23.25" thickBot="1" x14ac:dyDescent="0.3">
      <c r="B24" s="690"/>
      <c r="C24" s="299" t="s">
        <v>85</v>
      </c>
      <c r="D24" s="303" t="s">
        <v>97</v>
      </c>
      <c r="E24" s="308"/>
      <c r="F24" s="309"/>
      <c r="G24" s="172"/>
      <c r="H24" s="324">
        <v>443900</v>
      </c>
      <c r="I24" s="172"/>
      <c r="J24" s="172"/>
      <c r="K24" s="172"/>
      <c r="L24" s="172"/>
    </row>
    <row r="25" spans="2:12" ht="15.75" thickBot="1" x14ac:dyDescent="0.3">
      <c r="B25" s="690"/>
      <c r="C25" s="299" t="s">
        <v>86</v>
      </c>
      <c r="D25" s="303" t="s">
        <v>98</v>
      </c>
      <c r="E25" s="308"/>
      <c r="F25" s="309"/>
      <c r="G25" s="172"/>
      <c r="H25" s="324">
        <v>721000</v>
      </c>
      <c r="I25" s="172"/>
      <c r="J25" s="172"/>
      <c r="K25" s="172"/>
      <c r="L25" s="172"/>
    </row>
    <row r="26" spans="2:12" ht="23.25" thickBot="1" x14ac:dyDescent="0.3">
      <c r="B26" s="690"/>
      <c r="C26" s="299" t="s">
        <v>87</v>
      </c>
      <c r="D26" s="303" t="s">
        <v>99</v>
      </c>
      <c r="E26" s="308"/>
      <c r="F26" s="309"/>
      <c r="G26" s="172"/>
      <c r="H26" s="324">
        <v>6038000</v>
      </c>
      <c r="I26" s="172"/>
      <c r="J26" s="172"/>
      <c r="K26" s="172"/>
      <c r="L26" s="172"/>
    </row>
    <row r="27" spans="2:12" ht="15.75" thickBot="1" x14ac:dyDescent="0.3">
      <c r="B27" s="690"/>
      <c r="C27" s="299" t="s">
        <v>88</v>
      </c>
      <c r="D27" s="303" t="s">
        <v>100</v>
      </c>
      <c r="E27" s="308"/>
      <c r="F27" s="309"/>
      <c r="G27" s="172"/>
      <c r="H27" s="324">
        <v>277300</v>
      </c>
      <c r="I27" s="172"/>
      <c r="J27" s="172"/>
      <c r="K27" s="172"/>
      <c r="L27" s="172"/>
    </row>
    <row r="28" spans="2:12" ht="15.75" thickBot="1" x14ac:dyDescent="0.3">
      <c r="B28" s="690"/>
      <c r="C28" s="312" t="s">
        <v>89</v>
      </c>
      <c r="D28" s="313" t="s">
        <v>101</v>
      </c>
      <c r="E28" s="314"/>
      <c r="F28" s="315"/>
      <c r="G28" s="172"/>
      <c r="H28" s="324">
        <v>16000000</v>
      </c>
      <c r="I28" s="172"/>
      <c r="J28" s="172"/>
      <c r="K28" s="172"/>
      <c r="L28" s="172"/>
    </row>
    <row r="29" spans="2:12" ht="15.75" thickBot="1" x14ac:dyDescent="0.3">
      <c r="B29" s="691" t="s">
        <v>234</v>
      </c>
      <c r="C29" s="101" t="s">
        <v>103</v>
      </c>
      <c r="D29" s="303" t="s">
        <v>106</v>
      </c>
      <c r="E29" s="306"/>
      <c r="F29" s="316"/>
      <c r="G29" s="317"/>
      <c r="H29" s="324">
        <v>5800000</v>
      </c>
      <c r="I29" s="172"/>
      <c r="J29" s="172"/>
      <c r="K29" s="172"/>
      <c r="L29" s="172"/>
    </row>
    <row r="30" spans="2:12" ht="15.75" thickBot="1" x14ac:dyDescent="0.3">
      <c r="B30" s="691"/>
      <c r="C30" s="101" t="s">
        <v>104</v>
      </c>
      <c r="D30" s="303" t="s">
        <v>107</v>
      </c>
      <c r="E30" s="308"/>
      <c r="F30" s="309"/>
      <c r="G30" s="318"/>
      <c r="H30" s="324">
        <v>780000</v>
      </c>
      <c r="I30" s="172"/>
      <c r="J30" s="172"/>
      <c r="K30" s="172"/>
      <c r="L30" s="172"/>
    </row>
    <row r="31" spans="2:12" ht="15.75" thickBot="1" x14ac:dyDescent="0.3">
      <c r="B31" s="691"/>
      <c r="C31" s="101" t="s">
        <v>105</v>
      </c>
      <c r="D31" s="303" t="s">
        <v>108</v>
      </c>
      <c r="E31" s="310"/>
      <c r="F31" s="311"/>
      <c r="G31" s="319"/>
      <c r="H31" s="325">
        <v>6260000</v>
      </c>
      <c r="I31" s="172"/>
      <c r="J31" s="172"/>
      <c r="K31" s="172"/>
      <c r="L31" s="172"/>
    </row>
  </sheetData>
  <mergeCells count="6">
    <mergeCell ref="B17:B28"/>
    <mergeCell ref="B29:B31"/>
    <mergeCell ref="B1:D1"/>
    <mergeCell ref="E1:G1"/>
    <mergeCell ref="B3:B8"/>
    <mergeCell ref="B9:B16"/>
  </mergeCells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view="pageBreakPreview" topLeftCell="A4" zoomScaleSheetLayoutView="100" workbookViewId="0">
      <pane xSplit="1" topLeftCell="D1" activePane="topRight" state="frozen"/>
      <selection activeCell="A42" sqref="A42"/>
      <selection pane="topRight" activeCell="A78" sqref="A78"/>
    </sheetView>
  </sheetViews>
  <sheetFormatPr defaultColWidth="8.85546875" defaultRowHeight="15" x14ac:dyDescent="0.25"/>
  <cols>
    <col min="1" max="1" width="9.140625" style="46" customWidth="1"/>
    <col min="2" max="2" width="57.42578125" style="46" customWidth="1"/>
    <col min="3" max="3" width="8.85546875" style="46"/>
    <col min="4" max="4" width="11.42578125" style="46" customWidth="1"/>
    <col min="5" max="5" width="10.140625" style="46" customWidth="1"/>
    <col min="6" max="6" width="11.85546875" style="46" customWidth="1"/>
    <col min="7" max="7" width="12.7109375" style="46" bestFit="1" customWidth="1"/>
    <col min="8" max="8" width="8.85546875" style="46" customWidth="1"/>
    <col min="9" max="9" width="11.85546875" style="46" customWidth="1"/>
    <col min="10" max="10" width="15.85546875" style="46" customWidth="1"/>
    <col min="11" max="11" width="17.28515625" style="46" bestFit="1" customWidth="1"/>
    <col min="12" max="12" width="21" style="46" hidden="1" customWidth="1"/>
    <col min="13" max="13" width="16.42578125" style="46" bestFit="1" customWidth="1"/>
    <col min="14" max="14" width="8.85546875" style="46"/>
    <col min="15" max="15" width="10.28515625" style="46" customWidth="1"/>
    <col min="16" max="16" width="24.42578125" style="46" bestFit="1" customWidth="1"/>
    <col min="17" max="17" width="18.28515625" style="46" bestFit="1" customWidth="1"/>
    <col min="18" max="16384" width="8.85546875" style="46"/>
  </cols>
  <sheetData>
    <row r="1" spans="1:18" ht="18.75" x14ac:dyDescent="0.3">
      <c r="B1" s="90" t="s">
        <v>49</v>
      </c>
    </row>
    <row r="2" spans="1:18" ht="15.75" customHeight="1" x14ac:dyDescent="0.25">
      <c r="H2" s="681" t="s">
        <v>30</v>
      </c>
      <c r="I2" s="681"/>
      <c r="J2" s="681"/>
      <c r="K2" s="681"/>
      <c r="L2" s="48"/>
      <c r="M2" s="43">
        <v>41913</v>
      </c>
    </row>
    <row r="4" spans="1:18" ht="15.75" thickBot="1" x14ac:dyDescent="0.3"/>
    <row r="5" spans="1:18" ht="23.25" customHeight="1" thickBot="1" x14ac:dyDescent="0.3">
      <c r="A5" s="685" t="s">
        <v>15</v>
      </c>
      <c r="B5" s="686"/>
      <c r="C5" s="686"/>
      <c r="D5" s="686"/>
      <c r="E5" s="686"/>
      <c r="F5" s="686"/>
      <c r="G5" s="686"/>
      <c r="H5" s="686"/>
      <c r="I5" s="686"/>
      <c r="J5" s="686"/>
      <c r="K5" s="686"/>
      <c r="L5" s="686"/>
      <c r="M5" s="687"/>
      <c r="O5" s="730"/>
      <c r="P5" s="728"/>
      <c r="Q5" s="729"/>
      <c r="R5" s="729"/>
    </row>
    <row r="6" spans="1:18" ht="15.75" customHeight="1" thickBot="1" x14ac:dyDescent="0.3">
      <c r="A6" s="682" t="s">
        <v>16</v>
      </c>
      <c r="B6" s="682" t="s">
        <v>17</v>
      </c>
      <c r="C6" s="682" t="s">
        <v>18</v>
      </c>
      <c r="D6" s="723" t="s">
        <v>19</v>
      </c>
      <c r="E6" s="724"/>
      <c r="F6" s="727" t="s">
        <v>42</v>
      </c>
      <c r="G6" s="727" t="s">
        <v>21</v>
      </c>
      <c r="H6" s="682" t="s">
        <v>22</v>
      </c>
      <c r="I6" s="682" t="s">
        <v>23</v>
      </c>
      <c r="J6" s="682" t="s">
        <v>24</v>
      </c>
      <c r="K6" s="682"/>
      <c r="L6" s="683" t="s">
        <v>14</v>
      </c>
      <c r="M6" s="682" t="s">
        <v>25</v>
      </c>
      <c r="O6" s="730"/>
      <c r="P6" s="728"/>
      <c r="Q6" s="729"/>
      <c r="R6" s="729"/>
    </row>
    <row r="7" spans="1:18" ht="34.5" thickBot="1" x14ac:dyDescent="0.3">
      <c r="A7" s="682"/>
      <c r="B7" s="682"/>
      <c r="C7" s="682"/>
      <c r="D7" s="725"/>
      <c r="E7" s="726"/>
      <c r="F7" s="727"/>
      <c r="G7" s="727"/>
      <c r="H7" s="682"/>
      <c r="I7" s="682"/>
      <c r="J7" s="79" t="s">
        <v>34</v>
      </c>
      <c r="K7" s="79" t="s">
        <v>33</v>
      </c>
      <c r="L7" s="684"/>
      <c r="M7" s="682"/>
      <c r="O7" s="730"/>
      <c r="P7" s="728"/>
      <c r="Q7" s="729"/>
      <c r="R7" s="729"/>
    </row>
    <row r="8" spans="1:18" ht="23.25" thickBot="1" x14ac:dyDescent="0.3">
      <c r="A8" s="52" t="str">
        <f>'1.Usos&amp;Fontes'!A17</f>
        <v>2.2</v>
      </c>
      <c r="B8" s="53" t="str">
        <f>'1.Usos&amp;Fontes'!B17</f>
        <v>Programa de capacitação e assistência técnica a cooperativas e catadores em Centros de Triagem por 2 anos, completando os 5 anos planejados.</v>
      </c>
      <c r="C8" s="58"/>
      <c r="D8" s="83"/>
      <c r="E8" s="84"/>
      <c r="F8" s="54"/>
      <c r="G8" s="54"/>
      <c r="H8" s="52"/>
      <c r="I8" s="58"/>
      <c r="J8" s="59"/>
      <c r="K8" s="59"/>
      <c r="L8" s="55"/>
      <c r="M8" s="52"/>
      <c r="O8" s="40"/>
      <c r="P8" s="43"/>
      <c r="Q8" s="126"/>
    </row>
    <row r="9" spans="1:18" ht="23.25" thickBot="1" x14ac:dyDescent="0.3">
      <c r="A9" s="56" t="str">
        <f>'1.Usos&amp;Fontes'!A18</f>
        <v>2.3</v>
      </c>
      <c r="B9" s="57" t="str">
        <f>'1.Usos&amp;Fontes'!B18</f>
        <v>Programa de capacitação e assistência Técnica dos Catadores que optarem para migração em outros setores da economia</v>
      </c>
      <c r="C9" s="60"/>
      <c r="D9" s="719"/>
      <c r="E9" s="720"/>
      <c r="F9" s="61"/>
      <c r="G9" s="61"/>
      <c r="H9" s="56"/>
      <c r="I9" s="60"/>
      <c r="J9" s="62"/>
      <c r="K9" s="62"/>
      <c r="L9" s="63"/>
      <c r="M9" s="60"/>
      <c r="O9" s="65"/>
      <c r="P9" s="43"/>
      <c r="Q9" s="126"/>
    </row>
    <row r="10" spans="1:18" ht="15.75" thickBot="1" x14ac:dyDescent="0.3">
      <c r="A10" s="52" t="str">
        <f>'1.Usos&amp;Fontes'!A19</f>
        <v>2.4</v>
      </c>
      <c r="B10" s="53" t="str">
        <f>'1.Usos&amp;Fontes'!B19</f>
        <v>Construção de Centros de Triagem</v>
      </c>
      <c r="C10" s="58"/>
      <c r="D10" s="98"/>
      <c r="E10" s="99"/>
      <c r="F10" s="54"/>
      <c r="G10" s="54"/>
      <c r="H10" s="52"/>
      <c r="I10" s="58"/>
      <c r="J10" s="59"/>
      <c r="K10" s="59"/>
      <c r="L10" s="55"/>
      <c r="M10" s="52"/>
      <c r="O10" s="40"/>
      <c r="P10" s="43"/>
      <c r="Q10" s="126"/>
    </row>
    <row r="11" spans="1:18" ht="15.75" thickBot="1" x14ac:dyDescent="0.3">
      <c r="A11" s="56" t="str">
        <f>'1.Usos&amp;Fontes'!A20</f>
        <v>2.5</v>
      </c>
      <c r="B11" s="57" t="str">
        <f>'1.Usos&amp;Fontes'!B20</f>
        <v>Reforma e recapacitação da  unidade  de Compostagem da  Asa Sul - L4</v>
      </c>
      <c r="C11" s="60"/>
      <c r="D11" s="719"/>
      <c r="E11" s="720"/>
      <c r="F11" s="61"/>
      <c r="G11" s="61"/>
      <c r="H11" s="56"/>
      <c r="I11" s="60"/>
      <c r="J11" s="62"/>
      <c r="K11" s="62"/>
      <c r="L11" s="63"/>
      <c r="M11" s="60"/>
      <c r="O11" s="65"/>
      <c r="P11" s="43"/>
      <c r="Q11" s="126"/>
    </row>
    <row r="12" spans="1:18" ht="15.75" thickBot="1" x14ac:dyDescent="0.3">
      <c r="A12" s="52" t="str">
        <f>'1.Usos&amp;Fontes'!A21</f>
        <v>2.6</v>
      </c>
      <c r="B12" s="137" t="s">
        <v>57</v>
      </c>
      <c r="C12" s="58"/>
      <c r="D12" s="98"/>
      <c r="E12" s="99"/>
      <c r="F12" s="54"/>
      <c r="G12" s="54"/>
      <c r="H12" s="52"/>
      <c r="I12" s="58"/>
      <c r="J12" s="59"/>
      <c r="K12" s="59"/>
      <c r="L12" s="55"/>
      <c r="M12" s="52"/>
      <c r="O12" s="40"/>
      <c r="P12" s="43"/>
      <c r="Q12" s="126"/>
    </row>
    <row r="13" spans="1:18" ht="15.75" thickBot="1" x14ac:dyDescent="0.3">
      <c r="A13" s="56" t="str">
        <f>'1.Usos&amp;Fontes'!A22</f>
        <v>2.7</v>
      </c>
      <c r="B13" s="57" t="str">
        <f>'1.Usos&amp;Fontes'!B22</f>
        <v>Elaboração de projetos  para centro de transbordo</v>
      </c>
      <c r="C13" s="60"/>
      <c r="D13" s="719"/>
      <c r="E13" s="720"/>
      <c r="F13" s="61"/>
      <c r="G13" s="61"/>
      <c r="H13" s="56"/>
      <c r="I13" s="60"/>
      <c r="J13" s="62"/>
      <c r="K13" s="62"/>
      <c r="L13" s="63"/>
      <c r="M13" s="60"/>
      <c r="O13" s="40"/>
      <c r="P13" s="43"/>
      <c r="Q13" s="126"/>
    </row>
    <row r="14" spans="1:18" ht="15.75" thickBot="1" x14ac:dyDescent="0.3">
      <c r="A14" s="52" t="str">
        <f>'1.Usos&amp;Fontes'!A28</f>
        <v>III</v>
      </c>
      <c r="B14" s="53" t="str">
        <f>'1.Usos&amp;Fontes'!B28</f>
        <v xml:space="preserve">COMPONENTE 3  -  READEQUAÇÃO URBANA DO CONDOMÍNIO PÔR DO SOL </v>
      </c>
      <c r="C14" s="58"/>
      <c r="D14" s="98"/>
      <c r="E14" s="99"/>
      <c r="F14" s="54"/>
      <c r="G14" s="54"/>
      <c r="H14" s="52"/>
      <c r="I14" s="58"/>
      <c r="J14" s="59"/>
      <c r="K14" s="59"/>
      <c r="L14" s="55"/>
      <c r="M14" s="52"/>
      <c r="O14" s="40"/>
      <c r="P14" s="43"/>
      <c r="Q14" s="126"/>
    </row>
    <row r="15" spans="1:18" ht="15.75" thickBot="1" x14ac:dyDescent="0.3">
      <c r="A15" s="56" t="str">
        <f>'1.Usos&amp;Fontes'!A29</f>
        <v>3.1</v>
      </c>
      <c r="B15" s="57" t="str">
        <f>'1.Usos&amp;Fontes'!B29</f>
        <v xml:space="preserve"> Rede de Drenagem  Pluvial - Bacia IV C  </v>
      </c>
      <c r="C15" s="60"/>
      <c r="D15" s="719"/>
      <c r="E15" s="720"/>
      <c r="F15" s="61"/>
      <c r="G15" s="61"/>
      <c r="H15" s="56"/>
      <c r="I15" s="60"/>
      <c r="J15" s="62"/>
      <c r="K15" s="62"/>
      <c r="L15" s="63"/>
      <c r="M15" s="60"/>
      <c r="O15" s="40"/>
      <c r="P15" s="43"/>
      <c r="Q15" s="126"/>
    </row>
    <row r="16" spans="1:18" ht="15.75" thickBot="1" x14ac:dyDescent="0.3">
      <c r="A16" s="52" t="str">
        <f>'1.Usos&amp;Fontes'!A30</f>
        <v>3.2</v>
      </c>
      <c r="B16" s="53" t="str">
        <f>'1.Usos&amp;Fontes'!B30</f>
        <v>Rede de Microdrenagem</v>
      </c>
      <c r="C16" s="58"/>
      <c r="D16" s="98"/>
      <c r="E16" s="99"/>
      <c r="F16" s="54"/>
      <c r="G16" s="54"/>
      <c r="H16" s="52"/>
      <c r="I16" s="58"/>
      <c r="J16" s="59"/>
      <c r="K16" s="59"/>
      <c r="L16" s="55"/>
      <c r="M16" s="52"/>
      <c r="O16" s="65"/>
      <c r="P16" s="43"/>
      <c r="Q16" s="126"/>
    </row>
    <row r="17" spans="1:17" ht="15.75" thickBot="1" x14ac:dyDescent="0.3">
      <c r="A17" s="56" t="str">
        <f>'1.Usos&amp;Fontes'!A31</f>
        <v>3.3</v>
      </c>
      <c r="B17" s="57" t="str">
        <f>'1.Usos&amp;Fontes'!B31</f>
        <v>Saneamento Básico - água e esgoto</v>
      </c>
      <c r="C17" s="60"/>
      <c r="D17" s="719"/>
      <c r="E17" s="720"/>
      <c r="F17" s="61"/>
      <c r="G17" s="61"/>
      <c r="H17" s="56"/>
      <c r="I17" s="60"/>
      <c r="J17" s="62"/>
      <c r="K17" s="62"/>
      <c r="L17" s="63"/>
      <c r="M17" s="60"/>
      <c r="O17" s="40"/>
      <c r="P17" s="43"/>
      <c r="Q17" s="126"/>
    </row>
    <row r="18" spans="1:17" ht="15.75" thickBot="1" x14ac:dyDescent="0.3">
      <c r="A18" s="52" t="str">
        <f>'1.Usos&amp;Fontes'!A32</f>
        <v>3.4</v>
      </c>
      <c r="B18" s="53" t="str">
        <f>'1.Usos&amp;Fontes'!B32</f>
        <v>Pavimentação das Vias Arteriais, Coletoras e Locais</v>
      </c>
      <c r="C18" s="58"/>
      <c r="D18" s="98"/>
      <c r="E18" s="99"/>
      <c r="F18" s="54"/>
      <c r="G18" s="54"/>
      <c r="H18" s="52"/>
      <c r="I18" s="58"/>
      <c r="J18" s="59"/>
      <c r="K18" s="59"/>
      <c r="L18" s="55"/>
      <c r="M18" s="52"/>
      <c r="O18" s="65"/>
      <c r="P18" s="43"/>
      <c r="Q18" s="126"/>
    </row>
    <row r="19" spans="1:17" ht="15.75" thickBot="1" x14ac:dyDescent="0.3">
      <c r="A19" s="56" t="str">
        <f>'1.Usos&amp;Fontes'!A34</f>
        <v>3.6</v>
      </c>
      <c r="B19" s="57" t="str">
        <f>'1.Usos&amp;Fontes'!B34</f>
        <v>Programa de Reassentamento</v>
      </c>
      <c r="C19" s="60"/>
      <c r="D19" s="719"/>
      <c r="E19" s="720"/>
      <c r="F19" s="61"/>
      <c r="G19" s="61"/>
      <c r="H19" s="56"/>
      <c r="I19" s="60"/>
      <c r="J19" s="62"/>
      <c r="K19" s="62"/>
      <c r="L19" s="63"/>
      <c r="M19" s="60"/>
      <c r="O19" s="40"/>
      <c r="P19" s="43"/>
      <c r="Q19" s="126"/>
    </row>
    <row r="20" spans="1:17" ht="15.75" thickBot="1" x14ac:dyDescent="0.3">
      <c r="A20" s="52" t="str">
        <f>'1.Usos&amp;Fontes'!A35</f>
        <v>3.7</v>
      </c>
      <c r="B20" s="53" t="str">
        <f>'1.Usos&amp;Fontes'!B35</f>
        <v>Ações de  Recuperação de Áreas Degradadas  (RAA)</v>
      </c>
      <c r="C20" s="58"/>
      <c r="D20" s="98"/>
      <c r="E20" s="99"/>
      <c r="F20" s="54"/>
      <c r="G20" s="54"/>
      <c r="H20" s="52"/>
      <c r="I20" s="58"/>
      <c r="J20" s="59"/>
      <c r="K20" s="59"/>
      <c r="L20" s="55"/>
      <c r="M20" s="52"/>
      <c r="O20" s="65"/>
      <c r="P20" s="43"/>
      <c r="Q20" s="126"/>
    </row>
    <row r="21" spans="1:17" ht="15.75" thickBot="1" x14ac:dyDescent="0.3">
      <c r="A21" s="56" t="str">
        <f>'1.Usos&amp;Fontes'!A36</f>
        <v>3.8</v>
      </c>
      <c r="B21" s="57" t="str">
        <f>'1.Usos&amp;Fontes'!B36</f>
        <v>Estudos e Projetos de Recuperação Ambiental e Sondagem</v>
      </c>
      <c r="C21" s="60"/>
      <c r="D21" s="702"/>
      <c r="E21" s="703"/>
      <c r="F21" s="61"/>
      <c r="G21" s="61"/>
      <c r="H21" s="56"/>
      <c r="I21" s="60"/>
      <c r="J21" s="62"/>
      <c r="K21" s="62"/>
      <c r="L21" s="63"/>
      <c r="M21" s="60"/>
      <c r="O21" s="40"/>
      <c r="P21" s="43"/>
      <c r="Q21" s="126"/>
    </row>
    <row r="22" spans="1:17" ht="15.75" thickBot="1" x14ac:dyDescent="0.3">
      <c r="A22" s="56" t="str">
        <f>'1.Usos&amp;Fontes'!A37</f>
        <v>3.9</v>
      </c>
      <c r="B22" s="57" t="str">
        <f>'1.Usos&amp;Fontes'!B37</f>
        <v>Programa de Educação Sanitária e Ambiental  (RAA)</v>
      </c>
      <c r="C22" s="60"/>
      <c r="D22" s="702"/>
      <c r="E22" s="703"/>
      <c r="F22" s="61"/>
      <c r="G22" s="61"/>
      <c r="H22" s="56"/>
      <c r="I22" s="60"/>
      <c r="J22" s="62"/>
      <c r="K22" s="62"/>
      <c r="L22" s="63"/>
      <c r="M22" s="60"/>
      <c r="O22" s="40"/>
      <c r="P22" s="43"/>
      <c r="Q22" s="126"/>
    </row>
    <row r="23" spans="1:17" ht="15.75" thickBot="1" x14ac:dyDescent="0.3">
      <c r="A23" s="52" t="str">
        <f>'1.Usos&amp;Fontes'!A38</f>
        <v>3.10</v>
      </c>
      <c r="B23" s="53" t="str">
        <f>'1.Usos&amp;Fontes'!B39</f>
        <v>Capacitação para a geração  de emprego e renda</v>
      </c>
      <c r="C23" s="58"/>
      <c r="D23" s="98"/>
      <c r="E23" s="99"/>
      <c r="F23" s="54"/>
      <c r="G23" s="54"/>
      <c r="H23" s="52"/>
      <c r="I23" s="58"/>
      <c r="J23" s="59"/>
      <c r="K23" s="59"/>
      <c r="L23" s="55"/>
      <c r="M23" s="52"/>
      <c r="O23" s="40"/>
      <c r="P23" s="43"/>
      <c r="Q23" s="126"/>
    </row>
    <row r="24" spans="1:17" ht="15.75" thickBot="1" x14ac:dyDescent="0.3">
      <c r="A24" s="56" t="str">
        <f>'1.Usos&amp;Fontes'!A39</f>
        <v>3.11</v>
      </c>
      <c r="B24" s="57" t="str">
        <f>'1.Usos&amp;Fontes'!B39</f>
        <v>Capacitação para a geração  de emprego e renda</v>
      </c>
      <c r="C24" s="60"/>
      <c r="D24" s="702"/>
      <c r="E24" s="703"/>
      <c r="F24" s="61"/>
      <c r="G24" s="61"/>
      <c r="H24" s="56"/>
      <c r="I24" s="60"/>
      <c r="J24" s="62"/>
      <c r="K24" s="62"/>
      <c r="L24" s="63"/>
      <c r="M24" s="60"/>
      <c r="O24" s="65"/>
      <c r="P24" s="43"/>
      <c r="Q24" s="126"/>
    </row>
    <row r="25" spans="1:17" ht="15.75" thickBot="1" x14ac:dyDescent="0.3">
      <c r="A25" s="52" t="str">
        <f>'1.Usos&amp;Fontes'!A40</f>
        <v>3.12</v>
      </c>
      <c r="B25" s="53" t="str">
        <f>'1.Usos&amp;Fontes'!B40</f>
        <v>Construção de  561 casas populares</v>
      </c>
      <c r="C25" s="58"/>
      <c r="D25" s="98"/>
      <c r="E25" s="99"/>
      <c r="F25" s="54"/>
      <c r="G25" s="54"/>
      <c r="H25" s="52"/>
      <c r="I25" s="58"/>
      <c r="J25" s="59"/>
      <c r="K25" s="59"/>
      <c r="L25" s="55"/>
      <c r="M25" s="52"/>
      <c r="O25" s="40"/>
      <c r="P25" s="43"/>
      <c r="Q25" s="126"/>
    </row>
    <row r="26" spans="1:17" ht="15.75" thickBot="1" x14ac:dyDescent="0.3">
      <c r="A26" s="56" t="str">
        <f>'1.Usos&amp;Fontes'!A41</f>
        <v>TOTAL</v>
      </c>
      <c r="B26" s="57">
        <f>'1.Usos&amp;Fontes'!B41</f>
        <v>0</v>
      </c>
      <c r="C26" s="60"/>
      <c r="D26" s="702"/>
      <c r="E26" s="703"/>
      <c r="F26" s="61"/>
      <c r="G26" s="61"/>
      <c r="H26" s="56"/>
      <c r="I26" s="60"/>
      <c r="J26" s="62"/>
      <c r="K26" s="62"/>
      <c r="L26" s="63"/>
      <c r="M26" s="60"/>
      <c r="O26" s="65"/>
      <c r="P26" s="43"/>
      <c r="Q26" s="126"/>
    </row>
    <row r="27" spans="1:17" ht="15.75" thickBot="1" x14ac:dyDescent="0.3">
      <c r="A27" s="52" t="str">
        <f>'1.Usos&amp;Fontes'!A43</f>
        <v>4.1</v>
      </c>
      <c r="B27" s="53" t="str">
        <f>'1.Usos&amp;Fontes'!B43</f>
        <v>Gerenciamento e Monitoramento do Programa e Supervisão do Programa</v>
      </c>
      <c r="C27" s="58"/>
      <c r="D27" s="98"/>
      <c r="E27" s="99"/>
      <c r="F27" s="54"/>
      <c r="G27" s="54"/>
      <c r="H27" s="52"/>
      <c r="I27" s="58"/>
      <c r="J27" s="59"/>
      <c r="K27" s="59"/>
      <c r="L27" s="55"/>
      <c r="M27" s="52"/>
      <c r="O27" s="65"/>
      <c r="P27" s="43"/>
      <c r="Q27" s="126"/>
    </row>
    <row r="28" spans="1:17" ht="15.75" thickBot="1" x14ac:dyDescent="0.3">
      <c r="A28" s="56" t="str">
        <f>'1.Usos&amp;Fontes'!A44</f>
        <v>4.2</v>
      </c>
      <c r="B28" s="57" t="str">
        <f>'1.Usos&amp;Fontes'!B44</f>
        <v>Taxas</v>
      </c>
      <c r="C28" s="60"/>
      <c r="D28" s="702"/>
      <c r="E28" s="703"/>
      <c r="F28" s="61"/>
      <c r="G28" s="61"/>
      <c r="H28" s="56"/>
      <c r="I28" s="60"/>
      <c r="J28" s="62"/>
      <c r="K28" s="62"/>
      <c r="L28" s="63"/>
      <c r="M28" s="60"/>
      <c r="O28" s="40"/>
      <c r="P28" s="43"/>
      <c r="Q28" s="126"/>
    </row>
    <row r="29" spans="1:17" ht="15.75" thickBot="1" x14ac:dyDescent="0.3">
      <c r="A29" s="52" t="str">
        <f>'1.Usos&amp;Fontes'!A45</f>
        <v>4.3</v>
      </c>
      <c r="B29" s="53" t="str">
        <f>'1.Usos&amp;Fontes'!B45</f>
        <v>Avaliacao e monitoramento</v>
      </c>
      <c r="C29" s="58"/>
      <c r="D29" s="98"/>
      <c r="E29" s="99"/>
      <c r="F29" s="54"/>
      <c r="G29" s="54"/>
      <c r="H29" s="52"/>
      <c r="I29" s="58"/>
      <c r="J29" s="59"/>
      <c r="K29" s="59"/>
      <c r="L29" s="55"/>
      <c r="M29" s="52"/>
      <c r="O29" s="40"/>
      <c r="P29" s="43"/>
      <c r="Q29" s="126"/>
    </row>
    <row r="30" spans="1:17" ht="15.75" thickBot="1" x14ac:dyDescent="0.3">
      <c r="A30" s="56" t="str">
        <f>'1.Usos&amp;Fontes'!A46</f>
        <v>TOTAL</v>
      </c>
      <c r="B30" s="57">
        <f>'1.Usos&amp;Fontes'!B46</f>
        <v>0</v>
      </c>
      <c r="C30" s="60"/>
      <c r="D30" s="702"/>
      <c r="E30" s="703"/>
      <c r="F30" s="61"/>
      <c r="G30" s="61"/>
      <c r="H30" s="56"/>
      <c r="I30" s="60"/>
      <c r="J30" s="62"/>
      <c r="K30" s="62"/>
      <c r="L30" s="63"/>
      <c r="M30" s="60"/>
      <c r="O30" s="65"/>
      <c r="P30" s="43"/>
      <c r="Q30" s="126"/>
    </row>
    <row r="31" spans="1:17" ht="15.75" thickBot="1" x14ac:dyDescent="0.3">
      <c r="A31" s="52" t="e">
        <f>'1.Usos&amp;Fontes'!#REF!</f>
        <v>#REF!</v>
      </c>
      <c r="B31" s="53" t="e">
        <f>'1.Usos&amp;Fontes'!#REF!</f>
        <v>#REF!</v>
      </c>
      <c r="C31" s="58"/>
      <c r="D31" s="98"/>
      <c r="E31" s="99"/>
      <c r="F31" s="54"/>
      <c r="G31" s="54"/>
      <c r="H31" s="52"/>
      <c r="I31" s="58"/>
      <c r="J31" s="59"/>
      <c r="K31" s="59"/>
      <c r="L31" s="55"/>
      <c r="M31" s="52"/>
      <c r="O31" s="65"/>
      <c r="P31" s="43"/>
      <c r="Q31" s="126"/>
    </row>
    <row r="32" spans="1:17" ht="15.75" thickBot="1" x14ac:dyDescent="0.3">
      <c r="A32" s="56" t="e">
        <f>'1.Usos&amp;Fontes'!#REF!</f>
        <v>#REF!</v>
      </c>
      <c r="B32" s="57" t="e">
        <f>'1.Usos&amp;Fontes'!#REF!</f>
        <v>#REF!</v>
      </c>
      <c r="C32" s="60"/>
      <c r="D32" s="702"/>
      <c r="E32" s="703"/>
      <c r="F32" s="61"/>
      <c r="G32" s="61"/>
      <c r="H32" s="56"/>
      <c r="I32" s="60"/>
      <c r="J32" s="62"/>
      <c r="K32" s="62"/>
      <c r="L32" s="63"/>
      <c r="M32" s="60"/>
      <c r="O32" s="65"/>
      <c r="P32" s="43"/>
      <c r="Q32" s="126"/>
    </row>
    <row r="33" spans="1:17" ht="15.75" thickBot="1" x14ac:dyDescent="0.3">
      <c r="A33" s="52" t="e">
        <f>'1.Usos&amp;Fontes'!#REF!</f>
        <v>#REF!</v>
      </c>
      <c r="B33" s="53" t="e">
        <f>'1.Usos&amp;Fontes'!#REF!</f>
        <v>#REF!</v>
      </c>
      <c r="C33" s="58"/>
      <c r="D33" s="98"/>
      <c r="E33" s="99"/>
      <c r="F33" s="54"/>
      <c r="G33" s="54"/>
      <c r="H33" s="52"/>
      <c r="I33" s="58"/>
      <c r="J33" s="59"/>
      <c r="K33" s="59"/>
      <c r="L33" s="55"/>
      <c r="M33" s="52"/>
      <c r="O33" s="65"/>
      <c r="P33" s="43"/>
      <c r="Q33" s="126"/>
    </row>
    <row r="34" spans="1:17" s="74" customFormat="1" ht="15.75" thickBot="1" x14ac:dyDescent="0.3">
      <c r="A34" s="68" t="e">
        <f>'1.Usos&amp;Fontes'!#REF!</f>
        <v>#REF!</v>
      </c>
      <c r="B34" s="69" t="e">
        <f>'1.Usos&amp;Fontes'!#REF!</f>
        <v>#REF!</v>
      </c>
      <c r="C34" s="70"/>
      <c r="D34" s="80"/>
      <c r="E34" s="81"/>
      <c r="F34" s="71"/>
      <c r="G34" s="71"/>
      <c r="H34" s="68"/>
      <c r="I34" s="70"/>
      <c r="J34" s="72"/>
      <c r="K34" s="72"/>
      <c r="L34" s="73"/>
      <c r="M34" s="68"/>
      <c r="O34" s="75"/>
      <c r="P34" s="76"/>
      <c r="Q34" s="126"/>
    </row>
    <row r="35" spans="1:17" s="74" customFormat="1" ht="15.75" thickBot="1" x14ac:dyDescent="0.3">
      <c r="A35" s="68" t="e">
        <f>'1.Usos&amp;Fontes'!#REF!</f>
        <v>#REF!</v>
      </c>
      <c r="B35" s="69" t="e">
        <f>'1.Usos&amp;Fontes'!#REF!</f>
        <v>#REF!</v>
      </c>
      <c r="C35" s="70"/>
      <c r="D35" s="721"/>
      <c r="E35" s="722"/>
      <c r="F35" s="71"/>
      <c r="G35" s="71"/>
      <c r="H35" s="68"/>
      <c r="I35" s="70"/>
      <c r="J35" s="72"/>
      <c r="K35" s="72"/>
      <c r="L35" s="73"/>
      <c r="M35" s="68"/>
      <c r="O35" s="75"/>
      <c r="P35" s="76"/>
      <c r="Q35" s="126"/>
    </row>
    <row r="36" spans="1:17" ht="15.75" thickBot="1" x14ac:dyDescent="0.3">
      <c r="A36" s="52" t="e">
        <f>'1.Usos&amp;Fontes'!#REF!</f>
        <v>#REF!</v>
      </c>
      <c r="B36" s="53" t="e">
        <f>'1.Usos&amp;Fontes'!#REF!</f>
        <v>#REF!</v>
      </c>
      <c r="C36" s="58"/>
      <c r="D36" s="98"/>
      <c r="E36" s="99"/>
      <c r="F36" s="54"/>
      <c r="G36" s="54"/>
      <c r="H36" s="52"/>
      <c r="I36" s="58"/>
      <c r="J36" s="59"/>
      <c r="K36" s="59"/>
      <c r="L36" s="55"/>
      <c r="M36" s="52"/>
      <c r="O36" s="40"/>
      <c r="P36" s="43"/>
      <c r="Q36" s="126"/>
    </row>
    <row r="37" spans="1:17" ht="15.75" thickBot="1" x14ac:dyDescent="0.3">
      <c r="A37" s="56" t="e">
        <f>'1.Usos&amp;Fontes'!#REF!</f>
        <v>#REF!</v>
      </c>
      <c r="B37" s="57" t="e">
        <f>'1.Usos&amp;Fontes'!#REF!</f>
        <v>#REF!</v>
      </c>
      <c r="C37" s="60"/>
      <c r="D37" s="719"/>
      <c r="E37" s="720"/>
      <c r="F37" s="61"/>
      <c r="G37" s="61"/>
      <c r="H37" s="56"/>
      <c r="I37" s="60"/>
      <c r="J37" s="62"/>
      <c r="K37" s="62"/>
      <c r="L37" s="63"/>
      <c r="M37" s="60"/>
      <c r="O37" s="65"/>
      <c r="P37" s="43"/>
      <c r="Q37" s="126"/>
    </row>
    <row r="38" spans="1:17" ht="15.75" thickBot="1" x14ac:dyDescent="0.3">
      <c r="A38" s="52" t="e">
        <f>'1.Usos&amp;Fontes'!#REF!</f>
        <v>#REF!</v>
      </c>
      <c r="B38" s="53" t="e">
        <f>'1.Usos&amp;Fontes'!#REF!</f>
        <v>#REF!</v>
      </c>
      <c r="C38" s="58"/>
      <c r="D38" s="98"/>
      <c r="E38" s="99"/>
      <c r="F38" s="54"/>
      <c r="G38" s="54"/>
      <c r="H38" s="52"/>
      <c r="I38" s="58"/>
      <c r="J38" s="59"/>
      <c r="K38" s="59"/>
      <c r="L38" s="55"/>
      <c r="M38" s="52"/>
      <c r="O38" s="65"/>
      <c r="P38" s="43"/>
      <c r="Q38" s="126"/>
    </row>
    <row r="39" spans="1:17" ht="15.75" thickBot="1" x14ac:dyDescent="0.3">
      <c r="A39" s="56" t="e">
        <f>'1.Usos&amp;Fontes'!#REF!</f>
        <v>#REF!</v>
      </c>
      <c r="B39" s="57" t="e">
        <f>'1.Usos&amp;Fontes'!#REF!</f>
        <v>#REF!</v>
      </c>
      <c r="C39" s="60"/>
      <c r="D39" s="702"/>
      <c r="E39" s="703"/>
      <c r="F39" s="61"/>
      <c r="G39" s="61"/>
      <c r="H39" s="56"/>
      <c r="I39" s="60"/>
      <c r="J39" s="62"/>
      <c r="K39" s="62"/>
      <c r="L39" s="63"/>
      <c r="M39" s="60"/>
      <c r="O39" s="40"/>
      <c r="P39" s="43"/>
      <c r="Q39" s="126"/>
    </row>
    <row r="40" spans="1:17" ht="15.75" thickBot="1" x14ac:dyDescent="0.3">
      <c r="A40" s="52" t="e">
        <f>'1.Usos&amp;Fontes'!#REF!</f>
        <v>#REF!</v>
      </c>
      <c r="B40" s="53" t="e">
        <f>'1.Usos&amp;Fontes'!#REF!</f>
        <v>#REF!</v>
      </c>
      <c r="C40" s="58"/>
      <c r="D40" s="98"/>
      <c r="E40" s="99"/>
      <c r="F40" s="54"/>
      <c r="G40" s="54"/>
      <c r="H40" s="52"/>
      <c r="I40" s="58"/>
      <c r="J40" s="59"/>
      <c r="K40" s="59"/>
      <c r="L40" s="55"/>
      <c r="M40" s="52"/>
      <c r="O40" s="65"/>
      <c r="P40" s="43"/>
      <c r="Q40" s="126"/>
    </row>
    <row r="41" spans="1:17" ht="15.75" thickBot="1" x14ac:dyDescent="0.3">
      <c r="A41" s="56" t="e">
        <f>'1.Usos&amp;Fontes'!#REF!</f>
        <v>#REF!</v>
      </c>
      <c r="B41" s="57" t="e">
        <f>'1.Usos&amp;Fontes'!#REF!</f>
        <v>#REF!</v>
      </c>
      <c r="C41" s="60"/>
      <c r="D41" s="702"/>
      <c r="E41" s="703"/>
      <c r="F41" s="61"/>
      <c r="G41" s="61"/>
      <c r="H41" s="56"/>
      <c r="I41" s="60"/>
      <c r="J41" s="62"/>
      <c r="K41" s="62"/>
      <c r="L41" s="63"/>
      <c r="M41" s="60"/>
      <c r="O41" s="65"/>
      <c r="P41" s="43"/>
      <c r="Q41" s="126"/>
    </row>
    <row r="42" spans="1:17" ht="15.75" thickBot="1" x14ac:dyDescent="0.3">
      <c r="A42" s="52" t="e">
        <f>'1.Usos&amp;Fontes'!#REF!</f>
        <v>#REF!</v>
      </c>
      <c r="B42" s="53" t="e">
        <f>'1.Usos&amp;Fontes'!#REF!</f>
        <v>#REF!</v>
      </c>
      <c r="C42" s="58"/>
      <c r="D42" s="98"/>
      <c r="E42" s="99"/>
      <c r="F42" s="54"/>
      <c r="G42" s="54"/>
      <c r="H42" s="52"/>
      <c r="I42" s="58"/>
      <c r="J42" s="59"/>
      <c r="K42" s="59"/>
      <c r="L42" s="55"/>
      <c r="M42" s="52"/>
      <c r="O42" s="65"/>
      <c r="P42" s="43"/>
      <c r="Q42" s="126"/>
    </row>
    <row r="43" spans="1:17" ht="15.75" thickBot="1" x14ac:dyDescent="0.3">
      <c r="A43" s="56" t="e">
        <f>'1.Usos&amp;Fontes'!#REF!</f>
        <v>#REF!</v>
      </c>
      <c r="B43" s="57" t="e">
        <f>'1.Usos&amp;Fontes'!#REF!</f>
        <v>#REF!</v>
      </c>
      <c r="C43" s="60"/>
      <c r="D43" s="702"/>
      <c r="E43" s="703"/>
      <c r="F43" s="61"/>
      <c r="G43" s="61"/>
      <c r="H43" s="56"/>
      <c r="I43" s="60"/>
      <c r="J43" s="62"/>
      <c r="K43" s="62"/>
      <c r="L43" s="63"/>
      <c r="M43" s="60"/>
      <c r="O43" s="65"/>
      <c r="P43" s="43"/>
      <c r="Q43" s="126"/>
    </row>
    <row r="44" spans="1:17" s="77" customFormat="1" ht="15.75" thickBot="1" x14ac:dyDescent="0.3">
      <c r="A44" s="52" t="e">
        <f>'1.Usos&amp;Fontes'!#REF!</f>
        <v>#REF!</v>
      </c>
      <c r="B44" s="53" t="e">
        <f>'1.Usos&amp;Fontes'!#REF!</f>
        <v>#REF!</v>
      </c>
      <c r="C44" s="58"/>
      <c r="D44" s="98"/>
      <c r="E44" s="99"/>
      <c r="F44" s="54"/>
      <c r="G44" s="54"/>
      <c r="H44" s="52"/>
      <c r="I44" s="58"/>
      <c r="J44" s="59"/>
      <c r="K44" s="59"/>
      <c r="L44" s="55"/>
      <c r="M44" s="52"/>
      <c r="O44" s="78"/>
      <c r="P44" s="43"/>
      <c r="Q44" s="126"/>
    </row>
    <row r="45" spans="1:17" ht="15.75" thickBot="1" x14ac:dyDescent="0.3">
      <c r="A45" s="56" t="e">
        <f>'1.Usos&amp;Fontes'!#REF!</f>
        <v>#REF!</v>
      </c>
      <c r="B45" s="57" t="e">
        <f>'1.Usos&amp;Fontes'!#REF!</f>
        <v>#REF!</v>
      </c>
      <c r="C45" s="60"/>
      <c r="D45" s="702"/>
      <c r="E45" s="703"/>
      <c r="F45" s="61"/>
      <c r="G45" s="61"/>
      <c r="H45" s="56"/>
      <c r="I45" s="60"/>
      <c r="J45" s="62"/>
      <c r="K45" s="62"/>
      <c r="L45" s="63"/>
      <c r="M45" s="60"/>
      <c r="O45" s="40"/>
      <c r="P45" s="43"/>
      <c r="Q45" s="126"/>
    </row>
    <row r="46" spans="1:17" s="21" customFormat="1" ht="15.75" thickBot="1" x14ac:dyDescent="0.3">
      <c r="A46" s="52" t="e">
        <f>'1.Usos&amp;Fontes'!#REF!</f>
        <v>#REF!</v>
      </c>
      <c r="B46" s="53" t="e">
        <f>'1.Usos&amp;Fontes'!#REF!</f>
        <v>#REF!</v>
      </c>
      <c r="C46" s="58"/>
      <c r="D46" s="98"/>
      <c r="E46" s="99"/>
      <c r="F46" s="54"/>
      <c r="G46" s="54"/>
      <c r="H46" s="52"/>
      <c r="I46" s="58"/>
      <c r="J46" s="59"/>
      <c r="K46" s="59"/>
      <c r="L46" s="55"/>
      <c r="M46" s="52"/>
      <c r="O46" s="88"/>
      <c r="P46" s="89"/>
      <c r="Q46" s="126"/>
    </row>
    <row r="47" spans="1:17" ht="15.75" thickBot="1" x14ac:dyDescent="0.3">
      <c r="A47" s="56" t="e">
        <f>'1.Usos&amp;Fontes'!#REF!</f>
        <v>#REF!</v>
      </c>
      <c r="B47" s="57" t="e">
        <f>'1.Usos&amp;Fontes'!#REF!</f>
        <v>#REF!</v>
      </c>
      <c r="C47" s="60"/>
      <c r="D47" s="702"/>
      <c r="E47" s="703"/>
      <c r="F47" s="61"/>
      <c r="G47" s="61"/>
      <c r="H47" s="56"/>
      <c r="I47" s="60"/>
      <c r="J47" s="62"/>
      <c r="K47" s="62"/>
      <c r="L47" s="63"/>
      <c r="M47" s="60"/>
      <c r="O47" s="65"/>
      <c r="P47" s="43"/>
      <c r="Q47" s="126"/>
    </row>
    <row r="48" spans="1:17" s="21" customFormat="1" ht="15.75" thickBot="1" x14ac:dyDescent="0.3">
      <c r="A48" s="52" t="e">
        <f>'1.Usos&amp;Fontes'!#REF!</f>
        <v>#REF!</v>
      </c>
      <c r="B48" s="53" t="e">
        <f>'1.Usos&amp;Fontes'!#REF!</f>
        <v>#REF!</v>
      </c>
      <c r="C48" s="58"/>
      <c r="D48" s="98"/>
      <c r="E48" s="99"/>
      <c r="F48" s="54"/>
      <c r="G48" s="54"/>
      <c r="H48" s="52"/>
      <c r="I48" s="58"/>
      <c r="J48" s="59"/>
      <c r="K48" s="59"/>
      <c r="L48" s="55"/>
      <c r="M48" s="52"/>
      <c r="O48" s="88"/>
      <c r="Q48" s="126"/>
    </row>
    <row r="49" spans="1:17" ht="15.75" thickBot="1" x14ac:dyDescent="0.3">
      <c r="A49" s="56" t="e">
        <f>'1.Usos&amp;Fontes'!#REF!</f>
        <v>#REF!</v>
      </c>
      <c r="B49" s="57" t="e">
        <f>'1.Usos&amp;Fontes'!#REF!</f>
        <v>#REF!</v>
      </c>
      <c r="C49" s="60"/>
      <c r="D49" s="702"/>
      <c r="E49" s="703"/>
      <c r="F49" s="61"/>
      <c r="G49" s="61"/>
      <c r="H49" s="56"/>
      <c r="I49" s="60"/>
      <c r="J49" s="62"/>
      <c r="K49" s="62"/>
      <c r="L49" s="63"/>
      <c r="M49" s="60"/>
      <c r="O49" s="65"/>
      <c r="P49" s="43"/>
      <c r="Q49" s="126"/>
    </row>
    <row r="50" spans="1:17" ht="15.75" thickBot="1" x14ac:dyDescent="0.3">
      <c r="A50" s="52" t="e">
        <f>'1.Usos&amp;Fontes'!#REF!</f>
        <v>#REF!</v>
      </c>
      <c r="B50" s="53" t="e">
        <f>'1.Usos&amp;Fontes'!#REF!</f>
        <v>#REF!</v>
      </c>
      <c r="C50" s="58"/>
      <c r="D50" s="98"/>
      <c r="E50" s="99"/>
      <c r="F50" s="54"/>
      <c r="G50" s="54"/>
      <c r="H50" s="52"/>
      <c r="I50" s="58"/>
      <c r="J50" s="59"/>
      <c r="K50" s="59"/>
      <c r="L50" s="55"/>
      <c r="M50" s="52"/>
      <c r="O50" s="40"/>
      <c r="P50" s="43"/>
      <c r="Q50" s="126"/>
    </row>
    <row r="51" spans="1:17" ht="15.75" thickBot="1" x14ac:dyDescent="0.3">
      <c r="A51" s="56" t="e">
        <f>'1.Usos&amp;Fontes'!#REF!</f>
        <v>#REF!</v>
      </c>
      <c r="B51" s="57" t="e">
        <f>'1.Usos&amp;Fontes'!#REF!</f>
        <v>#REF!</v>
      </c>
      <c r="C51" s="60"/>
      <c r="D51" s="702"/>
      <c r="E51" s="703"/>
      <c r="F51" s="61"/>
      <c r="G51" s="61"/>
      <c r="H51" s="56"/>
      <c r="I51" s="60"/>
      <c r="J51" s="62"/>
      <c r="K51" s="62"/>
      <c r="L51" s="63"/>
      <c r="M51" s="60"/>
      <c r="O51" s="40"/>
      <c r="P51" s="43"/>
      <c r="Q51" s="126"/>
    </row>
    <row r="52" spans="1:17" ht="15.75" thickBot="1" x14ac:dyDescent="0.3">
      <c r="A52" s="52" t="e">
        <f>'1.Usos&amp;Fontes'!#REF!</f>
        <v>#REF!</v>
      </c>
      <c r="B52" s="53" t="e">
        <f>'1.Usos&amp;Fontes'!#REF!</f>
        <v>#REF!</v>
      </c>
      <c r="C52" s="58"/>
      <c r="D52" s="98"/>
      <c r="E52" s="99"/>
      <c r="F52" s="54"/>
      <c r="G52" s="54"/>
      <c r="H52" s="52"/>
      <c r="I52" s="58"/>
      <c r="J52" s="59"/>
      <c r="K52" s="59"/>
      <c r="L52" s="55"/>
      <c r="M52" s="52"/>
      <c r="O52" s="40"/>
      <c r="P52" s="43"/>
      <c r="Q52" s="126"/>
    </row>
    <row r="53" spans="1:17" ht="15.75" thickBot="1" x14ac:dyDescent="0.3">
      <c r="A53" s="56" t="e">
        <f>'1.Usos&amp;Fontes'!#REF!</f>
        <v>#REF!</v>
      </c>
      <c r="B53" s="57" t="e">
        <f>'1.Usos&amp;Fontes'!#REF!</f>
        <v>#REF!</v>
      </c>
      <c r="C53" s="60"/>
      <c r="D53" s="702"/>
      <c r="E53" s="703"/>
      <c r="F53" s="61"/>
      <c r="G53" s="61"/>
      <c r="H53" s="56"/>
      <c r="I53" s="60"/>
      <c r="J53" s="62"/>
      <c r="K53" s="62"/>
      <c r="L53" s="63"/>
      <c r="M53" s="60"/>
      <c r="O53" s="65"/>
      <c r="P53" s="43"/>
      <c r="Q53" s="126"/>
    </row>
    <row r="54" spans="1:17" ht="15.75" thickBot="1" x14ac:dyDescent="0.3">
      <c r="A54" s="52" t="e">
        <f>'1.Usos&amp;Fontes'!#REF!</f>
        <v>#REF!</v>
      </c>
      <c r="B54" s="53" t="e">
        <f>'1.Usos&amp;Fontes'!#REF!</f>
        <v>#REF!</v>
      </c>
      <c r="C54" s="58"/>
      <c r="D54" s="98"/>
      <c r="E54" s="99"/>
      <c r="F54" s="54"/>
      <c r="G54" s="54"/>
      <c r="H54" s="52"/>
      <c r="I54" s="58"/>
      <c r="J54" s="59"/>
      <c r="K54" s="59"/>
      <c r="L54" s="55"/>
      <c r="M54" s="52"/>
      <c r="O54" s="65"/>
      <c r="P54" s="43"/>
      <c r="Q54" s="126"/>
    </row>
    <row r="55" spans="1:17" ht="15.75" thickBot="1" x14ac:dyDescent="0.3">
      <c r="A55" s="56" t="e">
        <f>'1.Usos&amp;Fontes'!#REF!</f>
        <v>#REF!</v>
      </c>
      <c r="B55" s="57" t="e">
        <f>'1.Usos&amp;Fontes'!#REF!</f>
        <v>#REF!</v>
      </c>
      <c r="C55" s="60"/>
      <c r="D55" s="702"/>
      <c r="E55" s="703"/>
      <c r="F55" s="61"/>
      <c r="G55" s="61"/>
      <c r="H55" s="56"/>
      <c r="I55" s="60"/>
      <c r="J55" s="62"/>
      <c r="K55" s="62"/>
      <c r="L55" s="63"/>
      <c r="M55" s="60"/>
      <c r="O55" s="65"/>
      <c r="P55" s="43"/>
      <c r="Q55" s="126"/>
    </row>
    <row r="56" spans="1:17" ht="15.75" thickBot="1" x14ac:dyDescent="0.3">
      <c r="A56" s="52" t="e">
        <f>'1.Usos&amp;Fontes'!#REF!</f>
        <v>#REF!</v>
      </c>
      <c r="B56" s="53" t="e">
        <f>'1.Usos&amp;Fontes'!#REF!</f>
        <v>#REF!</v>
      </c>
      <c r="C56" s="58"/>
      <c r="D56" s="98"/>
      <c r="E56" s="99"/>
      <c r="F56" s="54"/>
      <c r="G56" s="54"/>
      <c r="H56" s="52"/>
      <c r="I56" s="58"/>
      <c r="J56" s="59"/>
      <c r="K56" s="59"/>
      <c r="L56" s="55"/>
      <c r="M56" s="52"/>
      <c r="O56" s="65"/>
      <c r="P56" s="43"/>
      <c r="Q56" s="126"/>
    </row>
    <row r="57" spans="1:17" ht="15.75" thickBot="1" x14ac:dyDescent="0.3">
      <c r="A57" s="56" t="e">
        <f>'1.Usos&amp;Fontes'!#REF!</f>
        <v>#REF!</v>
      </c>
      <c r="B57" s="57" t="e">
        <f>'1.Usos&amp;Fontes'!#REF!</f>
        <v>#REF!</v>
      </c>
      <c r="C57" s="60"/>
      <c r="D57" s="702"/>
      <c r="E57" s="703"/>
      <c r="F57" s="61"/>
      <c r="G57" s="61"/>
      <c r="H57" s="56"/>
      <c r="I57" s="60"/>
      <c r="J57" s="62"/>
      <c r="K57" s="62"/>
      <c r="L57" s="63"/>
      <c r="M57" s="60"/>
      <c r="O57" s="40"/>
      <c r="P57" s="43"/>
      <c r="Q57" s="126"/>
    </row>
    <row r="58" spans="1:17" ht="15.75" thickBot="1" x14ac:dyDescent="0.3">
      <c r="A58" s="52" t="e">
        <f>'1.Usos&amp;Fontes'!#REF!</f>
        <v>#REF!</v>
      </c>
      <c r="B58" s="53" t="e">
        <f>'1.Usos&amp;Fontes'!#REF!</f>
        <v>#REF!</v>
      </c>
      <c r="C58" s="58"/>
      <c r="D58" s="98"/>
      <c r="E58" s="99"/>
      <c r="F58" s="54"/>
      <c r="G58" s="54"/>
      <c r="H58" s="52"/>
      <c r="I58" s="58"/>
      <c r="J58" s="59"/>
      <c r="K58" s="59"/>
      <c r="L58" s="55"/>
      <c r="M58" s="52"/>
      <c r="O58" s="40"/>
      <c r="P58" s="43"/>
      <c r="Q58" s="126"/>
    </row>
    <row r="59" spans="1:17" ht="15.75" thickBot="1" x14ac:dyDescent="0.3">
      <c r="A59" s="56" t="e">
        <f>'1.Usos&amp;Fontes'!#REF!</f>
        <v>#REF!</v>
      </c>
      <c r="B59" s="57" t="e">
        <f>'1.Usos&amp;Fontes'!#REF!</f>
        <v>#REF!</v>
      </c>
      <c r="C59" s="60"/>
      <c r="D59" s="702"/>
      <c r="E59" s="703"/>
      <c r="F59" s="61"/>
      <c r="G59" s="61"/>
      <c r="H59" s="56"/>
      <c r="I59" s="60"/>
      <c r="J59" s="62"/>
      <c r="K59" s="62"/>
      <c r="L59" s="63"/>
      <c r="M59" s="60"/>
      <c r="O59" s="65"/>
      <c r="P59" s="43"/>
      <c r="Q59" s="126"/>
    </row>
    <row r="60" spans="1:17" ht="15.75" thickBot="1" x14ac:dyDescent="0.3">
      <c r="A60" s="52" t="e">
        <f>'1.Usos&amp;Fontes'!#REF!</f>
        <v>#REF!</v>
      </c>
      <c r="B60" s="53" t="e">
        <f>'1.Usos&amp;Fontes'!#REF!</f>
        <v>#REF!</v>
      </c>
      <c r="C60" s="58"/>
      <c r="D60" s="98"/>
      <c r="E60" s="99"/>
      <c r="F60" s="54"/>
      <c r="G60" s="54"/>
      <c r="H60" s="52"/>
      <c r="I60" s="58"/>
      <c r="J60" s="59"/>
      <c r="K60" s="59"/>
      <c r="L60" s="55"/>
      <c r="M60" s="52"/>
      <c r="O60" s="40"/>
      <c r="P60" s="43"/>
      <c r="Q60" s="126"/>
    </row>
    <row r="61" spans="1:17" ht="15.75" thickBot="1" x14ac:dyDescent="0.3">
      <c r="A61" s="52" t="e">
        <f>'1.Usos&amp;Fontes'!#REF!</f>
        <v>#REF!</v>
      </c>
      <c r="B61" s="53" t="e">
        <f>'1.Usos&amp;Fontes'!#REF!</f>
        <v>#REF!</v>
      </c>
      <c r="C61" s="58"/>
      <c r="D61" s="98"/>
      <c r="E61" s="99"/>
      <c r="F61" s="54"/>
      <c r="G61" s="54"/>
      <c r="H61" s="52"/>
      <c r="I61" s="58"/>
      <c r="J61" s="59"/>
      <c r="K61" s="59"/>
      <c r="L61" s="55"/>
      <c r="M61" s="52"/>
      <c r="O61" s="40"/>
      <c r="P61" s="43"/>
      <c r="Q61" s="126"/>
    </row>
    <row r="62" spans="1:17" ht="15.75" thickBot="1" x14ac:dyDescent="0.3">
      <c r="A62" s="56" t="e">
        <f>'1.Usos&amp;Fontes'!#REF!</f>
        <v>#REF!</v>
      </c>
      <c r="B62" s="57" t="e">
        <f>'1.Usos&amp;Fontes'!#REF!</f>
        <v>#REF!</v>
      </c>
      <c r="C62" s="60"/>
      <c r="D62" s="702"/>
      <c r="E62" s="703"/>
      <c r="F62" s="61"/>
      <c r="G62" s="61"/>
      <c r="H62" s="56"/>
      <c r="I62" s="60"/>
      <c r="J62" s="62"/>
      <c r="K62" s="62"/>
      <c r="L62" s="63"/>
      <c r="M62" s="60"/>
      <c r="O62" s="40"/>
      <c r="P62" s="43"/>
      <c r="Q62" s="126"/>
    </row>
    <row r="63" spans="1:17" ht="15.75" thickBot="1" x14ac:dyDescent="0.3">
      <c r="A63" s="52" t="e">
        <f>'1.Usos&amp;Fontes'!#REF!</f>
        <v>#REF!</v>
      </c>
      <c r="B63" s="53" t="e">
        <f>'1.Usos&amp;Fontes'!#REF!</f>
        <v>#REF!</v>
      </c>
      <c r="C63" s="58"/>
      <c r="D63" s="98"/>
      <c r="E63" s="99"/>
      <c r="F63" s="54"/>
      <c r="G63" s="54"/>
      <c r="H63" s="52"/>
      <c r="I63" s="58"/>
      <c r="J63" s="59"/>
      <c r="K63" s="59"/>
      <c r="L63" s="55"/>
      <c r="M63" s="52"/>
      <c r="O63" s="65"/>
      <c r="P63" s="43"/>
      <c r="Q63" s="126"/>
    </row>
    <row r="64" spans="1:17" ht="15.75" thickBot="1" x14ac:dyDescent="0.3">
      <c r="A64" s="56" t="e">
        <f>'1.Usos&amp;Fontes'!#REF!</f>
        <v>#REF!</v>
      </c>
      <c r="B64" s="57" t="e">
        <f>'1.Usos&amp;Fontes'!#REF!</f>
        <v>#REF!</v>
      </c>
      <c r="C64" s="60"/>
      <c r="D64" s="702"/>
      <c r="E64" s="703"/>
      <c r="F64" s="61"/>
      <c r="G64" s="61"/>
      <c r="H64" s="56"/>
      <c r="I64" s="60"/>
      <c r="J64" s="62"/>
      <c r="K64" s="62"/>
      <c r="L64" s="63"/>
      <c r="M64" s="60"/>
      <c r="O64" s="65"/>
      <c r="P64" s="43"/>
      <c r="Q64" s="126"/>
    </row>
    <row r="65" spans="1:17" ht="15.75" thickBot="1" x14ac:dyDescent="0.3">
      <c r="A65" s="52" t="e">
        <f>'1.Usos&amp;Fontes'!#REF!</f>
        <v>#REF!</v>
      </c>
      <c r="B65" s="53" t="e">
        <f>'1.Usos&amp;Fontes'!#REF!</f>
        <v>#REF!</v>
      </c>
      <c r="C65" s="58"/>
      <c r="D65" s="98"/>
      <c r="E65" s="99"/>
      <c r="F65" s="54"/>
      <c r="G65" s="54"/>
      <c r="H65" s="52"/>
      <c r="I65" s="58"/>
      <c r="J65" s="59"/>
      <c r="K65" s="59"/>
      <c r="L65" s="55"/>
      <c r="M65" s="52"/>
      <c r="O65" s="40"/>
      <c r="P65" s="43"/>
      <c r="Q65" s="126"/>
    </row>
    <row r="66" spans="1:17" ht="15.75" thickBot="1" x14ac:dyDescent="0.3">
      <c r="A66" s="56" t="e">
        <f>'1.Usos&amp;Fontes'!#REF!</f>
        <v>#REF!</v>
      </c>
      <c r="B66" s="57" t="e">
        <f>'1.Usos&amp;Fontes'!#REF!</f>
        <v>#REF!</v>
      </c>
      <c r="C66" s="60"/>
      <c r="D66" s="702"/>
      <c r="E66" s="703"/>
      <c r="F66" s="61"/>
      <c r="G66" s="61"/>
      <c r="H66" s="56"/>
      <c r="I66" s="60"/>
      <c r="J66" s="62"/>
      <c r="K66" s="62"/>
      <c r="L66" s="63"/>
      <c r="M66" s="60"/>
      <c r="O66" s="40"/>
      <c r="P66" s="43"/>
      <c r="Q66" s="126"/>
    </row>
    <row r="67" spans="1:17" ht="15.75" thickBot="1" x14ac:dyDescent="0.3">
      <c r="A67" s="52" t="e">
        <f>'1.Usos&amp;Fontes'!#REF!</f>
        <v>#REF!</v>
      </c>
      <c r="B67" s="53" t="e">
        <f>'1.Usos&amp;Fontes'!#REF!</f>
        <v>#REF!</v>
      </c>
      <c r="C67" s="58"/>
      <c r="D67" s="98"/>
      <c r="E67" s="99"/>
      <c r="F67" s="54"/>
      <c r="G67" s="54"/>
      <c r="H67" s="52"/>
      <c r="I67" s="58"/>
      <c r="J67" s="59"/>
      <c r="K67" s="59"/>
      <c r="L67" s="55"/>
      <c r="M67" s="52"/>
      <c r="O67" s="65"/>
      <c r="P67" s="43"/>
      <c r="Q67" s="126"/>
    </row>
    <row r="68" spans="1:17" ht="15.75" thickBot="1" x14ac:dyDescent="0.3">
      <c r="A68" s="56" t="e">
        <f>'1.Usos&amp;Fontes'!#REF!</f>
        <v>#REF!</v>
      </c>
      <c r="B68" s="57" t="e">
        <f>'1.Usos&amp;Fontes'!#REF!</f>
        <v>#REF!</v>
      </c>
      <c r="C68" s="60"/>
      <c r="D68" s="702"/>
      <c r="E68" s="703"/>
      <c r="F68" s="61"/>
      <c r="G68" s="61"/>
      <c r="H68" s="56"/>
      <c r="I68" s="60"/>
      <c r="J68" s="62"/>
      <c r="K68" s="62"/>
      <c r="L68" s="63"/>
      <c r="M68" s="60"/>
      <c r="O68" s="40"/>
      <c r="P68" s="43"/>
      <c r="Q68" s="126"/>
    </row>
    <row r="69" spans="1:17" ht="15.75" thickBot="1" x14ac:dyDescent="0.3">
      <c r="A69" s="52" t="e">
        <f>'1.Usos&amp;Fontes'!#REF!</f>
        <v>#REF!</v>
      </c>
      <c r="B69" s="53" t="e">
        <f>'1.Usos&amp;Fontes'!#REF!</f>
        <v>#REF!</v>
      </c>
      <c r="C69" s="58"/>
      <c r="D69" s="98"/>
      <c r="E69" s="99"/>
      <c r="F69" s="54"/>
      <c r="G69" s="54"/>
      <c r="H69" s="52"/>
      <c r="I69" s="58"/>
      <c r="J69" s="59"/>
      <c r="K69" s="59"/>
      <c r="L69" s="55"/>
      <c r="M69" s="52"/>
      <c r="O69" s="40"/>
      <c r="P69" s="43"/>
      <c r="Q69" s="126"/>
    </row>
    <row r="70" spans="1:17" ht="15.75" thickBot="1" x14ac:dyDescent="0.3">
      <c r="A70" s="56" t="e">
        <f>'1.Usos&amp;Fontes'!#REF!</f>
        <v>#REF!</v>
      </c>
      <c r="B70" s="57" t="e">
        <f>'1.Usos&amp;Fontes'!#REF!</f>
        <v>#REF!</v>
      </c>
      <c r="C70" s="60"/>
      <c r="D70" s="702"/>
      <c r="E70" s="703"/>
      <c r="F70" s="61"/>
      <c r="G70" s="61"/>
      <c r="H70" s="56"/>
      <c r="I70" s="60"/>
      <c r="J70" s="62"/>
      <c r="K70" s="62"/>
      <c r="L70" s="63"/>
      <c r="M70" s="60"/>
      <c r="O70" s="40"/>
      <c r="P70" s="43"/>
      <c r="Q70" s="126"/>
    </row>
    <row r="71" spans="1:17" ht="15.75" thickBot="1" x14ac:dyDescent="0.3">
      <c r="A71" s="52" t="e">
        <f>'1.Usos&amp;Fontes'!#REF!</f>
        <v>#REF!</v>
      </c>
      <c r="B71" s="53" t="e">
        <f>'1.Usos&amp;Fontes'!#REF!</f>
        <v>#REF!</v>
      </c>
      <c r="C71" s="58"/>
      <c r="D71" s="98"/>
      <c r="E71" s="99"/>
      <c r="F71" s="54"/>
      <c r="G71" s="54"/>
      <c r="H71" s="52"/>
      <c r="I71" s="58"/>
      <c r="J71" s="59"/>
      <c r="K71" s="59"/>
      <c r="L71" s="55"/>
      <c r="M71" s="52"/>
      <c r="O71" s="40"/>
      <c r="P71" s="43"/>
      <c r="Q71" s="126"/>
    </row>
    <row r="72" spans="1:17" ht="15.75" thickBot="1" x14ac:dyDescent="0.3">
      <c r="A72" s="56" t="e">
        <f>'1.Usos&amp;Fontes'!#REF!</f>
        <v>#REF!</v>
      </c>
      <c r="B72" s="57" t="e">
        <f>'1.Usos&amp;Fontes'!#REF!</f>
        <v>#REF!</v>
      </c>
      <c r="C72" s="60"/>
      <c r="D72" s="702"/>
      <c r="E72" s="703"/>
      <c r="F72" s="61"/>
      <c r="G72" s="61"/>
      <c r="H72" s="56"/>
      <c r="I72" s="60"/>
      <c r="J72" s="62"/>
      <c r="K72" s="62"/>
      <c r="L72" s="63"/>
      <c r="M72" s="60"/>
      <c r="O72" s="92"/>
      <c r="P72" s="43"/>
      <c r="Q72" s="126"/>
    </row>
    <row r="73" spans="1:17" ht="15.75" thickBot="1" x14ac:dyDescent="0.3">
      <c r="A73" s="52" t="e">
        <f>'1.Usos&amp;Fontes'!#REF!</f>
        <v>#REF!</v>
      </c>
      <c r="B73" s="53" t="e">
        <f>'1.Usos&amp;Fontes'!#REF!</f>
        <v>#REF!</v>
      </c>
      <c r="C73" s="58"/>
      <c r="D73" s="98"/>
      <c r="E73" s="99"/>
      <c r="F73" s="54"/>
      <c r="G73" s="54"/>
      <c r="H73" s="52"/>
      <c r="I73" s="58"/>
      <c r="J73" s="59"/>
      <c r="K73" s="59"/>
      <c r="L73" s="55"/>
      <c r="M73" s="52"/>
      <c r="O73" s="92"/>
      <c r="P73" s="43"/>
      <c r="Q73" s="126"/>
    </row>
    <row r="74" spans="1:17" ht="15.75" thickBot="1" x14ac:dyDescent="0.3">
      <c r="A74" s="56" t="e">
        <f>'1.Usos&amp;Fontes'!#REF!</f>
        <v>#REF!</v>
      </c>
      <c r="B74" s="57" t="e">
        <f>'1.Usos&amp;Fontes'!#REF!</f>
        <v>#REF!</v>
      </c>
      <c r="C74" s="60"/>
      <c r="D74" s="719"/>
      <c r="E74" s="720"/>
      <c r="F74" s="61"/>
      <c r="G74" s="61"/>
      <c r="H74" s="56"/>
      <c r="I74" s="60"/>
      <c r="J74" s="62"/>
      <c r="K74" s="62"/>
      <c r="L74" s="63"/>
      <c r="M74" s="60"/>
      <c r="O74" s="92"/>
      <c r="P74" s="43"/>
      <c r="Q74" s="126"/>
    </row>
    <row r="75" spans="1:17" ht="15.75" thickBot="1" x14ac:dyDescent="0.3">
      <c r="A75" s="704" t="s">
        <v>28</v>
      </c>
      <c r="B75" s="705"/>
      <c r="C75" s="705"/>
      <c r="D75" s="705"/>
      <c r="E75" s="705"/>
      <c r="F75" s="705"/>
      <c r="G75" s="705"/>
      <c r="H75" s="705"/>
      <c r="I75" s="705"/>
      <c r="J75" s="705"/>
      <c r="K75" s="705"/>
      <c r="L75" s="705"/>
      <c r="M75" s="706"/>
      <c r="O75" s="40"/>
      <c r="P75" s="43"/>
      <c r="Q75" s="126"/>
    </row>
    <row r="76" spans="1:17" ht="15.75" customHeight="1" thickBot="1" x14ac:dyDescent="0.3">
      <c r="A76" s="707" t="s">
        <v>16</v>
      </c>
      <c r="B76" s="707" t="s">
        <v>17</v>
      </c>
      <c r="C76" s="707" t="s">
        <v>18</v>
      </c>
      <c r="D76" s="710" t="s">
        <v>19</v>
      </c>
      <c r="E76" s="711"/>
      <c r="F76" s="715" t="s">
        <v>42</v>
      </c>
      <c r="G76" s="715" t="s">
        <v>21</v>
      </c>
      <c r="H76" s="707" t="s">
        <v>22</v>
      </c>
      <c r="I76" s="707" t="s">
        <v>23</v>
      </c>
      <c r="J76" s="717" t="s">
        <v>24</v>
      </c>
      <c r="K76" s="718"/>
      <c r="L76" s="707" t="s">
        <v>14</v>
      </c>
      <c r="M76" s="707" t="s">
        <v>25</v>
      </c>
      <c r="O76" s="40"/>
      <c r="P76" s="43"/>
      <c r="Q76" s="126"/>
    </row>
    <row r="77" spans="1:17" ht="23.25" thickBot="1" x14ac:dyDescent="0.3">
      <c r="A77" s="708"/>
      <c r="B77" s="708"/>
      <c r="C77" s="708"/>
      <c r="D77" s="712"/>
      <c r="E77" s="713"/>
      <c r="F77" s="716"/>
      <c r="G77" s="716"/>
      <c r="H77" s="708"/>
      <c r="I77" s="708"/>
      <c r="J77" s="91" t="s">
        <v>26</v>
      </c>
      <c r="K77" s="91" t="s">
        <v>27</v>
      </c>
      <c r="L77" s="708"/>
      <c r="M77" s="708"/>
      <c r="O77" s="40"/>
      <c r="P77" s="43"/>
      <c r="Q77" s="126"/>
    </row>
    <row r="78" spans="1:17" ht="23.25" thickBot="1" x14ac:dyDescent="0.3">
      <c r="A78" s="52" t="str">
        <f>A8</f>
        <v>2.2</v>
      </c>
      <c r="B78" s="53" t="str">
        <f>B8</f>
        <v>Programa de capacitação e assistência técnica a cooperativas e catadores em Centros de Triagem por 2 anos, completando os 5 anos planejados.</v>
      </c>
      <c r="C78" s="58"/>
      <c r="D78" s="98"/>
      <c r="E78" s="99"/>
      <c r="F78" s="54"/>
      <c r="G78" s="54"/>
      <c r="H78" s="52"/>
      <c r="I78" s="58"/>
      <c r="J78" s="59"/>
      <c r="K78" s="59"/>
      <c r="L78" s="55"/>
      <c r="M78" s="52"/>
      <c r="O78" s="40"/>
      <c r="P78" s="43"/>
      <c r="Q78" s="126"/>
    </row>
    <row r="79" spans="1:17" ht="15.75" thickBot="1" x14ac:dyDescent="0.3">
      <c r="A79" s="56" t="str">
        <f>A10</f>
        <v>2.4</v>
      </c>
      <c r="B79" s="57" t="str">
        <f>B10</f>
        <v>Construção de Centros de Triagem</v>
      </c>
      <c r="C79" s="60"/>
      <c r="D79" s="702"/>
      <c r="E79" s="703"/>
      <c r="F79" s="61"/>
      <c r="G79" s="61"/>
      <c r="H79" s="56"/>
      <c r="I79" s="60"/>
      <c r="J79" s="62"/>
      <c r="K79" s="62"/>
      <c r="L79" s="63"/>
      <c r="M79" s="60"/>
      <c r="O79" s="40"/>
      <c r="P79" s="43"/>
      <c r="Q79" s="126"/>
    </row>
    <row r="80" spans="1:17" ht="15.75" thickBot="1" x14ac:dyDescent="0.3">
      <c r="A80" s="52" t="str">
        <f>A15</f>
        <v>3.1</v>
      </c>
      <c r="B80" s="53" t="str">
        <f>B15</f>
        <v xml:space="preserve"> Rede de Drenagem  Pluvial - Bacia IV C  </v>
      </c>
      <c r="C80" s="58"/>
      <c r="D80" s="98"/>
      <c r="E80" s="99"/>
      <c r="F80" s="54"/>
      <c r="G80" s="54"/>
      <c r="H80" s="52"/>
      <c r="I80" s="58"/>
      <c r="J80" s="59"/>
      <c r="K80" s="59"/>
      <c r="L80" s="55"/>
      <c r="M80" s="52"/>
      <c r="O80" s="40"/>
      <c r="P80" s="43"/>
      <c r="Q80" s="126"/>
    </row>
    <row r="81" spans="1:17" ht="15.75" thickBot="1" x14ac:dyDescent="0.3">
      <c r="A81" s="56" t="e">
        <f t="shared" ref="A81:B83" si="0">A34</f>
        <v>#REF!</v>
      </c>
      <c r="B81" s="57" t="e">
        <f t="shared" si="0"/>
        <v>#REF!</v>
      </c>
      <c r="C81" s="60"/>
      <c r="D81" s="702"/>
      <c r="E81" s="703"/>
      <c r="F81" s="61"/>
      <c r="G81" s="61"/>
      <c r="H81" s="56"/>
      <c r="I81" s="60"/>
      <c r="J81" s="62"/>
      <c r="K81" s="62"/>
      <c r="L81" s="63"/>
      <c r="M81" s="60"/>
      <c r="O81" s="40"/>
      <c r="P81" s="43"/>
      <c r="Q81" s="126"/>
    </row>
    <row r="82" spans="1:17" ht="15.75" thickBot="1" x14ac:dyDescent="0.3">
      <c r="A82" s="52" t="e">
        <f t="shared" si="0"/>
        <v>#REF!</v>
      </c>
      <c r="B82" s="53" t="e">
        <f t="shared" si="0"/>
        <v>#REF!</v>
      </c>
      <c r="C82" s="58"/>
      <c r="D82" s="98"/>
      <c r="E82" s="99"/>
      <c r="F82" s="54"/>
      <c r="G82" s="54"/>
      <c r="H82" s="52"/>
      <c r="I82" s="58"/>
      <c r="J82" s="59"/>
      <c r="K82" s="59"/>
      <c r="L82" s="55"/>
      <c r="M82" s="52"/>
      <c r="O82" s="40"/>
      <c r="P82" s="43"/>
      <c r="Q82" s="126"/>
    </row>
    <row r="83" spans="1:17" ht="15.75" thickBot="1" x14ac:dyDescent="0.3">
      <c r="A83" s="56" t="e">
        <f t="shared" si="0"/>
        <v>#REF!</v>
      </c>
      <c r="B83" s="57" t="e">
        <f t="shared" si="0"/>
        <v>#REF!</v>
      </c>
      <c r="C83" s="60"/>
      <c r="D83" s="702"/>
      <c r="E83" s="703"/>
      <c r="F83" s="61"/>
      <c r="G83" s="61"/>
      <c r="H83" s="56"/>
      <c r="I83" s="60"/>
      <c r="J83" s="62"/>
      <c r="K83" s="62"/>
      <c r="L83" s="63"/>
      <c r="M83" s="60"/>
      <c r="O83" s="40"/>
      <c r="P83" s="43"/>
      <c r="Q83" s="126"/>
    </row>
    <row r="84" spans="1:17" ht="15.75" thickBot="1" x14ac:dyDescent="0.3">
      <c r="A84" s="52" t="e">
        <f>'1.Usos&amp;Fontes'!#REF!</f>
        <v>#REF!</v>
      </c>
      <c r="B84" s="53" t="e">
        <f>'1.Usos&amp;Fontes'!#REF!</f>
        <v>#REF!</v>
      </c>
      <c r="C84" s="58"/>
      <c r="D84" s="98"/>
      <c r="E84" s="99"/>
      <c r="F84" s="54"/>
      <c r="G84" s="54"/>
      <c r="H84" s="52"/>
      <c r="I84" s="58"/>
      <c r="J84" s="59"/>
      <c r="K84" s="59"/>
      <c r="L84" s="55"/>
      <c r="M84" s="52"/>
      <c r="O84" s="92"/>
      <c r="P84" s="43"/>
      <c r="Q84" s="126"/>
    </row>
    <row r="85" spans="1:17" ht="15.75" thickBot="1" x14ac:dyDescent="0.3">
      <c r="A85" s="56" t="e">
        <f>'1.Usos&amp;Fontes'!#REF!</f>
        <v>#REF!</v>
      </c>
      <c r="B85" s="57" t="e">
        <f>'1.Usos&amp;Fontes'!#REF!</f>
        <v>#REF!</v>
      </c>
      <c r="C85" s="60"/>
      <c r="D85" s="702"/>
      <c r="E85" s="703"/>
      <c r="F85" s="61"/>
      <c r="G85" s="61"/>
      <c r="H85" s="56"/>
      <c r="I85" s="60"/>
      <c r="J85" s="62"/>
      <c r="K85" s="62"/>
      <c r="L85" s="63"/>
      <c r="M85" s="60"/>
      <c r="O85" s="92"/>
      <c r="P85" s="43"/>
      <c r="Q85" s="126"/>
    </row>
    <row r="86" spans="1:17" ht="15.75" thickBot="1" x14ac:dyDescent="0.3">
      <c r="A86" s="52" t="e">
        <f>A57</f>
        <v>#REF!</v>
      </c>
      <c r="B86" s="53" t="e">
        <f>B57</f>
        <v>#REF!</v>
      </c>
      <c r="C86" s="58"/>
      <c r="D86" s="98"/>
      <c r="E86" s="99"/>
      <c r="F86" s="54"/>
      <c r="G86" s="54"/>
      <c r="H86" s="52"/>
      <c r="I86" s="58"/>
      <c r="J86" s="59"/>
      <c r="K86" s="59"/>
      <c r="L86" s="55"/>
      <c r="M86" s="52"/>
      <c r="O86" s="40"/>
      <c r="P86" s="43"/>
      <c r="Q86" s="126"/>
    </row>
    <row r="87" spans="1:17" ht="15.75" thickBot="1" x14ac:dyDescent="0.3">
      <c r="A87" s="56" t="e">
        <f>A58</f>
        <v>#REF!</v>
      </c>
      <c r="B87" s="57" t="e">
        <f>B58</f>
        <v>#REF!</v>
      </c>
      <c r="C87" s="60"/>
      <c r="D87" s="702"/>
      <c r="E87" s="703"/>
      <c r="F87" s="61"/>
      <c r="G87" s="61"/>
      <c r="H87" s="56"/>
      <c r="I87" s="60"/>
      <c r="J87" s="62"/>
      <c r="K87" s="62"/>
      <c r="L87" s="63"/>
      <c r="M87" s="60"/>
      <c r="O87" s="40"/>
      <c r="P87" s="43"/>
      <c r="Q87" s="126"/>
    </row>
    <row r="88" spans="1:17" ht="15.75" thickBot="1" x14ac:dyDescent="0.3">
      <c r="A88" s="52" t="e">
        <f>A60</f>
        <v>#REF!</v>
      </c>
      <c r="B88" s="53" t="e">
        <f>B60</f>
        <v>#REF!</v>
      </c>
      <c r="C88" s="58"/>
      <c r="D88" s="98"/>
      <c r="E88" s="99"/>
      <c r="F88" s="54"/>
      <c r="G88" s="54"/>
      <c r="H88" s="52"/>
      <c r="I88" s="58"/>
      <c r="J88" s="59"/>
      <c r="K88" s="59"/>
      <c r="L88" s="55"/>
      <c r="M88" s="52"/>
      <c r="O88" s="40"/>
      <c r="P88" s="43"/>
      <c r="Q88" s="126"/>
    </row>
    <row r="89" spans="1:17" ht="15.75" thickBot="1" x14ac:dyDescent="0.3">
      <c r="A89" s="56" t="e">
        <f>A61</f>
        <v>#REF!</v>
      </c>
      <c r="B89" s="57" t="e">
        <f>B61</f>
        <v>#REF!</v>
      </c>
      <c r="C89" s="60"/>
      <c r="D89" s="702"/>
      <c r="E89" s="703"/>
      <c r="F89" s="61"/>
      <c r="G89" s="61"/>
      <c r="H89" s="56"/>
      <c r="I89" s="60"/>
      <c r="J89" s="62"/>
      <c r="K89" s="62"/>
      <c r="L89" s="63"/>
      <c r="M89" s="60"/>
      <c r="O89" s="40"/>
      <c r="P89" s="43"/>
      <c r="Q89" s="126"/>
    </row>
    <row r="90" spans="1:17" ht="15.75" customHeight="1" thickBot="1" x14ac:dyDescent="0.3">
      <c r="A90" s="685" t="s">
        <v>29</v>
      </c>
      <c r="B90" s="686"/>
      <c r="C90" s="686"/>
      <c r="D90" s="686"/>
      <c r="E90" s="686"/>
      <c r="F90" s="686"/>
      <c r="G90" s="686"/>
      <c r="H90" s="686"/>
      <c r="I90" s="686"/>
      <c r="J90" s="686"/>
      <c r="K90" s="686"/>
      <c r="L90" s="686"/>
      <c r="M90" s="687"/>
      <c r="O90" s="40"/>
      <c r="P90" s="43"/>
      <c r="Q90" s="126"/>
    </row>
    <row r="91" spans="1:17" ht="15.75" customHeight="1" thickBot="1" x14ac:dyDescent="0.3">
      <c r="A91" s="709" t="s">
        <v>16</v>
      </c>
      <c r="B91" s="709" t="s">
        <v>17</v>
      </c>
      <c r="C91" s="709" t="s">
        <v>18</v>
      </c>
      <c r="D91" s="710" t="s">
        <v>19</v>
      </c>
      <c r="E91" s="711"/>
      <c r="F91" s="714" t="s">
        <v>42</v>
      </c>
      <c r="G91" s="714" t="s">
        <v>21</v>
      </c>
      <c r="H91" s="709" t="s">
        <v>22</v>
      </c>
      <c r="I91" s="709" t="s">
        <v>23</v>
      </c>
      <c r="J91" s="709" t="s">
        <v>24</v>
      </c>
      <c r="K91" s="709"/>
      <c r="L91" s="707" t="s">
        <v>14</v>
      </c>
      <c r="M91" s="709" t="s">
        <v>25</v>
      </c>
      <c r="O91" s="40"/>
      <c r="P91" s="43"/>
      <c r="Q91" s="126"/>
    </row>
    <row r="92" spans="1:17" ht="23.25" thickBot="1" x14ac:dyDescent="0.3">
      <c r="A92" s="709"/>
      <c r="B92" s="709"/>
      <c r="C92" s="709"/>
      <c r="D92" s="712"/>
      <c r="E92" s="713"/>
      <c r="F92" s="714"/>
      <c r="G92" s="714"/>
      <c r="H92" s="709"/>
      <c r="I92" s="709"/>
      <c r="J92" s="82" t="s">
        <v>26</v>
      </c>
      <c r="K92" s="82" t="s">
        <v>27</v>
      </c>
      <c r="L92" s="708"/>
      <c r="M92" s="709"/>
      <c r="O92" s="40"/>
      <c r="P92" s="43"/>
      <c r="Q92" s="126"/>
    </row>
    <row r="93" spans="1:17" ht="15.75" thickBot="1" x14ac:dyDescent="0.3">
      <c r="A93" s="52" t="e">
        <f>'1.Usos&amp;Fontes'!#REF!</f>
        <v>#REF!</v>
      </c>
      <c r="B93" s="53" t="e">
        <f>'1.Usos&amp;Fontes'!#REF!</f>
        <v>#REF!</v>
      </c>
      <c r="C93" s="58"/>
      <c r="D93" s="98"/>
      <c r="E93" s="99"/>
      <c r="F93" s="54"/>
      <c r="G93" s="54"/>
      <c r="H93" s="52"/>
      <c r="I93" s="58"/>
      <c r="J93" s="59"/>
      <c r="K93" s="59"/>
      <c r="L93" s="55"/>
      <c r="M93" s="52"/>
      <c r="O93" s="40"/>
      <c r="P93" s="43"/>
      <c r="Q93" s="126"/>
    </row>
    <row r="94" spans="1:17" ht="15.75" thickBot="1" x14ac:dyDescent="0.3">
      <c r="A94" s="56" t="str">
        <f>'1.Usos&amp;Fontes'!A8</f>
        <v>1.1</v>
      </c>
      <c r="B94" s="57" t="str">
        <f>'1.Usos&amp;Fontes'!B8</f>
        <v>Fortalecimento Institucional  SEMA - Sistema Distrital de Informações Ambientais</v>
      </c>
      <c r="C94" s="60"/>
      <c r="D94" s="702"/>
      <c r="E94" s="703"/>
      <c r="F94" s="61"/>
      <c r="G94" s="61"/>
      <c r="H94" s="56"/>
      <c r="I94" s="60"/>
      <c r="J94" s="62"/>
      <c r="K94" s="62"/>
      <c r="L94" s="63"/>
      <c r="M94" s="60"/>
      <c r="O94" s="40"/>
      <c r="P94" s="43"/>
      <c r="Q94" s="126"/>
    </row>
    <row r="95" spans="1:17" ht="15.75" thickBot="1" x14ac:dyDescent="0.3">
      <c r="A95" s="52" t="str">
        <f>'1.Usos&amp;Fontes'!A9</f>
        <v>1.2</v>
      </c>
      <c r="B95" s="53" t="str">
        <f>'1.Usos&amp;Fontes'!B9</f>
        <v>Fortalecimento Institucional - IBRAM - Melhoria dos processos de licenciamento</v>
      </c>
      <c r="C95" s="58"/>
      <c r="D95" s="98"/>
      <c r="E95" s="99"/>
      <c r="F95" s="54"/>
      <c r="G95" s="54"/>
      <c r="H95" s="52"/>
      <c r="I95" s="58"/>
      <c r="J95" s="59"/>
      <c r="K95" s="59"/>
      <c r="L95" s="55"/>
      <c r="M95" s="52"/>
      <c r="O95" s="40"/>
      <c r="P95" s="43"/>
      <c r="Q95" s="126"/>
    </row>
    <row r="96" spans="1:17" ht="15.75" thickBot="1" x14ac:dyDescent="0.3">
      <c r="A96" s="56" t="e">
        <f>'1.Usos&amp;Fontes'!#REF!</f>
        <v>#REF!</v>
      </c>
      <c r="B96" s="57" t="e">
        <f>'1.Usos&amp;Fontes'!#REF!</f>
        <v>#REF!</v>
      </c>
      <c r="C96" s="60"/>
      <c r="D96" s="702"/>
      <c r="E96" s="703"/>
      <c r="F96" s="61"/>
      <c r="G96" s="61"/>
      <c r="H96" s="56"/>
      <c r="I96" s="60"/>
      <c r="J96" s="62"/>
      <c r="K96" s="62"/>
      <c r="L96" s="63"/>
      <c r="M96" s="60"/>
      <c r="O96" s="40"/>
      <c r="P96" s="43"/>
      <c r="Q96" s="126"/>
    </row>
    <row r="97" spans="1:17" ht="15.75" thickBot="1" x14ac:dyDescent="0.3">
      <c r="A97" s="52" t="e">
        <f>'1.Usos&amp;Fontes'!#REF!</f>
        <v>#REF!</v>
      </c>
      <c r="B97" s="53" t="e">
        <f>'1.Usos&amp;Fontes'!#REF!</f>
        <v>#REF!</v>
      </c>
      <c r="C97" s="58"/>
      <c r="D97" s="98"/>
      <c r="E97" s="99"/>
      <c r="F97" s="54"/>
      <c r="G97" s="54"/>
      <c r="H97" s="52"/>
      <c r="I97" s="58"/>
      <c r="J97" s="59"/>
      <c r="K97" s="59"/>
      <c r="L97" s="55"/>
      <c r="M97" s="52"/>
      <c r="O97" s="40"/>
      <c r="P97" s="43"/>
      <c r="Q97" s="126"/>
    </row>
    <row r="98" spans="1:17" ht="15.75" thickBot="1" x14ac:dyDescent="0.3">
      <c r="A98" s="56" t="e">
        <f>'1.Usos&amp;Fontes'!#REF!</f>
        <v>#REF!</v>
      </c>
      <c r="B98" s="57" t="e">
        <f>'1.Usos&amp;Fontes'!#REF!</f>
        <v>#REF!</v>
      </c>
      <c r="C98" s="60"/>
      <c r="D98" s="702"/>
      <c r="E98" s="703"/>
      <c r="F98" s="61"/>
      <c r="G98" s="61"/>
      <c r="H98" s="56"/>
      <c r="I98" s="60"/>
      <c r="J98" s="62"/>
      <c r="K98" s="62"/>
      <c r="L98" s="63"/>
      <c r="M98" s="60"/>
      <c r="O98" s="66"/>
      <c r="P98" s="43"/>
      <c r="Q98" s="126"/>
    </row>
    <row r="99" spans="1:17" ht="15.75" thickBot="1" x14ac:dyDescent="0.3">
      <c r="A99" s="52" t="e">
        <f>'1.Usos&amp;Fontes'!#REF!</f>
        <v>#REF!</v>
      </c>
      <c r="B99" s="53" t="e">
        <f>'1.Usos&amp;Fontes'!#REF!</f>
        <v>#REF!</v>
      </c>
      <c r="C99" s="58"/>
      <c r="D99" s="98"/>
      <c r="E99" s="99"/>
      <c r="F99" s="54"/>
      <c r="G99" s="54"/>
      <c r="H99" s="52"/>
      <c r="I99" s="58"/>
      <c r="J99" s="59"/>
      <c r="K99" s="59"/>
      <c r="L99" s="55"/>
      <c r="M99" s="52"/>
      <c r="O99" s="66"/>
      <c r="P99" s="43"/>
      <c r="Q99" s="126"/>
    </row>
    <row r="100" spans="1:17" ht="15.75" thickBot="1" x14ac:dyDescent="0.3">
      <c r="A100" s="56" t="e">
        <f>'1.Usos&amp;Fontes'!#REF!</f>
        <v>#REF!</v>
      </c>
      <c r="B100" s="57" t="e">
        <f>'1.Usos&amp;Fontes'!#REF!</f>
        <v>#REF!</v>
      </c>
      <c r="C100" s="60"/>
      <c r="D100" s="702"/>
      <c r="E100" s="703"/>
      <c r="F100" s="61"/>
      <c r="G100" s="61"/>
      <c r="H100" s="56"/>
      <c r="I100" s="60"/>
      <c r="J100" s="62"/>
      <c r="K100" s="62"/>
      <c r="L100" s="63"/>
      <c r="M100" s="60"/>
      <c r="O100" s="66"/>
      <c r="P100" s="43"/>
      <c r="Q100" s="126"/>
    </row>
    <row r="101" spans="1:17" ht="15.75" thickBot="1" x14ac:dyDescent="0.3">
      <c r="A101" s="52" t="e">
        <f>'1.Usos&amp;Fontes'!#REF!</f>
        <v>#REF!</v>
      </c>
      <c r="B101" s="53" t="e">
        <f>'1.Usos&amp;Fontes'!#REF!</f>
        <v>#REF!</v>
      </c>
      <c r="C101" s="58"/>
      <c r="D101" s="98"/>
      <c r="E101" s="99"/>
      <c r="F101" s="54"/>
      <c r="G101" s="54"/>
      <c r="H101" s="52"/>
      <c r="I101" s="58"/>
      <c r="J101" s="59"/>
      <c r="K101" s="59"/>
      <c r="L101" s="55"/>
      <c r="M101" s="52"/>
      <c r="N101" s="50"/>
      <c r="O101" s="50"/>
      <c r="P101" s="50"/>
      <c r="Q101" s="126"/>
    </row>
    <row r="102" spans="1:17" ht="15.75" thickBot="1" x14ac:dyDescent="0.3">
      <c r="A102" s="56" t="e">
        <f>'1.Usos&amp;Fontes'!#REF!</f>
        <v>#REF!</v>
      </c>
      <c r="B102" s="57" t="e">
        <f>'1.Usos&amp;Fontes'!#REF!</f>
        <v>#REF!</v>
      </c>
      <c r="C102" s="60"/>
      <c r="D102" s="702"/>
      <c r="E102" s="703"/>
      <c r="F102" s="61"/>
      <c r="G102" s="61"/>
      <c r="H102" s="56"/>
      <c r="I102" s="60"/>
      <c r="J102" s="62"/>
      <c r="K102" s="62"/>
      <c r="L102" s="63"/>
      <c r="M102" s="60"/>
      <c r="O102" s="66"/>
      <c r="P102" s="43"/>
      <c r="Q102" s="126"/>
    </row>
    <row r="103" spans="1:17" ht="15.75" thickBot="1" x14ac:dyDescent="0.3">
      <c r="A103" s="52" t="e">
        <f>'1.Usos&amp;Fontes'!#REF!</f>
        <v>#REF!</v>
      </c>
      <c r="B103" s="53" t="e">
        <f>'1.Usos&amp;Fontes'!#REF!</f>
        <v>#REF!</v>
      </c>
      <c r="C103" s="58"/>
      <c r="D103" s="98"/>
      <c r="E103" s="99"/>
      <c r="F103" s="54"/>
      <c r="G103" s="54"/>
      <c r="H103" s="52"/>
      <c r="I103" s="58"/>
      <c r="J103" s="59"/>
      <c r="K103" s="59"/>
      <c r="L103" s="55"/>
      <c r="M103" s="52"/>
      <c r="O103" s="66"/>
      <c r="P103" s="43"/>
      <c r="Q103" s="126"/>
    </row>
    <row r="104" spans="1:17" ht="15.75" thickBot="1" x14ac:dyDescent="0.3">
      <c r="A104" s="56" t="e">
        <f>'1.Usos&amp;Fontes'!#REF!</f>
        <v>#REF!</v>
      </c>
      <c r="B104" s="57" t="e">
        <f>'1.Usos&amp;Fontes'!#REF!</f>
        <v>#REF!</v>
      </c>
      <c r="C104" s="60"/>
      <c r="D104" s="702"/>
      <c r="E104" s="703"/>
      <c r="F104" s="61"/>
      <c r="G104" s="61"/>
      <c r="H104" s="56"/>
      <c r="I104" s="60"/>
      <c r="J104" s="62"/>
      <c r="K104" s="62"/>
      <c r="L104" s="63"/>
      <c r="M104" s="60"/>
      <c r="O104" s="67"/>
      <c r="P104" s="43"/>
      <c r="Q104" s="126"/>
    </row>
    <row r="105" spans="1:17" s="21" customFormat="1" ht="15.75" thickBot="1" x14ac:dyDescent="0.3">
      <c r="A105" s="52" t="e">
        <f>'1.Usos&amp;Fontes'!#REF!</f>
        <v>#REF!</v>
      </c>
      <c r="B105" s="53" t="e">
        <f>'1.Usos&amp;Fontes'!#REF!</f>
        <v>#REF!</v>
      </c>
      <c r="C105" s="58"/>
      <c r="D105" s="98"/>
      <c r="E105" s="99"/>
      <c r="F105" s="54"/>
      <c r="G105" s="54"/>
      <c r="H105" s="52"/>
      <c r="I105" s="58"/>
      <c r="J105" s="59"/>
      <c r="K105" s="59"/>
      <c r="L105" s="55"/>
      <c r="M105" s="52"/>
      <c r="N105" s="46"/>
      <c r="O105" s="67"/>
      <c r="P105" s="43"/>
      <c r="Q105" s="126"/>
    </row>
    <row r="106" spans="1:17" ht="15.75" thickBot="1" x14ac:dyDescent="0.3">
      <c r="A106" s="56" t="e">
        <f>'1.Usos&amp;Fontes'!#REF!</f>
        <v>#REF!</v>
      </c>
      <c r="B106" s="57" t="e">
        <f>'1.Usos&amp;Fontes'!#REF!</f>
        <v>#REF!</v>
      </c>
      <c r="C106" s="60"/>
      <c r="D106" s="702"/>
      <c r="E106" s="703"/>
      <c r="F106" s="61"/>
      <c r="G106" s="61"/>
      <c r="H106" s="56"/>
      <c r="I106" s="60"/>
      <c r="J106" s="62"/>
      <c r="K106" s="62"/>
      <c r="L106" s="63"/>
      <c r="M106" s="60"/>
      <c r="O106" s="92"/>
      <c r="P106" s="43"/>
      <c r="Q106" s="126"/>
    </row>
    <row r="107" spans="1:17" ht="15.75" thickBot="1" x14ac:dyDescent="0.3">
      <c r="A107" s="56" t="e">
        <f>'1.Usos&amp;Fontes'!#REF!</f>
        <v>#REF!</v>
      </c>
      <c r="B107" s="57" t="e">
        <f>'1.Usos&amp;Fontes'!#REF!</f>
        <v>#REF!</v>
      </c>
      <c r="C107" s="60"/>
      <c r="D107" s="702"/>
      <c r="E107" s="703"/>
      <c r="F107" s="61"/>
      <c r="G107" s="61"/>
      <c r="H107" s="56"/>
      <c r="I107" s="60"/>
      <c r="J107" s="62"/>
      <c r="K107" s="62"/>
      <c r="L107" s="63"/>
      <c r="M107" s="60"/>
      <c r="O107" s="92"/>
      <c r="P107" s="43"/>
      <c r="Q107" s="126"/>
    </row>
    <row r="108" spans="1:17" ht="15.75" customHeight="1" thickBot="1" x14ac:dyDescent="0.3">
      <c r="A108" s="685" t="s">
        <v>55</v>
      </c>
      <c r="B108" s="686"/>
      <c r="C108" s="686"/>
      <c r="D108" s="686"/>
      <c r="E108" s="686"/>
      <c r="F108" s="686"/>
      <c r="G108" s="686"/>
      <c r="H108" s="686"/>
      <c r="I108" s="686"/>
      <c r="J108" s="686"/>
      <c r="K108" s="686"/>
      <c r="L108" s="686"/>
      <c r="M108" s="687"/>
      <c r="O108" s="40"/>
      <c r="Q108" s="126"/>
    </row>
    <row r="109" spans="1:17" ht="15.75" thickBot="1" x14ac:dyDescent="0.3">
      <c r="A109" s="709" t="s">
        <v>16</v>
      </c>
      <c r="B109" s="709" t="s">
        <v>17</v>
      </c>
      <c r="C109" s="709" t="s">
        <v>18</v>
      </c>
      <c r="D109" s="710" t="s">
        <v>19</v>
      </c>
      <c r="E109" s="711"/>
      <c r="F109" s="714" t="s">
        <v>20</v>
      </c>
      <c r="G109" s="714" t="s">
        <v>21</v>
      </c>
      <c r="H109" s="709" t="s">
        <v>22</v>
      </c>
      <c r="I109" s="709" t="s">
        <v>23</v>
      </c>
      <c r="J109" s="709" t="s">
        <v>24</v>
      </c>
      <c r="K109" s="709"/>
      <c r="L109" s="707" t="s">
        <v>14</v>
      </c>
      <c r="M109" s="709" t="s">
        <v>25</v>
      </c>
      <c r="Q109" s="126"/>
    </row>
    <row r="110" spans="1:17" ht="23.25" thickBot="1" x14ac:dyDescent="0.3">
      <c r="A110" s="709"/>
      <c r="B110" s="709"/>
      <c r="C110" s="709"/>
      <c r="D110" s="712"/>
      <c r="E110" s="713"/>
      <c r="F110" s="714"/>
      <c r="G110" s="714"/>
      <c r="H110" s="709"/>
      <c r="I110" s="709"/>
      <c r="J110" s="82" t="s">
        <v>26</v>
      </c>
      <c r="K110" s="82" t="s">
        <v>27</v>
      </c>
      <c r="L110" s="708"/>
      <c r="M110" s="709"/>
      <c r="Q110" s="126"/>
    </row>
    <row r="111" spans="1:17" ht="15.75" thickBot="1" x14ac:dyDescent="0.3">
      <c r="A111" s="52" t="e">
        <f>'1.Usos&amp;Fontes'!#REF!</f>
        <v>#REF!</v>
      </c>
      <c r="B111" s="53" t="e">
        <f>'1.Usos&amp;Fontes'!#REF!</f>
        <v>#REF!</v>
      </c>
      <c r="C111" s="58"/>
      <c r="D111" s="98"/>
      <c r="E111" s="99"/>
      <c r="F111" s="54"/>
      <c r="G111" s="54"/>
      <c r="H111" s="52"/>
      <c r="I111" s="58"/>
      <c r="J111" s="59"/>
      <c r="K111" s="59"/>
      <c r="L111" s="55"/>
      <c r="M111" s="52"/>
      <c r="O111" s="92"/>
      <c r="P111" s="43"/>
      <c r="Q111" s="126"/>
    </row>
    <row r="112" spans="1:17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</row>
    <row r="113" spans="1:13" x14ac:dyDescent="0.25">
      <c r="A113" s="679" t="s">
        <v>31</v>
      </c>
      <c r="B113" s="679"/>
      <c r="C113" s="679"/>
      <c r="D113" s="679"/>
      <c r="E113" s="679"/>
      <c r="F113" s="679"/>
      <c r="G113" s="679"/>
      <c r="H113" s="679"/>
      <c r="I113" s="679"/>
      <c r="J113" s="679"/>
      <c r="K113" s="679"/>
      <c r="L113" s="679"/>
      <c r="M113" s="679"/>
    </row>
    <row r="114" spans="1:13" x14ac:dyDescent="0.25">
      <c r="A114" s="679"/>
      <c r="B114" s="679"/>
      <c r="C114" s="679"/>
      <c r="D114" s="679"/>
      <c r="E114" s="679"/>
      <c r="F114" s="679"/>
      <c r="G114" s="679"/>
      <c r="H114" s="679"/>
      <c r="I114" s="679"/>
      <c r="J114" s="679"/>
      <c r="K114" s="679"/>
      <c r="L114" s="679"/>
      <c r="M114" s="679"/>
    </row>
    <row r="115" spans="1:13" x14ac:dyDescent="0.25">
      <c r="A115" s="680" t="s">
        <v>32</v>
      </c>
      <c r="B115" s="680"/>
      <c r="C115" s="680"/>
      <c r="D115" s="680"/>
      <c r="E115" s="680"/>
      <c r="F115" s="680"/>
      <c r="G115" s="680"/>
      <c r="H115" s="680"/>
      <c r="I115" s="680"/>
      <c r="J115" s="680"/>
      <c r="K115" s="680"/>
      <c r="L115" s="680"/>
      <c r="M115" s="680"/>
    </row>
    <row r="116" spans="1:13" x14ac:dyDescent="0.25">
      <c r="A116" s="680"/>
      <c r="B116" s="680"/>
      <c r="C116" s="680"/>
      <c r="D116" s="680"/>
      <c r="E116" s="680"/>
      <c r="F116" s="680"/>
      <c r="G116" s="680"/>
      <c r="H116" s="680"/>
      <c r="I116" s="680"/>
      <c r="J116" s="680"/>
      <c r="K116" s="680"/>
      <c r="L116" s="680"/>
      <c r="M116" s="680"/>
    </row>
  </sheetData>
  <mergeCells count="102">
    <mergeCell ref="Q5:R7"/>
    <mergeCell ref="D15:E15"/>
    <mergeCell ref="D17:E17"/>
    <mergeCell ref="D19:E19"/>
    <mergeCell ref="D21:E21"/>
    <mergeCell ref="D22:E22"/>
    <mergeCell ref="D24:E24"/>
    <mergeCell ref="D26:E26"/>
    <mergeCell ref="O5:O7"/>
    <mergeCell ref="L6:L7"/>
    <mergeCell ref="M6:M7"/>
    <mergeCell ref="C6:C7"/>
    <mergeCell ref="D6:E7"/>
    <mergeCell ref="F6:F7"/>
    <mergeCell ref="G6:G7"/>
    <mergeCell ref="H6:H7"/>
    <mergeCell ref="I6:I7"/>
    <mergeCell ref="J6:K6"/>
    <mergeCell ref="D107:E107"/>
    <mergeCell ref="P5:P7"/>
    <mergeCell ref="M91:M92"/>
    <mergeCell ref="D62:E62"/>
    <mergeCell ref="D57:E57"/>
    <mergeCell ref="D59:E59"/>
    <mergeCell ref="D64:E64"/>
    <mergeCell ref="D66:E66"/>
    <mergeCell ref="D68:E68"/>
    <mergeCell ref="D102:E102"/>
    <mergeCell ref="D104:E104"/>
    <mergeCell ref="D106:E106"/>
    <mergeCell ref="D85:E85"/>
    <mergeCell ref="D96:E96"/>
    <mergeCell ref="D98:E98"/>
    <mergeCell ref="D100:E100"/>
    <mergeCell ref="D39:E39"/>
    <mergeCell ref="H2:K2"/>
    <mergeCell ref="A5:M5"/>
    <mergeCell ref="C76:C77"/>
    <mergeCell ref="D76:E77"/>
    <mergeCell ref="F76:F77"/>
    <mergeCell ref="G76:G77"/>
    <mergeCell ref="H76:H77"/>
    <mergeCell ref="I76:I77"/>
    <mergeCell ref="J76:K76"/>
    <mergeCell ref="L76:L77"/>
    <mergeCell ref="M76:M77"/>
    <mergeCell ref="D74:E74"/>
    <mergeCell ref="D9:E9"/>
    <mergeCell ref="D11:E11"/>
    <mergeCell ref="D37:E37"/>
    <mergeCell ref="D72:E72"/>
    <mergeCell ref="D35:E35"/>
    <mergeCell ref="D13:E13"/>
    <mergeCell ref="D28:E28"/>
    <mergeCell ref="D30:E30"/>
    <mergeCell ref="D32:E32"/>
    <mergeCell ref="D70:E70"/>
    <mergeCell ref="A6:A7"/>
    <mergeCell ref="B6:B7"/>
    <mergeCell ref="A115:M115"/>
    <mergeCell ref="A116:M116"/>
    <mergeCell ref="A113:M114"/>
    <mergeCell ref="A108:M108"/>
    <mergeCell ref="A109:A110"/>
    <mergeCell ref="B109:B110"/>
    <mergeCell ref="C109:C110"/>
    <mergeCell ref="D109:E110"/>
    <mergeCell ref="F109:F110"/>
    <mergeCell ref="G109:G110"/>
    <mergeCell ref="H109:H110"/>
    <mergeCell ref="I109:I110"/>
    <mergeCell ref="J109:K109"/>
    <mergeCell ref="L109:L110"/>
    <mergeCell ref="M109:M110"/>
    <mergeCell ref="D41:E41"/>
    <mergeCell ref="D43:E43"/>
    <mergeCell ref="D45:E45"/>
    <mergeCell ref="D47:E47"/>
    <mergeCell ref="D49:E49"/>
    <mergeCell ref="D51:E51"/>
    <mergeCell ref="D53:E53"/>
    <mergeCell ref="D55:E55"/>
    <mergeCell ref="D79:E79"/>
    <mergeCell ref="D81:E81"/>
    <mergeCell ref="D83:E83"/>
    <mergeCell ref="D89:E89"/>
    <mergeCell ref="D87:E87"/>
    <mergeCell ref="A75:M75"/>
    <mergeCell ref="A76:A77"/>
    <mergeCell ref="B76:B77"/>
    <mergeCell ref="D94:E94"/>
    <mergeCell ref="A90:M90"/>
    <mergeCell ref="A91:A92"/>
    <mergeCell ref="B91:B92"/>
    <mergeCell ref="C91:C92"/>
    <mergeCell ref="D91:E92"/>
    <mergeCell ref="F91:F92"/>
    <mergeCell ref="G91:G92"/>
    <mergeCell ref="H91:H92"/>
    <mergeCell ref="I91:I92"/>
    <mergeCell ref="J91:K91"/>
    <mergeCell ref="L91:L92"/>
  </mergeCells>
  <printOptions horizontalCentered="1" verticalCentered="1"/>
  <pageMargins left="0.59055118110236227" right="0" top="0.78740157480314965" bottom="0.31496062992125984" header="0.31496062992125984" footer="0.31496062992125984"/>
  <pageSetup paperSize="8" scale="51" orientation="portrait" horizontalDpi="4294967294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CF1D403B1EB5449B3D8406417B04ABD" ma:contentTypeVersion="0" ma:contentTypeDescription="A content type to manage public (operations) IDB documents" ma:contentTypeScope="" ma:versionID="c8ca66b7038e031074a7ee7ef1a2dc2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39717428</IDBDocs_x0020_Number>
    <Document_x0020_Author xmlns="9c571b2f-e523-4ab2-ba2e-09e151a03ef4">Bretas, Fernando Soares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11</Value>
      <Value>10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BR-L1383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Proposal&lt;/USER_STAGE&gt;&lt;PD_OBJ_TYPE&gt;0&lt;/PD_OBJ_TYPE&gt;&lt;MAKERECORD&gt;N&lt;/MAKERECORD&gt;&lt;PD_FILEPT_NO&gt;PO-BR-L1383-Anl&lt;/PD_FILEPT_NO&gt;&lt;/Data&gt;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A654433A-AEED-46B7-B7E5-37306C8E5C74}"/>
</file>

<file path=customXml/itemProps2.xml><?xml version="1.0" encoding="utf-8"?>
<ds:datastoreItem xmlns:ds="http://schemas.openxmlformats.org/officeDocument/2006/customXml" ds:itemID="{15205C71-ACAD-449B-810B-B619163AC695}"/>
</file>

<file path=customXml/itemProps3.xml><?xml version="1.0" encoding="utf-8"?>
<ds:datastoreItem xmlns:ds="http://schemas.openxmlformats.org/officeDocument/2006/customXml" ds:itemID="{64043EAB-8086-4430-9FC9-9DE58D791C78}"/>
</file>

<file path=customXml/itemProps4.xml><?xml version="1.0" encoding="utf-8"?>
<ds:datastoreItem xmlns:ds="http://schemas.openxmlformats.org/officeDocument/2006/customXml" ds:itemID="{61CB879D-C23C-47B8-B8AD-EB1FB7A89EE0}"/>
</file>

<file path=customXml/itemProps5.xml><?xml version="1.0" encoding="utf-8"?>
<ds:datastoreItem xmlns:ds="http://schemas.openxmlformats.org/officeDocument/2006/customXml" ds:itemID="{9C139366-2DBC-4032-BB6E-2AA5A72086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Quadro de Custos do ProgramaBID</vt:lpstr>
      <vt:lpstr>1.Usos&amp;Fontes</vt:lpstr>
      <vt:lpstr>2.Cronograma Fisico POA</vt:lpstr>
      <vt:lpstr>3.Cronograma Financeiro POA</vt:lpstr>
      <vt:lpstr>4.Cronograma Fisico PEP</vt:lpstr>
      <vt:lpstr>5.Cronograma Financeiro PEP </vt:lpstr>
      <vt:lpstr>6.Plano de Aquisições Ano 1-2</vt:lpstr>
      <vt:lpstr>Plan3</vt:lpstr>
      <vt:lpstr>7.Plano de Aquisições Total</vt:lpstr>
      <vt:lpstr>8. Matriz de riscos</vt:lpstr>
      <vt:lpstr>Plan2</vt:lpstr>
      <vt:lpstr>Sheet1</vt:lpstr>
      <vt:lpstr>Sheet2</vt:lpstr>
      <vt:lpstr>'1.Usos&amp;Fontes'!Print_Area</vt:lpstr>
      <vt:lpstr>'2.Cronograma Fisico POA'!Print_Area</vt:lpstr>
      <vt:lpstr>'3.Cronograma Financeiro POA'!Print_Area</vt:lpstr>
      <vt:lpstr>'4.Cronograma Fisico PEP'!Print_Area</vt:lpstr>
      <vt:lpstr>'5.Cronograma Financeiro PEP '!Print_Area</vt:lpstr>
      <vt:lpstr>'6.Plano de Aquisições Ano 1-2'!Print_Area</vt:lpstr>
      <vt:lpstr>'7.Plano de Aquisições Total'!Print_Area</vt:lpstr>
      <vt:lpstr>'5.Cronograma Financeiro PEP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EER_1 - PEP _ POA </dc:title>
  <dc:creator>anaesteves</dc:creator>
  <cp:lastModifiedBy>yg</cp:lastModifiedBy>
  <cp:lastPrinted>2016-10-08T18:07:42Z</cp:lastPrinted>
  <dcterms:created xsi:type="dcterms:W3CDTF">2012-05-22T17:58:27Z</dcterms:created>
  <dcterms:modified xsi:type="dcterms:W3CDTF">2016-10-24T20:21:04Z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0x01010046CF21643EE8D14686A648AA6DAD0892005CF1D403B1EB5449B3D8406417B04ABD</vt:lpwstr>
  </property>
  <property fmtid="{D5CDD505-2E9C-101B-9397-08002B2CF9AE}" pid="5" name="TaxKeywordTaxHTField">
    <vt:lpwstr/>
  </property>
  <property fmtid="{D5CDD505-2E9C-101B-9397-08002B2CF9AE}" pid="6" name="Series Operations IDB">
    <vt:lpwstr>10;#Loan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11;#Project Preparation, Planning and Design|29ca0c72-1fc4-435f-a09c-28585cb5eac9</vt:lpwstr>
  </property>
</Properties>
</file>