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ciana Tavora\Desktop\LPN001-2017\"/>
    </mc:Choice>
  </mc:AlternateContent>
  <bookViews>
    <workbookView xWindow="0" yWindow="0" windowWidth="19560" windowHeight="8340" tabRatio="904"/>
  </bookViews>
  <sheets>
    <sheet name="Detalle Plan de Aquisicion " sheetId="1" r:id="rId1"/>
    <sheet name="Plan de Adquisiciones" sheetId="3" r:id="rId2"/>
    <sheet name="Estructura del Proyecto" sheetId="2" r:id="rId3"/>
  </sheets>
  <definedNames>
    <definedName name="_xlnm._FilterDatabase" localSheetId="0" hidden="1">'Detalle Plan de Aquisicion '!$A$16:$U$198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7" i="1" l="1"/>
  <c r="D13" i="3"/>
  <c r="C13" i="3"/>
  <c r="H20" i="1"/>
  <c r="I138" i="1"/>
  <c r="H111" i="1"/>
  <c r="C14" i="3"/>
  <c r="C32" i="3"/>
  <c r="C15" i="3"/>
  <c r="G147" i="1"/>
  <c r="I71" i="1"/>
  <c r="H71" i="1"/>
  <c r="H152" i="1" l="1"/>
  <c r="H70" i="1"/>
  <c r="H18" i="1"/>
  <c r="H109" i="1" l="1"/>
  <c r="H153" i="1"/>
  <c r="D37" i="3" l="1"/>
  <c r="C37" i="3"/>
  <c r="D34" i="3"/>
  <c r="D36" i="3"/>
  <c r="C36" i="3"/>
  <c r="D31" i="3"/>
  <c r="C29" i="3"/>
  <c r="C28" i="3"/>
  <c r="D27" i="3"/>
  <c r="C27" i="3"/>
  <c r="D12" i="3"/>
  <c r="T56" i="1" l="1"/>
  <c r="A85" i="1" l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H117" i="1"/>
  <c r="H99" i="1"/>
  <c r="H98" i="1"/>
  <c r="H95" i="1"/>
  <c r="H89" i="1"/>
  <c r="H85" i="1"/>
  <c r="H81" i="1"/>
  <c r="C38" i="3" l="1"/>
  <c r="D32" i="3"/>
  <c r="H96" i="1" l="1"/>
  <c r="H92" i="1" l="1"/>
  <c r="H94" i="1"/>
  <c r="H91" i="1"/>
  <c r="H76" i="1"/>
  <c r="H131" i="1" l="1"/>
  <c r="H130" i="1"/>
  <c r="H65" i="1"/>
  <c r="D38" i="3" l="1"/>
  <c r="D28" i="3"/>
  <c r="D29" i="3"/>
  <c r="C34" i="3"/>
  <c r="C33" i="3" s="1"/>
  <c r="D26" i="3" l="1"/>
  <c r="C26" i="3"/>
  <c r="U44" i="1" l="1"/>
  <c r="C31" i="3" l="1"/>
  <c r="H128" i="1" l="1"/>
  <c r="H138" i="1" s="1"/>
  <c r="F30" i="3" l="1"/>
  <c r="E30" i="3"/>
  <c r="G39" i="3"/>
  <c r="D35" i="3"/>
  <c r="C35" i="3"/>
  <c r="D33" i="3"/>
  <c r="D30" i="3"/>
  <c r="G26" i="3"/>
  <c r="D16" i="3"/>
  <c r="C16" i="3"/>
  <c r="D15" i="3"/>
  <c r="D14" i="3"/>
  <c r="D11" i="3"/>
  <c r="F41" i="3" l="1"/>
  <c r="E41" i="3"/>
  <c r="G40" i="3"/>
  <c r="G37" i="3"/>
  <c r="G36" i="3"/>
  <c r="G35" i="3"/>
  <c r="G34" i="3"/>
  <c r="G33" i="3"/>
  <c r="G31" i="3"/>
  <c r="G29" i="3"/>
  <c r="G28" i="3"/>
  <c r="G27" i="3"/>
  <c r="F21" i="3"/>
  <c r="E21" i="3"/>
  <c r="G20" i="3"/>
  <c r="G19" i="3"/>
  <c r="G18" i="3"/>
  <c r="G17" i="3"/>
  <c r="G16" i="3"/>
  <c r="G15" i="3"/>
  <c r="J138" i="1" l="1"/>
  <c r="H83" i="1" l="1"/>
  <c r="H84" i="1" s="1"/>
  <c r="H86" i="1"/>
  <c r="H32" i="1"/>
  <c r="G38" i="3" l="1"/>
  <c r="G14" i="3"/>
  <c r="H163" i="1"/>
  <c r="H105" i="1"/>
  <c r="H104" i="1"/>
  <c r="H103" i="1"/>
  <c r="H102" i="1"/>
  <c r="H90" i="1"/>
  <c r="H88" i="1"/>
  <c r="H87" i="1"/>
  <c r="H79" i="1"/>
  <c r="H78" i="1"/>
  <c r="H77" i="1"/>
  <c r="H37" i="1"/>
  <c r="H34" i="1"/>
  <c r="H33" i="1"/>
  <c r="H31" i="1"/>
  <c r="H30" i="1"/>
  <c r="H29" i="1"/>
  <c r="H28" i="1"/>
  <c r="H27" i="1"/>
  <c r="H26" i="1"/>
  <c r="H25" i="1"/>
  <c r="H17" i="1"/>
  <c r="D25" i="3" l="1"/>
  <c r="D41" i="3" s="1"/>
  <c r="H165" i="1"/>
  <c r="C12" i="3"/>
  <c r="G12" i="3" s="1"/>
  <c r="C25" i="3"/>
  <c r="C30" i="3"/>
  <c r="G30" i="3" s="1"/>
  <c r="D21" i="3"/>
  <c r="C11" i="3"/>
  <c r="G11" i="3" l="1"/>
  <c r="C21" i="3"/>
  <c r="C41" i="3"/>
  <c r="G25" i="3"/>
  <c r="G41" i="3" s="1"/>
  <c r="G32" i="3"/>
  <c r="G13" i="3"/>
  <c r="G21" i="3" l="1"/>
</calcChain>
</file>

<file path=xl/sharedStrings.xml><?xml version="1.0" encoding="utf-8"?>
<sst xmlns="http://schemas.openxmlformats.org/spreadsheetml/2006/main" count="1164" uniqueCount="425">
  <si>
    <t>BRASIL</t>
  </si>
  <si>
    <t>PROGRAMA DE PRODUÇÃO E DIFUSÃO DE INOVAÇÕES PARA A COMPETITIVIDADE DE ARRANJOS PRODUTIVOS LOCAIS (APLS) DO ESTADO DE PERNAMBUCO</t>
  </si>
  <si>
    <t>Contrato de Empréstimo: 2147 OC-BR</t>
  </si>
  <si>
    <t xml:space="preserve">PLANO DE AQUISIÇÕES (PA) </t>
  </si>
  <si>
    <t>Atualizado por: PROAPL/PE</t>
  </si>
  <si>
    <t>*: Campos Obrigatórios</t>
  </si>
  <si>
    <t>INFORMAÇÃO PARA PREENCHIMENTO INICIAL DO PLANO DE AQUISIÇÕES (EM CURSO E/OU ÚLTIMO APRESENTADO)</t>
  </si>
  <si>
    <t>OBRAS</t>
  </si>
  <si>
    <t>Unidade Executora*</t>
  </si>
  <si>
    <t>Objeto*</t>
  </si>
  <si>
    <t>Descrição Adicional</t>
  </si>
  <si>
    <r>
      <t xml:space="preserve">Método 
</t>
    </r>
    <r>
      <rPr>
        <i/>
        <sz val="12"/>
        <color indexed="9"/>
        <rFont val="Calibri"/>
        <family val="2"/>
      </rPr>
      <t>(Selecionar uma das Opções)</t>
    </r>
    <r>
      <rPr>
        <sz val="12"/>
        <color indexed="9"/>
        <rFont val="Calibri"/>
        <family val="2"/>
      </rPr>
      <t>*</t>
    </r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</si>
  <si>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</si>
  <si>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</si>
  <si>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</si>
  <si>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</si>
  <si>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</si>
  <si>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</si>
  <si>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</si>
  <si>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Número PRISM</t>
  </si>
  <si>
    <t>Status</t>
  </si>
  <si>
    <t>Montante Estimado em US$ X 1000</t>
  </si>
  <si>
    <t>Montante Estimado % BID</t>
  </si>
  <si>
    <t>Montante Estimado % Contrapartida</t>
  </si>
  <si>
    <t>Publicação do Anúncio/Convite</t>
  </si>
  <si>
    <t>Assinatura do Contrato</t>
  </si>
  <si>
    <t>SECTI</t>
  </si>
  <si>
    <t>Contratação de serviços para execução de reforma das instalações da Unidade Gestora do Programa (UGP).</t>
  </si>
  <si>
    <r>
      <rPr>
        <b/>
        <sz val="10"/>
        <rFont val="Calibri"/>
        <family val="2"/>
        <scheme val="minor"/>
      </rPr>
      <t xml:space="preserve">Contrato nº : 044/2014 </t>
    </r>
    <r>
      <rPr>
        <sz val="10"/>
        <rFont val="Calibri"/>
        <family val="2"/>
        <scheme val="minor"/>
      </rPr>
      <t xml:space="preserve">  ROSA DE SARON CONSTRUÇÕES E EMPREENDIMENTOS LTDA- ME</t>
    </r>
  </si>
  <si>
    <t>Comparação de Preços </t>
  </si>
  <si>
    <t>CP 001/2014</t>
  </si>
  <si>
    <t>01.00.00</t>
  </si>
  <si>
    <t>Ex-Ante</t>
  </si>
  <si>
    <t xml:space="preserve">BR-B2422    </t>
  </si>
  <si>
    <t>Contrato Concluído</t>
  </si>
  <si>
    <t>Contratação de serviços para reforma da Infraestrutura e dos laboratórios do CT do Gesso.</t>
  </si>
  <si>
    <t>02.02.00</t>
  </si>
  <si>
    <t>Ex-Post</t>
  </si>
  <si>
    <t>Previsto</t>
  </si>
  <si>
    <t>Contratação de serviços para reforma da Infraestrutura e dos Laboratórios CT Moda - Confecção</t>
  </si>
  <si>
    <t>Total</t>
  </si>
  <si>
    <t>BENS</t>
  </si>
  <si>
    <t xml:space="preserve">Montante Estimado </t>
  </si>
  <si>
    <t>Método de Revisão (Selecionar uma das opções)</t>
  </si>
  <si>
    <t>Datas Estimadas</t>
  </si>
  <si>
    <t>Comentários - para Sistema Nacional incluir Método de Seleção</t>
  </si>
  <si>
    <t>Contratação de empresa para fornecimento de notebooks</t>
  </si>
  <si>
    <r>
      <rPr>
        <b/>
        <sz val="10"/>
        <rFont val="Calibri"/>
        <family val="2"/>
        <scheme val="minor"/>
      </rPr>
      <t xml:space="preserve">Contrato nº : 078/2014 </t>
    </r>
    <r>
      <rPr>
        <sz val="10"/>
        <rFont val="Calibri"/>
        <family val="2"/>
        <scheme val="minor"/>
      </rPr>
      <t xml:space="preserve">     INFODATAS COMERCIO DE PRODUTOS ELETRÔNICOS</t>
    </r>
  </si>
  <si>
    <t>Sistema Nacional (SN)</t>
  </si>
  <si>
    <t>PE 006/2014</t>
  </si>
  <si>
    <t>Sistema Nacional</t>
  </si>
  <si>
    <t xml:space="preserve">BR-B2561    </t>
  </si>
  <si>
    <t>Contratação de empresa para fornecimento de monitores</t>
  </si>
  <si>
    <r>
      <rPr>
        <b/>
        <sz val="10"/>
        <rFont val="Calibri"/>
        <family val="2"/>
        <scheme val="minor"/>
      </rPr>
      <t xml:space="preserve">Contrato nº : 077/2014 </t>
    </r>
    <r>
      <rPr>
        <sz val="10"/>
        <rFont val="Calibri"/>
        <family val="2"/>
        <scheme val="minor"/>
      </rPr>
      <t xml:space="preserve">     VINICIUS CHAVES DOS SANTOS - EPP</t>
    </r>
  </si>
  <si>
    <t xml:space="preserve">BR-B2562         </t>
  </si>
  <si>
    <t>Contratação de empresa para fornecimento de geladeira, microondas e projetor multimídia para UGP.</t>
  </si>
  <si>
    <r>
      <rPr>
        <b/>
        <sz val="10"/>
        <rFont val="Calibri"/>
        <family val="2"/>
        <scheme val="minor"/>
      </rPr>
      <t xml:space="preserve">Contrato nº : 112/2014 </t>
    </r>
    <r>
      <rPr>
        <sz val="10"/>
        <rFont val="Calibri"/>
        <family val="2"/>
        <scheme val="minor"/>
      </rPr>
      <t xml:space="preserve">  SIERDOVSKI E SIERDOVSKI </t>
    </r>
  </si>
  <si>
    <t>PE 009/2014</t>
  </si>
  <si>
    <t xml:space="preserve">CBR-1018/2015     </t>
  </si>
  <si>
    <t>Contratação de empresa para fornecimento de ar condicionados para UGP.</t>
  </si>
  <si>
    <r>
      <rPr>
        <b/>
        <sz val="10"/>
        <rFont val="Calibri"/>
        <family val="2"/>
        <scheme val="minor"/>
      </rPr>
      <t xml:space="preserve">Contrato nº : 091/2014 </t>
    </r>
    <r>
      <rPr>
        <sz val="10"/>
        <rFont val="Calibri"/>
        <family val="2"/>
        <scheme val="minor"/>
      </rPr>
      <t xml:space="preserve">    TERMOCENTER SISTEMAS TERMICOS LTDA</t>
    </r>
  </si>
  <si>
    <t>PE 007/2014</t>
  </si>
  <si>
    <t xml:space="preserve">CBR 176/2015    </t>
  </si>
  <si>
    <r>
      <rPr>
        <b/>
        <sz val="10"/>
        <rFont val="Calibri"/>
        <family val="2"/>
        <scheme val="minor"/>
      </rPr>
      <t xml:space="preserve">Contrato nº : 090/2014 </t>
    </r>
    <r>
      <rPr>
        <sz val="10"/>
        <rFont val="Calibri"/>
        <family val="2"/>
        <scheme val="minor"/>
      </rPr>
      <t xml:space="preserve">     PLAMAX EQUIPAMENTO LTDA</t>
    </r>
  </si>
  <si>
    <t>Contratação de empresa para fornecimento de cadeiras para UGP.</t>
  </si>
  <si>
    <r>
      <rPr>
        <b/>
        <sz val="10"/>
        <rFont val="Calibri"/>
        <family val="2"/>
        <scheme val="minor"/>
      </rPr>
      <t xml:space="preserve">Contrato nº : 016/2015 </t>
    </r>
    <r>
      <rPr>
        <sz val="10"/>
        <rFont val="Calibri"/>
        <family val="2"/>
        <scheme val="minor"/>
      </rPr>
      <t xml:space="preserve">     APARECIDA DAS DORES SILVA - ME</t>
    </r>
  </si>
  <si>
    <t>PE 011/2014</t>
  </si>
  <si>
    <t>4º trim 2015</t>
  </si>
  <si>
    <t>BR-B3129</t>
  </si>
  <si>
    <t>Contratação de empresa para fornecimento de arquivos de aço para UGP.</t>
  </si>
  <si>
    <r>
      <rPr>
        <b/>
        <sz val="10"/>
        <rFont val="Calibri"/>
        <family val="2"/>
        <scheme val="minor"/>
      </rPr>
      <t xml:space="preserve">Contrato nº : 017/2015 </t>
    </r>
    <r>
      <rPr>
        <sz val="10"/>
        <rFont val="Calibri"/>
        <family val="2"/>
        <scheme val="minor"/>
      </rPr>
      <t xml:space="preserve">     Y G SERVIÇOS E COMÉRCIO DE INFORMÁTICA LTDA - EPP</t>
    </r>
  </si>
  <si>
    <t>BR-B3130</t>
  </si>
  <si>
    <t>Contratação de empresa para fornecimento de mesas e armários para UGP.</t>
  </si>
  <si>
    <r>
      <rPr>
        <b/>
        <sz val="10"/>
        <rFont val="Calibri"/>
        <family val="2"/>
        <scheme val="minor"/>
      </rPr>
      <t>Autorização de Fornecimento (AF) nº. 30256</t>
    </r>
    <r>
      <rPr>
        <sz val="10"/>
        <rFont val="Calibri"/>
        <family val="2"/>
        <scheme val="minor"/>
      </rPr>
      <t xml:space="preserve"> P.R.L PEREIRA INDÚSTRIA E COM.DE MÓVEIS - ME</t>
    </r>
  </si>
  <si>
    <t>Comparação de Preços (CP)</t>
  </si>
  <si>
    <t>CP 007/2015</t>
  </si>
  <si>
    <t>1º trim 2016</t>
  </si>
  <si>
    <t>BR-B3220</t>
  </si>
  <si>
    <t>Contratação de empresa para  fornecimento e instalação de persianas para UGP.</t>
  </si>
  <si>
    <r>
      <rPr>
        <b/>
        <sz val="10"/>
        <rFont val="Calibri"/>
        <family val="2"/>
        <scheme val="minor"/>
      </rPr>
      <t>Autorização de Fornecimento (AF) nº. 30251</t>
    </r>
    <r>
      <rPr>
        <sz val="10"/>
        <rFont val="Calibri"/>
        <family val="2"/>
        <scheme val="minor"/>
      </rPr>
      <t xml:space="preserve"> F.A MENEZES DA MOTA</t>
    </r>
  </si>
  <si>
    <t>CP 005/2015</t>
  </si>
  <si>
    <t>BR-B3219</t>
  </si>
  <si>
    <t>Aquisição de licenças Windows para computadores da UGP.</t>
  </si>
  <si>
    <r>
      <rPr>
        <b/>
        <sz val="10"/>
        <rFont val="Calibri"/>
        <family val="2"/>
        <scheme val="minor"/>
      </rPr>
      <t>Autorização de Fornecimento (AF) nº. 30255</t>
    </r>
    <r>
      <rPr>
        <sz val="10"/>
        <rFont val="Calibri"/>
        <family val="2"/>
        <scheme val="minor"/>
      </rPr>
      <t xml:space="preserve"> AX4B SERVIÇOS DE INFORMÁTICA LTDA - ME</t>
    </r>
  </si>
  <si>
    <t>CP 006/2015</t>
  </si>
  <si>
    <t>Aquisição de bens permanente e materiais de consumo para UGP</t>
  </si>
  <si>
    <t>3º trim 2016</t>
  </si>
  <si>
    <t>4º trim 2017</t>
  </si>
  <si>
    <t>Aquisições de bens para manutenção regular das atividades da UGP</t>
  </si>
  <si>
    <t>Regulamento ITEP</t>
  </si>
  <si>
    <t>Contratação de empresa para fornecimento de materiais de informática para os Laboratórios do CT Araripe/ Gesso</t>
  </si>
  <si>
    <r>
      <rPr>
        <b/>
        <sz val="10"/>
        <rFont val="Calibri"/>
        <family val="2"/>
        <scheme val="minor"/>
      </rPr>
      <t xml:space="preserve">Contrato nº : 035/2015 </t>
    </r>
    <r>
      <rPr>
        <sz val="10"/>
        <rFont val="Calibri"/>
        <family val="2"/>
        <scheme val="minor"/>
      </rPr>
      <t xml:space="preserve">     MOISES HAMERSKI - EPP</t>
    </r>
  </si>
  <si>
    <t>PE 001/2015</t>
  </si>
  <si>
    <t>3º trim 2015</t>
  </si>
  <si>
    <t>BR-B3131</t>
  </si>
  <si>
    <t>Contratação de empresa para fornecimento de bens para os Laboratórios do APL de Gesso.</t>
  </si>
  <si>
    <t>Contratação de empresa para fornecimento de bens para instalações do CT Araripe - Gesso.</t>
  </si>
  <si>
    <t>Contratação de empresa para fornecimento de bens para instalações  do CT Moda - Confecção</t>
  </si>
  <si>
    <t>Licitação Pública Nacional (LPN)</t>
  </si>
  <si>
    <t>Aquisição de bens para APL Laticínios</t>
  </si>
  <si>
    <t>Programa Conectividade:  Implantação da conectividade em banda larga para os APLs.</t>
  </si>
  <si>
    <t>SERVIÇOS QUE NÃO SÃO DE CONSULTORIA</t>
  </si>
  <si>
    <t xml:space="preserve">Gestão e manutenção das atividades da UGP </t>
  </si>
  <si>
    <t>3º trim 2010</t>
  </si>
  <si>
    <t>Contrato em Execução</t>
  </si>
  <si>
    <t>Contratação de hotel para sediar curso "Relações Intersetoriais Público-Privadas em Governos Estaduais"</t>
  </si>
  <si>
    <r>
      <rPr>
        <b/>
        <sz val="10"/>
        <rFont val="Calibri"/>
        <family val="2"/>
        <scheme val="minor"/>
      </rPr>
      <t xml:space="preserve">Contrato nº : 022/2012 </t>
    </r>
    <r>
      <rPr>
        <sz val="10"/>
        <rFont val="Calibri"/>
        <family val="2"/>
        <scheme val="minor"/>
      </rPr>
      <t xml:space="preserve">     TRANSAMERICA FLATS LTDA</t>
    </r>
  </si>
  <si>
    <t>PC 007/2012</t>
  </si>
  <si>
    <t xml:space="preserve">BR-B2777     </t>
  </si>
  <si>
    <t>Contratação de tradução simultânea para o curso "Relações Intersetoriais Público-Privadas em Governos Estaduais"</t>
  </si>
  <si>
    <r>
      <rPr>
        <b/>
        <sz val="10"/>
        <rFont val="Calibri"/>
        <family val="2"/>
        <scheme val="minor"/>
      </rPr>
      <t xml:space="preserve">Contrato nº : 021/2012 </t>
    </r>
    <r>
      <rPr>
        <sz val="10"/>
        <rFont val="Calibri"/>
        <family val="2"/>
        <scheme val="minor"/>
      </rPr>
      <t xml:space="preserve">     AGENDA COMUNICAÇÃO E SERVIÇOS LTDA</t>
    </r>
  </si>
  <si>
    <t>PC 009/2012</t>
  </si>
  <si>
    <t xml:space="preserve">BR-10931   </t>
  </si>
  <si>
    <t>Consultoria de apoio a Missão de Governança</t>
  </si>
  <si>
    <r>
      <t xml:space="preserve">Contrato nº : 001/2014     </t>
    </r>
    <r>
      <rPr>
        <sz val="10"/>
        <rFont val="Calibri"/>
        <family val="2"/>
        <scheme val="minor"/>
      </rPr>
      <t>ALBUQUERQUE E CORREIA CONSULTORES</t>
    </r>
  </si>
  <si>
    <t>PC 001/2014</t>
  </si>
  <si>
    <t xml:space="preserve">BR 10539     </t>
  </si>
  <si>
    <t>Consultoria para manutenção da solução de informática integrada para gestão administrativa e financeira do Programa</t>
  </si>
  <si>
    <r>
      <t xml:space="preserve">Contrato nº : 023/2009   </t>
    </r>
    <r>
      <rPr>
        <sz val="10"/>
        <rFont val="Calibri"/>
        <family val="2"/>
        <scheme val="minor"/>
      </rPr>
      <t xml:space="preserve"> NT CONSULT</t>
    </r>
  </si>
  <si>
    <t>CP 003/2009</t>
  </si>
  <si>
    <t>4º trim 2009</t>
  </si>
  <si>
    <t xml:space="preserve">BR-A9970   </t>
  </si>
  <si>
    <t>Contratação de serviços diversos para UGP.</t>
  </si>
  <si>
    <t xml:space="preserve"> Regulamento Itep                IN 24 - ITEP</t>
  </si>
  <si>
    <t>CBR 593/2014</t>
  </si>
  <si>
    <t>CBR 3504/2014</t>
  </si>
  <si>
    <t>Autorização para uso dos recursos do empréstimo (despesas para COFFEE BREAK)</t>
  </si>
  <si>
    <t>CBR 3949/2014</t>
  </si>
  <si>
    <t>Contratação de empresa para prestação de serviço de instalação de ar condicionados na UGP.</t>
  </si>
  <si>
    <r>
      <rPr>
        <b/>
        <sz val="10"/>
        <rFont val="Calibri"/>
        <family val="2"/>
        <scheme val="minor"/>
      </rPr>
      <t xml:space="preserve">Contrato nº : 094/2014 </t>
    </r>
    <r>
      <rPr>
        <sz val="10"/>
        <rFont val="Calibri"/>
        <family val="2"/>
        <scheme val="minor"/>
      </rPr>
      <t xml:space="preserve">      R &amp; C COMÉRCIO E SERVIÇOS LTDA ME</t>
    </r>
  </si>
  <si>
    <t>PE 008/2014</t>
  </si>
  <si>
    <t xml:space="preserve">CBR-170/201    </t>
  </si>
  <si>
    <t>Contratação de empresa para prestação de serviços gráficos.</t>
  </si>
  <si>
    <r>
      <rPr>
        <b/>
        <sz val="10"/>
        <rFont val="Calibri"/>
        <family val="2"/>
        <scheme val="minor"/>
      </rPr>
      <t xml:space="preserve">Contrato nº : 111/2014 </t>
    </r>
    <r>
      <rPr>
        <sz val="10"/>
        <rFont val="Calibri"/>
        <family val="2"/>
        <scheme val="minor"/>
      </rPr>
      <t xml:space="preserve">    MXM GRÁFICA E EDITORA LTDA</t>
    </r>
  </si>
  <si>
    <t>CP 005/2014</t>
  </si>
  <si>
    <t xml:space="preserve">CBR-1019/2015  </t>
  </si>
  <si>
    <t>Contratação de empresa para prestação de serviço de combustível.</t>
  </si>
  <si>
    <r>
      <t xml:space="preserve">Contrato nº : 106/2014     </t>
    </r>
    <r>
      <rPr>
        <sz val="10"/>
        <rFont val="Calibri"/>
        <family val="2"/>
        <scheme val="minor"/>
      </rPr>
      <t>VB SERVIÇOS COMÉRCIO E ADMINISTRAÇÃO LTDA</t>
    </r>
  </si>
  <si>
    <t>PE 010/2014</t>
  </si>
  <si>
    <t xml:space="preserve">BR-B2736     </t>
  </si>
  <si>
    <t>Contratação de empresa para fornecimento de serviço de táxi.</t>
  </si>
  <si>
    <r>
      <rPr>
        <b/>
        <sz val="10"/>
        <rFont val="Calibri"/>
        <family val="2"/>
        <scheme val="minor"/>
      </rPr>
      <t xml:space="preserve">Contrato nº : 099/2014 </t>
    </r>
    <r>
      <rPr>
        <sz val="10"/>
        <rFont val="Calibri"/>
        <family val="2"/>
        <scheme val="minor"/>
      </rPr>
      <t xml:space="preserve">  TRANS – SERVI TRANSPORTES E SERVIÇOS LTDA - ME</t>
    </r>
  </si>
  <si>
    <t>Contratação Direta (CD)</t>
  </si>
  <si>
    <t>CD 001/2014</t>
  </si>
  <si>
    <t>2º trim 2014</t>
  </si>
  <si>
    <t xml:space="preserve">CBR 750/2015    </t>
  </si>
  <si>
    <t>Contratação de empresa para prestação de serviço de locação de veículo.</t>
  </si>
  <si>
    <r>
      <rPr>
        <b/>
        <sz val="10"/>
        <rFont val="Calibri"/>
        <family val="2"/>
        <scheme val="minor"/>
      </rPr>
      <t xml:space="preserve">Contrato nº : 076/2014 </t>
    </r>
    <r>
      <rPr>
        <sz val="10"/>
        <rFont val="Calibri"/>
        <family val="2"/>
        <scheme val="minor"/>
      </rPr>
      <t xml:space="preserve">     RIO SOLIMÕES NAVEGAÇÃO E TRANSPORTE LTDA - EPP</t>
    </r>
  </si>
  <si>
    <t>PE 002/2014</t>
  </si>
  <si>
    <t xml:space="preserve">BR-B2528     </t>
  </si>
  <si>
    <t xml:space="preserve">Contratação de empresa para prestação de serviço de locação de veículos </t>
  </si>
  <si>
    <r>
      <rPr>
        <b/>
        <sz val="10"/>
        <rFont val="Calibri"/>
        <family val="2"/>
        <scheme val="minor"/>
      </rPr>
      <t xml:space="preserve">Contrato nº : 011/2016 </t>
    </r>
    <r>
      <rPr>
        <sz val="10"/>
        <rFont val="Calibri"/>
        <family val="2"/>
        <scheme val="minor"/>
      </rPr>
      <t xml:space="preserve">MMR LOCAÇÕES DE AUTOMÓVEIS LTDA      </t>
    </r>
  </si>
  <si>
    <t>CP 001/2016</t>
  </si>
  <si>
    <t xml:space="preserve">BR-B3215     </t>
  </si>
  <si>
    <r>
      <rPr>
        <b/>
        <sz val="10"/>
        <rFont val="Calibri"/>
        <family val="2"/>
        <scheme val="minor"/>
      </rPr>
      <t xml:space="preserve">Contrato nº : 010/2016 </t>
    </r>
    <r>
      <rPr>
        <sz val="10"/>
        <rFont val="Calibri"/>
        <family val="2"/>
        <scheme val="minor"/>
      </rPr>
      <t xml:space="preserve">SUCESSO LOCADORA DE VEÍCULOS LTDA  </t>
    </r>
  </si>
  <si>
    <t xml:space="preserve">BR-B3217  </t>
  </si>
  <si>
    <t>Contratação de empresa para prestação de serviço de cabeamento, lógica e telefonia da UGP.</t>
  </si>
  <si>
    <r>
      <rPr>
        <b/>
        <sz val="10"/>
        <rFont val="Calibri"/>
        <family val="2"/>
        <scheme val="minor"/>
      </rPr>
      <t xml:space="preserve">Contrato nº : 006/2016 </t>
    </r>
    <r>
      <rPr>
        <sz val="10"/>
        <rFont val="Calibri"/>
        <family val="2"/>
        <scheme val="minor"/>
      </rPr>
      <t xml:space="preserve">  ROXTON VEIRA MEIRA ELETRICIDADE E TELECOMUNICAÇÕES ME</t>
    </r>
  </si>
  <si>
    <t>CP 003/2015</t>
  </si>
  <si>
    <t xml:space="preserve">BR-B3176 </t>
  </si>
  <si>
    <t>Contratação de empresa para prestação de serviço de fornecimento de passagens aéreas.</t>
  </si>
  <si>
    <r>
      <rPr>
        <b/>
        <sz val="10"/>
        <rFont val="Calibri"/>
        <family val="2"/>
        <scheme val="minor"/>
      </rPr>
      <t xml:space="preserve">Contrato nº : 079/2014 </t>
    </r>
    <r>
      <rPr>
        <sz val="10"/>
        <rFont val="Calibri"/>
        <family val="2"/>
        <scheme val="minor"/>
      </rPr>
      <t xml:space="preserve">     PEHR MARES AGENCIA DE VIAGENS E TURISMO LTDA</t>
    </r>
  </si>
  <si>
    <t>PE 005/2014</t>
  </si>
  <si>
    <t xml:space="preserve">BR-B2529    </t>
  </si>
  <si>
    <t>Contratação de empresa para prestação de serviço de fornecimento de hospedagem nacional.</t>
  </si>
  <si>
    <r>
      <rPr>
        <b/>
        <sz val="10"/>
        <rFont val="Calibri"/>
        <family val="2"/>
        <scheme val="minor"/>
      </rPr>
      <t xml:space="preserve">Contrato nº : 073/2014 </t>
    </r>
    <r>
      <rPr>
        <sz val="10"/>
        <rFont val="Calibri"/>
        <family val="2"/>
        <scheme val="minor"/>
      </rPr>
      <t xml:space="preserve">      CR TURISMO LTDA</t>
    </r>
  </si>
  <si>
    <t>PE 004/2014</t>
  </si>
  <si>
    <t>Contratação de empresa para prestação de serviço de fornecimento de hospedagem internacional.</t>
  </si>
  <si>
    <r>
      <rPr>
        <b/>
        <sz val="10"/>
        <rFont val="Calibri"/>
        <family val="2"/>
        <scheme val="minor"/>
      </rPr>
      <t xml:space="preserve">Contrato nº : 074/2014 </t>
    </r>
    <r>
      <rPr>
        <sz val="10"/>
        <rFont val="Calibri"/>
        <family val="2"/>
        <scheme val="minor"/>
      </rPr>
      <t xml:space="preserve">       LAH EVENTOS EIRELI - ME</t>
    </r>
  </si>
  <si>
    <t>3º trim 2014</t>
  </si>
  <si>
    <t xml:space="preserve">Contratação de serviços para implementação de estratégias de desenvolvimento comum dos APLs </t>
  </si>
  <si>
    <t>Contratar empresa para desenvolvimento de website do APL do Gesso (eixo 1 APL Gesso)</t>
  </si>
  <si>
    <r>
      <t xml:space="preserve">Contrato nº : 082/2014   </t>
    </r>
    <r>
      <rPr>
        <sz val="10"/>
        <rFont val="Calibri"/>
        <family val="2"/>
        <scheme val="minor"/>
      </rPr>
      <t xml:space="preserve"> BRASCOMTI</t>
    </r>
  </si>
  <si>
    <t>CP 003/2014</t>
  </si>
  <si>
    <t xml:space="preserve">BR10693    </t>
  </si>
  <si>
    <t>Contratar empresa para elaboração do projeto do Laboratório de Calcinação (Unidade Piloto) no CT Araripe (eixo 3 APL Gesso)</t>
  </si>
  <si>
    <r>
      <t xml:space="preserve">Contrato nº : 046/2014   </t>
    </r>
    <r>
      <rPr>
        <sz val="10"/>
        <rFont val="Calibri"/>
        <family val="2"/>
        <scheme val="minor"/>
      </rPr>
      <t xml:space="preserve"> ELETROPORT</t>
    </r>
  </si>
  <si>
    <t xml:space="preserve">BR10537  </t>
  </si>
  <si>
    <t>Contratar empresa para desenvolvimento de website do APL do Confecção (eixo 1 APL Confecção)</t>
  </si>
  <si>
    <t>Implementar monitoramento de presença on-line para o APL de Confecção (eixo 1 APL Confecção)</t>
  </si>
  <si>
    <r>
      <t xml:space="preserve">Contrato nº : 009/2015 </t>
    </r>
    <r>
      <rPr>
        <sz val="10"/>
        <rFont val="Calibri"/>
        <family val="2"/>
        <scheme val="minor"/>
      </rPr>
      <t xml:space="preserve"> IRIS TECNOLOGIA DA INFORMAÇÃO</t>
    </r>
  </si>
  <si>
    <t>CP 004/2014</t>
  </si>
  <si>
    <t>CONSULTORIAS FIRMAS</t>
  </si>
  <si>
    <t>Publicação  Manifestação de Interesse</t>
  </si>
  <si>
    <t>Auditoria Externa</t>
  </si>
  <si>
    <r>
      <t xml:space="preserve">Contrato nº : 110/2014     </t>
    </r>
    <r>
      <rPr>
        <sz val="10"/>
        <rFont val="Calibri"/>
        <family val="2"/>
        <scheme val="minor"/>
      </rPr>
      <t>Price Waterhouse Coopers Auditores Independentes - PWC</t>
    </r>
  </si>
  <si>
    <t>Seleção Baseada na Qualidade e Custo (SBQC)</t>
  </si>
  <si>
    <t>SBQC 001/2014</t>
  </si>
  <si>
    <t>03.00.00</t>
  </si>
  <si>
    <t>4º trim 2013</t>
  </si>
  <si>
    <t>Contratação de consultoria para Avaliação Intermediária</t>
  </si>
  <si>
    <t>Seleção Baseada nas Qualificações do Consultor (SQC)</t>
  </si>
  <si>
    <t>Contratação de consultoria para Avaliação Final do Programa</t>
  </si>
  <si>
    <t>3º trim 2017</t>
  </si>
  <si>
    <t xml:space="preserve">Consultoria para levantamento e consolidação das estratégias de desenvolvimento comum dos APLs </t>
  </si>
  <si>
    <t>02.01.00</t>
  </si>
  <si>
    <t xml:space="preserve">Contratação de consultoria para Diagnóstico do uso e das necessidades de TIC nos APLs </t>
  </si>
  <si>
    <t>Contratação de consultoria para Diagnóstico do uso e das necessidades de TIC nos APLs</t>
  </si>
  <si>
    <t>Contratação de consultoria para elaboração dos Planos de Melhoria da Competitividade (PMCs) do APL de Laticínios e do APL de Vitivinicultura e definição do Marco Lógico dos APLs</t>
  </si>
  <si>
    <t>1° trim 2016</t>
  </si>
  <si>
    <t>Processo em Curso</t>
  </si>
  <si>
    <t>Contratação de consultoria para ampliação das ações PMCs dos APLs de Gesso e Confecção</t>
  </si>
  <si>
    <t>Seleção Baseada na Qualidade e Custo (SBQC)</t>
  </si>
  <si>
    <t>Contratação de consultoria para elaboração dos Planos de Negócios dos CTs Araripe e Confecção</t>
  </si>
  <si>
    <r>
      <t xml:space="preserve">Contrato nº : 034/2014   </t>
    </r>
    <r>
      <rPr>
        <sz val="10"/>
        <rFont val="Calibri"/>
        <family val="2"/>
        <scheme val="minor"/>
      </rPr>
      <t xml:space="preserve"> ACTTA SOLUÇÕES EM GESTÃO LTDA</t>
    </r>
  </si>
  <si>
    <t xml:space="preserve">BR 10540    </t>
  </si>
  <si>
    <t>Contratação de consultoria para definição dos PMCs nos APLs</t>
  </si>
  <si>
    <t>Contratação de três empresas de consultorias para Oficina da Moda - APL Confecção.</t>
  </si>
  <si>
    <t>Consultoria para desenvolver projeto Radar Mercadológico - Confecção.</t>
  </si>
  <si>
    <t xml:space="preserve">Consultorias para estruturação e apoio ao sistema de M&amp;A do Programa e do registro das lições aprendidas e perspectivas futuras. </t>
  </si>
  <si>
    <t>02.04.00</t>
  </si>
  <si>
    <t>Contratação de empresa para divulgação dos resultados do programa.</t>
  </si>
  <si>
    <t>02.03.00</t>
  </si>
  <si>
    <t>CONSULTORIAS INDIVIDUAIS</t>
  </si>
  <si>
    <t>Quantidade Estimada de Consultores</t>
  </si>
  <si>
    <t>Não Objeção aos  TDR da Atividade</t>
  </si>
  <si>
    <t>Assinatura Contrato</t>
  </si>
  <si>
    <t>Comparação de Qualificações (3 CV's)</t>
  </si>
  <si>
    <t>Contratação de consultorias para apoio à gestão e execução das ações do Programa</t>
  </si>
  <si>
    <r>
      <t>Contrato nº : 045/2014</t>
    </r>
    <r>
      <rPr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 xml:space="preserve">    </t>
    </r>
    <r>
      <rPr>
        <sz val="10"/>
        <rFont val="Calibri"/>
        <family val="2"/>
        <scheme val="minor"/>
      </rPr>
      <t xml:space="preserve">MARCOS SUASSUNA </t>
    </r>
    <r>
      <rPr>
        <b/>
        <sz val="10"/>
        <rFont val="Calibri"/>
        <family val="2"/>
        <scheme val="minor"/>
      </rPr>
      <t/>
    </r>
  </si>
  <si>
    <r>
      <rPr>
        <b/>
        <sz val="10"/>
        <rFont val="Calibri"/>
        <family val="2"/>
        <scheme val="minor"/>
      </rPr>
      <t>CBR 1001/2014</t>
    </r>
    <r>
      <rPr>
        <sz val="10"/>
        <rFont val="Calibri"/>
        <family val="2"/>
        <scheme val="minor"/>
      </rPr>
      <t xml:space="preserve">                     24/03/2014</t>
    </r>
  </si>
  <si>
    <t xml:space="preserve">BR 10536   </t>
  </si>
  <si>
    <t>Contratação de Consultoria para atualização dos PMCs do Gesso e Confecção</t>
  </si>
  <si>
    <r>
      <t>Contrato nº : 24.01/2013</t>
    </r>
    <r>
      <rPr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 xml:space="preserve">    </t>
    </r>
    <r>
      <rPr>
        <sz val="10"/>
        <rFont val="Calibri"/>
        <family val="2"/>
        <scheme val="minor"/>
      </rPr>
      <t>MARCOS SUASSUNA</t>
    </r>
  </si>
  <si>
    <r>
      <rPr>
        <b/>
        <sz val="10"/>
        <rFont val="Calibri"/>
        <family val="2"/>
        <scheme val="minor"/>
      </rPr>
      <t>CBR 1847/2012</t>
    </r>
    <r>
      <rPr>
        <sz val="10"/>
        <rFont val="Calibri"/>
        <family val="2"/>
        <scheme val="minor"/>
      </rPr>
      <t xml:space="preserve">                     31/05/2012</t>
    </r>
  </si>
  <si>
    <t xml:space="preserve">BR 10599   </t>
  </si>
  <si>
    <t>Consultorias especializadas de apoio ao M&amp;A nas área de economia, estatística e sistema de informação.</t>
  </si>
  <si>
    <t>CAPACITAÇÃO</t>
  </si>
  <si>
    <t xml:space="preserve"> Publicação  Manifestação de Interesse ou do Anúncio</t>
  </si>
  <si>
    <t>Capacitação em gestão estratégica da inovação para os 4 APLs.</t>
  </si>
  <si>
    <t>SUBPROJETOS</t>
  </si>
  <si>
    <t>Unidade Executora</t>
  </si>
  <si>
    <t>Objeto da Transferência</t>
  </si>
  <si>
    <t>Quantidade Estimada de Subprojetos</t>
  </si>
  <si>
    <t>Comentários</t>
  </si>
  <si>
    <t>Assinatura do Contrato/ Convênio por Adjudicação dos Subprojetos</t>
  </si>
  <si>
    <t>Data de 
Transferência</t>
  </si>
  <si>
    <t>Método  de Revisão</t>
  </si>
  <si>
    <t>Nova Licitação</t>
  </si>
  <si>
    <t>Processo Cancelado</t>
  </si>
  <si>
    <t>Declaração de Aquisição Deserta</t>
  </si>
  <si>
    <t>Recusa de Propostas</t>
  </si>
  <si>
    <t xml:space="preserve">Métodos </t>
  </si>
  <si>
    <t>Consultoria Firmas</t>
  </si>
  <si>
    <t>Seleção Baseada na Qualidade (SBQ)</t>
  </si>
  <si>
    <t>Seleção Baseada no Menor Custo (SBMC) </t>
  </si>
  <si>
    <t>Seleção Baseada em Orçamento Fixo (SBOF)</t>
  </si>
  <si>
    <t>Bens, Obras e Serviços</t>
  </si>
  <si>
    <t>Licitação Pública Internacional (LPI)</t>
  </si>
  <si>
    <t>Licitação Limitada Internacional  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</si>
  <si>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</si>
  <si>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</si>
  <si>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</si>
  <si>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</si>
  <si>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Consultorias Individuais</t>
  </si>
  <si>
    <t xml:space="preserve">Comparação de Qualificações (3 CV) </t>
  </si>
  <si>
    <r>
      <rPr>
        <b/>
        <sz val="10"/>
        <rFont val="Calibri"/>
        <family val="2"/>
        <scheme val="minor"/>
      </rPr>
      <t xml:space="preserve">Contrato nº : 009/2016 </t>
    </r>
    <r>
      <rPr>
        <sz val="10"/>
        <rFont val="Calibri"/>
        <family val="2"/>
        <scheme val="minor"/>
      </rPr>
      <t xml:space="preserve">     AEROMIX AGENCIA DE VIAGENS E TURISMO LTDA </t>
    </r>
  </si>
  <si>
    <t>Autorização para uso dos recursos do empréstimo (despesas de viagens)</t>
  </si>
  <si>
    <t xml:space="preserve"> Regulamento Itep                </t>
  </si>
  <si>
    <t xml:space="preserve"> Regulamento Itep               </t>
  </si>
  <si>
    <t>INCLUIR NO GESSO</t>
  </si>
  <si>
    <t>Obras</t>
  </si>
  <si>
    <r>
      <rPr>
        <b/>
        <sz val="10"/>
        <color theme="1"/>
        <rFont val="Calibri"/>
        <family val="2"/>
        <scheme val="minor"/>
      </rPr>
      <t xml:space="preserve">Contrato nº : 073/2014 </t>
    </r>
    <r>
      <rPr>
        <sz val="10"/>
        <color theme="1"/>
        <rFont val="Calibri"/>
        <family val="2"/>
        <scheme val="minor"/>
      </rPr>
      <t xml:space="preserve">      CR TURISMO LTDA</t>
    </r>
  </si>
  <si>
    <t>Nombre Organismo Prestatario</t>
  </si>
  <si>
    <t>Nombre Organismo Sub-Ejecutor (si aplica)</t>
  </si>
  <si>
    <t>Iniciales Organismo Sub-ejecutor</t>
  </si>
  <si>
    <r>
      <rPr>
        <b/>
        <sz val="10"/>
        <rFont val="Calibri"/>
        <family val="2"/>
        <scheme val="minor"/>
      </rPr>
      <t>Mutuário</t>
    </r>
    <r>
      <rPr>
        <sz val="10"/>
        <rFont val="Calibri"/>
        <family val="2"/>
        <scheme val="minor"/>
      </rPr>
      <t xml:space="preserve">: Estado de Pernambuco
</t>
    </r>
    <r>
      <rPr>
        <b/>
        <sz val="10"/>
        <rFont val="Calibri"/>
        <family val="2"/>
        <scheme val="minor"/>
      </rPr>
      <t>Executo</t>
    </r>
    <r>
      <rPr>
        <sz val="10"/>
        <rFont val="Calibri"/>
        <family val="2"/>
        <scheme val="minor"/>
      </rPr>
      <t xml:space="preserve">r: Secretaria de Ciência e Tecnologia de Pernambuco - SECTEC
</t>
    </r>
    <r>
      <rPr>
        <b/>
        <sz val="10"/>
        <rFont val="Calibri"/>
        <family val="2"/>
        <scheme val="minor"/>
      </rPr>
      <t>Unidade Gestora</t>
    </r>
    <r>
      <rPr>
        <sz val="10"/>
        <rFont val="Calibri"/>
        <family val="2"/>
        <scheme val="minor"/>
      </rPr>
      <t>: Associação Instituto de Tecnologia de Pernambuco - ITEP</t>
    </r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</si>
  <si>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</si>
  <si>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</si>
  <si>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</si>
  <si>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 xml:space="preserve">SI </t>
  </si>
  <si>
    <t>Administração e Avaliação</t>
  </si>
  <si>
    <r>
      <rPr>
        <b/>
        <sz val="10"/>
        <rFont val="Calibri"/>
        <family val="2"/>
        <scheme val="minor"/>
      </rPr>
      <t>Componente 1</t>
    </r>
    <r>
      <rPr>
        <sz val="10"/>
        <rFont val="Calibri"/>
        <family val="2"/>
        <scheme val="minor"/>
      </rPr>
      <t xml:space="preserve"> - Desenvolvimento de um modelo Público-Privado de Apoio a Melhoria da Competitividade dos APLs </t>
    </r>
  </si>
  <si>
    <r>
      <rPr>
        <b/>
        <sz val="10"/>
        <rFont val="Calibri"/>
        <family val="2"/>
        <scheme val="minor"/>
      </rPr>
      <t>Componente 2</t>
    </r>
    <r>
      <rPr>
        <sz val="10"/>
        <rFont val="Calibri"/>
        <family val="2"/>
        <scheme val="minor"/>
      </rPr>
      <t xml:space="preserve"> - Implementação dos Planos de Melhoria da Competitividade dos APLs</t>
    </r>
  </si>
  <si>
    <r>
      <rPr>
        <b/>
        <sz val="10"/>
        <rFont val="Calibri"/>
        <family val="2"/>
        <scheme val="minor"/>
      </rPr>
      <t>Componente 3</t>
    </r>
    <r>
      <rPr>
        <sz val="10"/>
        <rFont val="Calibri"/>
        <family val="2"/>
        <scheme val="minor"/>
      </rPr>
      <t xml:space="preserve"> - Aplicações estratégicas de tecnologias da informação e comunicação (TICs) para os APLs</t>
    </r>
  </si>
  <si>
    <r>
      <rPr>
        <b/>
        <sz val="10"/>
        <rFont val="Calibri"/>
        <family val="2"/>
        <scheme val="minor"/>
      </rPr>
      <t>Componente 4</t>
    </r>
    <r>
      <rPr>
        <sz val="10"/>
        <rFont val="Calibri"/>
        <family val="2"/>
        <scheme val="minor"/>
      </rPr>
      <t xml:space="preserve"> - Desenvolvimento de um sistema de acompanhamento, avalição e identificação das lições aprendidas do Programa</t>
    </r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</si>
  <si>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</si>
  <si>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</si>
  <si>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</si>
  <si>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</si>
  <si>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</si>
  <si>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</si>
  <si>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</si>
  <si>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</si>
  <si>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Código PA</t>
  </si>
  <si>
    <t>Categoría de Adquisición</t>
  </si>
  <si>
    <t>Monto Financiado por el Banco</t>
  </si>
  <si>
    <t>Monto Financiado por el SECTI</t>
  </si>
  <si>
    <t>Monto Financiado por el Parceiros (SEBRAE-PE)</t>
  </si>
  <si>
    <t>Monto Financiado por el Parceiros (Sistema FIEPE)</t>
  </si>
  <si>
    <t>Monto Total Proyecto (Incluyendo Contraparte)</t>
  </si>
  <si>
    <t>Bienes</t>
  </si>
  <si>
    <t>Servicios de No Consultoría</t>
  </si>
  <si>
    <t>Consultoría (firmas)</t>
  </si>
  <si>
    <t>Consultoría (individuos)</t>
  </si>
  <si>
    <t>Capacitación</t>
  </si>
  <si>
    <t>Gastos Operativos</t>
  </si>
  <si>
    <t>Transferencias</t>
  </si>
  <si>
    <t>Subproyectos Comunitarios</t>
  </si>
  <si>
    <t>No asignados</t>
  </si>
  <si>
    <t>4. Componentes</t>
  </si>
  <si>
    <t>Componente de Inversión</t>
  </si>
  <si>
    <t>Monto  Financiado por el Contraparte (SECTEC)</t>
  </si>
  <si>
    <t>% (Incluyendo Contraparte)</t>
  </si>
  <si>
    <t xml:space="preserve">COMPONENTE 1 - Desenvolvimento de um modelo Público-Privado de Apoio a Melhoria da Competitividade dos APLs </t>
  </si>
  <si>
    <t>1.1 Definição de estratégias de desenvolvimento comum para os APLs</t>
  </si>
  <si>
    <t>1.2 Diagnóstico do uso e das necessidades de TIC nos APLs</t>
  </si>
  <si>
    <t>1.3 Definição dos PMCs nos APLs</t>
  </si>
  <si>
    <t>COMPONENTE 2 - Implementação dos Planos de Melhoria da Competitividade dos APLs</t>
  </si>
  <si>
    <t>2.1 Implementação de estratégias de desenvolvimento comum dos Apls</t>
  </si>
  <si>
    <t>2.2 Implementação dos PMCs nos 4 APLs</t>
  </si>
  <si>
    <t>COMPONENTE 3 - Aplicações estratégicas de tecnologias da informação e comunicação (TICs) para os APLs</t>
  </si>
  <si>
    <t>3.1 Identificação e desenvolvimento de arquitetura e aplicações de TICs para os APLs</t>
  </si>
  <si>
    <t>COMPONENTE 4 - Desenvolvimento de um sistema de acompanhamento, avalição e identificação das lições aprendidas do Programa</t>
  </si>
  <si>
    <t>4.1 Implantação e implementação dos sistemas de acompanhamento, monitoramento e avaliação e identificação de lições aprendidas</t>
  </si>
  <si>
    <t>4.2 Divulgação dos resultados do Programa</t>
  </si>
  <si>
    <t>Imprevistos</t>
  </si>
  <si>
    <t>Custo Financeiro</t>
  </si>
  <si>
    <t>Aquisição de bens para APL Vitivinicultura - Readequação dos laboratórios</t>
  </si>
  <si>
    <t>Aquisição de bens para APL Vitivinicultura - Apoio as exportações - Compra Direta</t>
  </si>
  <si>
    <t>Aquisição de bens para APL Laticínios - Readequação dos Laboratórios  - Compra direta</t>
  </si>
  <si>
    <t>Soluções tecnológicas para a sustentabilidade ambiental e salubridade nos processos industriais - APL de Gesso.</t>
  </si>
  <si>
    <t>Desenvolvimento de ensaios técnológicos e avaliação de desempenho com produtos derivados do gesso - APL do Gesso ( E - BOOK)</t>
  </si>
  <si>
    <t>Contratação de serviços para o CT Araripe - Readequação do Laboratório de Calcinação</t>
  </si>
  <si>
    <t>Consultoria para a elaboração de conteúdos a serem disseminados pela plataforma COAM - Cursos Online Abertos Massivos para o desenvolvimento e aceleração de empreendimentos  nos APL</t>
  </si>
  <si>
    <t xml:space="preserve">Consultoria para a elaboração de uma ferramenta de TIC contemplando o BPM - Business Process Management voltado ao desenvolvimento e aceleração de empreendimentos  nos APLs, apoiando-se no modelo CERNE - Centro de Referência para Apoio a Novos Empreendimentos </t>
  </si>
  <si>
    <t>02.01.01</t>
  </si>
  <si>
    <t>02.01.02</t>
  </si>
  <si>
    <t>02.01.03</t>
  </si>
  <si>
    <t>02.02.01</t>
  </si>
  <si>
    <t>02.02.02</t>
  </si>
  <si>
    <t>02.03.01</t>
  </si>
  <si>
    <t>02.04.01</t>
  </si>
  <si>
    <t>02.04.02</t>
  </si>
  <si>
    <t>Contratação de empresa para fornecimento de bens para os Laboratórios do APL de Confecção - Mesa de corte e Efluentes</t>
  </si>
  <si>
    <t>Aquisição de Materiais de Consumo UGP</t>
  </si>
  <si>
    <t>Contrato 10/2015 - Junipero Ltda ME</t>
  </si>
  <si>
    <t>Pregão eletrônico nº 001/2017</t>
  </si>
  <si>
    <t>Pregão eletrônico nº 002/2017 -</t>
  </si>
  <si>
    <t>Contrato nº : 079/2014      PEHR MARES AGENCIA DE VIAGENS E TURISMO LTDA - Valor utilizado no APL de Confecção, Gesso e Viti</t>
  </si>
  <si>
    <t>Serviços para o desenvolvimento de Programas de Imersão Empresarial em APLs/Parques Industriais Nacionais/Internacionais de Referência.</t>
  </si>
  <si>
    <t>Contratação de serviços diversos para os APLs</t>
  </si>
  <si>
    <r>
      <rPr>
        <b/>
        <sz val="10"/>
        <rFont val="Calibri"/>
        <family val="2"/>
        <scheme val="minor"/>
      </rPr>
      <t xml:space="preserve"> Contrato n 001/2017.</t>
    </r>
    <r>
      <rPr>
        <sz val="10"/>
        <rFont val="Calibri"/>
        <family val="2"/>
        <scheme val="minor"/>
      </rPr>
      <t xml:space="preserve"> Consórcio: Plena Consultoria e Projetos Ltda e TPF Engenharia Ltda</t>
    </r>
  </si>
  <si>
    <t>SCQ 001/2016</t>
  </si>
  <si>
    <t>SQCs n 003, 004 E 005/2016</t>
  </si>
  <si>
    <t>SQC N 002/2016</t>
  </si>
  <si>
    <t>Cp 002/2014</t>
  </si>
  <si>
    <t> Pregão Eletrônico º 012/2014</t>
  </si>
  <si>
    <t>CP 002/2011</t>
  </si>
  <si>
    <t>Contrato nº 016/2017 - E. BIO ANALÍTICA LTDA-ME (CNPJ Nº 14.127.287/0001-20), no valor global de R$400.000,00; 16</t>
  </si>
  <si>
    <t>Contrato nº 015/2017 - AGILENT TECHNOLOGIES BRASIL LTDA. (CNPJ Nº 03.290.250/0001-00), no valor global de R$199.999,99;  15</t>
  </si>
  <si>
    <t>Contrato nº 011/2017 - SP COMERCIAL ELETROELETRÔNICOS LTDA-EPP (CNPJ Nº 11.400.815/0001-84), no valor global de R$8.587,00; 11</t>
  </si>
  <si>
    <t xml:space="preserve">Contrato nº 12/2017 - VLP INDÚSTRIA ELETRÔNICA LTDA  (CNPJ Nº 12.215.178/0001-39), no valor global de R$10.000,00; </t>
  </si>
  <si>
    <t>Contrato nº 13/2017 - ANTON PAAR BRASIL IMP EXP E COM INSTRUMENTOS ANALÍTICOS LTDA (CNPJ Nº 17.025.823/0001-74), no valor global de R$100.000,00;</t>
  </si>
  <si>
    <t>Contrato nº 014/2017 PEAK COMÉRCIO DE INSTRUMENTOS CIENTÍFICOS LTDA. (CNPJ Nº 15.220.723/0001-73), no valor global de R$150.000,00;</t>
  </si>
  <si>
    <t>Contato nº 010/2017- DMC COMÉRCIO DE EQUIPAMENTOS PARA LABORATÓRIO EIRELI – EPP (CNPJ Nº 27.330.204/0001-47), no valor global de R$ 7.000,00.</t>
  </si>
  <si>
    <t>Lote nº 01</t>
  </si>
  <si>
    <t>Lote nº 02</t>
  </si>
  <si>
    <t xml:space="preserve">Lote nº 03 </t>
  </si>
  <si>
    <t xml:space="preserve">Lote nº 04 </t>
  </si>
  <si>
    <t>Lote nº 05</t>
  </si>
  <si>
    <t>Lote nº 06</t>
  </si>
  <si>
    <t>Lote nº 07</t>
  </si>
  <si>
    <t xml:space="preserve">Pregão eletrônico </t>
  </si>
  <si>
    <t>Contrato nº 017/2017 - ANTON PAAR BRASIL IMP EXP E COM INSTRUMENTOS ANALÍTICOS LTDA, no valor de R$230.000,00;</t>
  </si>
  <si>
    <t xml:space="preserve">Contrato nº 018/2017 - ANACOM EQUIPAMENTOS E SISTEMAS LTDA., no valor de R$52.000,00; </t>
  </si>
  <si>
    <t xml:space="preserve">Contrato nº 019/2017 - CLEAN ENVIRONMENT BRASIL ENGENHARIA E COMÉRCIO LTDA., no valor de R$67.124,28 e de R$113.579,77. </t>
  </si>
  <si>
    <t>Lote 01</t>
  </si>
  <si>
    <t>Lote 02</t>
  </si>
  <si>
    <t>Lote 03</t>
  </si>
  <si>
    <t xml:space="preserve">Lote 04 </t>
  </si>
  <si>
    <t>Pregão Eletrônico nº 010/2017 - Aquisição de Equipamento para a estruturação de implantação de um programa de incubação (UPE/Garanhuns)</t>
  </si>
  <si>
    <t xml:space="preserve">Pregão eletrônico nº 12/2017 </t>
  </si>
  <si>
    <t xml:space="preserve">Pregão eletrônico nº 10/2017 </t>
  </si>
  <si>
    <t>Pregão Eletrônico nº 003/2017 (ar-condicionados) - estimado R$ 79.600,00=~US$ 24.875,00</t>
  </si>
  <si>
    <t>Pregão Eletrônico nº 004/2017 (mobiliários)  estimado R$ 40.864,67=~US$ 12.770,21</t>
  </si>
  <si>
    <t>Pregão eletrônico nº 003/2017 -</t>
  </si>
  <si>
    <t>Pregão eletrônico nº 004/2017 -</t>
  </si>
  <si>
    <t>Pregão eletrônico nº  005/2017 ref. TDR..... (ar-condicionado) =&gt; Vlr estimado R$ 158.482,79 = ~ us$ 49.525,87</t>
  </si>
  <si>
    <t>Pregão eletrônico nº 005/2017 -</t>
  </si>
  <si>
    <t>Pregão eletrônico nº 13/2017 -</t>
  </si>
  <si>
    <t>Pregão eletrônico nº 009/2017 -</t>
  </si>
  <si>
    <t>Pregão eletrônico nº 006/2017 -</t>
  </si>
  <si>
    <t xml:space="preserve">Pregão eletrônico nº 006/2017 ref. TDR     /2016 =&gt; Vlr estimado R$21.260 </t>
  </si>
  <si>
    <t>Contratação Direta nº 001/2017</t>
  </si>
  <si>
    <t>Pregão eletrônico nº  007/2017 ref. TDR..... (equip.laborat.) =&gt; Vlr estimado R$ 397.671,25 = ~ us$ 124.272,27</t>
  </si>
  <si>
    <t>Pregão eletrônico nº011/2017 ref. TDR..... (mesa de corte) =&gt; Vlr estimado R$ 1.449.000</t>
  </si>
  <si>
    <t>Pregão eletrônico nº 11/2017 -</t>
  </si>
  <si>
    <t>Pregão eletrônico nº 07/2017 -</t>
  </si>
  <si>
    <t>Pregão eletrônico nº  /2017 ref. TDR 028B/2016 (vidraria) =&gt; Vlr estimado R$ 99241,75</t>
  </si>
  <si>
    <t>Pregão eletrônico nº  /2017 ref. TDR 028C/2016 (mobiliário) =&gt; Vlr estimado R$ 386356,82</t>
  </si>
  <si>
    <t>CP 001/2017</t>
  </si>
  <si>
    <t>CP 002/2017</t>
  </si>
  <si>
    <t>Pregão eletrônico nº  009/2017      ref. TDR 015A/2016 (equip.lab.de calcinação)=&gt; Vlr estimado R$260.000,00 = ~ us$ 81.250,00</t>
  </si>
  <si>
    <t>Pregão eletrônico nº 013/2017     ref. TDR 028D/2016 =&gt; Vlr estimado R$85.166,00 = ~ us$ 26.614,38</t>
  </si>
  <si>
    <t>Contratação Direta 002/2017</t>
  </si>
  <si>
    <t>Pregão Eletrônico nº 008/2017</t>
  </si>
  <si>
    <t>Contrato nº 023/2017 - Instituto Saga - R$ 308.873,98</t>
  </si>
  <si>
    <t>SQC nº 001/2017</t>
  </si>
  <si>
    <t>Pregão eletrônico nº  012      ref. TDR 009/2017 -  =&gt; Vlr estimado R$780.000,00 = ~ us$243.750,00</t>
  </si>
  <si>
    <t xml:space="preserve"> 27 lotes</t>
  </si>
  <si>
    <t>EQUIPAMENTO PARA EMBRAPA -- Melhoramento genético da videira e laboratório de solos</t>
  </si>
  <si>
    <t xml:space="preserve">Information Hub -  Infraestrutura para interação e conteúdo entre os APLs </t>
  </si>
  <si>
    <t>Complemento da Conectividade - Aquisição de Equipamentos (geradores, racks, ativos de redes, câmeras, computadores, notebook e equipamento de monitoramento,  etc)</t>
  </si>
  <si>
    <t>Atualização Nº: 2º/2017</t>
  </si>
  <si>
    <t>Aquisição de equipamento para estação experimental de Arcoverde(IPA)</t>
  </si>
  <si>
    <t>Versión ( 2ª versão de 2017) :</t>
  </si>
  <si>
    <t xml:space="preserve">Programa Conectividade: Contratação de serviço de telecomunicações </t>
  </si>
  <si>
    <r>
      <t xml:space="preserve">Aquisição de bens permanente e materiais de consumo para o </t>
    </r>
    <r>
      <rPr>
        <b/>
        <sz val="10"/>
        <rFont val="Calibri"/>
        <family val="2"/>
        <scheme val="minor"/>
      </rPr>
      <t>armazem da criatividade</t>
    </r>
  </si>
  <si>
    <t>Aquisição de bens permanente para o APL de Laticínios</t>
  </si>
  <si>
    <t>Contratação de Consultoria para Missão Internacional para Portugal APL de Confecção</t>
  </si>
  <si>
    <t>Contrato nº 022/2017 - WATERS TECHNOLOGIES DO BRASIL LTDA (CNPJ Nº00158.141/001-37</t>
  </si>
  <si>
    <t>METROHM BRASIL INSTRUMENTAÇÃO ANALÍTICA LTDA (CNPJ Nº07.748.837/0001-62)</t>
  </si>
  <si>
    <t>BR11824</t>
  </si>
  <si>
    <t>BRB 3700</t>
  </si>
  <si>
    <t>BRB 3701</t>
  </si>
  <si>
    <t>BRB 3702</t>
  </si>
  <si>
    <t xml:space="preserve">BRB 3703 </t>
  </si>
  <si>
    <t>BRB 3704</t>
  </si>
  <si>
    <t>BRB 3705</t>
  </si>
  <si>
    <t>BRB 3706</t>
  </si>
  <si>
    <t>BRB 3707</t>
  </si>
  <si>
    <t>BRB 3708</t>
  </si>
  <si>
    <t>BRB 3709</t>
  </si>
  <si>
    <t>Atualizado em: Outubro/2017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</si>
</sst>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#,##0.000"/>
    <numFmt numFmtId="165" formatCode="[$USD]\ #,##0.00"/>
    <numFmt numFmtId="166" formatCode="0.0%"/>
    <numFmt numFmtId="167" formatCode="[$USD]\ #,##0"/>
    <numFmt numFmtId="168" formatCode="#,##0.0000000"/>
    <numFmt numFmtId="169" formatCode="_-* #,##0.000_-;\-* #,##0.000_-;_-* &quot;-&quot;???_-;_-@_-"/>
    <numFmt numFmtId="170" formatCode="_-* #,##0.000_-;\-* #,##0.000_-;_-* &quot;-&quot;??_-;_-@_-"/>
    <numFmt numFmtId="171" formatCode="_-* #,##0.0000_-;\-* #,##0.0000_-;_-* &quot;-&quot;??_-;_-@_-"/>
    <numFmt numFmtId="172" formatCode="[$USD]\ #,##0.000"/>
    <numFmt numFmtId="173" formatCode="[$USD]\ #,##0.0000"/>
    <numFmt numFmtId="174" formatCode="0.000%"/>
    <numFmt numFmtId="175" formatCode="#,##0.0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8"/>
      <color rgb="FFFF0000"/>
      <name val="Arial Narrow"/>
      <family val="2"/>
    </font>
    <font>
      <sz val="10"/>
      <name val="Arial"/>
      <family val="2"/>
    </font>
    <font>
      <b/>
      <sz val="8"/>
      <name val="Arial Narrow"/>
      <family val="2"/>
    </font>
    <font>
      <sz val="12"/>
      <color theme="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2"/>
      <color indexed="9"/>
      <name val="Calibri"/>
      <family val="2"/>
      <scheme val="minor"/>
    </font>
    <font>
      <i/>
      <sz val="12"/>
      <color indexed="9"/>
      <name val="Calibri"/>
      <family val="2"/>
    </font>
    <font>
      <sz val="12"/>
      <color indexed="9"/>
      <name val="Calibri"/>
      <family val="2"/>
    </font>
    <font>
      <sz val="10"/>
      <name val="Calibri"/>
      <family val="2"/>
      <scheme val="minor"/>
    </font>
    <font>
      <sz val="8"/>
      <name val="Arial Narrow"/>
      <family val="2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indexed="8"/>
      <name val="Calibri"/>
      <family val="2"/>
    </font>
    <font>
      <b/>
      <sz val="10"/>
      <color theme="1"/>
      <name val="Calibri"/>
      <family val="2"/>
      <scheme val="minor"/>
    </font>
    <font>
      <strike/>
      <sz val="10"/>
      <color rgb="FFFF0000"/>
      <name val="Calibri"/>
      <family val="2"/>
      <scheme val="minor"/>
    </font>
    <font>
      <sz val="8"/>
      <color indexed="9"/>
      <name val="Arial Narrow"/>
      <family val="2"/>
    </font>
    <font>
      <sz val="8"/>
      <color theme="0"/>
      <name val="Arial Narrow"/>
      <family val="2"/>
    </font>
    <font>
      <sz val="10"/>
      <color theme="0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2222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66FF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0" fontId="10" fillId="0" borderId="0"/>
    <xf numFmtId="43" fontId="25" fillId="0" borderId="0" applyFont="0" applyFill="0" applyBorder="0" applyAlignment="0" applyProtection="0"/>
  </cellStyleXfs>
  <cellXfs count="51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justify" vertical="center"/>
    </xf>
    <xf numFmtId="0" fontId="2" fillId="0" borderId="0" xfId="0" applyFont="1" applyAlignment="1"/>
    <xf numFmtId="4" fontId="2" fillId="0" borderId="0" xfId="0" applyNumberFormat="1" applyFont="1"/>
    <xf numFmtId="10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applyFont="1" applyAlignment="1"/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Fill="1"/>
    <xf numFmtId="0" fontId="5" fillId="0" borderId="0" xfId="0" applyFont="1" applyFill="1" applyAlignment="1">
      <alignment horizontal="left" vertical="center"/>
    </xf>
    <xf numFmtId="0" fontId="6" fillId="0" borderId="0" xfId="0" applyFont="1" applyFill="1"/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" fillId="0" borderId="0" xfId="0" applyFont="1" applyBorder="1"/>
    <xf numFmtId="0" fontId="11" fillId="0" borderId="0" xfId="3" applyFont="1" applyFill="1" applyBorder="1" applyAlignment="1">
      <alignment horizontal="left" vertical="center" wrapText="1"/>
    </xf>
    <xf numFmtId="0" fontId="5" fillId="0" borderId="0" xfId="3" applyFont="1" applyFill="1" applyBorder="1" applyAlignment="1">
      <alignment horizontal="left" vertical="center" wrapText="1"/>
    </xf>
    <xf numFmtId="0" fontId="5" fillId="0" borderId="0" xfId="3" applyFont="1" applyFill="1" applyBorder="1" applyAlignment="1">
      <alignment vertical="center" wrapText="1"/>
    </xf>
    <xf numFmtId="4" fontId="5" fillId="0" borderId="0" xfId="3" applyNumberFormat="1" applyFont="1" applyFill="1" applyBorder="1" applyAlignment="1">
      <alignment horizontal="lef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4" fillId="3" borderId="6" xfId="3" applyFont="1" applyFill="1" applyBorder="1" applyAlignment="1">
      <alignment vertical="center"/>
    </xf>
    <xf numFmtId="0" fontId="14" fillId="3" borderId="7" xfId="3" applyFont="1" applyFill="1" applyBorder="1" applyAlignment="1">
      <alignment vertical="center"/>
    </xf>
    <xf numFmtId="0" fontId="14" fillId="3" borderId="8" xfId="3" applyFont="1" applyFill="1" applyBorder="1" applyAlignment="1">
      <alignment vertical="center"/>
    </xf>
    <xf numFmtId="4" fontId="14" fillId="3" borderId="5" xfId="3" applyNumberFormat="1" applyFont="1" applyFill="1" applyBorder="1" applyAlignment="1">
      <alignment horizontal="center" vertical="center" wrapText="1"/>
    </xf>
    <xf numFmtId="10" fontId="14" fillId="3" borderId="5" xfId="3" applyNumberFormat="1" applyFont="1" applyFill="1" applyBorder="1" applyAlignment="1">
      <alignment horizontal="center" vertical="center" wrapText="1"/>
    </xf>
    <xf numFmtId="0" fontId="14" fillId="3" borderId="5" xfId="3" applyFont="1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center"/>
    </xf>
    <xf numFmtId="0" fontId="18" fillId="4" borderId="11" xfId="3" applyFont="1" applyFill="1" applyBorder="1" applyAlignment="1">
      <alignment horizontal="center" vertical="center" wrapText="1"/>
    </xf>
    <xf numFmtId="0" fontId="17" fillId="4" borderId="12" xfId="3" applyFont="1" applyFill="1" applyBorder="1" applyAlignment="1">
      <alignment vertical="center" wrapText="1"/>
    </xf>
    <xf numFmtId="0" fontId="17" fillId="4" borderId="12" xfId="3" applyFont="1" applyFill="1" applyBorder="1" applyAlignment="1">
      <alignment horizontal="center" vertical="center" wrapText="1"/>
    </xf>
    <xf numFmtId="10" fontId="17" fillId="4" borderId="12" xfId="3" applyNumberFormat="1" applyFont="1" applyFill="1" applyBorder="1" applyAlignment="1">
      <alignment vertical="center" wrapText="1"/>
    </xf>
    <xf numFmtId="0" fontId="17" fillId="4" borderId="13" xfId="3" applyFont="1" applyFill="1" applyBorder="1" applyAlignment="1">
      <alignment horizontal="center" vertical="center" wrapText="1"/>
    </xf>
    <xf numFmtId="14" fontId="17" fillId="4" borderId="12" xfId="3" applyNumberFormat="1" applyFont="1" applyFill="1" applyBorder="1" applyAlignment="1">
      <alignment horizontal="center" vertical="center" wrapText="1"/>
    </xf>
    <xf numFmtId="0" fontId="17" fillId="4" borderId="5" xfId="3" applyFont="1" applyFill="1" applyBorder="1" applyAlignment="1">
      <alignment horizontal="center" vertical="center" wrapText="1"/>
    </xf>
    <xf numFmtId="0" fontId="6" fillId="4" borderId="0" xfId="0" applyFont="1" applyFill="1"/>
    <xf numFmtId="0" fontId="17" fillId="4" borderId="14" xfId="0" applyFont="1" applyFill="1" applyBorder="1" applyAlignment="1">
      <alignment horizontal="center"/>
    </xf>
    <xf numFmtId="0" fontId="18" fillId="4" borderId="8" xfId="3" applyFont="1" applyFill="1" applyBorder="1" applyAlignment="1">
      <alignment horizontal="center" vertical="center" wrapText="1"/>
    </xf>
    <xf numFmtId="0" fontId="17" fillId="4" borderId="5" xfId="3" applyFont="1" applyFill="1" applyBorder="1" applyAlignment="1">
      <alignment vertical="center" wrapText="1"/>
    </xf>
    <xf numFmtId="10" fontId="17" fillId="4" borderId="5" xfId="3" applyNumberFormat="1" applyFont="1" applyFill="1" applyBorder="1" applyAlignment="1">
      <alignment vertical="center" wrapText="1"/>
    </xf>
    <xf numFmtId="0" fontId="17" fillId="4" borderId="6" xfId="3" applyFont="1" applyFill="1" applyBorder="1" applyAlignment="1">
      <alignment horizontal="center" vertical="center" wrapText="1"/>
    </xf>
    <xf numFmtId="0" fontId="17" fillId="4" borderId="15" xfId="3" applyFont="1" applyFill="1" applyBorder="1" applyAlignment="1">
      <alignment vertical="center" wrapText="1"/>
    </xf>
    <xf numFmtId="0" fontId="17" fillId="4" borderId="17" xfId="3" applyFont="1" applyFill="1" applyBorder="1" applyAlignment="1">
      <alignment vertical="center" wrapText="1"/>
    </xf>
    <xf numFmtId="10" fontId="17" fillId="4" borderId="17" xfId="3" applyNumberFormat="1" applyFont="1" applyFill="1" applyBorder="1" applyAlignment="1">
      <alignment vertical="center" wrapText="1"/>
    </xf>
    <xf numFmtId="0" fontId="17" fillId="4" borderId="17" xfId="3" applyFont="1" applyFill="1" applyBorder="1" applyAlignment="1">
      <alignment horizontal="center" vertical="center" wrapText="1"/>
    </xf>
    <xf numFmtId="0" fontId="2" fillId="4" borderId="0" xfId="0" applyFont="1" applyFill="1"/>
    <xf numFmtId="0" fontId="18" fillId="0" borderId="0" xfId="3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 wrapText="1"/>
    </xf>
    <xf numFmtId="0" fontId="6" fillId="0" borderId="0" xfId="3" applyFont="1" applyFill="1" applyBorder="1" applyAlignment="1">
      <alignment horizontal="center" vertical="center" wrapText="1"/>
    </xf>
    <xf numFmtId="164" fontId="5" fillId="0" borderId="0" xfId="3" applyNumberFormat="1" applyFont="1" applyFill="1" applyBorder="1" applyAlignment="1">
      <alignment vertical="center" wrapText="1"/>
    </xf>
    <xf numFmtId="10" fontId="6" fillId="0" borderId="0" xfId="3" applyNumberFormat="1" applyFont="1" applyFill="1" applyBorder="1" applyAlignment="1">
      <alignment vertical="center" wrapText="1"/>
    </xf>
    <xf numFmtId="0" fontId="3" fillId="0" borderId="0" xfId="0" applyFont="1"/>
    <xf numFmtId="0" fontId="17" fillId="4" borderId="10" xfId="0" applyFont="1" applyFill="1" applyBorder="1" applyAlignment="1">
      <alignment horizontal="center" vertical="center"/>
    </xf>
    <xf numFmtId="0" fontId="18" fillId="4" borderId="5" xfId="3" applyFont="1" applyFill="1" applyBorder="1" applyAlignment="1">
      <alignment horizontal="center" vertical="center" wrapText="1"/>
    </xf>
    <xf numFmtId="14" fontId="17" fillId="4" borderId="5" xfId="3" applyNumberFormat="1" applyFont="1" applyFill="1" applyBorder="1" applyAlignment="1">
      <alignment horizontal="center" vertical="center" wrapText="1"/>
    </xf>
    <xf numFmtId="0" fontId="17" fillId="4" borderId="14" xfId="0" applyFont="1" applyFill="1" applyBorder="1" applyAlignment="1">
      <alignment horizontal="center" vertical="center"/>
    </xf>
    <xf numFmtId="2" fontId="17" fillId="4" borderId="14" xfId="0" applyNumberFormat="1" applyFont="1" applyFill="1" applyBorder="1" applyAlignment="1">
      <alignment horizontal="center" vertical="center"/>
    </xf>
    <xf numFmtId="0" fontId="17" fillId="4" borderId="5" xfId="0" applyFont="1" applyFill="1" applyBorder="1" applyAlignment="1"/>
    <xf numFmtId="0" fontId="17" fillId="4" borderId="5" xfId="3" applyFont="1" applyFill="1" applyBorder="1" applyAlignment="1">
      <alignment horizontal="center" vertical="center"/>
    </xf>
    <xf numFmtId="4" fontId="17" fillId="4" borderId="5" xfId="3" applyNumberFormat="1" applyFont="1" applyFill="1" applyBorder="1" applyAlignment="1">
      <alignment vertical="center" wrapText="1"/>
    </xf>
    <xf numFmtId="0" fontId="6" fillId="4" borderId="0" xfId="0" applyFont="1" applyFill="1" applyBorder="1"/>
    <xf numFmtId="0" fontId="10" fillId="4" borderId="6" xfId="0" applyFont="1" applyFill="1" applyBorder="1" applyAlignment="1">
      <alignment vertical="center"/>
    </xf>
    <xf numFmtId="164" fontId="17" fillId="4" borderId="5" xfId="3" applyNumberFormat="1" applyFont="1" applyFill="1" applyBorder="1" applyAlignment="1">
      <alignment vertical="center" wrapText="1"/>
    </xf>
    <xf numFmtId="0" fontId="18" fillId="4" borderId="17" xfId="3" applyFont="1" applyFill="1" applyBorder="1" applyAlignment="1">
      <alignment horizontal="center" vertical="center" wrapText="1"/>
    </xf>
    <xf numFmtId="2" fontId="22" fillId="0" borderId="0" xfId="0" applyNumberFormat="1" applyFont="1" applyFill="1" applyBorder="1"/>
    <xf numFmtId="0" fontId="18" fillId="0" borderId="0" xfId="3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vertical="center" wrapText="1"/>
    </xf>
    <xf numFmtId="4" fontId="14" fillId="3" borderId="5" xfId="3" applyNumberFormat="1" applyFont="1" applyFill="1" applyBorder="1" applyAlignment="1">
      <alignment vertical="center"/>
    </xf>
    <xf numFmtId="0" fontId="14" fillId="3" borderId="5" xfId="3" applyFont="1" applyFill="1" applyBorder="1" applyAlignment="1">
      <alignment vertical="center"/>
    </xf>
    <xf numFmtId="4" fontId="14" fillId="3" borderId="15" xfId="3" applyNumberFormat="1" applyFont="1" applyFill="1" applyBorder="1" applyAlignment="1">
      <alignment horizontal="center" vertical="center" wrapText="1"/>
    </xf>
    <xf numFmtId="10" fontId="14" fillId="3" borderId="15" xfId="3" applyNumberFormat="1" applyFont="1" applyFill="1" applyBorder="1" applyAlignment="1">
      <alignment horizontal="center" vertical="center" wrapText="1"/>
    </xf>
    <xf numFmtId="0" fontId="14" fillId="3" borderId="15" xfId="3" applyFont="1" applyFill="1" applyBorder="1" applyAlignment="1">
      <alignment horizontal="center" vertical="center" wrapText="1"/>
    </xf>
    <xf numFmtId="0" fontId="17" fillId="4" borderId="5" xfId="0" applyFont="1" applyFill="1" applyBorder="1"/>
    <xf numFmtId="0" fontId="17" fillId="4" borderId="5" xfId="3" applyFont="1" applyFill="1" applyBorder="1" applyAlignment="1">
      <alignment horizontal="left" vertical="center" wrapText="1"/>
    </xf>
    <xf numFmtId="0" fontId="19" fillId="4" borderId="5" xfId="3" applyFont="1" applyFill="1" applyBorder="1" applyAlignment="1">
      <alignment vertical="center" wrapText="1"/>
    </xf>
    <xf numFmtId="0" fontId="17" fillId="4" borderId="15" xfId="3" applyFont="1" applyFill="1" applyBorder="1" applyAlignment="1">
      <alignment horizontal="center" vertical="center" wrapText="1"/>
    </xf>
    <xf numFmtId="14" fontId="17" fillId="4" borderId="15" xfId="3" applyNumberFormat="1" applyFont="1" applyFill="1" applyBorder="1" applyAlignment="1">
      <alignment horizontal="center" vertical="center" wrapText="1"/>
    </xf>
    <xf numFmtId="0" fontId="17" fillId="4" borderId="15" xfId="3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vertical="center" wrapText="1"/>
    </xf>
    <xf numFmtId="0" fontId="17" fillId="4" borderId="5" xfId="0" applyFont="1" applyFill="1" applyBorder="1" applyAlignment="1">
      <alignment horizontal="left" vertical="center" wrapText="1"/>
    </xf>
    <xf numFmtId="4" fontId="17" fillId="4" borderId="5" xfId="0" applyNumberFormat="1" applyFont="1" applyFill="1" applyBorder="1" applyAlignment="1">
      <alignment horizontal="center" vertical="center" wrapText="1"/>
    </xf>
    <xf numFmtId="164" fontId="17" fillId="4" borderId="5" xfId="0" applyNumberFormat="1" applyFont="1" applyFill="1" applyBorder="1" applyAlignment="1">
      <alignment horizontal="right" vertical="center" wrapText="1"/>
    </xf>
    <xf numFmtId="164" fontId="4" fillId="0" borderId="0" xfId="0" applyNumberFormat="1" applyFont="1"/>
    <xf numFmtId="164" fontId="2" fillId="0" borderId="0" xfId="0" applyNumberFormat="1" applyFont="1"/>
    <xf numFmtId="0" fontId="3" fillId="0" borderId="0" xfId="0" applyFont="1" applyBorder="1"/>
    <xf numFmtId="0" fontId="18" fillId="4" borderId="12" xfId="3" applyFont="1" applyFill="1" applyBorder="1" applyAlignment="1">
      <alignment horizontal="center" vertical="center" wrapText="1"/>
    </xf>
    <xf numFmtId="0" fontId="19" fillId="4" borderId="12" xfId="3" applyFont="1" applyFill="1" applyBorder="1" applyAlignment="1">
      <alignment vertical="center" wrapText="1"/>
    </xf>
    <xf numFmtId="0" fontId="17" fillId="4" borderId="12" xfId="4" applyFont="1" applyFill="1" applyBorder="1" applyAlignment="1">
      <alignment vertical="center" wrapText="1"/>
    </xf>
    <xf numFmtId="0" fontId="17" fillId="4" borderId="5" xfId="4" applyFont="1" applyFill="1" applyBorder="1" applyAlignment="1">
      <alignment vertical="center" wrapText="1"/>
    </xf>
    <xf numFmtId="0" fontId="17" fillId="0" borderId="5" xfId="3" applyFont="1" applyFill="1" applyBorder="1" applyAlignment="1">
      <alignment vertical="center" wrapText="1"/>
    </xf>
    <xf numFmtId="43" fontId="17" fillId="4" borderId="5" xfId="1" applyFont="1" applyFill="1" applyBorder="1" applyAlignment="1">
      <alignment vertical="center" wrapText="1"/>
    </xf>
    <xf numFmtId="0" fontId="17" fillId="0" borderId="5" xfId="4" applyFont="1" applyFill="1" applyBorder="1" applyAlignment="1">
      <alignment vertical="center" wrapText="1"/>
    </xf>
    <xf numFmtId="164" fontId="17" fillId="0" borderId="5" xfId="3" applyNumberFormat="1" applyFont="1" applyFill="1" applyBorder="1" applyAlignment="1">
      <alignment vertical="center" wrapText="1"/>
    </xf>
    <xf numFmtId="164" fontId="24" fillId="4" borderId="17" xfId="0" applyNumberFormat="1" applyFont="1" applyFill="1" applyBorder="1" applyAlignment="1">
      <alignment horizontal="right" vertical="center" wrapText="1"/>
    </xf>
    <xf numFmtId="9" fontId="17" fillId="4" borderId="17" xfId="2" applyFont="1" applyFill="1" applyBorder="1" applyAlignment="1">
      <alignment vertical="center" wrapText="1"/>
    </xf>
    <xf numFmtId="43" fontId="17" fillId="4" borderId="17" xfId="1" applyFont="1" applyFill="1" applyBorder="1" applyAlignment="1">
      <alignment vertical="center" wrapText="1"/>
    </xf>
    <xf numFmtId="4" fontId="5" fillId="0" borderId="0" xfId="1" applyNumberFormat="1" applyFont="1" applyFill="1" applyBorder="1" applyAlignment="1">
      <alignment vertical="center" wrapText="1"/>
    </xf>
    <xf numFmtId="164" fontId="17" fillId="4" borderId="5" xfId="5" applyNumberFormat="1" applyFont="1" applyFill="1" applyBorder="1" applyAlignment="1">
      <alignment vertical="center"/>
    </xf>
    <xf numFmtId="4" fontId="6" fillId="0" borderId="0" xfId="3" applyNumberFormat="1" applyFont="1" applyFill="1" applyBorder="1" applyAlignment="1">
      <alignment vertical="center" wrapText="1"/>
    </xf>
    <xf numFmtId="0" fontId="22" fillId="0" borderId="6" xfId="0" applyFont="1" applyFill="1" applyBorder="1" applyAlignment="1">
      <alignment horizontal="center" vertical="center"/>
    </xf>
    <xf numFmtId="0" fontId="18" fillId="0" borderId="5" xfId="3" applyFont="1" applyFill="1" applyBorder="1" applyAlignment="1">
      <alignment vertical="center" wrapText="1"/>
    </xf>
    <xf numFmtId="0" fontId="6" fillId="0" borderId="5" xfId="3" applyFont="1" applyFill="1" applyBorder="1" applyAlignment="1">
      <alignment vertical="center" wrapText="1"/>
    </xf>
    <xf numFmtId="4" fontId="6" fillId="0" borderId="5" xfId="3" applyNumberFormat="1" applyFont="1" applyFill="1" applyBorder="1" applyAlignment="1">
      <alignment vertical="center" wrapText="1"/>
    </xf>
    <xf numFmtId="10" fontId="6" fillId="0" borderId="5" xfId="3" applyNumberFormat="1" applyFont="1" applyFill="1" applyBorder="1" applyAlignment="1">
      <alignment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/>
    </xf>
    <xf numFmtId="0" fontId="6" fillId="0" borderId="5" xfId="4" applyFont="1" applyFill="1" applyBorder="1" applyAlignment="1">
      <alignment vertical="center" wrapText="1"/>
    </xf>
    <xf numFmtId="0" fontId="6" fillId="0" borderId="5" xfId="0" applyFont="1" applyBorder="1"/>
    <xf numFmtId="0" fontId="17" fillId="4" borderId="5" xfId="3" applyFont="1" applyFill="1" applyBorder="1" applyAlignment="1">
      <alignment horizontal="center" vertical="center" wrapText="1"/>
    </xf>
    <xf numFmtId="0" fontId="17" fillId="4" borderId="5" xfId="3" applyFont="1" applyFill="1" applyBorder="1" applyAlignment="1">
      <alignment vertical="center" wrapText="1"/>
    </xf>
    <xf numFmtId="0" fontId="17" fillId="4" borderId="15" xfId="3" applyFont="1" applyFill="1" applyBorder="1" applyAlignment="1">
      <alignment horizontal="left" vertical="center" wrapText="1"/>
    </xf>
    <xf numFmtId="0" fontId="17" fillId="4" borderId="15" xfId="3" applyFont="1" applyFill="1" applyBorder="1" applyAlignment="1">
      <alignment horizontal="center" vertical="center" wrapText="1"/>
    </xf>
    <xf numFmtId="0" fontId="17" fillId="4" borderId="5" xfId="3" applyFont="1" applyFill="1" applyBorder="1" applyAlignment="1">
      <alignment vertical="center" wrapText="1"/>
    </xf>
    <xf numFmtId="0" fontId="18" fillId="4" borderId="15" xfId="3" applyFont="1" applyFill="1" applyBorder="1" applyAlignment="1">
      <alignment horizontal="center" vertical="center" wrapText="1"/>
    </xf>
    <xf numFmtId="0" fontId="17" fillId="4" borderId="15" xfId="3" applyFont="1" applyFill="1" applyBorder="1" applyAlignment="1">
      <alignment horizontal="center" vertical="center" wrapText="1"/>
    </xf>
    <xf numFmtId="0" fontId="17" fillId="4" borderId="5" xfId="3" applyFont="1" applyFill="1" applyBorder="1" applyAlignment="1">
      <alignment horizontal="center" vertical="center"/>
    </xf>
    <xf numFmtId="0" fontId="17" fillId="4" borderId="5" xfId="3" applyFont="1" applyFill="1" applyBorder="1" applyAlignment="1">
      <alignment horizontal="center" vertical="center" wrapText="1"/>
    </xf>
    <xf numFmtId="10" fontId="30" fillId="4" borderId="5" xfId="3" applyNumberFormat="1" applyFont="1" applyFill="1" applyBorder="1" applyAlignment="1">
      <alignment vertical="center" wrapText="1"/>
    </xf>
    <xf numFmtId="164" fontId="30" fillId="0" borderId="5" xfId="3" applyNumberFormat="1" applyFont="1" applyFill="1" applyBorder="1" applyAlignment="1">
      <alignment vertical="center" wrapText="1"/>
    </xf>
    <xf numFmtId="0" fontId="17" fillId="4" borderId="10" xfId="0" applyFont="1" applyFill="1" applyBorder="1" applyAlignment="1">
      <alignment horizontal="center" vertical="center"/>
    </xf>
    <xf numFmtId="10" fontId="30" fillId="4" borderId="12" xfId="3" applyNumberFormat="1" applyFont="1" applyFill="1" applyBorder="1" applyAlignment="1">
      <alignment vertical="center" wrapText="1"/>
    </xf>
    <xf numFmtId="0" fontId="30" fillId="4" borderId="12" xfId="3" applyFont="1" applyFill="1" applyBorder="1" applyAlignment="1">
      <alignment horizontal="center" vertical="center" wrapText="1"/>
    </xf>
    <xf numFmtId="0" fontId="30" fillId="4" borderId="12" xfId="3" applyFont="1" applyFill="1" applyBorder="1" applyAlignment="1">
      <alignment vertical="center" wrapText="1"/>
    </xf>
    <xf numFmtId="14" fontId="30" fillId="4" borderId="12" xfId="3" applyNumberFormat="1" applyFont="1" applyFill="1" applyBorder="1" applyAlignment="1">
      <alignment horizontal="center" vertical="center" wrapText="1"/>
    </xf>
    <xf numFmtId="165" fontId="0" fillId="0" borderId="0" xfId="0" applyNumberFormat="1"/>
    <xf numFmtId="43" fontId="17" fillId="4" borderId="5" xfId="3" applyNumberFormat="1" applyFont="1" applyFill="1" applyBorder="1" applyAlignment="1">
      <alignment horizontal="center" vertical="center" wrapText="1"/>
    </xf>
    <xf numFmtId="0" fontId="22" fillId="4" borderId="5" xfId="3" applyFont="1" applyFill="1" applyBorder="1" applyAlignment="1">
      <alignment horizontal="center" vertical="center" wrapText="1"/>
    </xf>
    <xf numFmtId="10" fontId="22" fillId="4" borderId="5" xfId="3" applyNumberFormat="1" applyFont="1" applyFill="1" applyBorder="1" applyAlignment="1">
      <alignment vertical="center" wrapText="1"/>
    </xf>
    <xf numFmtId="0" fontId="17" fillId="4" borderId="15" xfId="0" applyFont="1" applyFill="1" applyBorder="1" applyAlignment="1">
      <alignment vertical="center" wrapText="1"/>
    </xf>
    <xf numFmtId="164" fontId="17" fillId="4" borderId="15" xfId="0" applyNumberFormat="1" applyFont="1" applyFill="1" applyBorder="1" applyAlignment="1">
      <alignment horizontal="right" vertical="center" wrapText="1"/>
    </xf>
    <xf numFmtId="10" fontId="17" fillId="4" borderId="15" xfId="3" applyNumberFormat="1" applyFont="1" applyFill="1" applyBorder="1" applyAlignment="1">
      <alignment vertical="center" wrapText="1"/>
    </xf>
    <xf numFmtId="0" fontId="22" fillId="4" borderId="5" xfId="3" applyFont="1" applyFill="1" applyBorder="1" applyAlignment="1">
      <alignment horizontal="left" vertical="center" wrapText="1"/>
    </xf>
    <xf numFmtId="0" fontId="22" fillId="4" borderId="5" xfId="0" applyFont="1" applyFill="1" applyBorder="1"/>
    <xf numFmtId="0" fontId="26" fillId="4" borderId="5" xfId="3" applyFont="1" applyFill="1" applyBorder="1" applyAlignment="1">
      <alignment vertical="center" wrapText="1"/>
    </xf>
    <xf numFmtId="0" fontId="10" fillId="0" borderId="0" xfId="4"/>
    <xf numFmtId="0" fontId="32" fillId="3" borderId="1" xfId="4" applyFont="1" applyFill="1" applyBorder="1" applyAlignment="1">
      <alignment horizontal="center" vertical="center"/>
    </xf>
    <xf numFmtId="0" fontId="32" fillId="3" borderId="2" xfId="4" applyFont="1" applyFill="1" applyBorder="1" applyAlignment="1">
      <alignment horizontal="center" vertical="center"/>
    </xf>
    <xf numFmtId="0" fontId="32" fillId="3" borderId="3" xfId="4" applyFont="1" applyFill="1" applyBorder="1" applyAlignment="1">
      <alignment horizontal="center" vertical="center" wrapText="1"/>
    </xf>
    <xf numFmtId="0" fontId="17" fillId="0" borderId="5" xfId="4" applyFont="1" applyBorder="1" applyAlignment="1">
      <alignment vertical="center"/>
    </xf>
    <xf numFmtId="0" fontId="17" fillId="0" borderId="9" xfId="4" applyFont="1" applyBorder="1" applyAlignment="1">
      <alignment vertical="center"/>
    </xf>
    <xf numFmtId="0" fontId="17" fillId="0" borderId="17" xfId="4" applyFont="1" applyBorder="1" applyAlignment="1">
      <alignment vertical="center"/>
    </xf>
    <xf numFmtId="0" fontId="17" fillId="0" borderId="19" xfId="4" applyFont="1" applyBorder="1" applyAlignment="1">
      <alignment vertical="center"/>
    </xf>
    <xf numFmtId="0" fontId="36" fillId="3" borderId="33" xfId="4" applyFont="1" applyFill="1" applyBorder="1" applyAlignment="1">
      <alignment horizontal="center" vertical="center"/>
    </xf>
    <xf numFmtId="0" fontId="36" fillId="3" borderId="34" xfId="4" applyFont="1" applyFill="1" applyBorder="1" applyAlignment="1">
      <alignment horizontal="center" vertical="center"/>
    </xf>
    <xf numFmtId="0" fontId="17" fillId="0" borderId="0" xfId="4" applyFont="1" applyAlignment="1">
      <alignment vertical="center"/>
    </xf>
    <xf numFmtId="0" fontId="19" fillId="0" borderId="9" xfId="4" applyFont="1" applyBorder="1" applyAlignment="1">
      <alignment vertical="center"/>
    </xf>
    <xf numFmtId="0" fontId="17" fillId="0" borderId="9" xfId="4" applyFont="1" applyBorder="1" applyAlignment="1">
      <alignment vertical="center" wrapText="1"/>
    </xf>
    <xf numFmtId="0" fontId="19" fillId="0" borderId="19" xfId="4" applyFont="1" applyBorder="1" applyAlignment="1">
      <alignment vertical="center" wrapText="1"/>
    </xf>
    <xf numFmtId="0" fontId="0" fillId="0" borderId="0" xfId="0" applyBorder="1"/>
    <xf numFmtId="0" fontId="13" fillId="3" borderId="28" xfId="4" applyFont="1" applyFill="1" applyBorder="1" applyAlignment="1">
      <alignment vertical="center" wrapText="1"/>
    </xf>
    <xf numFmtId="0" fontId="13" fillId="3" borderId="29" xfId="4" applyFont="1" applyFill="1" applyBorder="1" applyAlignment="1">
      <alignment vertical="center" wrapText="1"/>
    </xf>
    <xf numFmtId="0" fontId="13" fillId="0" borderId="0" xfId="4" applyFont="1" applyFill="1" applyBorder="1" applyAlignment="1">
      <alignment vertical="center" wrapText="1"/>
    </xf>
    <xf numFmtId="0" fontId="13" fillId="3" borderId="7" xfId="4" applyFont="1" applyFill="1" applyBorder="1" applyAlignment="1">
      <alignment horizontal="center" wrapText="1"/>
    </xf>
    <xf numFmtId="0" fontId="13" fillId="3" borderId="9" xfId="4" applyFont="1" applyFill="1" applyBorder="1" applyAlignment="1">
      <alignment horizontal="center" vertical="center" wrapText="1"/>
    </xf>
    <xf numFmtId="0" fontId="13" fillId="0" borderId="0" xfId="4" applyFont="1" applyFill="1" applyBorder="1" applyAlignment="1">
      <alignment horizontal="center" vertical="center" wrapText="1"/>
    </xf>
    <xf numFmtId="0" fontId="17" fillId="0" borderId="18" xfId="4" applyFont="1" applyFill="1" applyBorder="1" applyAlignment="1">
      <alignment horizontal="center" wrapText="1"/>
    </xf>
    <xf numFmtId="14" fontId="17" fillId="0" borderId="19" xfId="4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4" fontId="17" fillId="0" borderId="0" xfId="4" applyNumberFormat="1" applyFont="1" applyFill="1" applyBorder="1" applyAlignment="1">
      <alignment vertical="center" wrapText="1"/>
    </xf>
    <xf numFmtId="0" fontId="0" fillId="0" borderId="33" xfId="0" applyBorder="1" applyAlignment="1"/>
    <xf numFmtId="0" fontId="0" fillId="0" borderId="22" xfId="0" applyBorder="1" applyAlignment="1"/>
    <xf numFmtId="0" fontId="0" fillId="0" borderId="35" xfId="0" applyBorder="1" applyAlignment="1"/>
    <xf numFmtId="0" fontId="19" fillId="0" borderId="22" xfId="4" applyFont="1" applyFill="1" applyBorder="1" applyAlignment="1">
      <alignment horizontal="center" vertical="center" wrapText="1"/>
    </xf>
    <xf numFmtId="0" fontId="19" fillId="0" borderId="34" xfId="4" applyFont="1" applyFill="1" applyBorder="1" applyAlignment="1">
      <alignment horizontal="center" vertical="center" wrapText="1"/>
    </xf>
    <xf numFmtId="0" fontId="17" fillId="0" borderId="0" xfId="4" applyFont="1" applyFill="1" applyBorder="1" applyAlignment="1">
      <alignment vertical="center" wrapText="1"/>
    </xf>
    <xf numFmtId="0" fontId="19" fillId="0" borderId="0" xfId="4" applyFont="1" applyFill="1" applyBorder="1" applyAlignment="1">
      <alignment horizontal="center" vertical="center" wrapText="1"/>
    </xf>
    <xf numFmtId="0" fontId="13" fillId="3" borderId="14" xfId="4" applyFont="1" applyFill="1" applyBorder="1" applyAlignment="1">
      <alignment horizontal="center" vertical="center" wrapText="1"/>
    </xf>
    <xf numFmtId="0" fontId="13" fillId="3" borderId="5" xfId="4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/>
    </xf>
    <xf numFmtId="0" fontId="17" fillId="0" borderId="8" xfId="4" quotePrefix="1" applyFont="1" applyBorder="1" applyAlignment="1" applyProtection="1"/>
    <xf numFmtId="165" fontId="17" fillId="0" borderId="5" xfId="4" applyNumberFormat="1" applyFont="1" applyFill="1" applyBorder="1" applyAlignment="1">
      <alignment horizontal="right" vertical="center" wrapText="1"/>
    </xf>
    <xf numFmtId="165" fontId="17" fillId="0" borderId="9" xfId="1" applyNumberFormat="1" applyFont="1" applyFill="1" applyBorder="1" applyAlignment="1">
      <alignment horizontal="right" vertical="center" wrapText="1"/>
    </xf>
    <xf numFmtId="0" fontId="22" fillId="0" borderId="14" xfId="0" applyFont="1" applyFill="1" applyBorder="1" applyAlignment="1">
      <alignment horizontal="center" vertical="center"/>
    </xf>
    <xf numFmtId="165" fontId="17" fillId="0" borderId="0" xfId="1" applyNumberFormat="1" applyFont="1" applyFill="1" applyBorder="1" applyAlignment="1">
      <alignment horizontal="right" vertical="center" wrapText="1"/>
    </xf>
    <xf numFmtId="0" fontId="17" fillId="0" borderId="8" xfId="4" applyFont="1" applyBorder="1" applyAlignment="1" applyProtection="1"/>
    <xf numFmtId="0" fontId="0" fillId="0" borderId="21" xfId="0" applyBorder="1"/>
    <xf numFmtId="0" fontId="13" fillId="3" borderId="16" xfId="4" applyFont="1" applyFill="1" applyBorder="1" applyAlignment="1">
      <alignment horizontal="center" vertical="center" wrapText="1"/>
    </xf>
    <xf numFmtId="165" fontId="13" fillId="3" borderId="17" xfId="4" applyNumberFormat="1" applyFont="1" applyFill="1" applyBorder="1" applyAlignment="1">
      <alignment horizontal="right" vertical="center" wrapText="1"/>
    </xf>
    <xf numFmtId="165" fontId="13" fillId="3" borderId="19" xfId="4" applyNumberFormat="1" applyFont="1" applyFill="1" applyBorder="1" applyAlignment="1">
      <alignment horizontal="right" vertical="center" wrapText="1"/>
    </xf>
    <xf numFmtId="0" fontId="37" fillId="0" borderId="0" xfId="0" applyFont="1" applyFill="1" applyBorder="1" applyAlignment="1">
      <alignment horizontal="center"/>
    </xf>
    <xf numFmtId="0" fontId="17" fillId="0" borderId="14" xfId="3" applyFont="1" applyFill="1" applyBorder="1" applyAlignment="1">
      <alignment horizontal="center" vertical="center" wrapText="1"/>
    </xf>
    <xf numFmtId="0" fontId="19" fillId="0" borderId="5" xfId="4" applyFont="1" applyBorder="1" applyAlignment="1">
      <alignment vertical="center" wrapText="1"/>
    </xf>
    <xf numFmtId="166" fontId="22" fillId="0" borderId="9" xfId="0" applyNumberFormat="1" applyFont="1" applyBorder="1" applyAlignment="1">
      <alignment vertical="center"/>
    </xf>
    <xf numFmtId="165" fontId="17" fillId="0" borderId="0" xfId="4" applyNumberFormat="1" applyFont="1" applyFill="1" applyBorder="1" applyAlignment="1">
      <alignment horizontal="right" vertical="center" wrapText="1"/>
    </xf>
    <xf numFmtId="165" fontId="31" fillId="0" borderId="0" xfId="0" applyNumberFormat="1" applyFont="1" applyFill="1" applyBorder="1"/>
    <xf numFmtId="166" fontId="26" fillId="4" borderId="9" xfId="0" applyNumberFormat="1" applyFont="1" applyFill="1" applyBorder="1" applyAlignment="1">
      <alignment vertical="center"/>
    </xf>
    <xf numFmtId="0" fontId="22" fillId="0" borderId="5" xfId="0" applyFont="1" applyBorder="1" applyAlignment="1">
      <alignment wrapText="1"/>
    </xf>
    <xf numFmtId="166" fontId="22" fillId="4" borderId="9" xfId="0" applyNumberFormat="1" applyFont="1" applyFill="1" applyBorder="1" applyAlignment="1">
      <alignment vertical="center"/>
    </xf>
    <xf numFmtId="0" fontId="22" fillId="0" borderId="5" xfId="0" applyFont="1" applyBorder="1"/>
    <xf numFmtId="0" fontId="0" fillId="0" borderId="5" xfId="0" applyBorder="1"/>
    <xf numFmtId="0" fontId="22" fillId="0" borderId="5" xfId="0" applyFont="1" applyFill="1" applyBorder="1" applyAlignment="1">
      <alignment wrapText="1"/>
    </xf>
    <xf numFmtId="167" fontId="17" fillId="0" borderId="5" xfId="4" applyNumberFormat="1" applyFont="1" applyFill="1" applyBorder="1" applyAlignment="1">
      <alignment horizontal="right" vertical="center" wrapText="1"/>
    </xf>
    <xf numFmtId="0" fontId="19" fillId="0" borderId="5" xfId="4" applyFont="1" applyBorder="1" applyAlignment="1">
      <alignment horizontal="left" vertical="center" wrapText="1"/>
    </xf>
    <xf numFmtId="0" fontId="22" fillId="0" borderId="30" xfId="0" applyFont="1" applyFill="1" applyBorder="1" applyAlignment="1">
      <alignment wrapText="1"/>
    </xf>
    <xf numFmtId="0" fontId="0" fillId="0" borderId="36" xfId="0" applyBorder="1"/>
    <xf numFmtId="0" fontId="17" fillId="0" borderId="14" xfId="3" applyFont="1" applyFill="1" applyBorder="1" applyAlignment="1">
      <alignment vertical="center" wrapText="1"/>
    </xf>
    <xf numFmtId="0" fontId="13" fillId="3" borderId="17" xfId="4" applyFont="1" applyFill="1" applyBorder="1" applyAlignment="1">
      <alignment horizontal="center" vertical="center" wrapText="1"/>
    </xf>
    <xf numFmtId="9" fontId="13" fillId="3" borderId="19" xfId="4" applyNumberFormat="1" applyFont="1" applyFill="1" applyBorder="1" applyAlignment="1">
      <alignment horizontal="right" vertical="center" wrapText="1"/>
    </xf>
    <xf numFmtId="165" fontId="19" fillId="0" borderId="0" xfId="4" applyNumberFormat="1" applyFont="1" applyFill="1" applyBorder="1" applyAlignment="1">
      <alignment horizontal="right" vertical="center" wrapText="1"/>
    </xf>
    <xf numFmtId="9" fontId="17" fillId="4" borderId="12" xfId="1" applyNumberFormat="1" applyFont="1" applyFill="1" applyBorder="1" applyAlignment="1">
      <alignment vertical="center" wrapText="1"/>
    </xf>
    <xf numFmtId="9" fontId="17" fillId="4" borderId="5" xfId="1" applyNumberFormat="1" applyFont="1" applyFill="1" applyBorder="1" applyAlignment="1">
      <alignment vertical="center" wrapText="1"/>
    </xf>
    <xf numFmtId="0" fontId="17" fillId="4" borderId="15" xfId="3" applyFont="1" applyFill="1" applyBorder="1" applyAlignment="1">
      <alignment horizontal="center" vertical="center" wrapText="1"/>
    </xf>
    <xf numFmtId="0" fontId="17" fillId="4" borderId="24" xfId="3" applyFont="1" applyFill="1" applyBorder="1" applyAlignment="1">
      <alignment horizontal="center" vertical="center" wrapText="1"/>
    </xf>
    <xf numFmtId="0" fontId="17" fillId="4" borderId="25" xfId="3" applyFont="1" applyFill="1" applyBorder="1" applyAlignment="1">
      <alignment horizontal="center" vertical="center" wrapText="1"/>
    </xf>
    <xf numFmtId="0" fontId="18" fillId="4" borderId="15" xfId="3" applyFont="1" applyFill="1" applyBorder="1" applyAlignment="1">
      <alignment horizontal="center" vertical="center" wrapText="1"/>
    </xf>
    <xf numFmtId="43" fontId="30" fillId="0" borderId="5" xfId="1" applyFont="1" applyFill="1" applyBorder="1" applyAlignment="1">
      <alignment vertical="center" wrapText="1"/>
    </xf>
    <xf numFmtId="43" fontId="30" fillId="0" borderId="12" xfId="1" applyFont="1" applyFill="1" applyBorder="1" applyAlignment="1">
      <alignment horizontal="right" vertical="center" wrapText="1"/>
    </xf>
    <xf numFmtId="10" fontId="17" fillId="4" borderId="5" xfId="2" applyNumberFormat="1" applyFont="1" applyFill="1" applyBorder="1" applyAlignment="1">
      <alignment vertical="center" wrapText="1"/>
    </xf>
    <xf numFmtId="43" fontId="0" fillId="0" borderId="0" xfId="1" applyFont="1"/>
    <xf numFmtId="43" fontId="31" fillId="0" borderId="0" xfId="1" applyFont="1"/>
    <xf numFmtId="167" fontId="19" fillId="0" borderId="5" xfId="4" applyNumberFormat="1" applyFont="1" applyFill="1" applyBorder="1" applyAlignment="1">
      <alignment horizontal="right" vertical="center" wrapText="1"/>
    </xf>
    <xf numFmtId="168" fontId="2" fillId="0" borderId="0" xfId="0" applyNumberFormat="1" applyFont="1"/>
    <xf numFmtId="169" fontId="18" fillId="0" borderId="0" xfId="3" applyNumberFormat="1" applyFont="1" applyFill="1" applyBorder="1" applyAlignment="1">
      <alignment vertical="center" wrapText="1"/>
    </xf>
    <xf numFmtId="0" fontId="17" fillId="0" borderId="14" xfId="0" applyFont="1" applyFill="1" applyBorder="1" applyAlignment="1">
      <alignment horizontal="center" vertical="center"/>
    </xf>
    <xf numFmtId="0" fontId="21" fillId="0" borderId="0" xfId="0" applyFont="1" applyFill="1"/>
    <xf numFmtId="0" fontId="17" fillId="4" borderId="6" xfId="3" applyFont="1" applyFill="1" applyBorder="1" applyAlignment="1">
      <alignment horizontal="center" vertical="center" wrapText="1"/>
    </xf>
    <xf numFmtId="0" fontId="17" fillId="4" borderId="5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22" fillId="0" borderId="5" xfId="3" applyFont="1" applyFill="1" applyBorder="1" applyAlignment="1">
      <alignment vertical="center" wrapText="1"/>
    </xf>
    <xf numFmtId="2" fontId="17" fillId="0" borderId="14" xfId="0" applyNumberFormat="1" applyFont="1" applyFill="1" applyBorder="1" applyAlignment="1">
      <alignment horizontal="center" vertical="center"/>
    </xf>
    <xf numFmtId="170" fontId="6" fillId="0" borderId="0" xfId="1" applyNumberFormat="1" applyFont="1" applyFill="1"/>
    <xf numFmtId="43" fontId="2" fillId="0" borderId="0" xfId="1" applyFont="1" applyAlignment="1"/>
    <xf numFmtId="43" fontId="2" fillId="0" borderId="0" xfId="0" applyNumberFormat="1" applyFont="1"/>
    <xf numFmtId="43" fontId="2" fillId="0" borderId="0" xfId="1" applyFont="1"/>
    <xf numFmtId="0" fontId="22" fillId="0" borderId="5" xfId="3" applyFont="1" applyFill="1" applyBorder="1" applyAlignment="1">
      <alignment horizontal="center" vertical="center" wrapText="1"/>
    </xf>
    <xf numFmtId="43" fontId="22" fillId="0" borderId="5" xfId="3" applyNumberFormat="1" applyFont="1" applyFill="1" applyBorder="1" applyAlignment="1">
      <alignment horizontal="center" vertical="center" wrapText="1"/>
    </xf>
    <xf numFmtId="43" fontId="22" fillId="0" borderId="5" xfId="1" applyFont="1" applyFill="1" applyBorder="1" applyAlignment="1">
      <alignment vertical="center" wrapText="1"/>
    </xf>
    <xf numFmtId="0" fontId="22" fillId="0" borderId="5" xfId="0" applyFont="1" applyFill="1" applyBorder="1" applyAlignment="1"/>
    <xf numFmtId="10" fontId="22" fillId="0" borderId="5" xfId="3" applyNumberFormat="1" applyFont="1" applyFill="1" applyBorder="1" applyAlignment="1">
      <alignment vertical="center" wrapText="1"/>
    </xf>
    <xf numFmtId="0" fontId="26" fillId="0" borderId="15" xfId="3" applyFont="1" applyFill="1" applyBorder="1" applyAlignment="1">
      <alignment vertical="center" wrapText="1"/>
    </xf>
    <xf numFmtId="0" fontId="26" fillId="0" borderId="5" xfId="3" applyFont="1" applyFill="1" applyBorder="1" applyAlignment="1">
      <alignment vertical="center" wrapText="1"/>
    </xf>
    <xf numFmtId="0" fontId="22" fillId="0" borderId="15" xfId="3" applyFont="1" applyFill="1" applyBorder="1" applyAlignment="1">
      <alignment horizontal="center" vertical="center" wrapText="1"/>
    </xf>
    <xf numFmtId="164" fontId="22" fillId="0" borderId="5" xfId="3" applyNumberFormat="1" applyFont="1" applyFill="1" applyBorder="1" applyAlignment="1">
      <alignment vertical="center" wrapText="1"/>
    </xf>
    <xf numFmtId="14" fontId="22" fillId="0" borderId="15" xfId="3" applyNumberFormat="1" applyFont="1" applyFill="1" applyBorder="1" applyAlignment="1">
      <alignment horizontal="center" vertical="center" wrapText="1"/>
    </xf>
    <xf numFmtId="0" fontId="22" fillId="0" borderId="15" xfId="3" applyFont="1" applyFill="1" applyBorder="1" applyAlignment="1">
      <alignment horizontal="left" vertical="center" wrapText="1"/>
    </xf>
    <xf numFmtId="14" fontId="22" fillId="0" borderId="5" xfId="3" applyNumberFormat="1" applyFont="1" applyFill="1" applyBorder="1" applyAlignment="1">
      <alignment horizontal="center" vertical="center" wrapText="1"/>
    </xf>
    <xf numFmtId="170" fontId="2" fillId="0" borderId="0" xfId="0" applyNumberFormat="1" applyFont="1" applyFill="1"/>
    <xf numFmtId="0" fontId="6" fillId="0" borderId="22" xfId="0" applyFont="1" applyFill="1" applyBorder="1"/>
    <xf numFmtId="0" fontId="6" fillId="0" borderId="0" xfId="0" applyFont="1" applyFill="1" applyBorder="1"/>
    <xf numFmtId="0" fontId="17" fillId="0" borderId="5" xfId="3" applyFont="1" applyFill="1" applyBorder="1" applyAlignment="1">
      <alignment horizontal="left" vertical="center" wrapText="1"/>
    </xf>
    <xf numFmtId="0" fontId="17" fillId="0" borderId="15" xfId="3" applyFont="1" applyFill="1" applyBorder="1" applyAlignment="1">
      <alignment vertical="center" wrapText="1"/>
    </xf>
    <xf numFmtId="171" fontId="2" fillId="0" borderId="0" xfId="1" applyNumberFormat="1" applyFont="1"/>
    <xf numFmtId="9" fontId="17" fillId="0" borderId="5" xfId="2" applyFont="1" applyFill="1" applyBorder="1" applyAlignment="1">
      <alignment vertical="center" wrapText="1"/>
    </xf>
    <xf numFmtId="165" fontId="0" fillId="0" borderId="0" xfId="0" applyNumberFormat="1" applyFill="1"/>
    <xf numFmtId="0" fontId="17" fillId="0" borderId="4" xfId="3" applyFont="1" applyFill="1" applyBorder="1" applyAlignment="1">
      <alignment vertical="center" wrapText="1"/>
    </xf>
    <xf numFmtId="0" fontId="17" fillId="0" borderId="38" xfId="3" applyFont="1" applyFill="1" applyBorder="1" applyAlignment="1">
      <alignment vertical="center" wrapText="1"/>
    </xf>
    <xf numFmtId="0" fontId="17" fillId="0" borderId="37" xfId="3" applyFont="1" applyFill="1" applyBorder="1" applyAlignment="1">
      <alignment vertical="center" wrapText="1"/>
    </xf>
    <xf numFmtId="172" fontId="19" fillId="0" borderId="5" xfId="4" applyNumberFormat="1" applyFont="1" applyFill="1" applyBorder="1" applyAlignment="1">
      <alignment horizontal="right" vertical="center" wrapText="1"/>
    </xf>
    <xf numFmtId="0" fontId="17" fillId="0" borderId="39" xfId="3" applyFont="1" applyFill="1" applyBorder="1" applyAlignment="1">
      <alignment vertical="center" wrapText="1"/>
    </xf>
    <xf numFmtId="172" fontId="17" fillId="0" borderId="5" xfId="4" applyNumberFormat="1" applyFont="1" applyFill="1" applyBorder="1" applyAlignment="1">
      <alignment horizontal="right" vertical="center" wrapText="1"/>
    </xf>
    <xf numFmtId="173" fontId="17" fillId="0" borderId="5" xfId="4" applyNumberFormat="1" applyFont="1" applyFill="1" applyBorder="1" applyAlignment="1">
      <alignment horizontal="right" vertical="center" wrapText="1"/>
    </xf>
    <xf numFmtId="172" fontId="13" fillId="3" borderId="17" xfId="4" applyNumberFormat="1" applyFont="1" applyFill="1" applyBorder="1" applyAlignment="1">
      <alignment horizontal="right" vertical="center" wrapText="1"/>
    </xf>
    <xf numFmtId="166" fontId="17" fillId="0" borderId="0" xfId="2" applyNumberFormat="1" applyFont="1" applyFill="1" applyBorder="1" applyAlignment="1">
      <alignment horizontal="right" vertical="center" wrapText="1"/>
    </xf>
    <xf numFmtId="0" fontId="18" fillId="0" borderId="17" xfId="3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vertical="center" wrapText="1"/>
    </xf>
    <xf numFmtId="0" fontId="17" fillId="0" borderId="17" xfId="3" applyFont="1" applyFill="1" applyBorder="1" applyAlignment="1">
      <alignment vertical="center" wrapText="1"/>
    </xf>
    <xf numFmtId="9" fontId="17" fillId="0" borderId="17" xfId="2" applyFont="1" applyFill="1" applyBorder="1" applyAlignment="1">
      <alignment vertical="center" wrapText="1"/>
    </xf>
    <xf numFmtId="10" fontId="17" fillId="0" borderId="17" xfId="3" applyNumberFormat="1" applyFont="1" applyFill="1" applyBorder="1" applyAlignment="1">
      <alignment vertical="center" wrapText="1"/>
    </xf>
    <xf numFmtId="43" fontId="17" fillId="0" borderId="17" xfId="1" applyFont="1" applyFill="1" applyBorder="1" applyAlignment="1">
      <alignment vertical="center" wrapText="1"/>
    </xf>
    <xf numFmtId="10" fontId="17" fillId="0" borderId="17" xfId="3" applyNumberFormat="1" applyFont="1" applyFill="1" applyBorder="1" applyAlignment="1">
      <alignment horizontal="center" vertical="center" wrapText="1"/>
    </xf>
    <xf numFmtId="0" fontId="17" fillId="4" borderId="21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vertical="center" wrapText="1"/>
    </xf>
    <xf numFmtId="43" fontId="17" fillId="0" borderId="15" xfId="1" applyFont="1" applyFill="1" applyBorder="1" applyAlignment="1">
      <alignment vertical="center" wrapText="1"/>
    </xf>
    <xf numFmtId="0" fontId="17" fillId="4" borderId="15" xfId="3" applyFont="1" applyFill="1" applyBorder="1" applyAlignment="1">
      <alignment horizontal="center" vertical="center" wrapText="1"/>
    </xf>
    <xf numFmtId="0" fontId="17" fillId="4" borderId="5" xfId="3" applyFont="1" applyFill="1" applyBorder="1" applyAlignment="1">
      <alignment horizontal="center" vertical="center" wrapText="1"/>
    </xf>
    <xf numFmtId="0" fontId="17" fillId="4" borderId="6" xfId="3" applyFont="1" applyFill="1" applyBorder="1" applyAlignment="1">
      <alignment horizontal="center" vertical="center" wrapText="1"/>
    </xf>
    <xf numFmtId="0" fontId="17" fillId="0" borderId="5" xfId="3" applyFont="1" applyFill="1" applyBorder="1" applyAlignment="1">
      <alignment vertical="center" wrapText="1"/>
    </xf>
    <xf numFmtId="174" fontId="17" fillId="0" borderId="0" xfId="2" applyNumberFormat="1" applyFont="1" applyFill="1" applyBorder="1" applyAlignment="1">
      <alignment horizontal="right" vertical="center" wrapText="1"/>
    </xf>
    <xf numFmtId="43" fontId="2" fillId="0" borderId="0" xfId="1" applyFont="1" applyFill="1" applyAlignment="1"/>
    <xf numFmtId="4" fontId="2" fillId="0" borderId="0" xfId="0" applyNumberFormat="1" applyFont="1" applyFill="1"/>
    <xf numFmtId="10" fontId="2" fillId="0" borderId="0" xfId="0" applyNumberFormat="1" applyFont="1" applyFill="1"/>
    <xf numFmtId="43" fontId="2" fillId="0" borderId="0" xfId="1" applyFont="1" applyFill="1"/>
    <xf numFmtId="0" fontId="2" fillId="0" borderId="0" xfId="0" applyFont="1" applyFill="1" applyAlignment="1">
      <alignment horizontal="center"/>
    </xf>
    <xf numFmtId="43" fontId="6" fillId="0" borderId="0" xfId="0" applyNumberFormat="1" applyFont="1" applyFill="1"/>
    <xf numFmtId="43" fontId="6" fillId="4" borderId="0" xfId="1" applyFont="1" applyFill="1"/>
    <xf numFmtId="43" fontId="6" fillId="4" borderId="0" xfId="0" applyNumberFormat="1" applyFont="1" applyFill="1"/>
    <xf numFmtId="0" fontId="18" fillId="0" borderId="5" xfId="3" applyFont="1" applyFill="1" applyBorder="1" applyAlignment="1">
      <alignment horizontal="center" vertical="center" wrapText="1"/>
    </xf>
    <xf numFmtId="0" fontId="17" fillId="4" borderId="25" xfId="3" applyFont="1" applyFill="1" applyBorder="1" applyAlignment="1">
      <alignment vertical="center" wrapText="1"/>
    </xf>
    <xf numFmtId="164" fontId="17" fillId="0" borderId="2" xfId="3" applyNumberFormat="1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0" fontId="18" fillId="0" borderId="2" xfId="3" applyFont="1" applyFill="1" applyBorder="1" applyAlignment="1">
      <alignment horizontal="center" vertical="center" wrapText="1"/>
    </xf>
    <xf numFmtId="0" fontId="17" fillId="0" borderId="2" xfId="3" applyFont="1" applyFill="1" applyBorder="1" applyAlignment="1">
      <alignment vertical="center" wrapText="1"/>
    </xf>
    <xf numFmtId="0" fontId="17" fillId="0" borderId="2" xfId="3" applyFont="1" applyFill="1" applyBorder="1" applyAlignment="1">
      <alignment horizontal="center" vertical="center" wrapText="1"/>
    </xf>
    <xf numFmtId="4" fontId="17" fillId="0" borderId="2" xfId="3" applyNumberFormat="1" applyFont="1" applyFill="1" applyBorder="1" applyAlignment="1">
      <alignment horizontal="center" vertical="center" wrapText="1"/>
    </xf>
    <xf numFmtId="4" fontId="19" fillId="0" borderId="2" xfId="3" applyNumberFormat="1" applyFont="1" applyFill="1" applyBorder="1" applyAlignment="1">
      <alignment horizontal="center" vertical="center" wrapText="1"/>
    </xf>
    <xf numFmtId="43" fontId="17" fillId="0" borderId="2" xfId="0" applyNumberFormat="1" applyFont="1" applyFill="1" applyBorder="1" applyAlignment="1"/>
    <xf numFmtId="10" fontId="17" fillId="0" borderId="2" xfId="3" applyNumberFormat="1" applyFont="1" applyFill="1" applyBorder="1" applyAlignment="1">
      <alignment vertical="center" wrapText="1"/>
    </xf>
    <xf numFmtId="0" fontId="17" fillId="0" borderId="3" xfId="3" applyFont="1" applyFill="1" applyBorder="1" applyAlignment="1">
      <alignment vertical="center" wrapText="1"/>
    </xf>
    <xf numFmtId="0" fontId="17" fillId="0" borderId="5" xfId="3" applyFont="1" applyFill="1" applyBorder="1" applyAlignment="1">
      <alignment horizontal="center" vertical="center" wrapText="1"/>
    </xf>
    <xf numFmtId="10" fontId="17" fillId="0" borderId="5" xfId="3" applyNumberFormat="1" applyFont="1" applyFill="1" applyBorder="1" applyAlignment="1">
      <alignment vertical="center" wrapText="1"/>
    </xf>
    <xf numFmtId="0" fontId="17" fillId="0" borderId="9" xfId="3" applyFont="1" applyFill="1" applyBorder="1" applyAlignment="1">
      <alignment vertical="center" wrapText="1"/>
    </xf>
    <xf numFmtId="4" fontId="17" fillId="0" borderId="5" xfId="3" applyNumberFormat="1" applyFont="1" applyFill="1" applyBorder="1" applyAlignment="1">
      <alignment horizontal="center" vertical="center" wrapText="1"/>
    </xf>
    <xf numFmtId="0" fontId="17" fillId="0" borderId="5" xfId="0" applyFont="1" applyFill="1" applyBorder="1"/>
    <xf numFmtId="0" fontId="17" fillId="0" borderId="5" xfId="0" applyFont="1" applyFill="1" applyBorder="1" applyAlignment="1">
      <alignment horizontal="center"/>
    </xf>
    <xf numFmtId="164" fontId="17" fillId="0" borderId="5" xfId="0" applyNumberFormat="1" applyFont="1" applyFill="1" applyBorder="1" applyAlignment="1">
      <alignment horizontal="right" vertical="center" wrapText="1"/>
    </xf>
    <xf numFmtId="0" fontId="6" fillId="0" borderId="23" xfId="0" applyFont="1" applyFill="1" applyBorder="1"/>
    <xf numFmtId="0" fontId="17" fillId="0" borderId="16" xfId="3" applyFont="1" applyFill="1" applyBorder="1" applyAlignment="1">
      <alignment horizontal="center" vertical="center" wrapText="1"/>
    </xf>
    <xf numFmtId="0" fontId="6" fillId="0" borderId="17" xfId="0" applyFont="1" applyFill="1" applyBorder="1"/>
    <xf numFmtId="164" fontId="17" fillId="0" borderId="17" xfId="3" applyNumberFormat="1" applyFont="1" applyFill="1" applyBorder="1" applyAlignment="1">
      <alignment vertical="center" wrapText="1"/>
    </xf>
    <xf numFmtId="0" fontId="17" fillId="0" borderId="17" xfId="3" applyFont="1" applyFill="1" applyBorder="1" applyAlignment="1">
      <alignment horizontal="center" vertical="center" wrapText="1"/>
    </xf>
    <xf numFmtId="0" fontId="17" fillId="0" borderId="17" xfId="3" applyFont="1" applyFill="1" applyBorder="1" applyAlignment="1">
      <alignment vertical="center"/>
    </xf>
    <xf numFmtId="0" fontId="19" fillId="0" borderId="5" xfId="3" applyFont="1" applyFill="1" applyBorder="1" applyAlignment="1">
      <alignment vertical="center" wrapText="1"/>
    </xf>
    <xf numFmtId="0" fontId="17" fillId="0" borderId="6" xfId="3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 wrapText="1"/>
    </xf>
    <xf numFmtId="164" fontId="17" fillId="0" borderId="5" xfId="1" applyNumberFormat="1" applyFont="1" applyFill="1" applyBorder="1" applyAlignment="1">
      <alignment vertical="center"/>
    </xf>
    <xf numFmtId="43" fontId="17" fillId="0" borderId="5" xfId="1" applyFont="1" applyFill="1" applyBorder="1" applyAlignment="1">
      <alignment vertical="center" wrapText="1"/>
    </xf>
    <xf numFmtId="43" fontId="20" fillId="0" borderId="5" xfId="3" applyNumberFormat="1" applyFont="1" applyFill="1" applyBorder="1" applyAlignment="1">
      <alignment vertical="center" wrapText="1"/>
    </xf>
    <xf numFmtId="14" fontId="17" fillId="0" borderId="5" xfId="3" applyNumberFormat="1" applyFont="1" applyFill="1" applyBorder="1" applyAlignment="1">
      <alignment horizontal="center" vertical="center" wrapText="1"/>
    </xf>
    <xf numFmtId="0" fontId="17" fillId="0" borderId="6" xfId="3" applyFont="1" applyFill="1" applyBorder="1" applyAlignment="1">
      <alignment vertical="center" wrapText="1"/>
    </xf>
    <xf numFmtId="43" fontId="27" fillId="0" borderId="5" xfId="3" applyNumberFormat="1" applyFont="1" applyFill="1" applyBorder="1" applyAlignment="1">
      <alignment vertical="center" wrapText="1"/>
    </xf>
    <xf numFmtId="43" fontId="17" fillId="0" borderId="12" xfId="1" applyFont="1" applyFill="1" applyBorder="1" applyAlignment="1">
      <alignment vertical="center" wrapText="1"/>
    </xf>
    <xf numFmtId="0" fontId="17" fillId="0" borderId="19" xfId="3" applyFont="1" applyFill="1" applyBorder="1" applyAlignment="1">
      <alignment vertical="center" wrapText="1"/>
    </xf>
    <xf numFmtId="0" fontId="17" fillId="4" borderId="15" xfId="3" applyFont="1" applyFill="1" applyBorder="1" applyAlignment="1">
      <alignment horizontal="center" vertical="center" wrapText="1"/>
    </xf>
    <xf numFmtId="0" fontId="17" fillId="4" borderId="5" xfId="3" applyFont="1" applyFill="1" applyBorder="1" applyAlignment="1">
      <alignment horizontal="center" vertical="center" wrapText="1"/>
    </xf>
    <xf numFmtId="0" fontId="17" fillId="4" borderId="24" xfId="3" applyFont="1" applyFill="1" applyBorder="1" applyAlignment="1">
      <alignment horizontal="center" vertical="center" wrapText="1"/>
    </xf>
    <xf numFmtId="0" fontId="17" fillId="4" borderId="25" xfId="3" applyFont="1" applyFill="1" applyBorder="1" applyAlignment="1">
      <alignment horizontal="center" vertical="center" wrapText="1"/>
    </xf>
    <xf numFmtId="0" fontId="17" fillId="0" borderId="5" xfId="3" applyFont="1" applyFill="1" applyBorder="1" applyAlignment="1">
      <alignment vertical="center" wrapText="1"/>
    </xf>
    <xf numFmtId="0" fontId="17" fillId="4" borderId="4" xfId="0" applyFont="1" applyFill="1" applyBorder="1" applyAlignment="1">
      <alignment horizontal="center" vertical="center"/>
    </xf>
    <xf numFmtId="0" fontId="17" fillId="4" borderId="5" xfId="3" applyFont="1" applyFill="1" applyBorder="1" applyAlignment="1">
      <alignment horizontal="center" vertical="center" wrapText="1"/>
    </xf>
    <xf numFmtId="0" fontId="17" fillId="0" borderId="12" xfId="3" applyFont="1" applyFill="1" applyBorder="1" applyAlignment="1">
      <alignment vertical="center" wrapText="1"/>
    </xf>
    <xf numFmtId="0" fontId="18" fillId="0" borderId="15" xfId="3" applyFont="1" applyFill="1" applyBorder="1" applyAlignment="1">
      <alignment horizontal="center" vertical="center" wrapText="1"/>
    </xf>
    <xf numFmtId="0" fontId="6" fillId="4" borderId="15" xfId="0" applyFont="1" applyFill="1" applyBorder="1"/>
    <xf numFmtId="0" fontId="17" fillId="4" borderId="15" xfId="3" applyFont="1" applyFill="1" applyBorder="1" applyAlignment="1">
      <alignment vertical="center"/>
    </xf>
    <xf numFmtId="43" fontId="19" fillId="0" borderId="17" xfId="3" applyNumberFormat="1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vertical="center" wrapText="1"/>
    </xf>
    <xf numFmtId="0" fontId="17" fillId="4" borderId="17" xfId="4" applyFont="1" applyFill="1" applyBorder="1" applyAlignment="1">
      <alignment vertical="center" wrapText="1"/>
    </xf>
    <xf numFmtId="43" fontId="17" fillId="4" borderId="5" xfId="3" applyNumberFormat="1" applyFont="1" applyFill="1" applyBorder="1" applyAlignment="1">
      <alignment vertical="center" wrapText="1"/>
    </xf>
    <xf numFmtId="0" fontId="17" fillId="4" borderId="10" xfId="0" applyFont="1" applyFill="1" applyBorder="1" applyAlignment="1">
      <alignment horizontal="center" vertical="center"/>
    </xf>
    <xf numFmtId="0" fontId="17" fillId="4" borderId="5" xfId="3" applyFont="1" applyFill="1" applyBorder="1" applyAlignment="1">
      <alignment horizontal="center" vertical="center" wrapText="1"/>
    </xf>
    <xf numFmtId="172" fontId="0" fillId="0" borderId="0" xfId="0" applyNumberFormat="1" applyFill="1"/>
    <xf numFmtId="0" fontId="17" fillId="4" borderId="5" xfId="3" applyFont="1" applyFill="1" applyBorder="1" applyAlignment="1">
      <alignment horizontal="center" vertical="center"/>
    </xf>
    <xf numFmtId="14" fontId="17" fillId="0" borderId="12" xfId="3" applyNumberFormat="1" applyFont="1" applyFill="1" applyBorder="1" applyAlignment="1">
      <alignment horizontal="center" vertical="center" wrapText="1"/>
    </xf>
    <xf numFmtId="164" fontId="30" fillId="0" borderId="12" xfId="3" applyNumberFormat="1" applyFont="1" applyFill="1" applyBorder="1" applyAlignment="1">
      <alignment vertical="center" wrapText="1"/>
    </xf>
    <xf numFmtId="0" fontId="39" fillId="0" borderId="0" xfId="0" applyFont="1"/>
    <xf numFmtId="0" fontId="17" fillId="4" borderId="5" xfId="3" applyFont="1" applyFill="1" applyBorder="1" applyAlignment="1">
      <alignment horizontal="center" vertical="center" wrapText="1"/>
    </xf>
    <xf numFmtId="0" fontId="17" fillId="4" borderId="15" xfId="3" applyFont="1" applyFill="1" applyBorder="1" applyAlignment="1">
      <alignment horizontal="center" vertical="center" wrapText="1"/>
    </xf>
    <xf numFmtId="0" fontId="17" fillId="4" borderId="5" xfId="3" applyFont="1" applyFill="1" applyBorder="1" applyAlignment="1">
      <alignment horizontal="center" vertical="center" wrapText="1"/>
    </xf>
    <xf numFmtId="0" fontId="17" fillId="4" borderId="6" xfId="3" applyFont="1" applyFill="1" applyBorder="1" applyAlignment="1">
      <alignment horizontal="center" vertical="center" wrapText="1"/>
    </xf>
    <xf numFmtId="0" fontId="17" fillId="4" borderId="17" xfId="3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/>
    </xf>
    <xf numFmtId="0" fontId="17" fillId="4" borderId="12" xfId="3" applyFont="1" applyFill="1" applyBorder="1" applyAlignment="1">
      <alignment horizontal="center" vertical="center" wrapText="1"/>
    </xf>
    <xf numFmtId="0" fontId="18" fillId="4" borderId="15" xfId="3" applyFont="1" applyFill="1" applyBorder="1" applyAlignment="1">
      <alignment horizontal="center" vertical="center" wrapText="1"/>
    </xf>
    <xf numFmtId="0" fontId="17" fillId="4" borderId="15" xfId="3" applyFont="1" applyFill="1" applyBorder="1" applyAlignment="1">
      <alignment horizontal="center" vertical="center" wrapText="1"/>
    </xf>
    <xf numFmtId="14" fontId="17" fillId="4" borderId="15" xfId="3" applyNumberFormat="1" applyFont="1" applyFill="1" applyBorder="1" applyAlignment="1">
      <alignment horizontal="center" vertical="center" wrapText="1"/>
    </xf>
    <xf numFmtId="0" fontId="18" fillId="4" borderId="15" xfId="3" applyFont="1" applyFill="1" applyBorder="1" applyAlignment="1">
      <alignment horizontal="center" vertical="center" wrapText="1"/>
    </xf>
    <xf numFmtId="0" fontId="17" fillId="4" borderId="15" xfId="3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/>
    </xf>
    <xf numFmtId="0" fontId="18" fillId="0" borderId="15" xfId="3" applyFont="1" applyFill="1" applyBorder="1" applyAlignment="1">
      <alignment horizontal="center" vertical="center" wrapText="1"/>
    </xf>
    <xf numFmtId="0" fontId="17" fillId="0" borderId="15" xfId="3" applyFont="1" applyFill="1" applyBorder="1" applyAlignment="1">
      <alignment horizontal="center" vertical="center" wrapText="1"/>
    </xf>
    <xf numFmtId="0" fontId="17" fillId="4" borderId="6" xfId="3" applyFont="1" applyFill="1" applyBorder="1" applyAlignment="1">
      <alignment horizontal="center" vertical="center" wrapText="1"/>
    </xf>
    <xf numFmtId="0" fontId="17" fillId="4" borderId="17" xfId="3" applyFont="1" applyFill="1" applyBorder="1" applyAlignment="1">
      <alignment horizontal="center" vertical="center" wrapText="1"/>
    </xf>
    <xf numFmtId="0" fontId="17" fillId="4" borderId="5" xfId="3" applyFont="1" applyFill="1" applyBorder="1" applyAlignment="1">
      <alignment horizontal="center" vertical="center" wrapText="1"/>
    </xf>
    <xf numFmtId="43" fontId="19" fillId="0" borderId="15" xfId="3" applyNumberFormat="1" applyFont="1" applyFill="1" applyBorder="1" applyAlignment="1">
      <alignment horizontal="center" vertical="center" wrapText="1"/>
    </xf>
    <xf numFmtId="43" fontId="17" fillId="0" borderId="15" xfId="1" applyFont="1" applyFill="1" applyBorder="1" applyAlignment="1">
      <alignment horizontal="right" vertical="center" wrapText="1"/>
    </xf>
    <xf numFmtId="43" fontId="17" fillId="0" borderId="17" xfId="1" applyFont="1" applyFill="1" applyBorder="1" applyAlignment="1">
      <alignment horizontal="right" vertical="center" wrapText="1"/>
    </xf>
    <xf numFmtId="165" fontId="19" fillId="0" borderId="5" xfId="4" applyNumberFormat="1" applyFont="1" applyFill="1" applyBorder="1" applyAlignment="1">
      <alignment horizontal="right" vertical="center" wrapText="1"/>
    </xf>
    <xf numFmtId="165" fontId="22" fillId="0" borderId="30" xfId="0" applyNumberFormat="1" applyFont="1" applyFill="1" applyBorder="1"/>
    <xf numFmtId="164" fontId="6" fillId="0" borderId="17" xfId="0" applyNumberFormat="1" applyFont="1" applyFill="1" applyBorder="1"/>
    <xf numFmtId="43" fontId="19" fillId="0" borderId="0" xfId="1" applyFont="1" applyFill="1" applyBorder="1" applyAlignment="1">
      <alignment horizontal="center" vertical="center" wrapText="1"/>
    </xf>
    <xf numFmtId="43" fontId="17" fillId="0" borderId="0" xfId="1" applyFont="1" applyFill="1" applyBorder="1" applyAlignment="1">
      <alignment horizontal="right" vertical="center" wrapText="1"/>
    </xf>
    <xf numFmtId="43" fontId="19" fillId="0" borderId="0" xfId="1" applyFont="1" applyFill="1" applyBorder="1" applyAlignment="1">
      <alignment horizontal="right" vertical="center" wrapText="1"/>
    </xf>
    <xf numFmtId="0" fontId="17" fillId="0" borderId="20" xfId="3" applyFont="1" applyFill="1" applyBorder="1" applyAlignment="1">
      <alignment vertical="center" wrapText="1"/>
    </xf>
    <xf numFmtId="0" fontId="22" fillId="0" borderId="9" xfId="3" applyFont="1" applyFill="1" applyBorder="1" applyAlignment="1">
      <alignment vertical="center" wrapText="1"/>
    </xf>
    <xf numFmtId="0" fontId="17" fillId="0" borderId="26" xfId="3" applyFont="1" applyFill="1" applyBorder="1" applyAlignment="1">
      <alignment vertical="center" wrapText="1"/>
    </xf>
    <xf numFmtId="164" fontId="17" fillId="0" borderId="17" xfId="0" applyNumberFormat="1" applyFont="1" applyFill="1" applyBorder="1" applyAlignment="1">
      <alignment horizontal="right" vertical="center" wrapText="1"/>
    </xf>
    <xf numFmtId="0" fontId="6" fillId="4" borderId="17" xfId="3" applyFont="1" applyFill="1" applyBorder="1" applyAlignment="1">
      <alignment horizontal="center" vertical="center" wrapText="1"/>
    </xf>
    <xf numFmtId="0" fontId="6" fillId="4" borderId="17" xfId="3" applyFont="1" applyFill="1" applyBorder="1" applyAlignment="1">
      <alignment vertical="center" wrapText="1"/>
    </xf>
    <xf numFmtId="0" fontId="17" fillId="0" borderId="25" xfId="3" applyFont="1" applyFill="1" applyBorder="1" applyAlignment="1">
      <alignment vertical="center" wrapText="1"/>
    </xf>
    <xf numFmtId="14" fontId="17" fillId="0" borderId="15" xfId="3" applyNumberFormat="1" applyFont="1" applyFill="1" applyBorder="1" applyAlignment="1">
      <alignment horizontal="center" vertical="center" wrapText="1"/>
    </xf>
    <xf numFmtId="14" fontId="17" fillId="0" borderId="17" xfId="3" applyNumberFormat="1" applyFont="1" applyFill="1" applyBorder="1" applyAlignment="1">
      <alignment horizontal="center" vertical="center" wrapText="1"/>
    </xf>
    <xf numFmtId="0" fontId="17" fillId="4" borderId="21" xfId="0" applyFont="1" applyFill="1" applyBorder="1" applyAlignment="1">
      <alignment horizontal="center"/>
    </xf>
    <xf numFmtId="0" fontId="18" fillId="4" borderId="16" xfId="3" applyFont="1" applyFill="1" applyBorder="1" applyAlignment="1">
      <alignment horizontal="center" vertical="center" wrapText="1"/>
    </xf>
    <xf numFmtId="9" fontId="17" fillId="4" borderId="17" xfId="1" applyNumberFormat="1" applyFont="1" applyFill="1" applyBorder="1" applyAlignment="1">
      <alignment vertical="center" wrapText="1"/>
    </xf>
    <xf numFmtId="0" fontId="17" fillId="4" borderId="18" xfId="3" applyFont="1" applyFill="1" applyBorder="1" applyAlignment="1">
      <alignment horizontal="center" vertical="center" wrapText="1"/>
    </xf>
    <xf numFmtId="0" fontId="17" fillId="0" borderId="25" xfId="3" applyFont="1" applyFill="1" applyBorder="1" applyAlignment="1">
      <alignment horizontal="center" vertical="center" wrapText="1"/>
    </xf>
    <xf numFmtId="0" fontId="6" fillId="0" borderId="15" xfId="0" applyFont="1" applyFill="1" applyBorder="1"/>
    <xf numFmtId="164" fontId="6" fillId="0" borderId="15" xfId="0" applyNumberFormat="1" applyFont="1" applyFill="1" applyBorder="1"/>
    <xf numFmtId="164" fontId="17" fillId="0" borderId="15" xfId="3" applyNumberFormat="1" applyFont="1" applyFill="1" applyBorder="1" applyAlignment="1">
      <alignment vertical="center" wrapText="1"/>
    </xf>
    <xf numFmtId="10" fontId="17" fillId="0" borderId="15" xfId="3" applyNumberFormat="1" applyFont="1" applyFill="1" applyBorder="1" applyAlignment="1">
      <alignment vertical="center" wrapText="1"/>
    </xf>
    <xf numFmtId="0" fontId="17" fillId="0" borderId="15" xfId="3" applyFont="1" applyFill="1" applyBorder="1" applyAlignment="1">
      <alignment vertical="center"/>
    </xf>
    <xf numFmtId="0" fontId="0" fillId="0" borderId="0" xfId="0" applyFill="1"/>
    <xf numFmtId="0" fontId="0" fillId="0" borderId="0" xfId="0" applyFill="1" applyAlignment="1">
      <alignment horizontal="right"/>
    </xf>
    <xf numFmtId="43" fontId="0" fillId="0" borderId="0" xfId="1" applyFont="1" applyFill="1"/>
    <xf numFmtId="170" fontId="0" fillId="0" borderId="0" xfId="1" applyNumberFormat="1" applyFont="1" applyFill="1"/>
    <xf numFmtId="169" fontId="0" fillId="0" borderId="0" xfId="0" applyNumberFormat="1" applyFill="1"/>
    <xf numFmtId="0" fontId="0" fillId="0" borderId="5" xfId="0" applyFill="1" applyBorder="1"/>
    <xf numFmtId="166" fontId="22" fillId="0" borderId="9" xfId="0" applyNumberFormat="1" applyFont="1" applyFill="1" applyBorder="1" applyAlignment="1">
      <alignment vertical="center"/>
    </xf>
    <xf numFmtId="170" fontId="0" fillId="0" borderId="5" xfId="1" applyNumberFormat="1" applyFont="1" applyFill="1" applyBorder="1"/>
    <xf numFmtId="0" fontId="17" fillId="4" borderId="5" xfId="3" applyFont="1" applyFill="1" applyBorder="1" applyAlignment="1">
      <alignment horizontal="center" vertical="center" wrapText="1"/>
    </xf>
    <xf numFmtId="0" fontId="18" fillId="0" borderId="15" xfId="3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/>
    </xf>
    <xf numFmtId="0" fontId="17" fillId="0" borderId="15" xfId="3" applyFont="1" applyFill="1" applyBorder="1" applyAlignment="1">
      <alignment horizontal="center" vertical="center"/>
    </xf>
    <xf numFmtId="43" fontId="24" fillId="0" borderId="15" xfId="1" applyFont="1" applyFill="1" applyBorder="1" applyAlignment="1">
      <alignment horizontal="right" vertical="center" wrapText="1"/>
    </xf>
    <xf numFmtId="9" fontId="17" fillId="0" borderId="15" xfId="2" applyFont="1" applyFill="1" applyBorder="1" applyAlignment="1">
      <alignment vertical="center" wrapText="1"/>
    </xf>
    <xf numFmtId="10" fontId="17" fillId="0" borderId="15" xfId="3" applyNumberFormat="1" applyFont="1" applyFill="1" applyBorder="1" applyAlignment="1">
      <alignment horizontal="center" vertical="center" wrapText="1"/>
    </xf>
    <xf numFmtId="10" fontId="17" fillId="0" borderId="15" xfId="3" applyNumberFormat="1" applyFont="1" applyFill="1" applyBorder="1" applyAlignment="1">
      <alignment horizontal="left" vertical="center" wrapText="1"/>
    </xf>
    <xf numFmtId="10" fontId="17" fillId="0" borderId="26" xfId="3" applyNumberFormat="1" applyFont="1" applyFill="1" applyBorder="1" applyAlignment="1">
      <alignment vertical="center" wrapText="1"/>
    </xf>
    <xf numFmtId="0" fontId="22" fillId="0" borderId="21" xfId="0" applyFont="1" applyFill="1" applyBorder="1" applyAlignment="1">
      <alignment horizontal="center" vertical="center"/>
    </xf>
    <xf numFmtId="0" fontId="19" fillId="0" borderId="17" xfId="3" applyFont="1" applyFill="1" applyBorder="1" applyAlignment="1">
      <alignment vertical="center" wrapText="1"/>
    </xf>
    <xf numFmtId="43" fontId="27" fillId="0" borderId="17" xfId="3" applyNumberFormat="1" applyFont="1" applyFill="1" applyBorder="1" applyAlignment="1">
      <alignment vertical="center" wrapText="1"/>
    </xf>
    <xf numFmtId="0" fontId="17" fillId="0" borderId="18" xfId="3" applyFont="1" applyFill="1" applyBorder="1" applyAlignment="1">
      <alignment vertical="center" wrapText="1"/>
    </xf>
    <xf numFmtId="0" fontId="17" fillId="4" borderId="4" xfId="0" applyFont="1" applyFill="1" applyBorder="1" applyAlignment="1">
      <alignment horizontal="center" vertical="center"/>
    </xf>
    <xf numFmtId="0" fontId="17" fillId="4" borderId="5" xfId="3" applyFont="1" applyFill="1" applyBorder="1" applyAlignment="1">
      <alignment horizontal="center" vertical="center" wrapText="1"/>
    </xf>
    <xf numFmtId="4" fontId="0" fillId="0" borderId="0" xfId="0" applyNumberFormat="1"/>
    <xf numFmtId="175" fontId="0" fillId="0" borderId="0" xfId="0" applyNumberFormat="1" applyFill="1"/>
    <xf numFmtId="164" fontId="0" fillId="0" borderId="0" xfId="0" applyNumberFormat="1" applyFill="1"/>
    <xf numFmtId="0" fontId="12" fillId="2" borderId="1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3" fillId="3" borderId="2" xfId="3" applyFont="1" applyFill="1" applyBorder="1" applyAlignment="1">
      <alignment horizontal="left" vertical="center" wrapText="1"/>
    </xf>
    <xf numFmtId="0" fontId="13" fillId="3" borderId="3" xfId="3" applyFont="1" applyFill="1" applyBorder="1" applyAlignment="1">
      <alignment horizontal="left" vertical="center" wrapText="1"/>
    </xf>
    <xf numFmtId="0" fontId="5" fillId="0" borderId="0" xfId="3" applyFont="1" applyFill="1" applyBorder="1" applyAlignment="1">
      <alignment horizontal="left" vertical="center" wrapText="1"/>
    </xf>
    <xf numFmtId="0" fontId="5" fillId="0" borderId="0" xfId="3" applyFont="1" applyFill="1" applyBorder="1" applyAlignment="1">
      <alignment vertical="center" wrapText="1"/>
    </xf>
    <xf numFmtId="0" fontId="13" fillId="3" borderId="2" xfId="3" applyFont="1" applyFill="1" applyBorder="1" applyAlignment="1">
      <alignment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4" fillId="3" borderId="5" xfId="3" applyFont="1" applyFill="1" applyBorder="1" applyAlignment="1">
      <alignment horizontal="center" vertical="center" wrapText="1"/>
    </xf>
    <xf numFmtId="0" fontId="14" fillId="3" borderId="5" xfId="3" applyFont="1" applyFill="1" applyBorder="1" applyAlignment="1">
      <alignment vertical="center" wrapText="1"/>
    </xf>
    <xf numFmtId="0" fontId="12" fillId="3" borderId="5" xfId="3" applyFont="1" applyFill="1" applyBorder="1" applyAlignment="1">
      <alignment horizontal="center" vertical="center" wrapText="1"/>
    </xf>
    <xf numFmtId="0" fontId="14" fillId="3" borderId="9" xfId="3" applyFont="1" applyFill="1" applyBorder="1" applyAlignment="1">
      <alignment horizontal="center" vertical="center" wrapText="1"/>
    </xf>
    <xf numFmtId="0" fontId="14" fillId="3" borderId="5" xfId="3" applyFont="1" applyFill="1" applyBorder="1" applyAlignment="1">
      <alignment horizontal="center" vertical="center"/>
    </xf>
    <xf numFmtId="0" fontId="17" fillId="4" borderId="15" xfId="3" applyFont="1" applyFill="1" applyBorder="1" applyAlignment="1">
      <alignment horizontal="center" vertical="center" wrapText="1"/>
    </xf>
    <xf numFmtId="0" fontId="17" fillId="4" borderId="30" xfId="3" applyFont="1" applyFill="1" applyBorder="1" applyAlignment="1">
      <alignment horizontal="center" vertical="center" wrapText="1"/>
    </xf>
    <xf numFmtId="0" fontId="17" fillId="4" borderId="12" xfId="3" applyFont="1" applyFill="1" applyBorder="1" applyAlignment="1">
      <alignment horizontal="center" vertical="center" wrapText="1"/>
    </xf>
    <xf numFmtId="10" fontId="17" fillId="4" borderId="15" xfId="3" applyNumberFormat="1" applyFont="1" applyFill="1" applyBorder="1" applyAlignment="1">
      <alignment horizontal="center" vertical="center" wrapText="1"/>
    </xf>
    <xf numFmtId="10" fontId="17" fillId="4" borderId="30" xfId="3" applyNumberFormat="1" applyFont="1" applyFill="1" applyBorder="1" applyAlignment="1">
      <alignment horizontal="center" vertical="center" wrapText="1"/>
    </xf>
    <xf numFmtId="10" fontId="17" fillId="4" borderId="12" xfId="3" applyNumberFormat="1" applyFont="1" applyFill="1" applyBorder="1" applyAlignment="1">
      <alignment horizontal="center" vertical="center" wrapText="1"/>
    </xf>
    <xf numFmtId="14" fontId="17" fillId="4" borderId="15" xfId="3" applyNumberFormat="1" applyFont="1" applyFill="1" applyBorder="1" applyAlignment="1">
      <alignment horizontal="center" vertical="center" wrapText="1"/>
    </xf>
    <xf numFmtId="14" fontId="17" fillId="4" borderId="30" xfId="3" applyNumberFormat="1" applyFont="1" applyFill="1" applyBorder="1" applyAlignment="1">
      <alignment horizontal="center" vertical="center" wrapText="1"/>
    </xf>
    <xf numFmtId="0" fontId="17" fillId="4" borderId="15" xfId="3" applyFont="1" applyFill="1" applyBorder="1" applyAlignment="1">
      <alignment horizontal="left" vertical="center" wrapText="1"/>
    </xf>
    <xf numFmtId="0" fontId="17" fillId="4" borderId="30" xfId="3" applyFont="1" applyFill="1" applyBorder="1" applyAlignment="1">
      <alignment horizontal="left" vertical="center" wrapText="1"/>
    </xf>
    <xf numFmtId="0" fontId="17" fillId="4" borderId="12" xfId="3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center" vertical="center"/>
    </xf>
    <xf numFmtId="0" fontId="23" fillId="2" borderId="14" xfId="0" applyFont="1" applyFill="1" applyBorder="1" applyAlignment="1">
      <alignment horizontal="center" vertical="center"/>
    </xf>
    <xf numFmtId="0" fontId="13" fillId="3" borderId="5" xfId="3" applyFont="1" applyFill="1" applyBorder="1" applyAlignment="1">
      <alignment horizontal="left" vertical="center" wrapText="1"/>
    </xf>
    <xf numFmtId="0" fontId="17" fillId="0" borderId="15" xfId="3" applyFont="1" applyFill="1" applyBorder="1" applyAlignment="1">
      <alignment horizontal="center" vertical="center" wrapText="1"/>
    </xf>
    <xf numFmtId="0" fontId="17" fillId="0" borderId="12" xfId="3" applyFont="1" applyFill="1" applyBorder="1" applyAlignment="1">
      <alignment horizontal="center" vertical="center" wrapText="1"/>
    </xf>
    <xf numFmtId="0" fontId="13" fillId="3" borderId="27" xfId="3" applyFont="1" applyFill="1" applyBorder="1" applyAlignment="1">
      <alignment horizontal="left" vertical="center" wrapText="1"/>
    </xf>
    <xf numFmtId="0" fontId="13" fillId="3" borderId="28" xfId="3" applyFont="1" applyFill="1" applyBorder="1" applyAlignment="1">
      <alignment horizontal="left" vertical="center" wrapText="1"/>
    </xf>
    <xf numFmtId="0" fontId="13" fillId="3" borderId="29" xfId="3" applyFont="1" applyFill="1" applyBorder="1" applyAlignment="1">
      <alignment horizontal="left" vertical="center" wrapText="1"/>
    </xf>
    <xf numFmtId="10" fontId="14" fillId="3" borderId="5" xfId="3" applyNumberFormat="1" applyFont="1" applyFill="1" applyBorder="1" applyAlignment="1">
      <alignment horizontal="center" vertical="center" wrapText="1"/>
    </xf>
    <xf numFmtId="0" fontId="14" fillId="3" borderId="6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4" fontId="17" fillId="4" borderId="17" xfId="3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13" fillId="3" borderId="6" xfId="3" applyFont="1" applyFill="1" applyBorder="1" applyAlignment="1">
      <alignment horizontal="left" vertical="center" wrapText="1"/>
    </xf>
    <xf numFmtId="0" fontId="28" fillId="3" borderId="5" xfId="3" applyFont="1" applyFill="1" applyBorder="1" applyAlignment="1">
      <alignment horizontal="center" vertical="center" wrapText="1"/>
    </xf>
    <xf numFmtId="0" fontId="29" fillId="5" borderId="15" xfId="0" applyFont="1" applyFill="1" applyBorder="1" applyAlignment="1">
      <alignment horizontal="center" vertical="center" wrapText="1"/>
    </xf>
    <xf numFmtId="0" fontId="29" fillId="5" borderId="30" xfId="0" applyFont="1" applyFill="1" applyBorder="1" applyAlignment="1">
      <alignment horizontal="center" vertical="center" wrapText="1"/>
    </xf>
    <xf numFmtId="0" fontId="29" fillId="5" borderId="12" xfId="0" applyFont="1" applyFill="1" applyBorder="1" applyAlignment="1">
      <alignment horizontal="center" vertical="center" wrapText="1"/>
    </xf>
    <xf numFmtId="0" fontId="29" fillId="5" borderId="5" xfId="0" applyFont="1" applyFill="1" applyBorder="1" applyAlignment="1">
      <alignment horizontal="center" vertical="center"/>
    </xf>
    <xf numFmtId="0" fontId="6" fillId="0" borderId="5" xfId="4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7" fillId="0" borderId="31" xfId="0" applyFont="1" applyFill="1" applyBorder="1" applyAlignment="1">
      <alignment horizontal="center" vertical="center"/>
    </xf>
    <xf numFmtId="0" fontId="18" fillId="0" borderId="15" xfId="3" applyFont="1" applyFill="1" applyBorder="1" applyAlignment="1">
      <alignment horizontal="center" vertical="center" wrapText="1"/>
    </xf>
    <xf numFmtId="0" fontId="18" fillId="0" borderId="30" xfId="3" applyFont="1" applyFill="1" applyBorder="1" applyAlignment="1">
      <alignment horizontal="center" vertical="center" wrapText="1"/>
    </xf>
    <xf numFmtId="0" fontId="17" fillId="0" borderId="30" xfId="3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/>
    </xf>
    <xf numFmtId="0" fontId="17" fillId="4" borderId="31" xfId="0" applyFont="1" applyFill="1" applyBorder="1" applyAlignment="1">
      <alignment horizontal="center" vertical="center"/>
    </xf>
    <xf numFmtId="0" fontId="17" fillId="4" borderId="10" xfId="0" applyFont="1" applyFill="1" applyBorder="1" applyAlignment="1">
      <alignment horizontal="center" vertical="center"/>
    </xf>
    <xf numFmtId="0" fontId="18" fillId="4" borderId="15" xfId="3" applyFont="1" applyFill="1" applyBorder="1" applyAlignment="1">
      <alignment horizontal="center" vertical="center" wrapText="1"/>
    </xf>
    <xf numFmtId="0" fontId="18" fillId="4" borderId="30" xfId="3" applyFont="1" applyFill="1" applyBorder="1" applyAlignment="1">
      <alignment horizontal="center" vertical="center" wrapText="1"/>
    </xf>
    <xf numFmtId="0" fontId="18" fillId="4" borderId="12" xfId="3" applyFont="1" applyFill="1" applyBorder="1" applyAlignment="1">
      <alignment horizontal="center" vertical="center" wrapText="1"/>
    </xf>
    <xf numFmtId="0" fontId="17" fillId="0" borderId="6" xfId="3" applyFont="1" applyFill="1" applyBorder="1" applyAlignment="1">
      <alignment horizontal="center" vertical="center" wrapText="1"/>
    </xf>
    <xf numFmtId="0" fontId="17" fillId="0" borderId="8" xfId="3" applyFont="1" applyFill="1" applyBorder="1" applyAlignment="1">
      <alignment horizontal="center" vertical="center" wrapText="1"/>
    </xf>
    <xf numFmtId="43" fontId="17" fillId="4" borderId="5" xfId="3" applyNumberFormat="1" applyFont="1" applyFill="1" applyBorder="1" applyAlignment="1">
      <alignment horizontal="center" vertical="center"/>
    </xf>
    <xf numFmtId="43" fontId="19" fillId="4" borderId="5" xfId="3" applyNumberFormat="1" applyFont="1" applyFill="1" applyBorder="1" applyAlignment="1">
      <alignment horizontal="center" vertical="center"/>
    </xf>
    <xf numFmtId="0" fontId="17" fillId="4" borderId="5" xfId="3" applyFont="1" applyFill="1" applyBorder="1" applyAlignment="1">
      <alignment horizontal="center" vertical="center" wrapText="1"/>
    </xf>
    <xf numFmtId="0" fontId="17" fillId="0" borderId="5" xfId="3" applyFont="1" applyFill="1" applyBorder="1" applyAlignment="1">
      <alignment horizontal="center" vertical="center"/>
    </xf>
    <xf numFmtId="0" fontId="17" fillId="4" borderId="5" xfId="3" applyFont="1" applyFill="1" applyBorder="1" applyAlignment="1">
      <alignment horizontal="center" vertical="center"/>
    </xf>
    <xf numFmtId="0" fontId="17" fillId="4" borderId="24" xfId="3" applyFont="1" applyFill="1" applyBorder="1" applyAlignment="1">
      <alignment horizontal="center" vertical="center" wrapText="1"/>
    </xf>
    <xf numFmtId="0" fontId="17" fillId="4" borderId="25" xfId="3" applyFont="1" applyFill="1" applyBorder="1" applyAlignment="1">
      <alignment horizontal="center" vertical="center" wrapText="1"/>
    </xf>
    <xf numFmtId="0" fontId="17" fillId="4" borderId="6" xfId="3" applyFont="1" applyFill="1" applyBorder="1" applyAlignment="1">
      <alignment horizontal="center" vertical="center" wrapText="1"/>
    </xf>
    <xf numFmtId="0" fontId="17" fillId="4" borderId="8" xfId="3" applyFont="1" applyFill="1" applyBorder="1" applyAlignment="1">
      <alignment horizontal="center" vertical="center" wrapText="1"/>
    </xf>
    <xf numFmtId="0" fontId="17" fillId="4" borderId="17" xfId="3" applyFont="1" applyFill="1" applyBorder="1" applyAlignment="1">
      <alignment horizontal="center" vertical="center" wrapText="1"/>
    </xf>
    <xf numFmtId="0" fontId="17" fillId="4" borderId="6" xfId="3" applyFont="1" applyFill="1" applyBorder="1" applyAlignment="1">
      <alignment horizontal="center" vertical="center"/>
    </xf>
    <xf numFmtId="0" fontId="17" fillId="4" borderId="8" xfId="3" applyFont="1" applyFill="1" applyBorder="1" applyAlignment="1">
      <alignment horizontal="center" vertical="center"/>
    </xf>
    <xf numFmtId="0" fontId="17" fillId="0" borderId="6" xfId="3" applyFont="1" applyFill="1" applyBorder="1" applyAlignment="1">
      <alignment horizontal="center" vertical="center"/>
    </xf>
    <xf numFmtId="0" fontId="17" fillId="0" borderId="8" xfId="3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37" fillId="0" borderId="0" xfId="4" applyFont="1" applyFill="1" applyBorder="1" applyAlignment="1">
      <alignment horizontal="center" vertical="center" wrapText="1"/>
    </xf>
    <xf numFmtId="0" fontId="13" fillId="3" borderId="1" xfId="4" applyFont="1" applyFill="1" applyBorder="1" applyAlignment="1">
      <alignment horizontal="center" vertical="center" wrapText="1"/>
    </xf>
    <xf numFmtId="0" fontId="13" fillId="3" borderId="2" xfId="4" applyFont="1" applyFill="1" applyBorder="1" applyAlignment="1">
      <alignment horizontal="center" vertical="center" wrapText="1"/>
    </xf>
    <xf numFmtId="0" fontId="13" fillId="3" borderId="14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/>
    </xf>
    <xf numFmtId="0" fontId="19" fillId="0" borderId="21" xfId="4" applyFont="1" applyFill="1" applyBorder="1" applyAlignment="1">
      <alignment horizontal="center" vertical="center" wrapText="1"/>
    </xf>
    <xf numFmtId="0" fontId="19" fillId="0" borderId="17" xfId="4" applyFont="1" applyFill="1" applyBorder="1" applyAlignment="1">
      <alignment horizontal="center" vertical="center" wrapText="1"/>
    </xf>
    <xf numFmtId="0" fontId="13" fillId="3" borderId="3" xfId="4" applyFont="1" applyFill="1" applyBorder="1" applyAlignment="1">
      <alignment horizontal="center" vertical="center" wrapText="1"/>
    </xf>
    <xf numFmtId="0" fontId="17" fillId="0" borderId="17" xfId="4" applyFont="1" applyFill="1" applyBorder="1" applyAlignment="1">
      <alignment horizontal="center" vertical="center" wrapText="1"/>
    </xf>
    <xf numFmtId="0" fontId="17" fillId="0" borderId="19" xfId="4" applyFont="1" applyFill="1" applyBorder="1" applyAlignment="1">
      <alignment horizontal="center" vertical="center" wrapText="1"/>
    </xf>
    <xf numFmtId="0" fontId="19" fillId="0" borderId="0" xfId="4" applyFont="1" applyFill="1" applyBorder="1" applyAlignment="1">
      <alignment horizontal="center" vertical="center" wrapText="1"/>
    </xf>
    <xf numFmtId="0" fontId="13" fillId="3" borderId="27" xfId="4" applyFont="1" applyFill="1" applyBorder="1" applyAlignment="1">
      <alignment horizontal="center" vertical="center" wrapText="1"/>
    </xf>
    <xf numFmtId="0" fontId="13" fillId="3" borderId="28" xfId="4" applyFont="1" applyFill="1" applyBorder="1" applyAlignment="1">
      <alignment horizontal="center" vertical="center" wrapText="1"/>
    </xf>
    <xf numFmtId="0" fontId="13" fillId="3" borderId="29" xfId="4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17" fillId="0" borderId="4" xfId="4" applyFont="1" applyBorder="1" applyAlignment="1">
      <alignment horizontal="left" vertical="center" wrapText="1"/>
    </xf>
    <xf numFmtId="0" fontId="17" fillId="0" borderId="31" xfId="4" applyFont="1" applyBorder="1" applyAlignment="1">
      <alignment horizontal="left" vertical="center" wrapText="1"/>
    </xf>
    <xf numFmtId="0" fontId="17" fillId="0" borderId="32" xfId="4" applyFont="1" applyBorder="1" applyAlignment="1">
      <alignment horizontal="left" vertical="center" wrapText="1"/>
    </xf>
    <xf numFmtId="0" fontId="17" fillId="0" borderId="0" xfId="4" applyFont="1" applyAlignment="1">
      <alignment horizontal="left" vertical="center" wrapText="1"/>
    </xf>
    <xf numFmtId="0" fontId="17" fillId="0" borderId="14" xfId="4" applyFont="1" applyBorder="1" applyAlignment="1">
      <alignment horizontal="center" vertical="center"/>
    </xf>
    <xf numFmtId="0" fontId="17" fillId="0" borderId="21" xfId="4" applyFont="1" applyBorder="1" applyAlignment="1">
      <alignment horizontal="center" vertical="center"/>
    </xf>
    <xf numFmtId="0" fontId="17" fillId="0" borderId="0" xfId="3" applyFont="1" applyAlignment="1">
      <alignment horizontal="left" vertical="center" wrapText="1"/>
    </xf>
  </cellXfs>
  <cellStyles count="6">
    <cellStyle name="Normal" xfId="0" builtinId="0"/>
    <cellStyle name="Normal 2 2" xfId="3"/>
    <cellStyle name="Normal 3" xfId="4"/>
    <cellStyle name="Porcentagem" xfId="2" builtinId="5"/>
    <cellStyle name="Vírgula" xfId="1" builtinId="3"/>
    <cellStyle name="Vírgula 4" xfId="5"/>
  </cellStyles>
  <dxfs count="0"/>
  <tableStyles count="0" defaultTableStyle="TableStyleMedium2" defaultPivotStyle="PivotStyleLight16"/>
  <colors>
    <mruColors>
      <color rgb="FFA50021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9"/>
  <sheetViews>
    <sheetView tabSelected="1" zoomScale="90" zoomScaleNormal="90" zoomScaleSheetLayoutView="80" workbookViewId="0">
      <selection activeCell="D107" sqref="D107"/>
    </sheetView>
  </sheetViews>
  <sheetFormatPr defaultColWidth="8.7109375" defaultRowHeight="15.75" x14ac:dyDescent="0.25"/>
  <cols>
    <col min="1" max="1" width="4.7109375" style="1" customWidth="1"/>
    <col min="2" max="2" width="8.7109375" style="55" customWidth="1"/>
    <col min="3" max="3" width="52.7109375" style="1" customWidth="1"/>
    <col min="4" max="4" width="32.28515625" style="3" customWidth="1"/>
    <col min="5" max="5" width="18.42578125" style="1" customWidth="1"/>
    <col min="6" max="6" width="25.42578125" style="1" customWidth="1"/>
    <col min="7" max="7" width="28.28515625" style="1" customWidth="1"/>
    <col min="8" max="8" width="17.7109375" style="4" customWidth="1"/>
    <col min="9" max="9" width="14.85546875" style="5" customWidth="1"/>
    <col min="10" max="10" width="12.42578125" style="5" customWidth="1"/>
    <col min="11" max="11" width="16.42578125" style="1" customWidth="1"/>
    <col min="12" max="12" width="27.140625" style="1" customWidth="1"/>
    <col min="13" max="13" width="21.7109375" style="1" customWidth="1"/>
    <col min="14" max="14" width="21.28515625" style="1" customWidth="1"/>
    <col min="15" max="15" width="19.5703125" style="6" customWidth="1"/>
    <col min="16" max="16" width="19.42578125" style="1" customWidth="1"/>
    <col min="17" max="17" width="17" style="1" customWidth="1"/>
    <col min="18" max="18" width="8.42578125" style="13" customWidth="1"/>
    <col min="19" max="20" width="8.7109375" style="1"/>
    <col min="21" max="21" width="9.140625" style="1" bestFit="1" customWidth="1"/>
    <col min="22" max="16384" width="8.7109375" style="1"/>
  </cols>
  <sheetData>
    <row r="1" spans="1:17" x14ac:dyDescent="0.25">
      <c r="B1" s="2"/>
    </row>
    <row r="2" spans="1:17" x14ac:dyDescent="0.25">
      <c r="B2" s="7" t="s">
        <v>0</v>
      </c>
    </row>
    <row r="3" spans="1:17" x14ac:dyDescent="0.25">
      <c r="B3" s="8" t="s">
        <v>1</v>
      </c>
      <c r="C3" s="9"/>
      <c r="D3" s="10"/>
      <c r="E3" s="9"/>
      <c r="F3" s="9"/>
    </row>
    <row r="4" spans="1:17" x14ac:dyDescent="0.25">
      <c r="B4" s="11" t="s">
        <v>2</v>
      </c>
    </row>
    <row r="5" spans="1:17" x14ac:dyDescent="0.25">
      <c r="B5" s="11" t="s">
        <v>3</v>
      </c>
    </row>
    <row r="6" spans="1:17" x14ac:dyDescent="0.25">
      <c r="B6" s="12"/>
      <c r="D6" s="225"/>
      <c r="K6" s="225"/>
    </row>
    <row r="7" spans="1:17" x14ac:dyDescent="0.25">
      <c r="A7" s="13"/>
      <c r="B7" s="14" t="s">
        <v>424</v>
      </c>
      <c r="C7" s="15"/>
      <c r="D7" s="225"/>
      <c r="K7" s="227"/>
    </row>
    <row r="8" spans="1:17" s="13" customFormat="1" x14ac:dyDescent="0.25">
      <c r="B8" s="14" t="s">
        <v>404</v>
      </c>
      <c r="C8" s="15"/>
      <c r="D8" s="272"/>
      <c r="H8" s="273"/>
      <c r="I8" s="274"/>
      <c r="J8" s="274"/>
      <c r="K8" s="275"/>
      <c r="O8" s="276"/>
    </row>
    <row r="9" spans="1:17" x14ac:dyDescent="0.25">
      <c r="A9" s="13"/>
      <c r="B9" s="14" t="s">
        <v>4</v>
      </c>
      <c r="C9" s="15"/>
      <c r="D9" s="225"/>
      <c r="K9" s="226"/>
    </row>
    <row r="10" spans="1:17" x14ac:dyDescent="0.25">
      <c r="B10" s="16" t="s">
        <v>5</v>
      </c>
      <c r="D10" s="225"/>
    </row>
    <row r="11" spans="1:17" x14ac:dyDescent="0.25">
      <c r="B11" s="17"/>
    </row>
    <row r="12" spans="1:17" ht="15.75" customHeight="1" x14ac:dyDescent="0.25">
      <c r="A12" s="18"/>
      <c r="B12" s="414" t="s">
        <v>6</v>
      </c>
      <c r="C12" s="414"/>
      <c r="D12" s="415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414"/>
      <c r="Q12" s="414"/>
    </row>
    <row r="13" spans="1:17" ht="15.75" customHeight="1" thickBot="1" x14ac:dyDescent="0.3">
      <c r="B13" s="19"/>
      <c r="C13" s="20"/>
      <c r="D13" s="21"/>
      <c r="E13" s="20"/>
      <c r="F13" s="20"/>
      <c r="G13" s="20"/>
      <c r="H13" s="22"/>
      <c r="I13" s="20"/>
      <c r="J13" s="20"/>
      <c r="K13" s="20"/>
      <c r="L13" s="20"/>
      <c r="M13" s="20"/>
      <c r="N13" s="20"/>
      <c r="O13" s="23"/>
      <c r="P13" s="20"/>
      <c r="Q13" s="20"/>
    </row>
    <row r="14" spans="1:17" ht="19.5" customHeight="1" x14ac:dyDescent="0.25">
      <c r="A14" s="24">
        <v>1</v>
      </c>
      <c r="B14" s="412" t="s">
        <v>7</v>
      </c>
      <c r="C14" s="412"/>
      <c r="D14" s="416"/>
      <c r="E14" s="412"/>
      <c r="F14" s="412"/>
      <c r="G14" s="412"/>
      <c r="H14" s="412"/>
      <c r="I14" s="412"/>
      <c r="J14" s="412"/>
      <c r="K14" s="412"/>
      <c r="L14" s="412"/>
      <c r="M14" s="412"/>
      <c r="N14" s="412"/>
      <c r="O14" s="412"/>
      <c r="P14" s="412"/>
      <c r="Q14" s="413"/>
    </row>
    <row r="15" spans="1:17" ht="30" customHeight="1" x14ac:dyDescent="0.25">
      <c r="A15" s="417"/>
      <c r="B15" s="419" t="s">
        <v>8</v>
      </c>
      <c r="C15" s="419" t="s">
        <v>9</v>
      </c>
      <c r="D15" s="420" t="s">
        <v>10</v>
      </c>
      <c r="E15" s="419" t="s">
        <v>11</v>
      </c>
      <c r="F15" s="419" t="s">
        <v>12</v>
      </c>
      <c r="G15" s="419" t="s">
        <v>13</v>
      </c>
      <c r="H15" s="25" t="s">
        <v>14</v>
      </c>
      <c r="I15" s="26"/>
      <c r="J15" s="27"/>
      <c r="K15" s="421" t="s">
        <v>15</v>
      </c>
      <c r="L15" s="419" t="s">
        <v>16</v>
      </c>
      <c r="M15" s="419" t="s">
        <v>17</v>
      </c>
      <c r="N15" s="419"/>
      <c r="O15" s="419" t="s">
        <v>18</v>
      </c>
      <c r="P15" s="419" t="s">
        <v>19</v>
      </c>
      <c r="Q15" s="422" t="s">
        <v>20</v>
      </c>
    </row>
    <row r="16" spans="1:17" ht="74.25" customHeight="1" x14ac:dyDescent="0.25">
      <c r="A16" s="418"/>
      <c r="B16" s="419"/>
      <c r="C16" s="419"/>
      <c r="D16" s="419"/>
      <c r="E16" s="419"/>
      <c r="F16" s="419"/>
      <c r="G16" s="419"/>
      <c r="H16" s="28" t="s">
        <v>21</v>
      </c>
      <c r="I16" s="29" t="s">
        <v>22</v>
      </c>
      <c r="J16" s="29" t="s">
        <v>23</v>
      </c>
      <c r="K16" s="421"/>
      <c r="L16" s="419"/>
      <c r="M16" s="30" t="s">
        <v>24</v>
      </c>
      <c r="N16" s="30" t="s">
        <v>25</v>
      </c>
      <c r="O16" s="419"/>
      <c r="P16" s="419"/>
      <c r="Q16" s="422"/>
    </row>
    <row r="17" spans="1:18" s="39" customFormat="1" ht="40.5" customHeight="1" x14ac:dyDescent="0.25">
      <c r="A17" s="31">
        <v>1.1000000000000001</v>
      </c>
      <c r="B17" s="32" t="s">
        <v>26</v>
      </c>
      <c r="C17" s="33" t="s">
        <v>27</v>
      </c>
      <c r="D17" s="33" t="s">
        <v>28</v>
      </c>
      <c r="E17" s="33" t="s">
        <v>29</v>
      </c>
      <c r="F17" s="33"/>
      <c r="G17" s="34" t="s">
        <v>30</v>
      </c>
      <c r="H17" s="314">
        <f>26+12.066</f>
        <v>38.066000000000003</v>
      </c>
      <c r="I17" s="203">
        <v>1</v>
      </c>
      <c r="J17" s="35"/>
      <c r="K17" s="36" t="s">
        <v>31</v>
      </c>
      <c r="L17" s="33" t="s">
        <v>32</v>
      </c>
      <c r="M17" s="37">
        <v>41656</v>
      </c>
      <c r="N17" s="37">
        <v>41753</v>
      </c>
      <c r="O17" s="36"/>
      <c r="P17" s="38" t="s">
        <v>33</v>
      </c>
      <c r="Q17" s="294" t="s">
        <v>34</v>
      </c>
      <c r="R17" s="224"/>
    </row>
    <row r="18" spans="1:18" s="39" customFormat="1" ht="30" customHeight="1" x14ac:dyDescent="0.25">
      <c r="A18" s="40">
        <v>1.2</v>
      </c>
      <c r="B18" s="41" t="s">
        <v>26</v>
      </c>
      <c r="C18" s="116" t="s">
        <v>35</v>
      </c>
      <c r="D18" s="42"/>
      <c r="E18" s="42" t="s">
        <v>29</v>
      </c>
      <c r="F18" s="33"/>
      <c r="G18" s="344" t="s">
        <v>391</v>
      </c>
      <c r="H18" s="266">
        <f>60+76.5-50</f>
        <v>86.5</v>
      </c>
      <c r="I18" s="204">
        <v>1</v>
      </c>
      <c r="J18" s="35"/>
      <c r="K18" s="44" t="s">
        <v>330</v>
      </c>
      <c r="L18" s="42" t="s">
        <v>32</v>
      </c>
      <c r="M18" s="311">
        <v>42920</v>
      </c>
      <c r="N18" s="38" t="s">
        <v>193</v>
      </c>
      <c r="O18" s="36"/>
      <c r="P18" s="42"/>
      <c r="Q18" s="294" t="s">
        <v>239</v>
      </c>
      <c r="R18" s="224"/>
    </row>
    <row r="19" spans="1:18" s="39" customFormat="1" ht="37.9" customHeight="1" thickBot="1" x14ac:dyDescent="0.3">
      <c r="A19" s="374">
        <v>1.3</v>
      </c>
      <c r="B19" s="375" t="s">
        <v>26</v>
      </c>
      <c r="C19" s="46" t="s">
        <v>39</v>
      </c>
      <c r="D19" s="46"/>
      <c r="E19" s="46" t="s">
        <v>29</v>
      </c>
      <c r="F19" s="46"/>
      <c r="G19" s="303" t="s">
        <v>392</v>
      </c>
      <c r="H19" s="262">
        <v>0</v>
      </c>
      <c r="I19" s="376">
        <v>1</v>
      </c>
      <c r="J19" s="47"/>
      <c r="K19" s="377" t="s">
        <v>330</v>
      </c>
      <c r="L19" s="46" t="s">
        <v>32</v>
      </c>
      <c r="M19" s="303" t="s">
        <v>193</v>
      </c>
      <c r="N19" s="354" t="s">
        <v>193</v>
      </c>
      <c r="O19" s="377"/>
      <c r="P19" s="46"/>
      <c r="Q19" s="315" t="s">
        <v>239</v>
      </c>
      <c r="R19" s="224"/>
    </row>
    <row r="20" spans="1:18" ht="26.25" customHeight="1" x14ac:dyDescent="0.25">
      <c r="A20" s="13"/>
      <c r="B20" s="216"/>
      <c r="C20" s="51"/>
      <c r="D20" s="51"/>
      <c r="E20" s="51"/>
      <c r="F20" s="51"/>
      <c r="G20" s="52" t="s">
        <v>40</v>
      </c>
      <c r="H20" s="70">
        <f>SUM(H17:H19)</f>
        <v>124.566</v>
      </c>
      <c r="I20" s="54"/>
      <c r="J20" s="54"/>
      <c r="K20" s="51"/>
      <c r="L20" s="51"/>
      <c r="M20" s="51"/>
      <c r="N20" s="51"/>
      <c r="O20" s="52"/>
      <c r="P20" s="51"/>
      <c r="Q20" s="51"/>
      <c r="R20" s="240"/>
    </row>
    <row r="21" spans="1:18" ht="16.149999999999999" customHeight="1" thickBot="1" x14ac:dyDescent="0.3">
      <c r="A21" s="13"/>
      <c r="C21" s="13"/>
      <c r="D21" s="1"/>
    </row>
    <row r="22" spans="1:18" ht="15.6" customHeight="1" x14ac:dyDescent="0.25">
      <c r="A22" s="410">
        <v>2</v>
      </c>
      <c r="B22" s="412" t="s">
        <v>41</v>
      </c>
      <c r="C22" s="412"/>
      <c r="D22" s="412"/>
      <c r="E22" s="412"/>
      <c r="F22" s="412"/>
      <c r="G22" s="412"/>
      <c r="H22" s="412"/>
      <c r="I22" s="412"/>
      <c r="J22" s="412"/>
      <c r="K22" s="412"/>
      <c r="L22" s="412"/>
      <c r="M22" s="412"/>
      <c r="N22" s="412"/>
      <c r="O22" s="412"/>
      <c r="P22" s="412"/>
      <c r="Q22" s="413"/>
    </row>
    <row r="23" spans="1:18" ht="15" customHeight="1" x14ac:dyDescent="0.25">
      <c r="A23" s="411"/>
      <c r="B23" s="419" t="s">
        <v>8</v>
      </c>
      <c r="C23" s="419" t="s">
        <v>9</v>
      </c>
      <c r="D23" s="419" t="s">
        <v>10</v>
      </c>
      <c r="E23" s="419" t="s">
        <v>11</v>
      </c>
      <c r="F23" s="419" t="s">
        <v>12</v>
      </c>
      <c r="G23" s="419" t="s">
        <v>13</v>
      </c>
      <c r="H23" s="423" t="s">
        <v>42</v>
      </c>
      <c r="I23" s="423"/>
      <c r="J23" s="423"/>
      <c r="K23" s="419" t="s">
        <v>15</v>
      </c>
      <c r="L23" s="419" t="s">
        <v>43</v>
      </c>
      <c r="M23" s="419" t="s">
        <v>44</v>
      </c>
      <c r="N23" s="419"/>
      <c r="O23" s="419" t="s">
        <v>45</v>
      </c>
      <c r="P23" s="419" t="s">
        <v>19</v>
      </c>
      <c r="Q23" s="422" t="s">
        <v>20</v>
      </c>
    </row>
    <row r="24" spans="1:18" ht="65.25" customHeight="1" x14ac:dyDescent="0.25">
      <c r="A24" s="411"/>
      <c r="B24" s="419"/>
      <c r="C24" s="419"/>
      <c r="D24" s="419"/>
      <c r="E24" s="419"/>
      <c r="F24" s="419"/>
      <c r="G24" s="419"/>
      <c r="H24" s="28" t="s">
        <v>21</v>
      </c>
      <c r="I24" s="29" t="s">
        <v>22</v>
      </c>
      <c r="J24" s="29" t="s">
        <v>23</v>
      </c>
      <c r="K24" s="419"/>
      <c r="L24" s="419"/>
      <c r="M24" s="30" t="s">
        <v>24</v>
      </c>
      <c r="N24" s="30" t="s">
        <v>25</v>
      </c>
      <c r="O24" s="419"/>
      <c r="P24" s="419"/>
      <c r="Q24" s="422"/>
    </row>
    <row r="25" spans="1:18" s="39" customFormat="1" ht="43.15" customHeight="1" x14ac:dyDescent="0.25">
      <c r="A25" s="56">
        <v>2.1</v>
      </c>
      <c r="B25" s="57" t="s">
        <v>26</v>
      </c>
      <c r="C25" s="42" t="s">
        <v>46</v>
      </c>
      <c r="D25" s="42" t="s">
        <v>47</v>
      </c>
      <c r="E25" s="42" t="s">
        <v>48</v>
      </c>
      <c r="F25" s="38"/>
      <c r="G25" s="38" t="s">
        <v>49</v>
      </c>
      <c r="H25" s="209">
        <f>7+2.881</f>
        <v>9.8810000000000002</v>
      </c>
      <c r="I25" s="43">
        <v>1</v>
      </c>
      <c r="J25" s="43"/>
      <c r="K25" s="38" t="s">
        <v>31</v>
      </c>
      <c r="L25" s="42" t="s">
        <v>50</v>
      </c>
      <c r="M25" s="58">
        <v>41792</v>
      </c>
      <c r="N25" s="58">
        <v>41860</v>
      </c>
      <c r="O25" s="38"/>
      <c r="P25" s="42" t="s">
        <v>51</v>
      </c>
      <c r="Q25" s="294" t="s">
        <v>34</v>
      </c>
      <c r="R25" s="15"/>
    </row>
    <row r="26" spans="1:18" s="39" customFormat="1" ht="30.75" customHeight="1" x14ac:dyDescent="0.25">
      <c r="A26" s="59">
        <v>2.2000000000000002</v>
      </c>
      <c r="B26" s="57" t="s">
        <v>26</v>
      </c>
      <c r="C26" s="42" t="s">
        <v>52</v>
      </c>
      <c r="D26" s="42" t="s">
        <v>53</v>
      </c>
      <c r="E26" s="42" t="s">
        <v>48</v>
      </c>
      <c r="F26" s="38"/>
      <c r="G26" s="38" t="s">
        <v>49</v>
      </c>
      <c r="H26" s="209">
        <f>1+0.086</f>
        <v>1.0860000000000001</v>
      </c>
      <c r="I26" s="43">
        <v>1</v>
      </c>
      <c r="J26" s="43"/>
      <c r="K26" s="38" t="s">
        <v>31</v>
      </c>
      <c r="L26" s="42" t="s">
        <v>50</v>
      </c>
      <c r="M26" s="58">
        <v>41792</v>
      </c>
      <c r="N26" s="58">
        <v>41880</v>
      </c>
      <c r="O26" s="38"/>
      <c r="P26" s="42" t="s">
        <v>54</v>
      </c>
      <c r="Q26" s="294" t="s">
        <v>34</v>
      </c>
      <c r="R26" s="15"/>
    </row>
    <row r="27" spans="1:18" s="39" customFormat="1" ht="32.25" customHeight="1" x14ac:dyDescent="0.25">
      <c r="A27" s="59">
        <v>2.2999999999999998</v>
      </c>
      <c r="B27" s="57" t="s">
        <v>26</v>
      </c>
      <c r="C27" s="42" t="s">
        <v>55</v>
      </c>
      <c r="D27" s="42" t="s">
        <v>56</v>
      </c>
      <c r="E27" s="42" t="s">
        <v>48</v>
      </c>
      <c r="F27" s="38"/>
      <c r="G27" s="38" t="s">
        <v>57</v>
      </c>
      <c r="H27" s="209">
        <f>3.5+1.218</f>
        <v>4.718</v>
      </c>
      <c r="I27" s="43">
        <v>1</v>
      </c>
      <c r="J27" s="43"/>
      <c r="K27" s="38" t="s">
        <v>31</v>
      </c>
      <c r="L27" s="42" t="s">
        <v>50</v>
      </c>
      <c r="M27" s="58">
        <v>41879</v>
      </c>
      <c r="N27" s="58">
        <v>42033</v>
      </c>
      <c r="O27" s="38"/>
      <c r="P27" s="42" t="s">
        <v>58</v>
      </c>
      <c r="Q27" s="294" t="s">
        <v>34</v>
      </c>
      <c r="R27" s="15"/>
    </row>
    <row r="28" spans="1:18" s="39" customFormat="1" ht="42" customHeight="1" x14ac:dyDescent="0.25">
      <c r="A28" s="59">
        <v>2.4</v>
      </c>
      <c r="B28" s="57" t="s">
        <v>26</v>
      </c>
      <c r="C28" s="42" t="s">
        <v>59</v>
      </c>
      <c r="D28" s="42" t="s">
        <v>60</v>
      </c>
      <c r="E28" s="42" t="s">
        <v>48</v>
      </c>
      <c r="F28" s="38"/>
      <c r="G28" s="38" t="s">
        <v>61</v>
      </c>
      <c r="H28" s="209">
        <f>3+1.146</f>
        <v>4.1459999999999999</v>
      </c>
      <c r="I28" s="43">
        <v>1</v>
      </c>
      <c r="J28" s="43"/>
      <c r="K28" s="38" t="s">
        <v>31</v>
      </c>
      <c r="L28" s="42" t="s">
        <v>50</v>
      </c>
      <c r="M28" s="58">
        <v>41830</v>
      </c>
      <c r="N28" s="58">
        <v>41963</v>
      </c>
      <c r="O28" s="38"/>
      <c r="P28" s="42" t="s">
        <v>62</v>
      </c>
      <c r="Q28" s="294" t="s">
        <v>34</v>
      </c>
      <c r="R28" s="15"/>
    </row>
    <row r="29" spans="1:18" s="39" customFormat="1" ht="31.5" customHeight="1" x14ac:dyDescent="0.25">
      <c r="A29" s="59">
        <v>2.5</v>
      </c>
      <c r="B29" s="57" t="s">
        <v>26</v>
      </c>
      <c r="C29" s="42" t="s">
        <v>59</v>
      </c>
      <c r="D29" s="42" t="s">
        <v>63</v>
      </c>
      <c r="E29" s="42" t="s">
        <v>48</v>
      </c>
      <c r="F29" s="38"/>
      <c r="G29" s="38" t="s">
        <v>61</v>
      </c>
      <c r="H29" s="209">
        <f>3.5+1.297</f>
        <v>4.7969999999999997</v>
      </c>
      <c r="I29" s="43">
        <v>1</v>
      </c>
      <c r="J29" s="43"/>
      <c r="K29" s="38" t="s">
        <v>31</v>
      </c>
      <c r="L29" s="42" t="s">
        <v>50</v>
      </c>
      <c r="M29" s="58">
        <v>41830</v>
      </c>
      <c r="N29" s="58">
        <v>41900</v>
      </c>
      <c r="O29" s="38"/>
      <c r="P29" s="42" t="s">
        <v>62</v>
      </c>
      <c r="Q29" s="294" t="s">
        <v>34</v>
      </c>
      <c r="R29" s="15"/>
    </row>
    <row r="30" spans="1:18" s="39" customFormat="1" ht="33" customHeight="1" x14ac:dyDescent="0.25">
      <c r="A30" s="59">
        <v>2.6</v>
      </c>
      <c r="B30" s="57" t="s">
        <v>26</v>
      </c>
      <c r="C30" s="42" t="s">
        <v>64</v>
      </c>
      <c r="D30" s="42" t="s">
        <v>65</v>
      </c>
      <c r="E30" s="42" t="s">
        <v>48</v>
      </c>
      <c r="F30" s="38"/>
      <c r="G30" s="38" t="s">
        <v>66</v>
      </c>
      <c r="H30" s="209">
        <f>7.5+4.095</f>
        <v>11.594999999999999</v>
      </c>
      <c r="I30" s="43">
        <v>1</v>
      </c>
      <c r="J30" s="43"/>
      <c r="K30" s="38" t="s">
        <v>31</v>
      </c>
      <c r="L30" s="42" t="s">
        <v>50</v>
      </c>
      <c r="M30" s="58">
        <v>42044</v>
      </c>
      <c r="N30" s="58">
        <v>42291</v>
      </c>
      <c r="O30" s="38"/>
      <c r="P30" s="42" t="s">
        <v>68</v>
      </c>
      <c r="Q30" s="294" t="s">
        <v>34</v>
      </c>
      <c r="R30" s="15"/>
    </row>
    <row r="31" spans="1:18" s="39" customFormat="1" ht="33" customHeight="1" x14ac:dyDescent="0.25">
      <c r="A31" s="56">
        <v>2.7</v>
      </c>
      <c r="B31" s="57" t="s">
        <v>26</v>
      </c>
      <c r="C31" s="42" t="s">
        <v>69</v>
      </c>
      <c r="D31" s="42" t="s">
        <v>70</v>
      </c>
      <c r="E31" s="42" t="s">
        <v>48</v>
      </c>
      <c r="F31" s="38"/>
      <c r="G31" s="38" t="s">
        <v>66</v>
      </c>
      <c r="H31" s="209">
        <f>0.5+0.038</f>
        <v>0.53800000000000003</v>
      </c>
      <c r="I31" s="43">
        <v>1</v>
      </c>
      <c r="J31" s="43"/>
      <c r="K31" s="38" t="s">
        <v>31</v>
      </c>
      <c r="L31" s="42" t="s">
        <v>50</v>
      </c>
      <c r="M31" s="58">
        <v>42044</v>
      </c>
      <c r="N31" s="58">
        <v>42291</v>
      </c>
      <c r="O31" s="38"/>
      <c r="P31" s="42" t="s">
        <v>71</v>
      </c>
      <c r="Q31" s="294" t="s">
        <v>34</v>
      </c>
      <c r="R31" s="15"/>
    </row>
    <row r="32" spans="1:18" s="39" customFormat="1" ht="34.5" customHeight="1" x14ac:dyDescent="0.25">
      <c r="A32" s="59">
        <v>2.8</v>
      </c>
      <c r="B32" s="57" t="s">
        <v>26</v>
      </c>
      <c r="C32" s="42" t="s">
        <v>72</v>
      </c>
      <c r="D32" s="42" t="s">
        <v>73</v>
      </c>
      <c r="E32" s="42" t="s">
        <v>74</v>
      </c>
      <c r="F32" s="42"/>
      <c r="G32" s="38" t="s">
        <v>75</v>
      </c>
      <c r="H32" s="209">
        <f>5+4.568</f>
        <v>9.5679999999999996</v>
      </c>
      <c r="I32" s="43">
        <v>1</v>
      </c>
      <c r="J32" s="43"/>
      <c r="K32" s="38" t="s">
        <v>31</v>
      </c>
      <c r="L32" s="42" t="s">
        <v>37</v>
      </c>
      <c r="M32" s="38" t="s">
        <v>76</v>
      </c>
      <c r="N32" s="58">
        <v>42437</v>
      </c>
      <c r="O32" s="38"/>
      <c r="P32" s="42" t="s">
        <v>77</v>
      </c>
      <c r="Q32" s="294" t="s">
        <v>34</v>
      </c>
      <c r="R32" s="15"/>
    </row>
    <row r="33" spans="1:21" s="39" customFormat="1" ht="32.25" customHeight="1" x14ac:dyDescent="0.25">
      <c r="A33" s="59">
        <v>2.9</v>
      </c>
      <c r="B33" s="57" t="s">
        <v>26</v>
      </c>
      <c r="C33" s="42" t="s">
        <v>78</v>
      </c>
      <c r="D33" s="42" t="s">
        <v>79</v>
      </c>
      <c r="E33" s="42" t="s">
        <v>74</v>
      </c>
      <c r="F33" s="42"/>
      <c r="G33" s="38" t="s">
        <v>80</v>
      </c>
      <c r="H33" s="209">
        <f>2-0.966</f>
        <v>1.034</v>
      </c>
      <c r="I33" s="43">
        <v>1</v>
      </c>
      <c r="J33" s="43"/>
      <c r="K33" s="38" t="s">
        <v>31</v>
      </c>
      <c r="L33" s="42" t="s">
        <v>37</v>
      </c>
      <c r="M33" s="38" t="s">
        <v>76</v>
      </c>
      <c r="N33" s="58">
        <v>42436</v>
      </c>
      <c r="O33" s="38"/>
      <c r="P33" s="42" t="s">
        <v>81</v>
      </c>
      <c r="Q33" s="294" t="s">
        <v>34</v>
      </c>
      <c r="R33" s="15"/>
    </row>
    <row r="34" spans="1:21" s="39" customFormat="1" ht="38.25" x14ac:dyDescent="0.25">
      <c r="A34" s="60">
        <v>2.1</v>
      </c>
      <c r="B34" s="57" t="s">
        <v>26</v>
      </c>
      <c r="C34" s="42" t="s">
        <v>82</v>
      </c>
      <c r="D34" s="42" t="s">
        <v>83</v>
      </c>
      <c r="E34" s="42" t="s">
        <v>74</v>
      </c>
      <c r="F34" s="61"/>
      <c r="G34" s="62" t="s">
        <v>84</v>
      </c>
      <c r="H34" s="209">
        <f>5+4.847</f>
        <v>9.8470000000000013</v>
      </c>
      <c r="I34" s="211">
        <v>1</v>
      </c>
      <c r="J34" s="43"/>
      <c r="K34" s="38" t="s">
        <v>31</v>
      </c>
      <c r="L34" s="42" t="s">
        <v>37</v>
      </c>
      <c r="M34" s="292" t="s">
        <v>67</v>
      </c>
      <c r="N34" s="311">
        <v>42437</v>
      </c>
      <c r="O34" s="38"/>
      <c r="P34" s="42"/>
      <c r="Q34" s="294" t="s">
        <v>34</v>
      </c>
      <c r="R34" s="15"/>
    </row>
    <row r="35" spans="1:21" s="39" customFormat="1" ht="30.75" customHeight="1" x14ac:dyDescent="0.25">
      <c r="A35" s="59">
        <v>2.11</v>
      </c>
      <c r="B35" s="57" t="s">
        <v>26</v>
      </c>
      <c r="C35" s="323" t="s">
        <v>85</v>
      </c>
      <c r="D35" s="323" t="s">
        <v>336</v>
      </c>
      <c r="E35" s="33" t="s">
        <v>48</v>
      </c>
      <c r="F35" s="34"/>
      <c r="G35" s="334" t="s">
        <v>347</v>
      </c>
      <c r="H35" s="210">
        <v>4.2877599999999996</v>
      </c>
      <c r="I35" s="35">
        <v>1</v>
      </c>
      <c r="J35" s="35"/>
      <c r="K35" s="34" t="s">
        <v>31</v>
      </c>
      <c r="L35" s="33" t="s">
        <v>37</v>
      </c>
      <c r="M35" s="335">
        <v>42027</v>
      </c>
      <c r="N35" s="335">
        <v>41725</v>
      </c>
      <c r="O35" s="34"/>
      <c r="P35" s="33"/>
      <c r="Q35" s="365" t="s">
        <v>34</v>
      </c>
      <c r="R35" s="15"/>
    </row>
    <row r="36" spans="1:21" s="218" customFormat="1" ht="34.5" customHeight="1" x14ac:dyDescent="0.25">
      <c r="A36" s="176">
        <v>2.12</v>
      </c>
      <c r="B36" s="221" t="s">
        <v>26</v>
      </c>
      <c r="C36" s="222" t="s">
        <v>88</v>
      </c>
      <c r="D36" s="228"/>
      <c r="E36" s="222" t="s">
        <v>48</v>
      </c>
      <c r="F36" s="229"/>
      <c r="G36" s="334" t="s">
        <v>348</v>
      </c>
      <c r="H36" s="230">
        <v>22</v>
      </c>
      <c r="I36" s="231"/>
      <c r="J36" s="232">
        <v>1</v>
      </c>
      <c r="K36" s="228" t="s">
        <v>31</v>
      </c>
      <c r="L36" s="222" t="s">
        <v>50</v>
      </c>
      <c r="M36" s="228" t="s">
        <v>86</v>
      </c>
      <c r="N36" s="228" t="s">
        <v>86</v>
      </c>
      <c r="O36" s="228" t="s">
        <v>89</v>
      </c>
      <c r="P36" s="222"/>
      <c r="Q36" s="366" t="s">
        <v>34</v>
      </c>
    </row>
    <row r="37" spans="1:21" s="39" customFormat="1" ht="31.5" customHeight="1" x14ac:dyDescent="0.25">
      <c r="A37" s="59">
        <v>2.13</v>
      </c>
      <c r="B37" s="57" t="s">
        <v>26</v>
      </c>
      <c r="C37" s="116" t="s">
        <v>90</v>
      </c>
      <c r="D37" s="116" t="s">
        <v>91</v>
      </c>
      <c r="E37" s="116" t="s">
        <v>48</v>
      </c>
      <c r="F37" s="64"/>
      <c r="G37" s="65" t="s">
        <v>92</v>
      </c>
      <c r="H37" s="94">
        <f>4+2.132</f>
        <v>6.1319999999999997</v>
      </c>
      <c r="I37" s="43">
        <v>1</v>
      </c>
      <c r="J37" s="43"/>
      <c r="K37" s="219" t="s">
        <v>330</v>
      </c>
      <c r="L37" s="116" t="s">
        <v>50</v>
      </c>
      <c r="M37" s="120" t="s">
        <v>93</v>
      </c>
      <c r="N37" s="58">
        <v>42271</v>
      </c>
      <c r="O37" s="120"/>
      <c r="P37" s="116" t="s">
        <v>94</v>
      </c>
      <c r="Q37" s="294" t="s">
        <v>34</v>
      </c>
      <c r="R37" s="15"/>
    </row>
    <row r="38" spans="1:21" s="39" customFormat="1" ht="51" x14ac:dyDescent="0.25">
      <c r="A38" s="459">
        <v>2.14</v>
      </c>
      <c r="B38" s="467" t="s">
        <v>26</v>
      </c>
      <c r="C38" s="424" t="s">
        <v>95</v>
      </c>
      <c r="D38" s="116" t="s">
        <v>393</v>
      </c>
      <c r="E38" s="424" t="s">
        <v>48</v>
      </c>
      <c r="F38" s="338">
        <v>1</v>
      </c>
      <c r="G38" s="116" t="s">
        <v>381</v>
      </c>
      <c r="H38" s="309">
        <v>81.25</v>
      </c>
      <c r="I38" s="134">
        <v>1</v>
      </c>
      <c r="J38" s="43"/>
      <c r="K38" s="341" t="s">
        <v>330</v>
      </c>
      <c r="L38" s="116" t="s">
        <v>37</v>
      </c>
      <c r="M38" s="311">
        <v>42959</v>
      </c>
      <c r="N38" s="268" t="s">
        <v>87</v>
      </c>
      <c r="O38" s="268"/>
      <c r="P38" s="116"/>
      <c r="Q38" s="294" t="s">
        <v>200</v>
      </c>
      <c r="R38" s="277"/>
    </row>
    <row r="39" spans="1:21" s="39" customFormat="1" ht="42" customHeight="1" x14ac:dyDescent="0.25">
      <c r="A39" s="486"/>
      <c r="B39" s="469"/>
      <c r="C39" s="426"/>
      <c r="D39" s="116" t="s">
        <v>383</v>
      </c>
      <c r="E39" s="426"/>
      <c r="F39" s="338">
        <v>1</v>
      </c>
      <c r="G39" s="116" t="s">
        <v>382</v>
      </c>
      <c r="H39" s="309">
        <v>6.65</v>
      </c>
      <c r="I39" s="134">
        <v>1</v>
      </c>
      <c r="J39" s="43"/>
      <c r="K39" s="341" t="s">
        <v>330</v>
      </c>
      <c r="L39" s="116" t="s">
        <v>37</v>
      </c>
      <c r="M39" s="311">
        <v>42909</v>
      </c>
      <c r="N39" s="338" t="s">
        <v>87</v>
      </c>
      <c r="O39" s="338"/>
      <c r="P39" s="116"/>
      <c r="Q39" s="294" t="s">
        <v>200</v>
      </c>
      <c r="R39" s="277"/>
    </row>
    <row r="40" spans="1:21" s="39" customFormat="1" ht="38.25" x14ac:dyDescent="0.25">
      <c r="A40" s="464">
        <v>2.15</v>
      </c>
      <c r="B40" s="467" t="s">
        <v>26</v>
      </c>
      <c r="C40" s="424" t="s">
        <v>96</v>
      </c>
      <c r="D40" s="116" t="s">
        <v>374</v>
      </c>
      <c r="E40" s="424" t="s">
        <v>48</v>
      </c>
      <c r="F40" s="338">
        <v>1</v>
      </c>
      <c r="G40" s="116" t="s">
        <v>376</v>
      </c>
      <c r="H40" s="94">
        <v>25</v>
      </c>
      <c r="I40" s="134">
        <v>1</v>
      </c>
      <c r="J40" s="43"/>
      <c r="K40" s="341" t="s">
        <v>330</v>
      </c>
      <c r="L40" s="45" t="s">
        <v>37</v>
      </c>
      <c r="M40" s="311">
        <v>42909</v>
      </c>
      <c r="N40" s="317" t="s">
        <v>87</v>
      </c>
      <c r="O40" s="268"/>
      <c r="P40" s="116"/>
      <c r="Q40" s="294" t="s">
        <v>200</v>
      </c>
      <c r="R40" s="277"/>
      <c r="U40" s="278">
        <v>1033.8499999999999</v>
      </c>
    </row>
    <row r="41" spans="1:21" s="39" customFormat="1" ht="38.25" x14ac:dyDescent="0.25">
      <c r="A41" s="466"/>
      <c r="B41" s="469"/>
      <c r="C41" s="426"/>
      <c r="D41" s="116" t="s">
        <v>375</v>
      </c>
      <c r="E41" s="426"/>
      <c r="F41" s="338">
        <v>1</v>
      </c>
      <c r="G41" s="116" t="s">
        <v>377</v>
      </c>
      <c r="H41" s="94">
        <v>13</v>
      </c>
      <c r="I41" s="134">
        <v>1</v>
      </c>
      <c r="J41" s="43"/>
      <c r="K41" s="341" t="s">
        <v>330</v>
      </c>
      <c r="L41" s="45" t="s">
        <v>37</v>
      </c>
      <c r="M41" s="311">
        <v>42909</v>
      </c>
      <c r="N41" s="338" t="s">
        <v>87</v>
      </c>
      <c r="O41" s="338"/>
      <c r="P41" s="116"/>
      <c r="Q41" s="294" t="s">
        <v>200</v>
      </c>
      <c r="R41" s="277"/>
      <c r="U41" s="278"/>
    </row>
    <row r="42" spans="1:21" s="39" customFormat="1" ht="51" x14ac:dyDescent="0.25">
      <c r="A42" s="464">
        <v>2.16</v>
      </c>
      <c r="B42" s="467" t="s">
        <v>26</v>
      </c>
      <c r="C42" s="424" t="s">
        <v>97</v>
      </c>
      <c r="D42" s="116" t="s">
        <v>378</v>
      </c>
      <c r="E42" s="424" t="s">
        <v>48</v>
      </c>
      <c r="F42" s="338">
        <v>1</v>
      </c>
      <c r="G42" s="116" t="s">
        <v>379</v>
      </c>
      <c r="H42" s="94">
        <v>37.5</v>
      </c>
      <c r="I42" s="134">
        <v>1</v>
      </c>
      <c r="J42" s="43"/>
      <c r="K42" s="341" t="s">
        <v>330</v>
      </c>
      <c r="L42" s="116" t="s">
        <v>37</v>
      </c>
      <c r="M42" s="311">
        <v>42909</v>
      </c>
      <c r="N42" s="268" t="s">
        <v>193</v>
      </c>
      <c r="O42" s="268"/>
      <c r="P42" s="116"/>
      <c r="Q42" s="294" t="s">
        <v>200</v>
      </c>
      <c r="R42" s="277"/>
      <c r="U42" s="39">
        <v>944</v>
      </c>
    </row>
    <row r="43" spans="1:21" s="39" customFormat="1" ht="38.25" x14ac:dyDescent="0.25">
      <c r="A43" s="466"/>
      <c r="B43" s="469"/>
      <c r="C43" s="426"/>
      <c r="D43" s="116" t="s">
        <v>394</v>
      </c>
      <c r="E43" s="426"/>
      <c r="F43" s="338">
        <v>1</v>
      </c>
      <c r="G43" s="116" t="s">
        <v>380</v>
      </c>
      <c r="H43" s="94">
        <v>26.61</v>
      </c>
      <c r="I43" s="134">
        <v>1</v>
      </c>
      <c r="J43" s="43"/>
      <c r="K43" s="341" t="s">
        <v>330</v>
      </c>
      <c r="L43" s="116" t="s">
        <v>37</v>
      </c>
      <c r="M43" s="311">
        <v>42951</v>
      </c>
      <c r="N43" s="338" t="s">
        <v>87</v>
      </c>
      <c r="O43" s="338"/>
      <c r="P43" s="116"/>
      <c r="Q43" s="294" t="s">
        <v>200</v>
      </c>
      <c r="R43" s="277"/>
    </row>
    <row r="44" spans="1:21" s="39" customFormat="1" ht="45.75" customHeight="1" x14ac:dyDescent="0.25">
      <c r="A44" s="459">
        <v>2.17</v>
      </c>
      <c r="B44" s="467" t="s">
        <v>26</v>
      </c>
      <c r="C44" s="424" t="s">
        <v>334</v>
      </c>
      <c r="D44" s="116" t="s">
        <v>386</v>
      </c>
      <c r="E44" s="424" t="s">
        <v>48</v>
      </c>
      <c r="F44" s="338">
        <v>1</v>
      </c>
      <c r="G44" s="116" t="s">
        <v>387</v>
      </c>
      <c r="H44" s="94">
        <v>452.82</v>
      </c>
      <c r="I44" s="134">
        <v>1</v>
      </c>
      <c r="J44" s="43"/>
      <c r="K44" s="341" t="s">
        <v>330</v>
      </c>
      <c r="L44" s="116" t="s">
        <v>37</v>
      </c>
      <c r="M44" s="311">
        <v>42942</v>
      </c>
      <c r="N44" s="317" t="s">
        <v>193</v>
      </c>
      <c r="O44" s="268"/>
      <c r="P44" s="116"/>
      <c r="Q44" s="294" t="s">
        <v>200</v>
      </c>
      <c r="R44" s="277"/>
      <c r="U44" s="279">
        <f>U40-U42</f>
        <v>89.849999999999909</v>
      </c>
    </row>
    <row r="45" spans="1:21" s="39" customFormat="1" ht="48.75" customHeight="1" x14ac:dyDescent="0.25">
      <c r="A45" s="460"/>
      <c r="B45" s="468"/>
      <c r="C45" s="425"/>
      <c r="D45" s="116" t="s">
        <v>385</v>
      </c>
      <c r="E45" s="425"/>
      <c r="F45" s="292" t="s">
        <v>400</v>
      </c>
      <c r="G45" s="116" t="s">
        <v>388</v>
      </c>
      <c r="H45" s="94">
        <v>124.3</v>
      </c>
      <c r="I45" s="134">
        <v>1</v>
      </c>
      <c r="J45" s="43"/>
      <c r="K45" s="341" t="s">
        <v>330</v>
      </c>
      <c r="L45" s="45" t="s">
        <v>37</v>
      </c>
      <c r="M45" s="347">
        <v>42926</v>
      </c>
      <c r="N45" s="340" t="s">
        <v>193</v>
      </c>
      <c r="O45" s="338"/>
      <c r="P45" s="116"/>
      <c r="Q45" s="294" t="s">
        <v>200</v>
      </c>
      <c r="R45" s="277"/>
      <c r="U45" s="279"/>
    </row>
    <row r="46" spans="1:21" s="39" customFormat="1" ht="38.25" x14ac:dyDescent="0.25">
      <c r="A46" s="460"/>
      <c r="B46" s="468"/>
      <c r="C46" s="425"/>
      <c r="D46" s="116" t="s">
        <v>389</v>
      </c>
      <c r="E46" s="425"/>
      <c r="F46" s="338"/>
      <c r="G46" s="244"/>
      <c r="H46" s="94">
        <v>31.03</v>
      </c>
      <c r="I46" s="134">
        <v>1</v>
      </c>
      <c r="J46" s="43"/>
      <c r="K46" s="341" t="s">
        <v>330</v>
      </c>
      <c r="L46" s="45" t="s">
        <v>37</v>
      </c>
      <c r="M46" s="340" t="s">
        <v>87</v>
      </c>
      <c r="N46" s="340" t="s">
        <v>87</v>
      </c>
      <c r="O46" s="338"/>
      <c r="P46" s="116"/>
      <c r="Q46" s="294" t="s">
        <v>38</v>
      </c>
      <c r="R46" s="277"/>
      <c r="U46" s="279"/>
    </row>
    <row r="47" spans="1:21" s="39" customFormat="1" ht="38.25" x14ac:dyDescent="0.25">
      <c r="A47" s="486"/>
      <c r="B47" s="469"/>
      <c r="C47" s="426"/>
      <c r="D47" s="116" t="s">
        <v>390</v>
      </c>
      <c r="E47" s="426"/>
      <c r="F47" s="338"/>
      <c r="G47" s="244"/>
      <c r="H47" s="94">
        <v>120.74</v>
      </c>
      <c r="I47" s="134">
        <v>1</v>
      </c>
      <c r="J47" s="43"/>
      <c r="K47" s="341" t="s">
        <v>330</v>
      </c>
      <c r="L47" s="45" t="s">
        <v>37</v>
      </c>
      <c r="M47" s="340" t="s">
        <v>193</v>
      </c>
      <c r="N47" s="340" t="s">
        <v>87</v>
      </c>
      <c r="O47" s="338"/>
      <c r="P47" s="116"/>
      <c r="Q47" s="294" t="s">
        <v>38</v>
      </c>
      <c r="R47" s="277"/>
      <c r="U47" s="279"/>
    </row>
    <row r="48" spans="1:21" s="39" customFormat="1" ht="51" x14ac:dyDescent="0.25">
      <c r="A48" s="459">
        <v>2.1800000000000002</v>
      </c>
      <c r="B48" s="461" t="s">
        <v>26</v>
      </c>
      <c r="C48" s="438" t="s">
        <v>99</v>
      </c>
      <c r="D48" s="116" t="s">
        <v>364</v>
      </c>
      <c r="E48" s="424" t="s">
        <v>48</v>
      </c>
      <c r="F48" s="116" t="s">
        <v>367</v>
      </c>
      <c r="G48" s="424" t="s">
        <v>338</v>
      </c>
      <c r="H48" s="309">
        <v>72</v>
      </c>
      <c r="I48" s="134">
        <v>1</v>
      </c>
      <c r="J48" s="43"/>
      <c r="K48" s="341" t="s">
        <v>330</v>
      </c>
      <c r="L48" s="432" t="s">
        <v>37</v>
      </c>
      <c r="M48" s="430">
        <v>42859</v>
      </c>
      <c r="N48" s="430">
        <v>42900</v>
      </c>
      <c r="O48" s="338"/>
      <c r="P48" s="116" t="s">
        <v>421</v>
      </c>
      <c r="Q48" s="294" t="s">
        <v>104</v>
      </c>
      <c r="R48" s="277"/>
      <c r="U48" s="279"/>
    </row>
    <row r="49" spans="1:20" s="39" customFormat="1" ht="38.25" x14ac:dyDescent="0.25">
      <c r="A49" s="460"/>
      <c r="B49" s="462"/>
      <c r="C49" s="463"/>
      <c r="D49" s="116" t="s">
        <v>365</v>
      </c>
      <c r="E49" s="425"/>
      <c r="F49" s="116" t="s">
        <v>368</v>
      </c>
      <c r="G49" s="425"/>
      <c r="H49" s="309">
        <v>16.25</v>
      </c>
      <c r="I49" s="134">
        <v>1</v>
      </c>
      <c r="J49" s="43"/>
      <c r="K49" s="341" t="s">
        <v>330</v>
      </c>
      <c r="L49" s="433"/>
      <c r="M49" s="425"/>
      <c r="N49" s="425"/>
      <c r="O49" s="268"/>
      <c r="P49" s="116" t="s">
        <v>422</v>
      </c>
      <c r="Q49" s="294" t="s">
        <v>34</v>
      </c>
      <c r="R49" s="277"/>
    </row>
    <row r="50" spans="1:20" s="39" customFormat="1" ht="38.25" customHeight="1" x14ac:dyDescent="0.25">
      <c r="A50" s="460"/>
      <c r="B50" s="462"/>
      <c r="C50" s="463"/>
      <c r="D50" s="424" t="s">
        <v>366</v>
      </c>
      <c r="E50" s="425"/>
      <c r="F50" s="116" t="s">
        <v>369</v>
      </c>
      <c r="G50" s="425"/>
      <c r="H50" s="309">
        <v>21</v>
      </c>
      <c r="I50" s="134">
        <v>1</v>
      </c>
      <c r="J50" s="43"/>
      <c r="K50" s="341" t="s">
        <v>330</v>
      </c>
      <c r="L50" s="433"/>
      <c r="M50" s="425"/>
      <c r="N50" s="425"/>
      <c r="O50" s="338"/>
      <c r="P50" s="116"/>
      <c r="Q50" s="294" t="s">
        <v>34</v>
      </c>
      <c r="R50" s="277"/>
    </row>
    <row r="51" spans="1:20" s="39" customFormat="1" x14ac:dyDescent="0.25">
      <c r="A51" s="460"/>
      <c r="B51" s="462"/>
      <c r="C51" s="463"/>
      <c r="D51" s="426"/>
      <c r="E51" s="425"/>
      <c r="F51" s="116" t="s">
        <v>370</v>
      </c>
      <c r="G51" s="426"/>
      <c r="H51" s="309">
        <v>35.5</v>
      </c>
      <c r="I51" s="134">
        <v>1</v>
      </c>
      <c r="J51" s="43"/>
      <c r="K51" s="341" t="s">
        <v>330</v>
      </c>
      <c r="L51" s="434"/>
      <c r="M51" s="426"/>
      <c r="N51" s="426"/>
      <c r="O51" s="338"/>
      <c r="P51" s="116"/>
      <c r="Q51" s="294" t="s">
        <v>34</v>
      </c>
      <c r="R51" s="277"/>
    </row>
    <row r="52" spans="1:20" s="39" customFormat="1" ht="38.25" x14ac:dyDescent="0.25">
      <c r="A52" s="460"/>
      <c r="B52" s="462"/>
      <c r="C52" s="463"/>
      <c r="D52" s="116" t="s">
        <v>399</v>
      </c>
      <c r="E52" s="425"/>
      <c r="F52" s="292">
        <v>1</v>
      </c>
      <c r="G52" s="338" t="s">
        <v>372</v>
      </c>
      <c r="H52" s="309">
        <v>243.75</v>
      </c>
      <c r="I52" s="134">
        <v>1</v>
      </c>
      <c r="J52" s="43"/>
      <c r="K52" s="341" t="s">
        <v>330</v>
      </c>
      <c r="L52" s="45" t="s">
        <v>37</v>
      </c>
      <c r="M52" s="311">
        <v>42951</v>
      </c>
      <c r="N52" s="338" t="s">
        <v>193</v>
      </c>
      <c r="O52" s="338"/>
      <c r="P52" s="116"/>
      <c r="Q52" s="367" t="s">
        <v>200</v>
      </c>
      <c r="R52" s="277"/>
    </row>
    <row r="53" spans="1:20" s="39" customFormat="1" ht="63.75" x14ac:dyDescent="0.25">
      <c r="A53" s="460"/>
      <c r="B53" s="462"/>
      <c r="C53" s="463"/>
      <c r="D53" s="116" t="s">
        <v>371</v>
      </c>
      <c r="E53" s="425"/>
      <c r="F53" s="338">
        <v>4</v>
      </c>
      <c r="G53" s="338" t="s">
        <v>373</v>
      </c>
      <c r="H53" s="309">
        <v>120</v>
      </c>
      <c r="I53" s="134">
        <v>1</v>
      </c>
      <c r="J53" s="43"/>
      <c r="K53" s="341" t="s">
        <v>330</v>
      </c>
      <c r="L53" s="45" t="s">
        <v>37</v>
      </c>
      <c r="M53" s="311">
        <v>42937</v>
      </c>
      <c r="N53" s="355" t="s">
        <v>193</v>
      </c>
      <c r="O53" s="338"/>
      <c r="P53" s="116"/>
      <c r="Q53" s="367" t="s">
        <v>200</v>
      </c>
      <c r="R53" s="277"/>
    </row>
    <row r="54" spans="1:20" s="39" customFormat="1" ht="38.25" x14ac:dyDescent="0.25">
      <c r="A54" s="460"/>
      <c r="B54" s="462"/>
      <c r="C54" s="463"/>
      <c r="D54" s="320" t="s">
        <v>405</v>
      </c>
      <c r="E54" s="425"/>
      <c r="F54" s="338">
        <v>1</v>
      </c>
      <c r="G54" s="338" t="s">
        <v>363</v>
      </c>
      <c r="H54" s="309">
        <v>380</v>
      </c>
      <c r="I54" s="134">
        <v>1</v>
      </c>
      <c r="J54" s="43"/>
      <c r="K54" s="341" t="s">
        <v>330</v>
      </c>
      <c r="L54" s="45" t="s">
        <v>37</v>
      </c>
      <c r="M54" s="346" t="s">
        <v>193</v>
      </c>
      <c r="N54" s="349" t="s">
        <v>193</v>
      </c>
      <c r="O54" s="338"/>
      <c r="P54" s="116"/>
      <c r="Q54" s="367" t="s">
        <v>38</v>
      </c>
      <c r="R54" s="277"/>
    </row>
    <row r="55" spans="1:20" s="39" customFormat="1" ht="33.75" customHeight="1" x14ac:dyDescent="0.25">
      <c r="A55" s="217">
        <v>2.19</v>
      </c>
      <c r="B55" s="280" t="s">
        <v>26</v>
      </c>
      <c r="C55" s="270" t="s">
        <v>320</v>
      </c>
      <c r="D55" s="116" t="s">
        <v>412</v>
      </c>
      <c r="E55" s="116" t="s">
        <v>142</v>
      </c>
      <c r="F55" s="116"/>
      <c r="G55" s="268" t="s">
        <v>395</v>
      </c>
      <c r="H55" s="309">
        <v>200</v>
      </c>
      <c r="I55" s="43">
        <v>1</v>
      </c>
      <c r="J55" s="43"/>
      <c r="K55" s="269" t="s">
        <v>330</v>
      </c>
      <c r="L55" s="116" t="s">
        <v>32</v>
      </c>
      <c r="M55" s="58">
        <v>42942</v>
      </c>
      <c r="N55" s="58">
        <v>42942</v>
      </c>
      <c r="O55" s="268"/>
      <c r="P55" s="116"/>
      <c r="Q55" s="294" t="s">
        <v>34</v>
      </c>
      <c r="R55" s="277"/>
    </row>
    <row r="56" spans="1:20" s="39" customFormat="1" ht="51" x14ac:dyDescent="0.25">
      <c r="A56" s="464">
        <v>2.2000000000000002</v>
      </c>
      <c r="B56" s="467" t="s">
        <v>26</v>
      </c>
      <c r="C56" s="424" t="s">
        <v>318</v>
      </c>
      <c r="D56" s="116" t="s">
        <v>349</v>
      </c>
      <c r="E56" s="424" t="s">
        <v>48</v>
      </c>
      <c r="F56" s="116" t="s">
        <v>356</v>
      </c>
      <c r="G56" s="424" t="s">
        <v>337</v>
      </c>
      <c r="H56" s="309">
        <v>125</v>
      </c>
      <c r="I56" s="134">
        <v>1</v>
      </c>
      <c r="J56" s="427"/>
      <c r="K56" s="341" t="s">
        <v>330</v>
      </c>
      <c r="L56" s="424" t="s">
        <v>37</v>
      </c>
      <c r="M56" s="430">
        <v>42859</v>
      </c>
      <c r="N56" s="430">
        <v>42900</v>
      </c>
      <c r="O56" s="424"/>
      <c r="P56" s="330" t="s">
        <v>420</v>
      </c>
      <c r="Q56" s="294" t="s">
        <v>34</v>
      </c>
      <c r="R56" s="277"/>
      <c r="T56" s="39">
        <f>588-344</f>
        <v>244</v>
      </c>
    </row>
    <row r="57" spans="1:20" s="39" customFormat="1" ht="51" x14ac:dyDescent="0.25">
      <c r="A57" s="465"/>
      <c r="B57" s="468"/>
      <c r="C57" s="425"/>
      <c r="D57" s="116" t="s">
        <v>350</v>
      </c>
      <c r="E57" s="425"/>
      <c r="F57" s="116" t="s">
        <v>357</v>
      </c>
      <c r="G57" s="425"/>
      <c r="H57" s="309">
        <v>64</v>
      </c>
      <c r="I57" s="134">
        <v>1</v>
      </c>
      <c r="J57" s="428"/>
      <c r="K57" s="341" t="s">
        <v>330</v>
      </c>
      <c r="L57" s="425"/>
      <c r="M57" s="425"/>
      <c r="N57" s="431"/>
      <c r="O57" s="425"/>
      <c r="P57" s="330" t="s">
        <v>419</v>
      </c>
      <c r="Q57" s="294" t="s">
        <v>104</v>
      </c>
      <c r="R57" s="277"/>
    </row>
    <row r="58" spans="1:20" s="39" customFormat="1" ht="51" x14ac:dyDescent="0.25">
      <c r="A58" s="465"/>
      <c r="B58" s="468"/>
      <c r="C58" s="425"/>
      <c r="D58" s="116" t="s">
        <v>351</v>
      </c>
      <c r="E58" s="425"/>
      <c r="F58" s="116" t="s">
        <v>358</v>
      </c>
      <c r="G58" s="425"/>
      <c r="H58" s="309">
        <v>2.67</v>
      </c>
      <c r="I58" s="134">
        <v>1</v>
      </c>
      <c r="J58" s="428"/>
      <c r="K58" s="341" t="s">
        <v>330</v>
      </c>
      <c r="L58" s="425"/>
      <c r="M58" s="425"/>
      <c r="N58" s="431"/>
      <c r="O58" s="425"/>
      <c r="P58" s="330" t="s">
        <v>415</v>
      </c>
      <c r="Q58" s="294" t="s">
        <v>34</v>
      </c>
      <c r="R58" s="277"/>
    </row>
    <row r="59" spans="1:20" s="39" customFormat="1" ht="51" x14ac:dyDescent="0.25">
      <c r="A59" s="465"/>
      <c r="B59" s="468"/>
      <c r="C59" s="425"/>
      <c r="D59" s="116" t="s">
        <v>352</v>
      </c>
      <c r="E59" s="425"/>
      <c r="F59" s="116" t="s">
        <v>359</v>
      </c>
      <c r="G59" s="425"/>
      <c r="H59" s="309">
        <v>3.11</v>
      </c>
      <c r="I59" s="134">
        <v>1</v>
      </c>
      <c r="J59" s="428"/>
      <c r="K59" s="341" t="s">
        <v>330</v>
      </c>
      <c r="L59" s="425"/>
      <c r="M59" s="425"/>
      <c r="N59" s="431"/>
      <c r="O59" s="425"/>
      <c r="P59" s="330" t="s">
        <v>416</v>
      </c>
      <c r="Q59" s="294" t="s">
        <v>34</v>
      </c>
      <c r="R59" s="277"/>
    </row>
    <row r="60" spans="1:20" s="39" customFormat="1" ht="63.75" x14ac:dyDescent="0.25">
      <c r="A60" s="465"/>
      <c r="B60" s="468"/>
      <c r="C60" s="425"/>
      <c r="D60" s="116" t="s">
        <v>353</v>
      </c>
      <c r="E60" s="425"/>
      <c r="F60" s="116" t="s">
        <v>360</v>
      </c>
      <c r="G60" s="425"/>
      <c r="H60" s="309">
        <v>32</v>
      </c>
      <c r="I60" s="134">
        <v>1</v>
      </c>
      <c r="J60" s="428"/>
      <c r="K60" s="341" t="s">
        <v>330</v>
      </c>
      <c r="L60" s="425"/>
      <c r="M60" s="425"/>
      <c r="N60" s="431"/>
      <c r="O60" s="425"/>
      <c r="P60" s="330" t="s">
        <v>417</v>
      </c>
      <c r="Q60" s="294" t="s">
        <v>34</v>
      </c>
      <c r="R60" s="277"/>
    </row>
    <row r="61" spans="1:20" s="39" customFormat="1" ht="51" x14ac:dyDescent="0.25">
      <c r="A61" s="465"/>
      <c r="B61" s="468"/>
      <c r="C61" s="425"/>
      <c r="D61" s="116" t="s">
        <v>354</v>
      </c>
      <c r="E61" s="425"/>
      <c r="F61" s="116" t="s">
        <v>361</v>
      </c>
      <c r="G61" s="425"/>
      <c r="H61" s="309">
        <v>47</v>
      </c>
      <c r="I61" s="134">
        <v>1</v>
      </c>
      <c r="J61" s="428"/>
      <c r="K61" s="341" t="s">
        <v>330</v>
      </c>
      <c r="L61" s="425"/>
      <c r="M61" s="425"/>
      <c r="N61" s="431"/>
      <c r="O61" s="425"/>
      <c r="P61" s="330" t="s">
        <v>418</v>
      </c>
      <c r="Q61" s="294" t="s">
        <v>34</v>
      </c>
      <c r="R61" s="277"/>
    </row>
    <row r="62" spans="1:20" s="39" customFormat="1" ht="63.75" x14ac:dyDescent="0.25">
      <c r="A62" s="465"/>
      <c r="B62" s="468"/>
      <c r="C62" s="425"/>
      <c r="D62" s="116" t="s">
        <v>355</v>
      </c>
      <c r="E62" s="425"/>
      <c r="F62" s="116" t="s">
        <v>362</v>
      </c>
      <c r="G62" s="425"/>
      <c r="H62" s="309">
        <v>2.2000000000000002</v>
      </c>
      <c r="I62" s="134">
        <v>1</v>
      </c>
      <c r="J62" s="428"/>
      <c r="K62" s="341" t="s">
        <v>330</v>
      </c>
      <c r="L62" s="425"/>
      <c r="M62" s="425"/>
      <c r="N62" s="431"/>
      <c r="O62" s="425"/>
      <c r="P62" s="330" t="s">
        <v>414</v>
      </c>
      <c r="Q62" s="294" t="s">
        <v>34</v>
      </c>
      <c r="R62" s="277"/>
    </row>
    <row r="63" spans="1:20" s="39" customFormat="1" ht="38.25" x14ac:dyDescent="0.25">
      <c r="A63" s="466"/>
      <c r="B63" s="469"/>
      <c r="C63" s="426"/>
      <c r="D63" s="371" t="s">
        <v>401</v>
      </c>
      <c r="E63" s="426"/>
      <c r="F63" s="45"/>
      <c r="G63" s="339" t="s">
        <v>363</v>
      </c>
      <c r="H63" s="266">
        <v>212.5</v>
      </c>
      <c r="I63" s="134">
        <v>1</v>
      </c>
      <c r="J63" s="429"/>
      <c r="K63" s="341" t="s">
        <v>330</v>
      </c>
      <c r="L63" s="426"/>
      <c r="M63" s="338" t="s">
        <v>193</v>
      </c>
      <c r="N63" s="338" t="s">
        <v>193</v>
      </c>
      <c r="O63" s="426"/>
      <c r="P63" s="330"/>
      <c r="Q63" s="367" t="s">
        <v>38</v>
      </c>
      <c r="R63" s="277"/>
    </row>
    <row r="64" spans="1:20" s="39" customFormat="1" ht="39.75" customHeight="1" x14ac:dyDescent="0.25">
      <c r="A64" s="217">
        <v>2.21</v>
      </c>
      <c r="B64" s="57" t="s">
        <v>26</v>
      </c>
      <c r="C64" s="116" t="s">
        <v>319</v>
      </c>
      <c r="D64" s="281" t="s">
        <v>411</v>
      </c>
      <c r="E64" s="45" t="s">
        <v>142</v>
      </c>
      <c r="F64" s="45"/>
      <c r="G64" s="267" t="s">
        <v>384</v>
      </c>
      <c r="H64" s="266">
        <v>461.7</v>
      </c>
      <c r="I64" s="134">
        <v>1</v>
      </c>
      <c r="J64" s="134"/>
      <c r="K64" s="269" t="s">
        <v>330</v>
      </c>
      <c r="L64" s="116" t="s">
        <v>32</v>
      </c>
      <c r="M64" s="58">
        <v>42942</v>
      </c>
      <c r="N64" s="58">
        <v>42942</v>
      </c>
      <c r="O64" s="267"/>
      <c r="P64" s="45" t="s">
        <v>423</v>
      </c>
      <c r="Q64" s="367" t="s">
        <v>34</v>
      </c>
      <c r="R64" s="15"/>
    </row>
    <row r="65" spans="1:19" s="39" customFormat="1" ht="46.5" customHeight="1" x14ac:dyDescent="0.25">
      <c r="A65" s="321">
        <v>2.2200000000000002</v>
      </c>
      <c r="B65" s="324" t="s">
        <v>26</v>
      </c>
      <c r="C65" s="265" t="s">
        <v>402</v>
      </c>
      <c r="D65" s="319"/>
      <c r="E65" s="45" t="s">
        <v>48</v>
      </c>
      <c r="F65" s="325"/>
      <c r="G65" s="346" t="s">
        <v>396</v>
      </c>
      <c r="H65" s="266">
        <f>1244-1244+100+210</f>
        <v>310</v>
      </c>
      <c r="I65" s="134">
        <v>1</v>
      </c>
      <c r="J65" s="325"/>
      <c r="K65" s="318" t="s">
        <v>330</v>
      </c>
      <c r="L65" s="45" t="s">
        <v>37</v>
      </c>
      <c r="M65" s="58">
        <v>42926</v>
      </c>
      <c r="N65" s="292" t="s">
        <v>87</v>
      </c>
      <c r="O65" s="325"/>
      <c r="P65" s="326"/>
      <c r="Q65" s="367" t="s">
        <v>200</v>
      </c>
      <c r="R65" s="15"/>
    </row>
    <row r="66" spans="1:19" s="39" customFormat="1" ht="46.5" customHeight="1" x14ac:dyDescent="0.25">
      <c r="A66" s="217">
        <v>2.23</v>
      </c>
      <c r="B66" s="324" t="s">
        <v>26</v>
      </c>
      <c r="C66" s="265" t="s">
        <v>335</v>
      </c>
      <c r="D66" s="319"/>
      <c r="E66" s="45" t="s">
        <v>48</v>
      </c>
      <c r="F66" s="325"/>
      <c r="G66" s="325"/>
      <c r="H66" s="266">
        <v>5</v>
      </c>
      <c r="I66" s="134">
        <v>1</v>
      </c>
      <c r="J66" s="325"/>
      <c r="K66" s="318" t="s">
        <v>31</v>
      </c>
      <c r="L66" s="45" t="s">
        <v>37</v>
      </c>
      <c r="M66" s="316" t="s">
        <v>87</v>
      </c>
      <c r="N66" s="317" t="s">
        <v>87</v>
      </c>
      <c r="O66" s="325"/>
      <c r="P66" s="326"/>
      <c r="Q66" s="367" t="s">
        <v>38</v>
      </c>
      <c r="R66" s="15"/>
    </row>
    <row r="67" spans="1:19" s="39" customFormat="1" ht="30.75" customHeight="1" x14ac:dyDescent="0.25">
      <c r="A67" s="343">
        <v>2.2400000000000002</v>
      </c>
      <c r="B67" s="345" t="s">
        <v>26</v>
      </c>
      <c r="C67" s="45" t="s">
        <v>408</v>
      </c>
      <c r="D67" s="45"/>
      <c r="E67" s="45" t="s">
        <v>48</v>
      </c>
      <c r="F67" s="346"/>
      <c r="G67" s="356"/>
      <c r="H67" s="357">
        <v>461.57553999999999</v>
      </c>
      <c r="I67" s="134">
        <v>1</v>
      </c>
      <c r="J67" s="134"/>
      <c r="K67" s="346" t="s">
        <v>31</v>
      </c>
      <c r="L67" s="45" t="s">
        <v>37</v>
      </c>
      <c r="M67" s="346">
        <v>2015</v>
      </c>
      <c r="N67" s="346">
        <v>2015</v>
      </c>
      <c r="O67" s="346"/>
      <c r="P67" s="45"/>
      <c r="Q67" s="367" t="s">
        <v>34</v>
      </c>
      <c r="R67" s="15"/>
    </row>
    <row r="68" spans="1:19" s="39" customFormat="1" ht="30.75" customHeight="1" x14ac:dyDescent="0.25">
      <c r="A68" s="343">
        <v>2.25</v>
      </c>
      <c r="B68" s="345" t="s">
        <v>26</v>
      </c>
      <c r="C68" s="45" t="s">
        <v>409</v>
      </c>
      <c r="D68" s="45"/>
      <c r="E68" s="45" t="s">
        <v>48</v>
      </c>
      <c r="F68" s="346"/>
      <c r="G68" s="356"/>
      <c r="H68" s="357">
        <v>640</v>
      </c>
      <c r="I68" s="134">
        <v>1</v>
      </c>
      <c r="J68" s="134"/>
      <c r="K68" s="341" t="s">
        <v>330</v>
      </c>
      <c r="L68" s="45" t="s">
        <v>37</v>
      </c>
      <c r="M68" s="346" t="s">
        <v>193</v>
      </c>
      <c r="N68" s="340" t="s">
        <v>87</v>
      </c>
      <c r="O68" s="346"/>
      <c r="P68" s="45"/>
      <c r="Q68" s="367" t="s">
        <v>38</v>
      </c>
      <c r="R68" s="15"/>
    </row>
    <row r="69" spans="1:19" s="39" customFormat="1" ht="30.75" customHeight="1" x14ac:dyDescent="0.25">
      <c r="A69" s="350">
        <v>2.2599999999999998</v>
      </c>
      <c r="B69" s="348" t="s">
        <v>26</v>
      </c>
      <c r="C69" s="116" t="s">
        <v>319</v>
      </c>
      <c r="D69" s="45"/>
      <c r="E69" s="45" t="s">
        <v>142</v>
      </c>
      <c r="F69" s="349"/>
      <c r="G69" s="356"/>
      <c r="H69" s="357">
        <v>100</v>
      </c>
      <c r="I69" s="134">
        <v>1</v>
      </c>
      <c r="J69" s="134"/>
      <c r="K69" s="353" t="s">
        <v>330</v>
      </c>
      <c r="L69" s="116" t="s">
        <v>32</v>
      </c>
      <c r="M69" s="349" t="s">
        <v>87</v>
      </c>
      <c r="N69" s="355" t="s">
        <v>87</v>
      </c>
      <c r="O69" s="349"/>
      <c r="P69" s="45"/>
      <c r="Q69" s="367" t="s">
        <v>38</v>
      </c>
      <c r="R69" s="15"/>
    </row>
    <row r="70" spans="1:19" s="39" customFormat="1" ht="51" customHeight="1" thickBot="1" x14ac:dyDescent="0.3">
      <c r="A70" s="264">
        <v>2.27</v>
      </c>
      <c r="B70" s="67" t="s">
        <v>26</v>
      </c>
      <c r="C70" s="46" t="s">
        <v>403</v>
      </c>
      <c r="D70" s="46"/>
      <c r="E70" s="46" t="s">
        <v>48</v>
      </c>
      <c r="F70" s="342"/>
      <c r="G70" s="327"/>
      <c r="H70" s="358">
        <f>254+180+125+200-20+50</f>
        <v>789</v>
      </c>
      <c r="I70" s="47">
        <v>1</v>
      </c>
      <c r="J70" s="47"/>
      <c r="K70" s="342" t="s">
        <v>330</v>
      </c>
      <c r="L70" s="46" t="s">
        <v>37</v>
      </c>
      <c r="M70" s="342" t="s">
        <v>193</v>
      </c>
      <c r="N70" s="342" t="s">
        <v>87</v>
      </c>
      <c r="O70" s="342"/>
      <c r="P70" s="46"/>
      <c r="Q70" s="315" t="s">
        <v>38</v>
      </c>
      <c r="R70" s="15"/>
    </row>
    <row r="71" spans="1:19" ht="15.6" customHeight="1" x14ac:dyDescent="0.25">
      <c r="A71" s="68"/>
      <c r="B71" s="69"/>
      <c r="D71" s="1"/>
      <c r="G71" s="51" t="s">
        <v>40</v>
      </c>
      <c r="H71" s="53">
        <f>SUM(H25:H70)</f>
        <v>5352.7852999999996</v>
      </c>
      <c r="I71" s="70">
        <f>H71-J71</f>
        <v>5330.7852999999996</v>
      </c>
      <c r="J71" s="70">
        <v>22</v>
      </c>
    </row>
    <row r="72" spans="1:19" ht="16.149999999999999" customHeight="1" thickBot="1" x14ac:dyDescent="0.3">
      <c r="A72" s="13"/>
      <c r="D72" s="1"/>
      <c r="S72" s="87"/>
    </row>
    <row r="73" spans="1:19" ht="15.75" customHeight="1" x14ac:dyDescent="0.25">
      <c r="A73" s="435">
        <v>3</v>
      </c>
      <c r="B73" s="412" t="s">
        <v>101</v>
      </c>
      <c r="C73" s="412"/>
      <c r="D73" s="412"/>
      <c r="E73" s="412"/>
      <c r="F73" s="412"/>
      <c r="G73" s="412"/>
      <c r="H73" s="412"/>
      <c r="I73" s="412"/>
      <c r="J73" s="412"/>
      <c r="K73" s="412"/>
      <c r="L73" s="412"/>
      <c r="M73" s="412"/>
      <c r="N73" s="412"/>
      <c r="O73" s="412"/>
      <c r="P73" s="412"/>
      <c r="Q73" s="413"/>
    </row>
    <row r="74" spans="1:19" ht="15" customHeight="1" x14ac:dyDescent="0.25">
      <c r="A74" s="436"/>
      <c r="B74" s="419" t="s">
        <v>8</v>
      </c>
      <c r="C74" s="419" t="s">
        <v>9</v>
      </c>
      <c r="D74" s="419" t="s">
        <v>10</v>
      </c>
      <c r="E74" s="419" t="s">
        <v>11</v>
      </c>
      <c r="F74" s="419" t="s">
        <v>12</v>
      </c>
      <c r="G74" s="419" t="s">
        <v>13</v>
      </c>
      <c r="H74" s="71" t="s">
        <v>42</v>
      </c>
      <c r="I74" s="72"/>
      <c r="J74" s="72"/>
      <c r="K74" s="419" t="s">
        <v>15</v>
      </c>
      <c r="L74" s="419" t="s">
        <v>43</v>
      </c>
      <c r="M74" s="419" t="s">
        <v>44</v>
      </c>
      <c r="N74" s="419"/>
      <c r="O74" s="419" t="s">
        <v>45</v>
      </c>
      <c r="P74" s="419" t="s">
        <v>19</v>
      </c>
      <c r="Q74" s="422" t="s">
        <v>20</v>
      </c>
    </row>
    <row r="75" spans="1:19" ht="47.45" customHeight="1" thickBot="1" x14ac:dyDescent="0.3">
      <c r="A75" s="436"/>
      <c r="B75" s="419"/>
      <c r="C75" s="419"/>
      <c r="D75" s="419"/>
      <c r="E75" s="419"/>
      <c r="F75" s="419"/>
      <c r="G75" s="419"/>
      <c r="H75" s="73" t="s">
        <v>21</v>
      </c>
      <c r="I75" s="74" t="s">
        <v>22</v>
      </c>
      <c r="J75" s="74" t="s">
        <v>23</v>
      </c>
      <c r="K75" s="419"/>
      <c r="L75" s="419"/>
      <c r="M75" s="75" t="s">
        <v>24</v>
      </c>
      <c r="N75" s="75" t="s">
        <v>25</v>
      </c>
      <c r="O75" s="419"/>
      <c r="P75" s="419"/>
      <c r="Q75" s="422"/>
    </row>
    <row r="76" spans="1:19" s="241" customFormat="1" ht="27.6" customHeight="1" x14ac:dyDescent="0.25">
      <c r="A76" s="283">
        <v>3.1</v>
      </c>
      <c r="B76" s="284" t="s">
        <v>26</v>
      </c>
      <c r="C76" s="285" t="s">
        <v>102</v>
      </c>
      <c r="D76" s="286"/>
      <c r="E76" s="285" t="s">
        <v>48</v>
      </c>
      <c r="F76" s="287"/>
      <c r="G76" s="288"/>
      <c r="H76" s="282">
        <f>2010.41+(2+3.996+2.152+0.986)</f>
        <v>2019.5440000000001</v>
      </c>
      <c r="I76" s="289"/>
      <c r="J76" s="290">
        <v>1</v>
      </c>
      <c r="K76" s="286" t="s">
        <v>31</v>
      </c>
      <c r="L76" s="285" t="s">
        <v>50</v>
      </c>
      <c r="M76" s="286" t="s">
        <v>103</v>
      </c>
      <c r="N76" s="286" t="s">
        <v>87</v>
      </c>
      <c r="O76" s="286" t="s">
        <v>89</v>
      </c>
      <c r="P76" s="285"/>
      <c r="Q76" s="291" t="s">
        <v>104</v>
      </c>
    </row>
    <row r="77" spans="1:19" s="64" customFormat="1" ht="39.75" customHeight="1" x14ac:dyDescent="0.25">
      <c r="A77" s="59">
        <v>3.2</v>
      </c>
      <c r="B77" s="57" t="s">
        <v>26</v>
      </c>
      <c r="C77" s="116" t="s">
        <v>105</v>
      </c>
      <c r="D77" s="116" t="s">
        <v>106</v>
      </c>
      <c r="E77" s="116" t="s">
        <v>48</v>
      </c>
      <c r="F77" s="120"/>
      <c r="G77" s="129" t="s">
        <v>107</v>
      </c>
      <c r="H77" s="66">
        <f>15-3.996</f>
        <v>11.004</v>
      </c>
      <c r="I77" s="61"/>
      <c r="J77" s="43">
        <v>1</v>
      </c>
      <c r="K77" s="120" t="s">
        <v>31</v>
      </c>
      <c r="L77" s="116" t="s">
        <v>50</v>
      </c>
      <c r="M77" s="58">
        <v>40949</v>
      </c>
      <c r="N77" s="58">
        <v>40981</v>
      </c>
      <c r="O77" s="120" t="s">
        <v>89</v>
      </c>
      <c r="P77" s="116" t="s">
        <v>108</v>
      </c>
      <c r="Q77" s="294" t="s">
        <v>34</v>
      </c>
      <c r="R77" s="242"/>
    </row>
    <row r="78" spans="1:19" s="64" customFormat="1" ht="35.25" customHeight="1" x14ac:dyDescent="0.25">
      <c r="A78" s="123">
        <v>3.3</v>
      </c>
      <c r="B78" s="57" t="s">
        <v>26</v>
      </c>
      <c r="C78" s="116" t="s">
        <v>109</v>
      </c>
      <c r="D78" s="77" t="s">
        <v>110</v>
      </c>
      <c r="E78" s="116" t="s">
        <v>48</v>
      </c>
      <c r="F78" s="120"/>
      <c r="G78" s="129" t="s">
        <v>111</v>
      </c>
      <c r="H78" s="66">
        <f>5-2.152</f>
        <v>2.8479999999999999</v>
      </c>
      <c r="I78" s="61"/>
      <c r="J78" s="43">
        <v>1</v>
      </c>
      <c r="K78" s="120" t="s">
        <v>31</v>
      </c>
      <c r="L78" s="116" t="s">
        <v>50</v>
      </c>
      <c r="M78" s="58">
        <v>40967</v>
      </c>
      <c r="N78" s="58">
        <v>40981</v>
      </c>
      <c r="O78" s="120" t="s">
        <v>89</v>
      </c>
      <c r="P78" s="116" t="s">
        <v>112</v>
      </c>
      <c r="Q78" s="294" t="s">
        <v>34</v>
      </c>
      <c r="R78" s="242"/>
    </row>
    <row r="79" spans="1:19" s="64" customFormat="1" ht="36" customHeight="1" x14ac:dyDescent="0.25">
      <c r="A79" s="123">
        <v>3.4</v>
      </c>
      <c r="B79" s="57" t="s">
        <v>26</v>
      </c>
      <c r="C79" s="116" t="s">
        <v>113</v>
      </c>
      <c r="D79" s="78" t="s">
        <v>114</v>
      </c>
      <c r="E79" s="116" t="s">
        <v>48</v>
      </c>
      <c r="F79" s="337"/>
      <c r="G79" s="119" t="s">
        <v>115</v>
      </c>
      <c r="H79" s="66">
        <f>3.5-0.986</f>
        <v>2.5140000000000002</v>
      </c>
      <c r="I79" s="43"/>
      <c r="J79" s="43">
        <v>1</v>
      </c>
      <c r="K79" s="120" t="s">
        <v>31</v>
      </c>
      <c r="L79" s="116" t="s">
        <v>50</v>
      </c>
      <c r="M79" s="292" t="s">
        <v>189</v>
      </c>
      <c r="N79" s="58">
        <v>41649</v>
      </c>
      <c r="O79" s="120" t="s">
        <v>89</v>
      </c>
      <c r="P79" s="116" t="s">
        <v>116</v>
      </c>
      <c r="Q79" s="294" t="s">
        <v>34</v>
      </c>
      <c r="R79" s="242"/>
    </row>
    <row r="80" spans="1:19" s="64" customFormat="1" ht="37.5" customHeight="1" x14ac:dyDescent="0.25">
      <c r="A80" s="59">
        <v>3.5</v>
      </c>
      <c r="B80" s="57" t="s">
        <v>26</v>
      </c>
      <c r="C80" s="116" t="s">
        <v>117</v>
      </c>
      <c r="D80" s="78" t="s">
        <v>118</v>
      </c>
      <c r="E80" s="116" t="s">
        <v>48</v>
      </c>
      <c r="F80" s="61"/>
      <c r="G80" s="119" t="s">
        <v>119</v>
      </c>
      <c r="H80" s="66">
        <v>72.099999999999994</v>
      </c>
      <c r="I80" s="63"/>
      <c r="J80" s="43">
        <v>1</v>
      </c>
      <c r="K80" s="120" t="s">
        <v>31</v>
      </c>
      <c r="L80" s="116" t="s">
        <v>50</v>
      </c>
      <c r="M80" s="120" t="s">
        <v>120</v>
      </c>
      <c r="N80" s="58">
        <v>40161</v>
      </c>
      <c r="O80" s="120" t="s">
        <v>89</v>
      </c>
      <c r="P80" s="116" t="s">
        <v>121</v>
      </c>
      <c r="Q80" s="294" t="s">
        <v>34</v>
      </c>
      <c r="R80" s="242"/>
    </row>
    <row r="81" spans="1:18" s="242" customFormat="1" ht="25.5" customHeight="1" x14ac:dyDescent="0.25">
      <c r="A81" s="331">
        <v>3.6</v>
      </c>
      <c r="B81" s="280" t="s">
        <v>26</v>
      </c>
      <c r="C81" s="244" t="s">
        <v>122</v>
      </c>
      <c r="D81" s="244" t="s">
        <v>259</v>
      </c>
      <c r="E81" s="270" t="s">
        <v>74</v>
      </c>
      <c r="F81" s="295"/>
      <c r="G81" s="292"/>
      <c r="H81" s="122">
        <f>3.70067+(34.54-5+12.456)</f>
        <v>45.696669999999997</v>
      </c>
      <c r="I81" s="293">
        <v>1</v>
      </c>
      <c r="J81" s="296"/>
      <c r="K81" s="292" t="s">
        <v>31</v>
      </c>
      <c r="L81" s="270" t="s">
        <v>37</v>
      </c>
      <c r="M81" s="292" t="s">
        <v>193</v>
      </c>
      <c r="N81" s="292" t="s">
        <v>87</v>
      </c>
      <c r="O81" s="297"/>
      <c r="P81" s="296"/>
      <c r="Q81" s="294" t="s">
        <v>38</v>
      </c>
    </row>
    <row r="82" spans="1:18" s="64" customFormat="1" ht="25.5" customHeight="1" x14ac:dyDescent="0.25">
      <c r="A82" s="59">
        <v>3.7</v>
      </c>
      <c r="B82" s="57" t="s">
        <v>26</v>
      </c>
      <c r="C82" s="320" t="s">
        <v>257</v>
      </c>
      <c r="D82" s="77" t="s">
        <v>123</v>
      </c>
      <c r="E82" s="76"/>
      <c r="F82" s="42"/>
      <c r="G82" s="38"/>
      <c r="H82" s="122">
        <v>17</v>
      </c>
      <c r="I82" s="43">
        <v>1</v>
      </c>
      <c r="J82" s="43"/>
      <c r="K82" s="38" t="s">
        <v>31</v>
      </c>
      <c r="L82" s="42" t="s">
        <v>32</v>
      </c>
      <c r="M82" s="58">
        <v>41688</v>
      </c>
      <c r="N82" s="58">
        <v>41691</v>
      </c>
      <c r="O82" s="38"/>
      <c r="P82" s="42" t="s">
        <v>124</v>
      </c>
      <c r="Q82" s="294" t="s">
        <v>34</v>
      </c>
      <c r="R82" s="242"/>
    </row>
    <row r="83" spans="1:18" s="64" customFormat="1" ht="25.5" customHeight="1" x14ac:dyDescent="0.25">
      <c r="A83" s="331">
        <v>3.8</v>
      </c>
      <c r="B83" s="57" t="s">
        <v>26</v>
      </c>
      <c r="C83" s="244" t="s">
        <v>257</v>
      </c>
      <c r="D83" s="135" t="s">
        <v>123</v>
      </c>
      <c r="E83" s="136"/>
      <c r="F83" s="137" t="s">
        <v>260</v>
      </c>
      <c r="G83" s="130"/>
      <c r="H83" s="236">
        <f>235.91/1000</f>
        <v>0.23591000000000001</v>
      </c>
      <c r="I83" s="131">
        <v>1</v>
      </c>
      <c r="J83" s="131"/>
      <c r="K83" s="219" t="s">
        <v>330</v>
      </c>
      <c r="L83" s="320" t="s">
        <v>37</v>
      </c>
      <c r="M83" s="58">
        <v>41688</v>
      </c>
      <c r="N83" s="58">
        <v>41691</v>
      </c>
      <c r="O83" s="130"/>
      <c r="P83" s="116" t="s">
        <v>125</v>
      </c>
      <c r="Q83" s="366" t="s">
        <v>34</v>
      </c>
      <c r="R83" s="242"/>
    </row>
    <row r="84" spans="1:18" s="64" customFormat="1" ht="25.5" customHeight="1" x14ac:dyDescent="0.25">
      <c r="A84" s="59">
        <v>3.9</v>
      </c>
      <c r="B84" s="57" t="s">
        <v>26</v>
      </c>
      <c r="C84" s="244" t="s">
        <v>257</v>
      </c>
      <c r="D84" s="77" t="s">
        <v>123</v>
      </c>
      <c r="E84" s="76"/>
      <c r="F84" s="113"/>
      <c r="G84" s="112"/>
      <c r="H84" s="122">
        <f>9.21108-H83+7.789</f>
        <v>16.76417</v>
      </c>
      <c r="I84" s="43">
        <v>1</v>
      </c>
      <c r="J84" s="43"/>
      <c r="K84" s="112" t="s">
        <v>31</v>
      </c>
      <c r="L84" s="116" t="s">
        <v>32</v>
      </c>
      <c r="M84" s="58">
        <v>41688</v>
      </c>
      <c r="N84" s="58">
        <v>41691</v>
      </c>
      <c r="O84" s="112"/>
      <c r="P84" s="116" t="s">
        <v>125</v>
      </c>
      <c r="Q84" s="294" t="s">
        <v>104</v>
      </c>
      <c r="R84" s="242"/>
    </row>
    <row r="85" spans="1:18" s="64" customFormat="1" ht="31.5" customHeight="1" x14ac:dyDescent="0.25">
      <c r="A85" s="331">
        <f>3.1</f>
        <v>3.1</v>
      </c>
      <c r="B85" s="57" t="s">
        <v>26</v>
      </c>
      <c r="C85" s="244" t="s">
        <v>126</v>
      </c>
      <c r="D85" s="77" t="s">
        <v>258</v>
      </c>
      <c r="E85" s="76"/>
      <c r="F85" s="42"/>
      <c r="G85" s="38"/>
      <c r="H85" s="122">
        <f>1.96329+15.03671</f>
        <v>17</v>
      </c>
      <c r="I85" s="121">
        <v>1</v>
      </c>
      <c r="J85" s="43"/>
      <c r="K85" s="38" t="s">
        <v>31</v>
      </c>
      <c r="L85" s="42" t="s">
        <v>32</v>
      </c>
      <c r="M85" s="58">
        <v>41939</v>
      </c>
      <c r="N85" s="58">
        <v>41956</v>
      </c>
      <c r="O85" s="38"/>
      <c r="P85" s="42" t="s">
        <v>127</v>
      </c>
      <c r="Q85" s="294" t="s">
        <v>104</v>
      </c>
      <c r="R85" s="242"/>
    </row>
    <row r="86" spans="1:18" s="64" customFormat="1" ht="27.6" customHeight="1" x14ac:dyDescent="0.25">
      <c r="A86" s="59">
        <f>A85+0.01</f>
        <v>3.11</v>
      </c>
      <c r="B86" s="57" t="s">
        <v>26</v>
      </c>
      <c r="C86" s="42" t="s">
        <v>128</v>
      </c>
      <c r="D86" s="42" t="s">
        <v>129</v>
      </c>
      <c r="E86" s="42" t="s">
        <v>48</v>
      </c>
      <c r="F86" s="63"/>
      <c r="G86" s="38" t="s">
        <v>130</v>
      </c>
      <c r="H86" s="122">
        <f>3+1.207</f>
        <v>4.2069999999999999</v>
      </c>
      <c r="I86" s="43">
        <v>1</v>
      </c>
      <c r="J86" s="43"/>
      <c r="K86" s="38" t="s">
        <v>31</v>
      </c>
      <c r="L86" s="42" t="s">
        <v>50</v>
      </c>
      <c r="M86" s="58">
        <v>41841</v>
      </c>
      <c r="N86" s="58">
        <v>41969</v>
      </c>
      <c r="O86" s="38"/>
      <c r="P86" s="42" t="s">
        <v>131</v>
      </c>
      <c r="Q86" s="294" t="s">
        <v>34</v>
      </c>
      <c r="R86" s="242"/>
    </row>
    <row r="87" spans="1:18" s="64" customFormat="1" ht="27.75" customHeight="1" x14ac:dyDescent="0.25">
      <c r="A87" s="59">
        <f t="shared" ref="A87:A108" si="0">A86+0.01</f>
        <v>3.1199999999999997</v>
      </c>
      <c r="B87" s="57" t="s">
        <v>26</v>
      </c>
      <c r="C87" s="42" t="s">
        <v>132</v>
      </c>
      <c r="D87" s="42" t="s">
        <v>133</v>
      </c>
      <c r="E87" s="42" t="s">
        <v>29</v>
      </c>
      <c r="F87" s="42"/>
      <c r="G87" s="38" t="s">
        <v>134</v>
      </c>
      <c r="H87" s="122">
        <f>5-4.447</f>
        <v>0.55299999999999994</v>
      </c>
      <c r="I87" s="43">
        <v>1</v>
      </c>
      <c r="J87" s="43"/>
      <c r="K87" s="38" t="s">
        <v>31</v>
      </c>
      <c r="L87" s="42" t="s">
        <v>32</v>
      </c>
      <c r="M87" s="58">
        <v>41935</v>
      </c>
      <c r="N87" s="58">
        <v>41996</v>
      </c>
      <c r="O87" s="38"/>
      <c r="P87" s="42" t="s">
        <v>135</v>
      </c>
      <c r="Q87" s="294" t="s">
        <v>34</v>
      </c>
      <c r="R87" s="242"/>
    </row>
    <row r="88" spans="1:18" s="64" customFormat="1" ht="33" customHeight="1" x14ac:dyDescent="0.25">
      <c r="A88" s="59">
        <f t="shared" si="0"/>
        <v>3.1299999999999994</v>
      </c>
      <c r="B88" s="57" t="s">
        <v>26</v>
      </c>
      <c r="C88" s="42" t="s">
        <v>136</v>
      </c>
      <c r="D88" s="78" t="s">
        <v>137</v>
      </c>
      <c r="E88" s="42" t="s">
        <v>48</v>
      </c>
      <c r="F88" s="42"/>
      <c r="G88" s="38" t="s">
        <v>138</v>
      </c>
      <c r="H88" s="122">
        <f>25-24.302</f>
        <v>0.6980000000000004</v>
      </c>
      <c r="I88" s="43">
        <v>1</v>
      </c>
      <c r="J88" s="43"/>
      <c r="K88" s="38" t="s">
        <v>31</v>
      </c>
      <c r="L88" s="42" t="s">
        <v>50</v>
      </c>
      <c r="M88" s="58">
        <v>41934</v>
      </c>
      <c r="N88" s="58">
        <v>41989</v>
      </c>
      <c r="O88" s="38"/>
      <c r="P88" s="42" t="s">
        <v>139</v>
      </c>
      <c r="Q88" s="294" t="s">
        <v>34</v>
      </c>
      <c r="R88" s="242"/>
    </row>
    <row r="89" spans="1:18" s="64" customFormat="1" ht="27.75" customHeight="1" x14ac:dyDescent="0.25">
      <c r="A89" s="59">
        <f t="shared" si="0"/>
        <v>3.1399999999999992</v>
      </c>
      <c r="B89" s="57" t="s">
        <v>26</v>
      </c>
      <c r="C89" s="45" t="s">
        <v>140</v>
      </c>
      <c r="D89" s="42" t="s">
        <v>141</v>
      </c>
      <c r="E89" s="42" t="s">
        <v>142</v>
      </c>
      <c r="F89" s="66"/>
      <c r="G89" s="332" t="s">
        <v>143</v>
      </c>
      <c r="H89" s="122">
        <f>2.9581+9.0419</f>
        <v>12</v>
      </c>
      <c r="I89" s="43">
        <v>1</v>
      </c>
      <c r="J89" s="43"/>
      <c r="K89" s="38" t="s">
        <v>31</v>
      </c>
      <c r="L89" s="42" t="s">
        <v>32</v>
      </c>
      <c r="M89" s="58" t="s">
        <v>144</v>
      </c>
      <c r="N89" s="58">
        <v>41963</v>
      </c>
      <c r="O89" s="38"/>
      <c r="P89" s="42" t="s">
        <v>145</v>
      </c>
      <c r="Q89" s="294" t="s">
        <v>34</v>
      </c>
      <c r="R89" s="242"/>
    </row>
    <row r="90" spans="1:18" s="64" customFormat="1" ht="39.75" customHeight="1" x14ac:dyDescent="0.25">
      <c r="A90" s="59">
        <f t="shared" si="0"/>
        <v>3.149999999999999</v>
      </c>
      <c r="B90" s="57" t="s">
        <v>26</v>
      </c>
      <c r="C90" s="42" t="s">
        <v>146</v>
      </c>
      <c r="D90" s="42" t="s">
        <v>147</v>
      </c>
      <c r="E90" s="42" t="s">
        <v>48</v>
      </c>
      <c r="F90" s="42"/>
      <c r="G90" s="38" t="s">
        <v>148</v>
      </c>
      <c r="H90" s="122">
        <f>0.2+0.037</f>
        <v>0.23700000000000002</v>
      </c>
      <c r="I90" s="43">
        <v>1</v>
      </c>
      <c r="J90" s="43"/>
      <c r="K90" s="38" t="s">
        <v>31</v>
      </c>
      <c r="L90" s="42" t="s">
        <v>37</v>
      </c>
      <c r="M90" s="58" t="s">
        <v>144</v>
      </c>
      <c r="N90" s="58">
        <v>41880</v>
      </c>
      <c r="O90" s="38"/>
      <c r="P90" s="42" t="s">
        <v>149</v>
      </c>
      <c r="Q90" s="294" t="s">
        <v>34</v>
      </c>
      <c r="R90" s="242"/>
    </row>
    <row r="91" spans="1:18" s="64" customFormat="1" ht="27.6" customHeight="1" x14ac:dyDescent="0.25">
      <c r="A91" s="59">
        <f t="shared" si="0"/>
        <v>3.1599999999999988</v>
      </c>
      <c r="B91" s="57" t="s">
        <v>26</v>
      </c>
      <c r="C91" s="116" t="s">
        <v>150</v>
      </c>
      <c r="D91" s="42" t="s">
        <v>151</v>
      </c>
      <c r="E91" s="45" t="s">
        <v>74</v>
      </c>
      <c r="F91" s="66"/>
      <c r="G91" s="317" t="s">
        <v>152</v>
      </c>
      <c r="H91" s="122">
        <f>(15.65394+29.34606)-26.8</f>
        <v>18.2</v>
      </c>
      <c r="I91" s="43">
        <v>1</v>
      </c>
      <c r="J91" s="43"/>
      <c r="K91" s="38" t="s">
        <v>31</v>
      </c>
      <c r="L91" s="42" t="s">
        <v>37</v>
      </c>
      <c r="M91" s="58" t="s">
        <v>76</v>
      </c>
      <c r="N91" s="58">
        <v>42457</v>
      </c>
      <c r="O91" s="38"/>
      <c r="P91" s="42" t="s">
        <v>153</v>
      </c>
      <c r="Q91" s="294" t="s">
        <v>34</v>
      </c>
      <c r="R91" s="242"/>
    </row>
    <row r="92" spans="1:18" s="64" customFormat="1" ht="27.6" customHeight="1" x14ac:dyDescent="0.25">
      <c r="A92" s="59">
        <f t="shared" si="0"/>
        <v>3.1699999999999986</v>
      </c>
      <c r="B92" s="57" t="s">
        <v>26</v>
      </c>
      <c r="C92" s="116" t="s">
        <v>150</v>
      </c>
      <c r="D92" s="78"/>
      <c r="E92" s="244" t="s">
        <v>48</v>
      </c>
      <c r="F92" s="66"/>
      <c r="G92" s="33"/>
      <c r="H92" s="96">
        <f>26.8-0.09361</f>
        <v>26.706389999999999</v>
      </c>
      <c r="I92" s="43">
        <v>1</v>
      </c>
      <c r="J92" s="43"/>
      <c r="K92" s="112" t="s">
        <v>31</v>
      </c>
      <c r="L92" s="113" t="s">
        <v>32</v>
      </c>
      <c r="M92" s="58" t="s">
        <v>193</v>
      </c>
      <c r="N92" s="58" t="s">
        <v>193</v>
      </c>
      <c r="O92" s="112"/>
      <c r="P92" s="113"/>
      <c r="Q92" s="294" t="s">
        <v>38</v>
      </c>
      <c r="R92" s="242"/>
    </row>
    <row r="93" spans="1:18" s="64" customFormat="1" ht="27.6" customHeight="1" x14ac:dyDescent="0.25">
      <c r="A93" s="59">
        <f t="shared" si="0"/>
        <v>3.1799999999999984</v>
      </c>
      <c r="B93" s="57" t="s">
        <v>26</v>
      </c>
      <c r="C93" s="45" t="s">
        <v>150</v>
      </c>
      <c r="D93" s="42" t="s">
        <v>154</v>
      </c>
      <c r="E93" s="116" t="s">
        <v>29</v>
      </c>
      <c r="F93" s="33"/>
      <c r="G93" s="317" t="s">
        <v>152</v>
      </c>
      <c r="H93" s="122">
        <v>0</v>
      </c>
      <c r="I93" s="43">
        <v>1</v>
      </c>
      <c r="J93" s="43"/>
      <c r="K93" s="38" t="s">
        <v>31</v>
      </c>
      <c r="L93" s="42" t="s">
        <v>37</v>
      </c>
      <c r="M93" s="58" t="s">
        <v>76</v>
      </c>
      <c r="N93" s="58">
        <v>42457</v>
      </c>
      <c r="O93" s="38"/>
      <c r="P93" s="42" t="s">
        <v>155</v>
      </c>
      <c r="Q93" s="294" t="s">
        <v>34</v>
      </c>
      <c r="R93" s="242"/>
    </row>
    <row r="94" spans="1:18" s="64" customFormat="1" ht="35.25" customHeight="1" x14ac:dyDescent="0.25">
      <c r="A94" s="59">
        <f t="shared" si="0"/>
        <v>3.1899999999999982</v>
      </c>
      <c r="B94" s="57" t="s">
        <v>26</v>
      </c>
      <c r="C94" s="42" t="s">
        <v>156</v>
      </c>
      <c r="D94" s="42" t="s">
        <v>157</v>
      </c>
      <c r="E94" s="42" t="s">
        <v>74</v>
      </c>
      <c r="F94" s="1"/>
      <c r="G94" s="38" t="s">
        <v>158</v>
      </c>
      <c r="H94" s="122">
        <f>(7+2.305)+0.09361</f>
        <v>9.3986099999999997</v>
      </c>
      <c r="I94" s="43">
        <v>1</v>
      </c>
      <c r="J94" s="43"/>
      <c r="K94" s="38" t="s">
        <v>31</v>
      </c>
      <c r="L94" s="42" t="s">
        <v>37</v>
      </c>
      <c r="M94" s="292" t="s">
        <v>67</v>
      </c>
      <c r="N94" s="311">
        <v>42411</v>
      </c>
      <c r="O94" s="38"/>
      <c r="P94" s="42" t="s">
        <v>159</v>
      </c>
      <c r="Q94" s="294" t="s">
        <v>34</v>
      </c>
      <c r="R94" s="242"/>
    </row>
    <row r="95" spans="1:18" s="64" customFormat="1" ht="42" customHeight="1" x14ac:dyDescent="0.25">
      <c r="A95" s="59">
        <f t="shared" si="0"/>
        <v>3.199999999999998</v>
      </c>
      <c r="B95" s="57" t="s">
        <v>26</v>
      </c>
      <c r="C95" s="244" t="s">
        <v>160</v>
      </c>
      <c r="D95" s="45" t="s">
        <v>161</v>
      </c>
      <c r="E95" s="42" t="s">
        <v>48</v>
      </c>
      <c r="F95" s="1"/>
      <c r="G95" s="79" t="s">
        <v>162</v>
      </c>
      <c r="H95" s="122">
        <f>48.92407-8.40992+(91.07593-(3.68779+8.77102))</f>
        <v>119.13127</v>
      </c>
      <c r="I95" s="43">
        <v>1</v>
      </c>
      <c r="J95" s="43"/>
      <c r="K95" s="38" t="s">
        <v>31</v>
      </c>
      <c r="L95" s="42" t="s">
        <v>50</v>
      </c>
      <c r="M95" s="80">
        <v>41792</v>
      </c>
      <c r="N95" s="80">
        <v>41880</v>
      </c>
      <c r="O95" s="79"/>
      <c r="P95" s="81" t="s">
        <v>163</v>
      </c>
      <c r="Q95" s="294" t="s">
        <v>104</v>
      </c>
      <c r="R95" s="242"/>
    </row>
    <row r="96" spans="1:18" s="64" customFormat="1" ht="42" customHeight="1" x14ac:dyDescent="0.25">
      <c r="A96" s="59">
        <f t="shared" si="0"/>
        <v>3.2099999999999977</v>
      </c>
      <c r="B96" s="57" t="s">
        <v>26</v>
      </c>
      <c r="C96" s="244" t="s">
        <v>160</v>
      </c>
      <c r="D96" s="233" t="s">
        <v>339</v>
      </c>
      <c r="E96" s="116" t="s">
        <v>48</v>
      </c>
      <c r="F96" s="234"/>
      <c r="G96" s="235" t="s">
        <v>162</v>
      </c>
      <c r="H96" s="236">
        <f>8.40992+(3.68779+8.77102)</f>
        <v>20.868729999999999</v>
      </c>
      <c r="I96" s="232">
        <v>1</v>
      </c>
      <c r="J96" s="232"/>
      <c r="K96" s="219" t="s">
        <v>330</v>
      </c>
      <c r="L96" s="222" t="s">
        <v>32</v>
      </c>
      <c r="M96" s="237">
        <v>41792</v>
      </c>
      <c r="N96" s="237">
        <v>41880</v>
      </c>
      <c r="O96" s="235"/>
      <c r="P96" s="238"/>
      <c r="Q96" s="366" t="s">
        <v>34</v>
      </c>
      <c r="R96" s="242"/>
    </row>
    <row r="97" spans="1:18" s="64" customFormat="1" ht="42" customHeight="1" x14ac:dyDescent="0.25">
      <c r="A97" s="59">
        <f t="shared" si="0"/>
        <v>3.2199999999999975</v>
      </c>
      <c r="B97" s="57" t="s">
        <v>26</v>
      </c>
      <c r="C97" s="438" t="s">
        <v>164</v>
      </c>
      <c r="D97" s="113" t="s">
        <v>165</v>
      </c>
      <c r="E97" s="113"/>
      <c r="F97" s="113"/>
      <c r="G97" s="112" t="s">
        <v>166</v>
      </c>
      <c r="H97" s="122">
        <v>4.9630899999999993</v>
      </c>
      <c r="I97" s="43">
        <v>1</v>
      </c>
      <c r="J97" s="43"/>
      <c r="K97" s="112" t="s">
        <v>31</v>
      </c>
      <c r="L97" s="113" t="s">
        <v>50</v>
      </c>
      <c r="M97" s="58">
        <v>41806</v>
      </c>
      <c r="N97" s="58">
        <v>41880</v>
      </c>
      <c r="O97" s="115"/>
      <c r="P97" s="114"/>
      <c r="Q97" s="294" t="s">
        <v>34</v>
      </c>
      <c r="R97" s="242"/>
    </row>
    <row r="98" spans="1:18" s="64" customFormat="1" ht="24.75" customHeight="1" x14ac:dyDescent="0.25">
      <c r="A98" s="59">
        <f t="shared" si="0"/>
        <v>3.2299999999999973</v>
      </c>
      <c r="B98" s="57" t="s">
        <v>26</v>
      </c>
      <c r="C98" s="439"/>
      <c r="D98" s="222" t="s">
        <v>262</v>
      </c>
      <c r="E98" s="222" t="s">
        <v>48</v>
      </c>
      <c r="F98" s="222"/>
      <c r="G98" s="228" t="s">
        <v>166</v>
      </c>
      <c r="H98" s="236">
        <f>27.95351+406.05/1000</f>
        <v>28.359560000000002</v>
      </c>
      <c r="I98" s="232">
        <v>1</v>
      </c>
      <c r="J98" s="232"/>
      <c r="K98" s="219" t="s">
        <v>330</v>
      </c>
      <c r="L98" s="222" t="s">
        <v>50</v>
      </c>
      <c r="M98" s="239">
        <v>41806</v>
      </c>
      <c r="N98" s="239">
        <v>41880</v>
      </c>
      <c r="O98" s="228"/>
      <c r="P98" s="222"/>
      <c r="Q98" s="366" t="s">
        <v>34</v>
      </c>
      <c r="R98" s="242"/>
    </row>
    <row r="99" spans="1:18" s="64" customFormat="1" ht="37.15" customHeight="1" x14ac:dyDescent="0.25">
      <c r="A99" s="59">
        <f t="shared" si="0"/>
        <v>3.2399999999999971</v>
      </c>
      <c r="B99" s="57" t="s">
        <v>26</v>
      </c>
      <c r="C99" s="244" t="s">
        <v>164</v>
      </c>
      <c r="D99" s="45" t="s">
        <v>256</v>
      </c>
      <c r="E99" s="113"/>
      <c r="F99" s="66"/>
      <c r="G99" s="115"/>
      <c r="H99" s="96">
        <f>33.95501+6.04499</f>
        <v>40</v>
      </c>
      <c r="I99" s="43">
        <v>1</v>
      </c>
      <c r="J99" s="43"/>
      <c r="K99" s="112" t="s">
        <v>31</v>
      </c>
      <c r="L99" s="113"/>
      <c r="M99" s="372">
        <v>42389</v>
      </c>
      <c r="N99" s="372">
        <v>42444</v>
      </c>
      <c r="O99" s="115"/>
      <c r="P99" s="115"/>
      <c r="Q99" s="294" t="s">
        <v>104</v>
      </c>
      <c r="R99" s="242"/>
    </row>
    <row r="100" spans="1:18" s="64" customFormat="1" ht="39" customHeight="1" x14ac:dyDescent="0.25">
      <c r="A100" s="59">
        <f t="shared" si="0"/>
        <v>3.2499999999999969</v>
      </c>
      <c r="B100" s="57" t="s">
        <v>26</v>
      </c>
      <c r="C100" s="243" t="s">
        <v>167</v>
      </c>
      <c r="D100" s="42" t="s">
        <v>168</v>
      </c>
      <c r="E100" s="42" t="s">
        <v>48</v>
      </c>
      <c r="F100" s="42"/>
      <c r="G100" s="38" t="s">
        <v>166</v>
      </c>
      <c r="H100" s="66">
        <v>0</v>
      </c>
      <c r="I100" s="43">
        <v>1</v>
      </c>
      <c r="J100" s="43"/>
      <c r="K100" s="38" t="s">
        <v>31</v>
      </c>
      <c r="L100" s="42" t="s">
        <v>37</v>
      </c>
      <c r="M100" s="38" t="s">
        <v>169</v>
      </c>
      <c r="N100" s="58">
        <v>41880</v>
      </c>
      <c r="O100" s="38"/>
      <c r="P100" s="42"/>
      <c r="Q100" s="294" t="s">
        <v>34</v>
      </c>
      <c r="R100" s="242"/>
    </row>
    <row r="101" spans="1:18" s="64" customFormat="1" ht="33" customHeight="1" x14ac:dyDescent="0.25">
      <c r="A101" s="59">
        <f t="shared" si="0"/>
        <v>3.2599999999999967</v>
      </c>
      <c r="B101" s="57" t="s">
        <v>26</v>
      </c>
      <c r="C101" s="116" t="s">
        <v>170</v>
      </c>
      <c r="D101" s="116"/>
      <c r="E101" s="116" t="s">
        <v>48</v>
      </c>
      <c r="F101" s="116"/>
      <c r="G101" s="120"/>
      <c r="H101" s="66">
        <v>46.627000000000002</v>
      </c>
      <c r="I101" s="43"/>
      <c r="J101" s="43">
        <v>1</v>
      </c>
      <c r="K101" s="120" t="s">
        <v>329</v>
      </c>
      <c r="L101" s="116" t="s">
        <v>50</v>
      </c>
      <c r="M101" s="340" t="s">
        <v>193</v>
      </c>
      <c r="N101" s="120" t="s">
        <v>193</v>
      </c>
      <c r="O101" s="120" t="s">
        <v>89</v>
      </c>
      <c r="P101" s="116"/>
      <c r="Q101" s="294" t="s">
        <v>38</v>
      </c>
      <c r="R101" s="242"/>
    </row>
    <row r="102" spans="1:18" s="64" customFormat="1" ht="36.75" customHeight="1" x14ac:dyDescent="0.25">
      <c r="A102" s="59">
        <f t="shared" si="0"/>
        <v>3.2699999999999965</v>
      </c>
      <c r="B102" s="57" t="s">
        <v>26</v>
      </c>
      <c r="C102" s="82" t="s">
        <v>171</v>
      </c>
      <c r="D102" s="78" t="s">
        <v>172</v>
      </c>
      <c r="E102" s="42" t="s">
        <v>74</v>
      </c>
      <c r="F102" s="42"/>
      <c r="G102" s="38" t="s">
        <v>173</v>
      </c>
      <c r="H102" s="66">
        <f>5-0.424</f>
        <v>4.5759999999999996</v>
      </c>
      <c r="I102" s="43">
        <v>1</v>
      </c>
      <c r="J102" s="43"/>
      <c r="K102" s="219" t="s">
        <v>330</v>
      </c>
      <c r="L102" s="42" t="s">
        <v>32</v>
      </c>
      <c r="M102" s="58">
        <v>41809</v>
      </c>
      <c r="N102" s="58">
        <v>41880</v>
      </c>
      <c r="O102" s="38"/>
      <c r="P102" s="42" t="s">
        <v>174</v>
      </c>
      <c r="Q102" s="294" t="s">
        <v>34</v>
      </c>
      <c r="R102" s="242"/>
    </row>
    <row r="103" spans="1:18" s="64" customFormat="1" ht="35.25" customHeight="1" x14ac:dyDescent="0.25">
      <c r="A103" s="59">
        <f t="shared" si="0"/>
        <v>3.2799999999999963</v>
      </c>
      <c r="B103" s="57" t="s">
        <v>26</v>
      </c>
      <c r="C103" s="42" t="s">
        <v>175</v>
      </c>
      <c r="D103" s="78" t="s">
        <v>176</v>
      </c>
      <c r="E103" s="42" t="s">
        <v>74</v>
      </c>
      <c r="F103" s="1"/>
      <c r="G103" s="38" t="s">
        <v>346</v>
      </c>
      <c r="H103" s="66">
        <f>6-1.673</f>
        <v>4.327</v>
      </c>
      <c r="I103" s="43">
        <v>1</v>
      </c>
      <c r="J103" s="43"/>
      <c r="K103" s="219" t="s">
        <v>330</v>
      </c>
      <c r="L103" s="42" t="s">
        <v>32</v>
      </c>
      <c r="M103" s="311">
        <v>41727</v>
      </c>
      <c r="N103" s="311">
        <v>41767</v>
      </c>
      <c r="O103" s="38"/>
      <c r="P103" s="42" t="s">
        <v>177</v>
      </c>
      <c r="Q103" s="294" t="s">
        <v>34</v>
      </c>
      <c r="R103" s="242"/>
    </row>
    <row r="104" spans="1:18" s="64" customFormat="1" ht="27" customHeight="1" x14ac:dyDescent="0.25">
      <c r="A104" s="59">
        <f t="shared" si="0"/>
        <v>3.289999999999996</v>
      </c>
      <c r="B104" s="57" t="s">
        <v>26</v>
      </c>
      <c r="C104" s="82" t="s">
        <v>178</v>
      </c>
      <c r="D104" s="78" t="s">
        <v>172</v>
      </c>
      <c r="E104" s="42" t="s">
        <v>74</v>
      </c>
      <c r="F104" s="42"/>
      <c r="G104" s="38" t="s">
        <v>173</v>
      </c>
      <c r="H104" s="66">
        <f>5-0.424</f>
        <v>4.5759999999999996</v>
      </c>
      <c r="I104" s="43">
        <v>1</v>
      </c>
      <c r="J104" s="43"/>
      <c r="K104" s="219" t="s">
        <v>330</v>
      </c>
      <c r="L104" s="42" t="s">
        <v>32</v>
      </c>
      <c r="M104" s="58">
        <v>41809</v>
      </c>
      <c r="N104" s="58">
        <v>41880</v>
      </c>
      <c r="O104" s="38"/>
      <c r="P104" s="42" t="s">
        <v>174</v>
      </c>
      <c r="Q104" s="294" t="s">
        <v>34</v>
      </c>
      <c r="R104" s="242"/>
    </row>
    <row r="105" spans="1:18" s="64" customFormat="1" ht="27" customHeight="1" x14ac:dyDescent="0.25">
      <c r="A105" s="59">
        <f t="shared" si="0"/>
        <v>3.2999999999999958</v>
      </c>
      <c r="B105" s="57" t="s">
        <v>26</v>
      </c>
      <c r="C105" s="83" t="s">
        <v>179</v>
      </c>
      <c r="D105" s="78" t="s">
        <v>180</v>
      </c>
      <c r="E105" s="42" t="s">
        <v>74</v>
      </c>
      <c r="F105" s="42"/>
      <c r="G105" s="38" t="s">
        <v>181</v>
      </c>
      <c r="H105" s="66">
        <f>20+7.814</f>
        <v>27.814</v>
      </c>
      <c r="I105" s="43">
        <v>1</v>
      </c>
      <c r="J105" s="43"/>
      <c r="K105" s="219" t="s">
        <v>330</v>
      </c>
      <c r="L105" s="42" t="s">
        <v>32</v>
      </c>
      <c r="M105" s="58">
        <v>42038</v>
      </c>
      <c r="N105" s="58">
        <v>42090</v>
      </c>
      <c r="O105" s="38"/>
      <c r="P105" s="42"/>
      <c r="Q105" s="294" t="s">
        <v>34</v>
      </c>
      <c r="R105" s="242"/>
    </row>
    <row r="106" spans="1:18" s="64" customFormat="1" ht="38.25" customHeight="1" x14ac:dyDescent="0.25">
      <c r="A106" s="59">
        <f t="shared" si="0"/>
        <v>3.3099999999999956</v>
      </c>
      <c r="B106" s="57" t="s">
        <v>26</v>
      </c>
      <c r="C106" s="82" t="s">
        <v>340</v>
      </c>
      <c r="D106" s="116"/>
      <c r="E106" s="116" t="s">
        <v>48</v>
      </c>
      <c r="F106" s="116"/>
      <c r="G106" s="84"/>
      <c r="H106" s="85">
        <v>148.19999999999999</v>
      </c>
      <c r="I106" s="43">
        <v>1</v>
      </c>
      <c r="J106" s="43"/>
      <c r="K106" s="269" t="s">
        <v>330</v>
      </c>
      <c r="L106" s="116" t="s">
        <v>32</v>
      </c>
      <c r="M106" s="340" t="s">
        <v>193</v>
      </c>
      <c r="N106" s="340" t="s">
        <v>87</v>
      </c>
      <c r="O106" s="268"/>
      <c r="P106" s="116"/>
      <c r="Q106" s="294" t="s">
        <v>38</v>
      </c>
      <c r="R106" s="242"/>
    </row>
    <row r="107" spans="1:18" s="64" customFormat="1" ht="22.5" customHeight="1" x14ac:dyDescent="0.25">
      <c r="A107" s="59">
        <f t="shared" si="0"/>
        <v>3.3199999999999954</v>
      </c>
      <c r="B107" s="57" t="s">
        <v>26</v>
      </c>
      <c r="C107" s="82" t="s">
        <v>341</v>
      </c>
      <c r="D107" s="116"/>
      <c r="E107" s="116" t="s">
        <v>48</v>
      </c>
      <c r="F107" s="116"/>
      <c r="G107" s="84"/>
      <c r="H107" s="85">
        <f>25.57+25.569-48.199</f>
        <v>2.9399999999999977</v>
      </c>
      <c r="I107" s="43"/>
      <c r="J107" s="43">
        <v>1</v>
      </c>
      <c r="K107" s="120" t="s">
        <v>330</v>
      </c>
      <c r="L107" s="116" t="s">
        <v>50</v>
      </c>
      <c r="M107" s="120" t="s">
        <v>87</v>
      </c>
      <c r="N107" s="340" t="s">
        <v>87</v>
      </c>
      <c r="O107" s="120" t="s">
        <v>89</v>
      </c>
      <c r="P107" s="116"/>
      <c r="Q107" s="294" t="s">
        <v>38</v>
      </c>
      <c r="R107" s="242"/>
    </row>
    <row r="108" spans="1:18" s="64" customFormat="1" ht="30" customHeight="1" x14ac:dyDescent="0.25">
      <c r="A108" s="59">
        <f t="shared" si="0"/>
        <v>3.3299999999999952</v>
      </c>
      <c r="B108" s="57" t="s">
        <v>26</v>
      </c>
      <c r="C108" s="82" t="s">
        <v>323</v>
      </c>
      <c r="D108" s="116"/>
      <c r="E108" s="116" t="s">
        <v>48</v>
      </c>
      <c r="F108" s="116"/>
      <c r="G108" s="84"/>
      <c r="H108" s="298">
        <v>30</v>
      </c>
      <c r="I108" s="43">
        <v>1</v>
      </c>
      <c r="J108" s="43"/>
      <c r="K108" s="269" t="s">
        <v>330</v>
      </c>
      <c r="L108" s="116" t="s">
        <v>37</v>
      </c>
      <c r="M108" s="268" t="s">
        <v>87</v>
      </c>
      <c r="N108" s="268" t="s">
        <v>87</v>
      </c>
      <c r="O108" s="268"/>
      <c r="P108" s="116"/>
      <c r="Q108" s="294" t="s">
        <v>38</v>
      </c>
      <c r="R108" s="242"/>
    </row>
    <row r="109" spans="1:18" s="299" customFormat="1" ht="32.25" customHeight="1" thickBot="1" x14ac:dyDescent="0.3">
      <c r="A109" s="405">
        <f>A108+0.01</f>
        <v>3.339999999999995</v>
      </c>
      <c r="B109" s="351" t="s">
        <v>26</v>
      </c>
      <c r="C109" s="265" t="s">
        <v>100</v>
      </c>
      <c r="D109" s="378"/>
      <c r="E109" s="45" t="s">
        <v>98</v>
      </c>
      <c r="F109" s="379"/>
      <c r="G109" s="380"/>
      <c r="H109" s="381">
        <f>1987.4+12.546</f>
        <v>1999.9460000000001</v>
      </c>
      <c r="I109" s="382">
        <v>0.97589999999999999</v>
      </c>
      <c r="J109" s="43">
        <v>2.41E-2</v>
      </c>
      <c r="K109" s="349" t="s">
        <v>330</v>
      </c>
      <c r="L109" s="244" t="s">
        <v>32</v>
      </c>
      <c r="M109" s="352" t="s">
        <v>193</v>
      </c>
      <c r="N109" s="352" t="s">
        <v>87</v>
      </c>
      <c r="O109" s="379"/>
      <c r="P109" s="383"/>
      <c r="Q109" s="367" t="s">
        <v>200</v>
      </c>
      <c r="R109" s="242"/>
    </row>
    <row r="110" spans="1:18" s="299" customFormat="1" ht="32.25" customHeight="1" thickBot="1" x14ac:dyDescent="0.3">
      <c r="A110" s="264">
        <v>3.35</v>
      </c>
      <c r="B110" s="257" t="s">
        <v>26</v>
      </c>
      <c r="C110" s="258" t="s">
        <v>407</v>
      </c>
      <c r="D110" s="300"/>
      <c r="E110" s="46" t="s">
        <v>48</v>
      </c>
      <c r="F110" s="301"/>
      <c r="G110" s="361"/>
      <c r="H110" s="302">
        <v>20</v>
      </c>
      <c r="I110" s="261">
        <v>1</v>
      </c>
      <c r="J110" s="301"/>
      <c r="K110" s="354" t="s">
        <v>330</v>
      </c>
      <c r="L110" s="46" t="s">
        <v>37</v>
      </c>
      <c r="M110" s="303" t="s">
        <v>193</v>
      </c>
      <c r="N110" s="303" t="s">
        <v>87</v>
      </c>
      <c r="O110" s="301"/>
      <c r="P110" s="304"/>
      <c r="Q110" s="315" t="s">
        <v>38</v>
      </c>
      <c r="R110" s="242"/>
    </row>
    <row r="111" spans="1:18" ht="15.6" customHeight="1" x14ac:dyDescent="0.25">
      <c r="A111" s="68"/>
      <c r="B111" s="50"/>
      <c r="C111" s="51"/>
      <c r="D111" s="51"/>
      <c r="E111" s="51"/>
      <c r="F111" s="51"/>
      <c r="G111" s="21" t="s">
        <v>40</v>
      </c>
      <c r="H111" s="53">
        <f>SUM(H76:H110)</f>
        <v>4779.0353999999988</v>
      </c>
      <c r="I111" s="86"/>
      <c r="J111" s="70"/>
      <c r="K111" s="51"/>
      <c r="L111" s="51"/>
      <c r="M111" s="51"/>
      <c r="N111" s="51"/>
      <c r="O111" s="52"/>
      <c r="P111" s="51"/>
      <c r="Q111" s="51"/>
    </row>
    <row r="112" spans="1:18" ht="15.6" customHeight="1" x14ac:dyDescent="0.25">
      <c r="A112" s="68"/>
      <c r="B112" s="50"/>
      <c r="C112" s="51"/>
      <c r="D112" s="51"/>
      <c r="E112" s="51"/>
      <c r="F112" s="51"/>
      <c r="G112" s="21"/>
      <c r="H112" s="53"/>
      <c r="I112" s="87"/>
      <c r="J112" s="70"/>
      <c r="K112" s="51"/>
      <c r="L112" s="51"/>
      <c r="M112" s="51"/>
      <c r="N112" s="51"/>
      <c r="O112" s="52"/>
      <c r="P112" s="51"/>
      <c r="Q112" s="51"/>
    </row>
    <row r="113" spans="1:18" ht="16.149999999999999" customHeight="1" thickBot="1" x14ac:dyDescent="0.3">
      <c r="A113" s="68"/>
      <c r="B113" s="88"/>
      <c r="D113" s="1"/>
    </row>
    <row r="114" spans="1:18" ht="15.75" customHeight="1" x14ac:dyDescent="0.25">
      <c r="A114" s="435">
        <v>4</v>
      </c>
      <c r="B114" s="412" t="s">
        <v>182</v>
      </c>
      <c r="C114" s="412"/>
      <c r="D114" s="412"/>
      <c r="E114" s="412"/>
      <c r="F114" s="412"/>
      <c r="G114" s="412"/>
      <c r="H114" s="412"/>
      <c r="I114" s="412"/>
      <c r="J114" s="412"/>
      <c r="K114" s="412"/>
      <c r="L114" s="412"/>
      <c r="M114" s="412"/>
      <c r="N114" s="412"/>
      <c r="O114" s="412"/>
      <c r="P114" s="412"/>
      <c r="Q114" s="413"/>
    </row>
    <row r="115" spans="1:18" ht="15" customHeight="1" x14ac:dyDescent="0.25">
      <c r="A115" s="436"/>
      <c r="B115" s="419" t="s">
        <v>8</v>
      </c>
      <c r="C115" s="419" t="s">
        <v>9</v>
      </c>
      <c r="D115" s="419" t="s">
        <v>10</v>
      </c>
      <c r="E115" s="419" t="s">
        <v>11</v>
      </c>
      <c r="F115" s="437"/>
      <c r="G115" s="437"/>
      <c r="H115" s="423" t="s">
        <v>42</v>
      </c>
      <c r="I115" s="423"/>
      <c r="J115" s="423"/>
      <c r="K115" s="419" t="s">
        <v>15</v>
      </c>
      <c r="L115" s="419" t="s">
        <v>43</v>
      </c>
      <c r="M115" s="419" t="s">
        <v>44</v>
      </c>
      <c r="N115" s="419"/>
      <c r="O115" s="419" t="s">
        <v>45</v>
      </c>
      <c r="P115" s="419" t="s">
        <v>19</v>
      </c>
      <c r="Q115" s="422" t="s">
        <v>20</v>
      </c>
    </row>
    <row r="116" spans="1:18" ht="55.5" customHeight="1" x14ac:dyDescent="0.25">
      <c r="A116" s="436"/>
      <c r="B116" s="419"/>
      <c r="C116" s="419"/>
      <c r="D116" s="419"/>
      <c r="E116" s="419"/>
      <c r="F116" s="419" t="s">
        <v>13</v>
      </c>
      <c r="G116" s="419"/>
      <c r="H116" s="28">
        <v>24</v>
      </c>
      <c r="I116" s="28" t="s">
        <v>22</v>
      </c>
      <c r="J116" s="29" t="s">
        <v>23</v>
      </c>
      <c r="K116" s="419"/>
      <c r="L116" s="419"/>
      <c r="M116" s="30" t="s">
        <v>183</v>
      </c>
      <c r="N116" s="30" t="s">
        <v>25</v>
      </c>
      <c r="O116" s="419"/>
      <c r="P116" s="419"/>
      <c r="Q116" s="422"/>
    </row>
    <row r="117" spans="1:18" s="39" customFormat="1" ht="38.25" x14ac:dyDescent="0.25">
      <c r="A117" s="59">
        <v>4.0999999999999996</v>
      </c>
      <c r="B117" s="89" t="s">
        <v>26</v>
      </c>
      <c r="C117" s="45" t="s">
        <v>184</v>
      </c>
      <c r="D117" s="90" t="s">
        <v>185</v>
      </c>
      <c r="E117" s="91" t="s">
        <v>186</v>
      </c>
      <c r="F117" s="477" t="s">
        <v>187</v>
      </c>
      <c r="G117" s="478"/>
      <c r="H117" s="336">
        <f>75.08754+(125-75.08754)</f>
        <v>125</v>
      </c>
      <c r="I117" s="124">
        <v>1</v>
      </c>
      <c r="J117" s="124"/>
      <c r="K117" s="125" t="s">
        <v>188</v>
      </c>
      <c r="L117" s="126" t="s">
        <v>32</v>
      </c>
      <c r="M117" s="125" t="s">
        <v>189</v>
      </c>
      <c r="N117" s="127">
        <v>42095</v>
      </c>
      <c r="O117" s="125"/>
      <c r="P117" s="126"/>
      <c r="Q117" s="365" t="s">
        <v>104</v>
      </c>
      <c r="R117" s="15"/>
    </row>
    <row r="118" spans="1:18" s="39" customFormat="1" ht="34.5" customHeight="1" x14ac:dyDescent="0.25">
      <c r="A118" s="59">
        <v>4.2</v>
      </c>
      <c r="B118" s="57" t="s">
        <v>26</v>
      </c>
      <c r="C118" s="270" t="s">
        <v>190</v>
      </c>
      <c r="D118" s="116"/>
      <c r="E118" s="92" t="s">
        <v>191</v>
      </c>
      <c r="F118" s="474"/>
      <c r="G118" s="474"/>
      <c r="H118" s="66">
        <v>0</v>
      </c>
      <c r="I118" s="43">
        <v>1</v>
      </c>
      <c r="J118" s="43"/>
      <c r="K118" s="268" t="s">
        <v>31</v>
      </c>
      <c r="L118" s="116" t="s">
        <v>32</v>
      </c>
      <c r="M118" s="340" t="s">
        <v>193</v>
      </c>
      <c r="N118" s="268" t="s">
        <v>193</v>
      </c>
      <c r="O118" s="268"/>
      <c r="P118" s="116"/>
      <c r="Q118" s="294" t="s">
        <v>239</v>
      </c>
      <c r="R118" s="15"/>
    </row>
    <row r="119" spans="1:18" s="39" customFormat="1" ht="34.5" customHeight="1" x14ac:dyDescent="0.25">
      <c r="A119" s="59">
        <v>4.3</v>
      </c>
      <c r="B119" s="57" t="s">
        <v>26</v>
      </c>
      <c r="C119" s="270" t="s">
        <v>192</v>
      </c>
      <c r="D119" s="116"/>
      <c r="E119" s="92" t="s">
        <v>191</v>
      </c>
      <c r="F119" s="474"/>
      <c r="G119" s="474"/>
      <c r="H119" s="66">
        <v>20</v>
      </c>
      <c r="I119" s="43">
        <v>1</v>
      </c>
      <c r="J119" s="43"/>
      <c r="K119" s="268" t="s">
        <v>31</v>
      </c>
      <c r="L119" s="116" t="s">
        <v>32</v>
      </c>
      <c r="M119" s="268" t="s">
        <v>193</v>
      </c>
      <c r="N119" s="268" t="s">
        <v>193</v>
      </c>
      <c r="O119" s="268"/>
      <c r="P119" s="116"/>
      <c r="Q119" s="294" t="s">
        <v>38</v>
      </c>
      <c r="R119" s="15"/>
    </row>
    <row r="120" spans="1:18" s="39" customFormat="1" ht="48.75" customHeight="1" x14ac:dyDescent="0.25">
      <c r="A120" s="56">
        <v>4.4000000000000004</v>
      </c>
      <c r="B120" s="57" t="s">
        <v>26</v>
      </c>
      <c r="C120" s="42" t="s">
        <v>194</v>
      </c>
      <c r="D120" s="78"/>
      <c r="E120" s="92" t="s">
        <v>191</v>
      </c>
      <c r="F120" s="472"/>
      <c r="G120" s="472"/>
      <c r="H120" s="66">
        <v>48</v>
      </c>
      <c r="I120" s="43">
        <v>1</v>
      </c>
      <c r="J120" s="43"/>
      <c r="K120" s="38" t="s">
        <v>326</v>
      </c>
      <c r="L120" s="42" t="s">
        <v>32</v>
      </c>
      <c r="M120" s="38" t="s">
        <v>87</v>
      </c>
      <c r="N120" s="406" t="s">
        <v>87</v>
      </c>
      <c r="O120" s="38"/>
      <c r="P120" s="42"/>
      <c r="Q120" s="294" t="s">
        <v>38</v>
      </c>
      <c r="R120" s="15"/>
    </row>
    <row r="121" spans="1:18" s="39" customFormat="1" ht="34.5" customHeight="1" x14ac:dyDescent="0.25">
      <c r="A121" s="59">
        <v>4.5</v>
      </c>
      <c r="B121" s="57" t="s">
        <v>26</v>
      </c>
      <c r="C121" s="116" t="s">
        <v>194</v>
      </c>
      <c r="D121" s="78"/>
      <c r="E121" s="116" t="s">
        <v>48</v>
      </c>
      <c r="F121" s="472"/>
      <c r="G121" s="472"/>
      <c r="H121" s="66">
        <v>15.643000000000001</v>
      </c>
      <c r="I121" s="43"/>
      <c r="J121" s="43">
        <v>1</v>
      </c>
      <c r="K121" s="120" t="s">
        <v>326</v>
      </c>
      <c r="L121" s="116" t="s">
        <v>50</v>
      </c>
      <c r="M121" s="406" t="s">
        <v>87</v>
      </c>
      <c r="N121" s="406" t="s">
        <v>87</v>
      </c>
      <c r="O121" s="392" t="s">
        <v>89</v>
      </c>
      <c r="P121" s="116"/>
      <c r="Q121" s="294" t="s">
        <v>38</v>
      </c>
      <c r="R121" s="15"/>
    </row>
    <row r="122" spans="1:18" s="39" customFormat="1" ht="38.25" customHeight="1" x14ac:dyDescent="0.25">
      <c r="A122" s="123">
        <v>4.5999999999999996</v>
      </c>
      <c r="B122" s="57" t="s">
        <v>26</v>
      </c>
      <c r="C122" s="116" t="s">
        <v>196</v>
      </c>
      <c r="D122" s="78"/>
      <c r="E122" s="92" t="s">
        <v>191</v>
      </c>
      <c r="F122" s="476"/>
      <c r="G122" s="476"/>
      <c r="H122" s="66">
        <v>100</v>
      </c>
      <c r="I122" s="43">
        <v>1</v>
      </c>
      <c r="J122" s="43"/>
      <c r="K122" s="120" t="s">
        <v>327</v>
      </c>
      <c r="L122" s="116" t="s">
        <v>32</v>
      </c>
      <c r="M122" s="406" t="s">
        <v>87</v>
      </c>
      <c r="N122" s="406" t="s">
        <v>87</v>
      </c>
      <c r="O122" s="120"/>
      <c r="P122" s="116"/>
      <c r="Q122" s="294" t="s">
        <v>38</v>
      </c>
      <c r="R122" s="15"/>
    </row>
    <row r="123" spans="1:18" s="39" customFormat="1" ht="38.25" customHeight="1" x14ac:dyDescent="0.25">
      <c r="A123" s="59">
        <v>4.7</v>
      </c>
      <c r="B123" s="57" t="s">
        <v>26</v>
      </c>
      <c r="C123" s="116" t="s">
        <v>197</v>
      </c>
      <c r="D123" s="78"/>
      <c r="E123" s="116" t="s">
        <v>48</v>
      </c>
      <c r="F123" s="476"/>
      <c r="G123" s="476"/>
      <c r="H123" s="66">
        <v>15.643000000000001</v>
      </c>
      <c r="I123" s="43"/>
      <c r="J123" s="43">
        <v>1</v>
      </c>
      <c r="K123" s="120" t="s">
        <v>327</v>
      </c>
      <c r="L123" s="116" t="s">
        <v>50</v>
      </c>
      <c r="M123" s="406" t="s">
        <v>87</v>
      </c>
      <c r="N123" s="406" t="s">
        <v>87</v>
      </c>
      <c r="O123" s="392" t="s">
        <v>89</v>
      </c>
      <c r="P123" s="116"/>
      <c r="Q123" s="294" t="s">
        <v>38</v>
      </c>
      <c r="R123" s="15"/>
    </row>
    <row r="124" spans="1:18" s="39" customFormat="1" ht="47.25" customHeight="1" x14ac:dyDescent="0.25">
      <c r="A124" s="59">
        <v>4.8</v>
      </c>
      <c r="B124" s="57" t="s">
        <v>26</v>
      </c>
      <c r="C124" s="320" t="s">
        <v>198</v>
      </c>
      <c r="D124" s="116" t="s">
        <v>342</v>
      </c>
      <c r="E124" s="92" t="s">
        <v>191</v>
      </c>
      <c r="F124" s="472" t="s">
        <v>343</v>
      </c>
      <c r="G124" s="472"/>
      <c r="H124" s="96">
        <v>200</v>
      </c>
      <c r="I124" s="43">
        <v>1</v>
      </c>
      <c r="J124" s="43"/>
      <c r="K124" s="120" t="s">
        <v>328</v>
      </c>
      <c r="L124" s="116" t="s">
        <v>32</v>
      </c>
      <c r="M124" s="120" t="s">
        <v>199</v>
      </c>
      <c r="N124" s="58">
        <v>42739</v>
      </c>
      <c r="O124" s="120"/>
      <c r="P124" s="116" t="s">
        <v>413</v>
      </c>
      <c r="Q124" s="294" t="s">
        <v>34</v>
      </c>
      <c r="R124" s="15"/>
    </row>
    <row r="125" spans="1:18" s="39" customFormat="1" ht="31.5" customHeight="1" x14ac:dyDescent="0.25">
      <c r="A125" s="56">
        <v>4.9000000000000004</v>
      </c>
      <c r="B125" s="57" t="s">
        <v>26</v>
      </c>
      <c r="C125" s="93" t="s">
        <v>201</v>
      </c>
      <c r="D125" s="42"/>
      <c r="E125" s="92" t="s">
        <v>202</v>
      </c>
      <c r="F125" s="473"/>
      <c r="G125" s="473"/>
      <c r="H125" s="66">
        <v>313.14100000000002</v>
      </c>
      <c r="I125" s="43">
        <v>1</v>
      </c>
      <c r="J125" s="43"/>
      <c r="K125" s="220" t="s">
        <v>328</v>
      </c>
      <c r="L125" s="42" t="s">
        <v>32</v>
      </c>
      <c r="M125" s="406" t="s">
        <v>87</v>
      </c>
      <c r="N125" s="406" t="s">
        <v>87</v>
      </c>
      <c r="O125" s="38"/>
      <c r="P125" s="42"/>
      <c r="Q125" s="294" t="s">
        <v>38</v>
      </c>
      <c r="R125" s="15"/>
    </row>
    <row r="126" spans="1:18" s="39" customFormat="1" ht="34.5" customHeight="1" x14ac:dyDescent="0.25">
      <c r="A126" s="60">
        <v>4.0999999999999996</v>
      </c>
      <c r="B126" s="57" t="s">
        <v>26</v>
      </c>
      <c r="C126" s="116" t="s">
        <v>203</v>
      </c>
      <c r="D126" s="78" t="s">
        <v>204</v>
      </c>
      <c r="E126" s="116" t="s">
        <v>48</v>
      </c>
      <c r="F126" s="474" t="s">
        <v>30</v>
      </c>
      <c r="G126" s="474"/>
      <c r="H126" s="66">
        <v>27</v>
      </c>
      <c r="I126" s="43"/>
      <c r="J126" s="43">
        <v>1</v>
      </c>
      <c r="K126" s="120" t="s">
        <v>328</v>
      </c>
      <c r="L126" s="116" t="s">
        <v>50</v>
      </c>
      <c r="M126" s="120" t="s">
        <v>144</v>
      </c>
      <c r="N126" s="58">
        <v>41738</v>
      </c>
      <c r="O126" s="120" t="s">
        <v>89</v>
      </c>
      <c r="P126" s="116" t="s">
        <v>205</v>
      </c>
      <c r="Q126" s="294" t="s">
        <v>34</v>
      </c>
      <c r="R126" s="15"/>
    </row>
    <row r="127" spans="1:18" s="39" customFormat="1" ht="34.5" customHeight="1" x14ac:dyDescent="0.25">
      <c r="A127" s="59">
        <v>4.1100000000000003</v>
      </c>
      <c r="B127" s="57" t="s">
        <v>26</v>
      </c>
      <c r="C127" s="270" t="s">
        <v>206</v>
      </c>
      <c r="D127" s="78"/>
      <c r="E127" s="116" t="s">
        <v>48</v>
      </c>
      <c r="F127" s="474"/>
      <c r="G127" s="474"/>
      <c r="H127" s="66">
        <v>108.624</v>
      </c>
      <c r="I127" s="43"/>
      <c r="J127" s="43">
        <v>1</v>
      </c>
      <c r="K127" s="120" t="s">
        <v>328</v>
      </c>
      <c r="L127" s="116" t="s">
        <v>50</v>
      </c>
      <c r="M127" s="406" t="s">
        <v>87</v>
      </c>
      <c r="N127" s="406" t="s">
        <v>87</v>
      </c>
      <c r="O127" s="120"/>
      <c r="P127" s="116"/>
      <c r="Q127" s="294" t="s">
        <v>38</v>
      </c>
      <c r="R127" s="15"/>
    </row>
    <row r="128" spans="1:18" s="15" customFormat="1" ht="36.75" customHeight="1" x14ac:dyDescent="0.25">
      <c r="A128" s="217">
        <v>4.13</v>
      </c>
      <c r="B128" s="280" t="s">
        <v>26</v>
      </c>
      <c r="C128" s="270" t="s">
        <v>321</v>
      </c>
      <c r="D128" s="270"/>
      <c r="E128" s="92" t="s">
        <v>191</v>
      </c>
      <c r="F128" s="475"/>
      <c r="G128" s="475"/>
      <c r="H128" s="96">
        <f>220-20</f>
        <v>200</v>
      </c>
      <c r="I128" s="293">
        <v>1</v>
      </c>
      <c r="J128" s="293"/>
      <c r="K128" s="306" t="s">
        <v>330</v>
      </c>
      <c r="L128" s="270" t="s">
        <v>32</v>
      </c>
      <c r="M128" s="406" t="s">
        <v>87</v>
      </c>
      <c r="N128" s="406" t="s">
        <v>87</v>
      </c>
      <c r="O128" s="292"/>
      <c r="P128" s="270"/>
      <c r="Q128" s="294" t="s">
        <v>38</v>
      </c>
    </row>
    <row r="129" spans="1:18" s="15" customFormat="1" ht="45.75" customHeight="1" x14ac:dyDescent="0.25">
      <c r="A129" s="217">
        <v>4.1399999999999997</v>
      </c>
      <c r="B129" s="280" t="s">
        <v>26</v>
      </c>
      <c r="C129" s="307" t="s">
        <v>322</v>
      </c>
      <c r="D129" s="270"/>
      <c r="E129" s="95" t="s">
        <v>191</v>
      </c>
      <c r="F129" s="475"/>
      <c r="G129" s="475"/>
      <c r="H129" s="298">
        <v>0</v>
      </c>
      <c r="I129" s="293">
        <v>1</v>
      </c>
      <c r="J129" s="293"/>
      <c r="K129" s="306" t="s">
        <v>330</v>
      </c>
      <c r="L129" s="270" t="s">
        <v>32</v>
      </c>
      <c r="M129" s="311">
        <v>42926</v>
      </c>
      <c r="N129" s="406" t="s">
        <v>87</v>
      </c>
      <c r="O129" s="292"/>
      <c r="P129" s="270"/>
      <c r="Q129" s="294" t="s">
        <v>239</v>
      </c>
    </row>
    <row r="130" spans="1:18" s="15" customFormat="1" ht="33.75" customHeight="1" x14ac:dyDescent="0.25">
      <c r="A130" s="223">
        <v>4.1500000000000004</v>
      </c>
      <c r="B130" s="280" t="s">
        <v>26</v>
      </c>
      <c r="C130" s="307" t="s">
        <v>207</v>
      </c>
      <c r="D130" s="270" t="s">
        <v>344</v>
      </c>
      <c r="E130" s="95" t="s">
        <v>202</v>
      </c>
      <c r="F130" s="484"/>
      <c r="G130" s="485"/>
      <c r="H130" s="308">
        <f>300-300</f>
        <v>0</v>
      </c>
      <c r="I130" s="293">
        <v>1</v>
      </c>
      <c r="J130" s="293"/>
      <c r="K130" s="306" t="s">
        <v>330</v>
      </c>
      <c r="L130" s="270" t="s">
        <v>32</v>
      </c>
      <c r="M130" s="322" t="s">
        <v>193</v>
      </c>
      <c r="N130" s="322" t="s">
        <v>193</v>
      </c>
      <c r="O130" s="292"/>
      <c r="P130" s="270"/>
      <c r="Q130" s="294" t="s">
        <v>239</v>
      </c>
    </row>
    <row r="131" spans="1:18" s="15" customFormat="1" ht="33" customHeight="1" x14ac:dyDescent="0.25">
      <c r="A131" s="217">
        <v>4.16</v>
      </c>
      <c r="B131" s="280" t="s">
        <v>26</v>
      </c>
      <c r="C131" s="307" t="s">
        <v>208</v>
      </c>
      <c r="D131" s="292" t="s">
        <v>345</v>
      </c>
      <c r="E131" s="95" t="s">
        <v>191</v>
      </c>
      <c r="F131" s="470" t="s">
        <v>397</v>
      </c>
      <c r="G131" s="471"/>
      <c r="H131" s="298">
        <f>95+5</f>
        <v>100</v>
      </c>
      <c r="I131" s="293">
        <v>1</v>
      </c>
      <c r="J131" s="309"/>
      <c r="K131" s="306" t="s">
        <v>330</v>
      </c>
      <c r="L131" s="270" t="s">
        <v>32</v>
      </c>
      <c r="M131" s="311">
        <v>42703</v>
      </c>
      <c r="N131" s="311">
        <v>42951</v>
      </c>
      <c r="O131" s="292"/>
      <c r="P131" s="270"/>
      <c r="Q131" s="294" t="s">
        <v>104</v>
      </c>
    </row>
    <row r="132" spans="1:18" s="15" customFormat="1" ht="34.5" customHeight="1" x14ac:dyDescent="0.25">
      <c r="A132" s="223">
        <v>4.17</v>
      </c>
      <c r="B132" s="280" t="s">
        <v>26</v>
      </c>
      <c r="C132" s="307" t="s">
        <v>209</v>
      </c>
      <c r="D132" s="270"/>
      <c r="E132" s="95" t="s">
        <v>191</v>
      </c>
      <c r="F132" s="475"/>
      <c r="G132" s="475"/>
      <c r="H132" s="298">
        <v>182</v>
      </c>
      <c r="I132" s="293">
        <v>1</v>
      </c>
      <c r="J132" s="293"/>
      <c r="K132" s="292" t="s">
        <v>332</v>
      </c>
      <c r="L132" s="270" t="s">
        <v>32</v>
      </c>
      <c r="M132" s="406" t="s">
        <v>87</v>
      </c>
      <c r="N132" s="406" t="s">
        <v>87</v>
      </c>
      <c r="O132" s="292"/>
      <c r="P132" s="270"/>
      <c r="Q132" s="294" t="s">
        <v>38</v>
      </c>
    </row>
    <row r="133" spans="1:18" s="39" customFormat="1" ht="40.5" customHeight="1" x14ac:dyDescent="0.25">
      <c r="A133" s="217">
        <v>4.18</v>
      </c>
      <c r="B133" s="57" t="s">
        <v>26</v>
      </c>
      <c r="C133" s="82" t="s">
        <v>209</v>
      </c>
      <c r="D133" s="120"/>
      <c r="E133" s="116" t="s">
        <v>48</v>
      </c>
      <c r="F133" s="482"/>
      <c r="G133" s="483"/>
      <c r="H133" s="101">
        <v>47</v>
      </c>
      <c r="I133" s="43"/>
      <c r="J133" s="43">
        <v>1</v>
      </c>
      <c r="K133" s="120" t="s">
        <v>332</v>
      </c>
      <c r="L133" s="116" t="s">
        <v>50</v>
      </c>
      <c r="M133" s="406" t="s">
        <v>87</v>
      </c>
      <c r="N133" s="406" t="s">
        <v>87</v>
      </c>
      <c r="O133" s="120" t="s">
        <v>89</v>
      </c>
      <c r="P133" s="116"/>
      <c r="Q133" s="294" t="s">
        <v>38</v>
      </c>
      <c r="R133" s="15"/>
    </row>
    <row r="134" spans="1:18" s="39" customFormat="1" ht="36" customHeight="1" x14ac:dyDescent="0.25">
      <c r="A134" s="217">
        <v>4.1900000000000004</v>
      </c>
      <c r="B134" s="57" t="s">
        <v>26</v>
      </c>
      <c r="C134" s="82" t="s">
        <v>211</v>
      </c>
      <c r="D134" s="116"/>
      <c r="E134" s="92" t="s">
        <v>191</v>
      </c>
      <c r="F134" s="479"/>
      <c r="G134" s="480"/>
      <c r="H134" s="85">
        <v>197</v>
      </c>
      <c r="I134" s="43">
        <v>1</v>
      </c>
      <c r="J134" s="43"/>
      <c r="K134" s="120" t="s">
        <v>333</v>
      </c>
      <c r="L134" s="116" t="s">
        <v>37</v>
      </c>
      <c r="M134" s="406" t="s">
        <v>87</v>
      </c>
      <c r="N134" s="406" t="s">
        <v>87</v>
      </c>
      <c r="O134" s="120"/>
      <c r="P134" s="116"/>
      <c r="Q134" s="294" t="s">
        <v>38</v>
      </c>
      <c r="R134" s="15"/>
    </row>
    <row r="135" spans="1:18" s="39" customFormat="1" ht="38.25" customHeight="1" x14ac:dyDescent="0.25">
      <c r="A135" s="223">
        <v>4.2</v>
      </c>
      <c r="B135" s="117" t="s">
        <v>26</v>
      </c>
      <c r="C135" s="132" t="s">
        <v>211</v>
      </c>
      <c r="D135" s="45"/>
      <c r="E135" s="116" t="s">
        <v>48</v>
      </c>
      <c r="F135" s="477"/>
      <c r="G135" s="478"/>
      <c r="H135" s="133">
        <v>21</v>
      </c>
      <c r="I135" s="134"/>
      <c r="J135" s="134">
        <v>1</v>
      </c>
      <c r="K135" s="118" t="s">
        <v>333</v>
      </c>
      <c r="L135" s="116" t="s">
        <v>50</v>
      </c>
      <c r="M135" s="406" t="s">
        <v>87</v>
      </c>
      <c r="N135" s="406" t="s">
        <v>87</v>
      </c>
      <c r="O135" s="118" t="s">
        <v>89</v>
      </c>
      <c r="P135" s="45"/>
      <c r="Q135" s="367" t="s">
        <v>38</v>
      </c>
      <c r="R135" s="15"/>
    </row>
    <row r="136" spans="1:18" s="39" customFormat="1" ht="51.75" thickBot="1" x14ac:dyDescent="0.3">
      <c r="A136" s="217">
        <v>4.21</v>
      </c>
      <c r="B136" s="208" t="s">
        <v>26</v>
      </c>
      <c r="C136" s="265" t="s">
        <v>324</v>
      </c>
      <c r="D136" s="45"/>
      <c r="E136" s="92" t="s">
        <v>191</v>
      </c>
      <c r="F136" s="206"/>
      <c r="G136" s="207"/>
      <c r="H136" s="133">
        <v>180</v>
      </c>
      <c r="I136" s="43">
        <v>1</v>
      </c>
      <c r="J136" s="134"/>
      <c r="K136" s="346" t="s">
        <v>331</v>
      </c>
      <c r="L136" s="116" t="s">
        <v>32</v>
      </c>
      <c r="M136" s="406" t="s">
        <v>87</v>
      </c>
      <c r="N136" s="406" t="s">
        <v>87</v>
      </c>
      <c r="O136" s="205"/>
      <c r="P136" s="45"/>
      <c r="Q136" s="315" t="s">
        <v>38</v>
      </c>
      <c r="R136" s="15"/>
    </row>
    <row r="137" spans="1:18" s="49" customFormat="1" ht="63" customHeight="1" thickBot="1" x14ac:dyDescent="0.3">
      <c r="A137" s="223">
        <v>4.2200000000000104</v>
      </c>
      <c r="B137" s="67" t="s">
        <v>26</v>
      </c>
      <c r="C137" s="258" t="s">
        <v>325</v>
      </c>
      <c r="D137" s="342" t="s">
        <v>398</v>
      </c>
      <c r="E137" s="329" t="s">
        <v>191</v>
      </c>
      <c r="F137" s="481"/>
      <c r="G137" s="481"/>
      <c r="H137" s="97">
        <v>100</v>
      </c>
      <c r="I137" s="98">
        <v>1</v>
      </c>
      <c r="J137" s="99"/>
      <c r="K137" s="342" t="s">
        <v>331</v>
      </c>
      <c r="L137" s="46" t="s">
        <v>32</v>
      </c>
      <c r="M137" s="373">
        <v>42920</v>
      </c>
      <c r="N137" s="354" t="s">
        <v>193</v>
      </c>
      <c r="O137" s="48"/>
      <c r="P137" s="46"/>
      <c r="Q137" s="315" t="s">
        <v>200</v>
      </c>
      <c r="R137" s="13"/>
    </row>
    <row r="138" spans="1:18" ht="15.6" customHeight="1" x14ac:dyDescent="0.25">
      <c r="A138" s="13"/>
      <c r="B138" s="50"/>
      <c r="C138" s="51"/>
      <c r="D138" s="51"/>
      <c r="E138" s="51"/>
      <c r="F138" s="51"/>
      <c r="G138" s="51" t="s">
        <v>40</v>
      </c>
      <c r="H138" s="100">
        <f>SUM(H117:H137)</f>
        <v>2000.0510000000002</v>
      </c>
      <c r="I138" s="70">
        <f>H138-J138</f>
        <v>1765.1410000000001</v>
      </c>
      <c r="J138" s="70">
        <f>H133+H135+H126+H127+H121+H123</f>
        <v>234.91</v>
      </c>
      <c r="K138" s="54"/>
      <c r="L138" s="51"/>
      <c r="M138" s="51"/>
      <c r="N138" s="51"/>
      <c r="O138" s="52"/>
      <c r="P138" s="51"/>
      <c r="Q138" s="51"/>
    </row>
    <row r="139" spans="1:18" ht="16.149999999999999" customHeight="1" thickBot="1" x14ac:dyDescent="0.3">
      <c r="A139" s="13"/>
      <c r="D139" s="1"/>
    </row>
    <row r="140" spans="1:18" ht="15.75" customHeight="1" x14ac:dyDescent="0.25">
      <c r="A140" s="435">
        <v>5</v>
      </c>
      <c r="B140" s="412" t="s">
        <v>213</v>
      </c>
      <c r="C140" s="412"/>
      <c r="D140" s="412"/>
      <c r="E140" s="412"/>
      <c r="F140" s="412"/>
      <c r="G140" s="412"/>
      <c r="H140" s="412"/>
      <c r="I140" s="412"/>
      <c r="J140" s="412"/>
      <c r="K140" s="412"/>
      <c r="L140" s="412"/>
      <c r="M140" s="412"/>
      <c r="N140" s="412"/>
      <c r="O140" s="412"/>
      <c r="P140" s="412"/>
      <c r="Q140" s="413"/>
    </row>
    <row r="141" spans="1:18" ht="15" customHeight="1" x14ac:dyDescent="0.25">
      <c r="A141" s="436"/>
      <c r="B141" s="419" t="s">
        <v>8</v>
      </c>
      <c r="C141" s="419" t="s">
        <v>9</v>
      </c>
      <c r="D141" s="419" t="s">
        <v>10</v>
      </c>
      <c r="E141" s="419" t="s">
        <v>11</v>
      </c>
      <c r="F141" s="419" t="s">
        <v>13</v>
      </c>
      <c r="G141" s="423" t="s">
        <v>42</v>
      </c>
      <c r="H141" s="423"/>
      <c r="I141" s="423"/>
      <c r="J141" s="443" t="s">
        <v>214</v>
      </c>
      <c r="K141" s="419" t="s">
        <v>15</v>
      </c>
      <c r="L141" s="419" t="s">
        <v>43</v>
      </c>
      <c r="M141" s="419" t="s">
        <v>44</v>
      </c>
      <c r="N141" s="419"/>
      <c r="O141" s="419" t="s">
        <v>45</v>
      </c>
      <c r="P141" s="419" t="s">
        <v>19</v>
      </c>
      <c r="Q141" s="422" t="s">
        <v>20</v>
      </c>
    </row>
    <row r="142" spans="1:18" ht="47.25" customHeight="1" x14ac:dyDescent="0.25">
      <c r="A142" s="436"/>
      <c r="B142" s="419"/>
      <c r="C142" s="419"/>
      <c r="D142" s="419"/>
      <c r="E142" s="419"/>
      <c r="F142" s="419"/>
      <c r="G142" s="30" t="s">
        <v>21</v>
      </c>
      <c r="H142" s="28" t="s">
        <v>22</v>
      </c>
      <c r="I142" s="29" t="s">
        <v>23</v>
      </c>
      <c r="J142" s="443"/>
      <c r="K142" s="419"/>
      <c r="L142" s="419"/>
      <c r="M142" s="30" t="s">
        <v>215</v>
      </c>
      <c r="N142" s="30" t="s">
        <v>216</v>
      </c>
      <c r="O142" s="419"/>
      <c r="P142" s="419"/>
      <c r="Q142" s="422"/>
    </row>
    <row r="143" spans="1:18" s="13" customFormat="1" ht="43.5" customHeight="1" x14ac:dyDescent="0.25">
      <c r="A143" s="176">
        <v>5.0999999999999996</v>
      </c>
      <c r="B143" s="280" t="s">
        <v>26</v>
      </c>
      <c r="C143" s="270" t="s">
        <v>218</v>
      </c>
      <c r="D143" s="305" t="s">
        <v>219</v>
      </c>
      <c r="E143" s="320" t="s">
        <v>217</v>
      </c>
      <c r="F143" s="310"/>
      <c r="G143" s="309">
        <v>84.302999999999997</v>
      </c>
      <c r="H143" s="246">
        <v>1</v>
      </c>
      <c r="I143" s="246"/>
      <c r="J143" s="309">
        <v>1</v>
      </c>
      <c r="K143" s="292" t="s">
        <v>31</v>
      </c>
      <c r="L143" s="270" t="s">
        <v>32</v>
      </c>
      <c r="M143" s="311" t="s">
        <v>220</v>
      </c>
      <c r="N143" s="311">
        <v>41767</v>
      </c>
      <c r="O143" s="292"/>
      <c r="P143" s="312" t="s">
        <v>221</v>
      </c>
      <c r="Q143" s="294" t="s">
        <v>34</v>
      </c>
    </row>
    <row r="144" spans="1:18" s="13" customFormat="1" ht="45" customHeight="1" x14ac:dyDescent="0.25">
      <c r="A144" s="176">
        <v>5.2</v>
      </c>
      <c r="B144" s="280" t="s">
        <v>26</v>
      </c>
      <c r="C144" s="270" t="s">
        <v>222</v>
      </c>
      <c r="D144" s="305" t="s">
        <v>223</v>
      </c>
      <c r="E144" s="270" t="s">
        <v>217</v>
      </c>
      <c r="F144" s="313"/>
      <c r="G144" s="309">
        <v>13.946999999999999</v>
      </c>
      <c r="H144" s="246">
        <v>1</v>
      </c>
      <c r="I144" s="246"/>
      <c r="J144" s="309">
        <v>1</v>
      </c>
      <c r="K144" s="292" t="s">
        <v>328</v>
      </c>
      <c r="L144" s="270" t="s">
        <v>32</v>
      </c>
      <c r="M144" s="311" t="s">
        <v>224</v>
      </c>
      <c r="N144" s="311">
        <v>41298</v>
      </c>
      <c r="O144" s="292"/>
      <c r="P144" s="312" t="s">
        <v>225</v>
      </c>
      <c r="Q144" s="294" t="s">
        <v>34</v>
      </c>
    </row>
    <row r="145" spans="1:18" s="13" customFormat="1" ht="39" customHeight="1" x14ac:dyDescent="0.25">
      <c r="A145" s="394">
        <v>5.3</v>
      </c>
      <c r="B145" s="393" t="s">
        <v>26</v>
      </c>
      <c r="C145" s="265" t="s">
        <v>226</v>
      </c>
      <c r="D145" s="244"/>
      <c r="E145" s="244" t="s">
        <v>217</v>
      </c>
      <c r="F145" s="395"/>
      <c r="G145" s="396">
        <v>33</v>
      </c>
      <c r="H145" s="397">
        <v>1</v>
      </c>
      <c r="I145" s="382"/>
      <c r="J145" s="266">
        <v>1</v>
      </c>
      <c r="K145" s="398" t="s">
        <v>332</v>
      </c>
      <c r="L145" s="399" t="s">
        <v>32</v>
      </c>
      <c r="M145" s="398" t="s">
        <v>193</v>
      </c>
      <c r="N145" s="398" t="s">
        <v>193</v>
      </c>
      <c r="O145" s="382"/>
      <c r="P145" s="382"/>
      <c r="Q145" s="400" t="s">
        <v>38</v>
      </c>
    </row>
    <row r="146" spans="1:18" s="13" customFormat="1" ht="27.6" customHeight="1" thickBot="1" x14ac:dyDescent="0.3">
      <c r="A146" s="401">
        <v>5.2</v>
      </c>
      <c r="B146" s="257" t="s">
        <v>26</v>
      </c>
      <c r="C146" s="259" t="s">
        <v>410</v>
      </c>
      <c r="D146" s="402"/>
      <c r="E146" s="259" t="s">
        <v>217</v>
      </c>
      <c r="F146" s="403"/>
      <c r="G146" s="262">
        <v>25</v>
      </c>
      <c r="H146" s="260">
        <v>1</v>
      </c>
      <c r="I146" s="260"/>
      <c r="J146" s="262">
        <v>1</v>
      </c>
      <c r="K146" s="303" t="s">
        <v>330</v>
      </c>
      <c r="L146" s="259" t="s">
        <v>32</v>
      </c>
      <c r="M146" s="263" t="s">
        <v>87</v>
      </c>
      <c r="N146" s="263" t="s">
        <v>87</v>
      </c>
      <c r="O146" s="303"/>
      <c r="P146" s="404"/>
      <c r="Q146" s="315" t="s">
        <v>38</v>
      </c>
    </row>
    <row r="147" spans="1:18" ht="15.6" customHeight="1" x14ac:dyDescent="0.25">
      <c r="A147" s="13"/>
      <c r="B147" s="50"/>
      <c r="C147" s="51"/>
      <c r="D147" s="51"/>
      <c r="E147" s="51"/>
      <c r="F147" s="51" t="s">
        <v>40</v>
      </c>
      <c r="G147" s="53">
        <f>SUM(G143:G146)</f>
        <v>156.25</v>
      </c>
      <c r="I147" s="70"/>
      <c r="J147" s="54"/>
      <c r="K147" s="51"/>
      <c r="L147" s="51"/>
      <c r="M147" s="51"/>
      <c r="N147" s="51"/>
      <c r="O147" s="52"/>
      <c r="P147" s="51"/>
      <c r="Q147" s="51"/>
    </row>
    <row r="148" spans="1:18" ht="16.149999999999999" customHeight="1" thickBot="1" x14ac:dyDescent="0.3">
      <c r="A148" s="13"/>
      <c r="D148" s="1"/>
    </row>
    <row r="149" spans="1:18" ht="15.75" customHeight="1" x14ac:dyDescent="0.25">
      <c r="A149" s="440" t="s">
        <v>227</v>
      </c>
      <c r="B149" s="441"/>
      <c r="C149" s="441"/>
      <c r="D149" s="441"/>
      <c r="E149" s="441"/>
      <c r="F149" s="441"/>
      <c r="G149" s="441"/>
      <c r="H149" s="441"/>
      <c r="I149" s="441"/>
      <c r="J149" s="441"/>
      <c r="K149" s="441"/>
      <c r="L149" s="441"/>
      <c r="M149" s="441"/>
      <c r="N149" s="441"/>
      <c r="O149" s="441"/>
      <c r="P149" s="441"/>
      <c r="Q149" s="442"/>
    </row>
    <row r="150" spans="1:18" ht="15" customHeight="1" x14ac:dyDescent="0.25">
      <c r="A150" s="411">
        <v>6</v>
      </c>
      <c r="B150" s="419" t="s">
        <v>8</v>
      </c>
      <c r="C150" s="419" t="s">
        <v>9</v>
      </c>
      <c r="D150" s="419" t="s">
        <v>10</v>
      </c>
      <c r="E150" s="419" t="s">
        <v>11</v>
      </c>
      <c r="F150" s="419" t="s">
        <v>13</v>
      </c>
      <c r="G150" s="419"/>
      <c r="H150" s="423" t="s">
        <v>42</v>
      </c>
      <c r="I150" s="423"/>
      <c r="J150" s="423"/>
      <c r="K150" s="419" t="s">
        <v>15</v>
      </c>
      <c r="L150" s="419" t="s">
        <v>43</v>
      </c>
      <c r="M150" s="419" t="s">
        <v>44</v>
      </c>
      <c r="N150" s="419"/>
      <c r="O150" s="419" t="s">
        <v>45</v>
      </c>
      <c r="P150" s="419" t="s">
        <v>19</v>
      </c>
      <c r="Q150" s="422" t="s">
        <v>20</v>
      </c>
    </row>
    <row r="151" spans="1:18" ht="65.099999999999994" customHeight="1" x14ac:dyDescent="0.25">
      <c r="A151" s="411"/>
      <c r="B151" s="419"/>
      <c r="C151" s="419"/>
      <c r="D151" s="419"/>
      <c r="E151" s="419"/>
      <c r="F151" s="419"/>
      <c r="G151" s="419"/>
      <c r="H151" s="28" t="s">
        <v>21</v>
      </c>
      <c r="I151" s="28" t="s">
        <v>22</v>
      </c>
      <c r="J151" s="29" t="s">
        <v>23</v>
      </c>
      <c r="K151" s="419"/>
      <c r="L151" s="419"/>
      <c r="M151" s="30" t="s">
        <v>228</v>
      </c>
      <c r="N151" s="30" t="s">
        <v>25</v>
      </c>
      <c r="O151" s="419"/>
      <c r="P151" s="419"/>
      <c r="Q151" s="422"/>
    </row>
    <row r="152" spans="1:18" s="39" customFormat="1" ht="39.75" customHeight="1" thickBot="1" x14ac:dyDescent="0.3">
      <c r="A152" s="264">
        <v>6.1</v>
      </c>
      <c r="B152" s="67" t="s">
        <v>26</v>
      </c>
      <c r="C152" s="328" t="s">
        <v>229</v>
      </c>
      <c r="D152" s="46"/>
      <c r="E152" s="46" t="s">
        <v>74</v>
      </c>
      <c r="F152" s="446"/>
      <c r="G152" s="446"/>
      <c r="H152" s="368">
        <f>100-25-25</f>
        <v>50</v>
      </c>
      <c r="I152" s="47">
        <v>1</v>
      </c>
      <c r="J152" s="47"/>
      <c r="K152" s="342" t="s">
        <v>329</v>
      </c>
      <c r="L152" s="46" t="s">
        <v>32</v>
      </c>
      <c r="M152" s="406" t="s">
        <v>87</v>
      </c>
      <c r="N152" s="406" t="s">
        <v>87</v>
      </c>
      <c r="O152" s="369"/>
      <c r="P152" s="370"/>
      <c r="Q152" s="315" t="s">
        <v>38</v>
      </c>
      <c r="R152" s="15"/>
    </row>
    <row r="153" spans="1:18" ht="15.6" customHeight="1" x14ac:dyDescent="0.25">
      <c r="A153" s="13"/>
      <c r="B153" s="50"/>
      <c r="C153" s="51"/>
      <c r="D153" s="51"/>
      <c r="E153" s="51"/>
      <c r="F153" s="51"/>
      <c r="G153" s="51" t="s">
        <v>40</v>
      </c>
      <c r="H153" s="100">
        <f>SUM(H152:H152)</f>
        <v>50</v>
      </c>
      <c r="I153" s="102"/>
      <c r="J153" s="54"/>
      <c r="K153" s="54"/>
      <c r="L153" s="51"/>
      <c r="M153" s="51"/>
      <c r="N153" s="51"/>
      <c r="O153" s="52"/>
      <c r="P153" s="51"/>
      <c r="Q153" s="51"/>
    </row>
    <row r="154" spans="1:18" ht="15.6" customHeight="1" x14ac:dyDescent="0.25">
      <c r="A154" s="13"/>
      <c r="D154" s="1"/>
      <c r="F154" s="51"/>
      <c r="G154" s="51"/>
      <c r="H154" s="102"/>
      <c r="I154" s="102"/>
      <c r="J154" s="54"/>
      <c r="K154" s="54"/>
      <c r="L154" s="51"/>
      <c r="M154" s="51"/>
      <c r="N154" s="51"/>
      <c r="O154" s="52"/>
      <c r="P154" s="51"/>
      <c r="Q154" s="51"/>
    </row>
    <row r="155" spans="1:18" ht="15.75" customHeight="1" x14ac:dyDescent="0.25">
      <c r="A155" s="447">
        <v>7</v>
      </c>
      <c r="B155" s="437" t="s">
        <v>230</v>
      </c>
      <c r="C155" s="437"/>
      <c r="D155" s="437"/>
      <c r="E155" s="437"/>
      <c r="F155" s="437"/>
      <c r="G155" s="437"/>
      <c r="H155" s="437"/>
      <c r="I155" s="437"/>
      <c r="J155" s="437"/>
      <c r="K155" s="437"/>
      <c r="L155" s="437"/>
      <c r="M155" s="437"/>
      <c r="N155" s="437"/>
      <c r="O155" s="437"/>
      <c r="P155" s="437"/>
      <c r="Q155" s="448"/>
    </row>
    <row r="156" spans="1:18" ht="15" customHeight="1" x14ac:dyDescent="0.25">
      <c r="A156" s="447"/>
      <c r="B156" s="449" t="s">
        <v>231</v>
      </c>
      <c r="C156" s="419" t="s">
        <v>232</v>
      </c>
      <c r="D156" s="419" t="s">
        <v>10</v>
      </c>
      <c r="E156" s="419"/>
      <c r="F156" s="419" t="s">
        <v>13</v>
      </c>
      <c r="G156" s="419"/>
      <c r="H156" s="423" t="s">
        <v>42</v>
      </c>
      <c r="I156" s="423"/>
      <c r="J156" s="423"/>
      <c r="K156" s="419" t="s">
        <v>15</v>
      </c>
      <c r="L156" s="443" t="s">
        <v>233</v>
      </c>
      <c r="M156" s="419" t="s">
        <v>44</v>
      </c>
      <c r="N156" s="419"/>
      <c r="O156" s="419" t="s">
        <v>234</v>
      </c>
      <c r="P156" s="419" t="s">
        <v>19</v>
      </c>
      <c r="Q156" s="444" t="s">
        <v>20</v>
      </c>
    </row>
    <row r="157" spans="1:18" ht="63.75" customHeight="1" x14ac:dyDescent="0.25">
      <c r="A157" s="447"/>
      <c r="B157" s="449"/>
      <c r="C157" s="419"/>
      <c r="D157" s="419"/>
      <c r="E157" s="419"/>
      <c r="F157" s="419"/>
      <c r="G157" s="419"/>
      <c r="H157" s="28" t="s">
        <v>21</v>
      </c>
      <c r="I157" s="30" t="s">
        <v>22</v>
      </c>
      <c r="J157" s="28" t="s">
        <v>23</v>
      </c>
      <c r="K157" s="419"/>
      <c r="L157" s="443"/>
      <c r="M157" s="30" t="s">
        <v>235</v>
      </c>
      <c r="N157" s="30" t="s">
        <v>236</v>
      </c>
      <c r="O157" s="419"/>
      <c r="P157" s="419"/>
      <c r="Q157" s="444"/>
    </row>
    <row r="158" spans="1:18" ht="15.6" customHeight="1" x14ac:dyDescent="0.25">
      <c r="A158" s="103">
        <v>7.1</v>
      </c>
      <c r="B158" s="104"/>
      <c r="C158" s="105"/>
      <c r="D158" s="445"/>
      <c r="E158" s="445"/>
      <c r="F158" s="445"/>
      <c r="G158" s="445"/>
      <c r="H158" s="106"/>
      <c r="I158" s="105"/>
      <c r="J158" s="106"/>
      <c r="K158" s="107"/>
      <c r="L158" s="107"/>
      <c r="M158" s="105"/>
      <c r="N158" s="105"/>
      <c r="O158" s="108"/>
      <c r="P158" s="105"/>
      <c r="Q158" s="105"/>
    </row>
    <row r="159" spans="1:18" ht="15.6" customHeight="1" x14ac:dyDescent="0.25">
      <c r="A159" s="103">
        <v>7.2</v>
      </c>
      <c r="B159" s="104"/>
      <c r="C159" s="105"/>
      <c r="D159" s="445"/>
      <c r="E159" s="445"/>
      <c r="F159" s="445"/>
      <c r="G159" s="445"/>
      <c r="H159" s="106"/>
      <c r="I159" s="105"/>
      <c r="J159" s="106"/>
      <c r="K159" s="107"/>
      <c r="L159" s="107"/>
      <c r="M159" s="105"/>
      <c r="N159" s="105"/>
      <c r="O159" s="108"/>
      <c r="P159" s="105"/>
      <c r="Q159" s="105"/>
    </row>
    <row r="160" spans="1:18" ht="15.6" customHeight="1" x14ac:dyDescent="0.25">
      <c r="A160" s="103">
        <v>7.3</v>
      </c>
      <c r="B160" s="104"/>
      <c r="C160" s="105"/>
      <c r="D160" s="445"/>
      <c r="E160" s="445"/>
      <c r="F160" s="445"/>
      <c r="G160" s="445"/>
      <c r="H160" s="106"/>
      <c r="I160" s="105"/>
      <c r="J160" s="106"/>
      <c r="K160" s="107"/>
      <c r="L160" s="107"/>
      <c r="M160" s="105"/>
      <c r="N160" s="105"/>
      <c r="O160" s="108"/>
      <c r="P160" s="105"/>
      <c r="Q160" s="105"/>
    </row>
    <row r="161" spans="1:17" ht="15.6" customHeight="1" x14ac:dyDescent="0.25">
      <c r="A161" s="103">
        <v>7.4</v>
      </c>
      <c r="B161" s="104"/>
      <c r="C161" s="105"/>
      <c r="D161" s="445"/>
      <c r="E161" s="445"/>
      <c r="F161" s="445"/>
      <c r="G161" s="445"/>
      <c r="H161" s="106"/>
      <c r="I161" s="105"/>
      <c r="J161" s="106"/>
      <c r="K161" s="107"/>
      <c r="L161" s="107"/>
      <c r="M161" s="105"/>
      <c r="N161" s="105"/>
      <c r="O161" s="108"/>
      <c r="P161" s="105"/>
      <c r="Q161" s="105"/>
    </row>
    <row r="162" spans="1:17" ht="15.6" customHeight="1" x14ac:dyDescent="0.25">
      <c r="A162" s="109">
        <v>7.5</v>
      </c>
      <c r="B162" s="104"/>
      <c r="C162" s="105"/>
      <c r="D162" s="445"/>
      <c r="E162" s="445"/>
      <c r="F162" s="445"/>
      <c r="G162" s="445"/>
      <c r="H162" s="106"/>
      <c r="I162" s="105"/>
      <c r="J162" s="106"/>
      <c r="K162" s="107"/>
      <c r="L162" s="107"/>
      <c r="M162" s="105"/>
      <c r="N162" s="105"/>
      <c r="O162" s="108"/>
      <c r="P162" s="105"/>
      <c r="Q162" s="105"/>
    </row>
    <row r="163" spans="1:17" ht="15.75" customHeight="1" x14ac:dyDescent="0.25">
      <c r="D163" s="1"/>
      <c r="G163" s="1" t="s">
        <v>40</v>
      </c>
      <c r="H163" s="4">
        <f>SUM(H158:H162)</f>
        <v>0</v>
      </c>
    </row>
    <row r="164" spans="1:17" x14ac:dyDescent="0.25">
      <c r="D164" s="1"/>
    </row>
    <row r="165" spans="1:17" x14ac:dyDescent="0.25">
      <c r="D165" s="1"/>
      <c r="H165" s="215">
        <f>H20+H71+H111+H138+G147+H153</f>
        <v>12462.687699999999</v>
      </c>
    </row>
    <row r="166" spans="1:17" x14ac:dyDescent="0.25">
      <c r="D166" s="1"/>
    </row>
    <row r="167" spans="1:17" x14ac:dyDescent="0.25">
      <c r="B167" s="450" t="s">
        <v>237</v>
      </c>
      <c r="C167" s="110" t="s">
        <v>50</v>
      </c>
      <c r="D167" s="1"/>
    </row>
    <row r="168" spans="1:17" x14ac:dyDescent="0.25">
      <c r="B168" s="451"/>
      <c r="C168" s="110" t="s">
        <v>37</v>
      </c>
      <c r="D168" s="1"/>
    </row>
    <row r="169" spans="1:17" x14ac:dyDescent="0.25">
      <c r="B169" s="452"/>
      <c r="C169" s="111" t="s">
        <v>32</v>
      </c>
      <c r="D169" s="1"/>
      <c r="I169" s="227"/>
      <c r="J169" s="227"/>
    </row>
    <row r="170" spans="1:17" x14ac:dyDescent="0.25">
      <c r="D170" s="1"/>
      <c r="I170" s="227"/>
      <c r="J170" s="227"/>
    </row>
    <row r="171" spans="1:17" x14ac:dyDescent="0.25">
      <c r="B171" s="450" t="s">
        <v>20</v>
      </c>
      <c r="C171" s="110" t="s">
        <v>38</v>
      </c>
      <c r="D171" s="1"/>
      <c r="I171" s="227"/>
      <c r="J171" s="227"/>
    </row>
    <row r="172" spans="1:17" x14ac:dyDescent="0.25">
      <c r="B172" s="451"/>
      <c r="C172" s="110" t="s">
        <v>200</v>
      </c>
      <c r="D172" s="1"/>
      <c r="I172" s="227"/>
      <c r="J172" s="227"/>
    </row>
    <row r="173" spans="1:17" x14ac:dyDescent="0.25">
      <c r="B173" s="451"/>
      <c r="C173" s="110" t="s">
        <v>238</v>
      </c>
      <c r="D173" s="1"/>
      <c r="I173" s="245"/>
      <c r="J173" s="227"/>
    </row>
    <row r="174" spans="1:17" x14ac:dyDescent="0.25">
      <c r="B174" s="451"/>
      <c r="C174" s="110" t="s">
        <v>239</v>
      </c>
      <c r="D174" s="1"/>
      <c r="J174" s="227"/>
    </row>
    <row r="175" spans="1:17" x14ac:dyDescent="0.25">
      <c r="B175" s="451"/>
      <c r="C175" s="110" t="s">
        <v>240</v>
      </c>
      <c r="D175" s="1"/>
      <c r="I175" s="1"/>
      <c r="J175" s="227"/>
    </row>
    <row r="176" spans="1:17" x14ac:dyDescent="0.25">
      <c r="B176" s="451"/>
      <c r="C176" s="110" t="s">
        <v>241</v>
      </c>
      <c r="D176" s="1"/>
      <c r="I176" s="1"/>
      <c r="J176" s="1"/>
    </row>
    <row r="177" spans="2:10" x14ac:dyDescent="0.25">
      <c r="B177" s="451"/>
      <c r="C177" s="110" t="s">
        <v>104</v>
      </c>
      <c r="D177" s="1"/>
      <c r="I177" s="1"/>
      <c r="J177" s="1"/>
    </row>
    <row r="178" spans="2:10" x14ac:dyDescent="0.25">
      <c r="B178" s="452"/>
      <c r="C178" s="110" t="s">
        <v>34</v>
      </c>
      <c r="D178" s="1"/>
      <c r="I178" s="1"/>
      <c r="J178" s="1"/>
    </row>
    <row r="179" spans="2:10" x14ac:dyDescent="0.25">
      <c r="D179" s="1"/>
    </row>
    <row r="180" spans="2:10" ht="47.25" x14ac:dyDescent="0.25">
      <c r="B180" s="453" t="s">
        <v>242</v>
      </c>
      <c r="C180" s="454" t="s">
        <v>243</v>
      </c>
      <c r="D180" s="110" t="s">
        <v>186</v>
      </c>
      <c r="E180" s="110" t="s">
        <v>186</v>
      </c>
      <c r="I180" s="1"/>
      <c r="J180" s="1"/>
    </row>
    <row r="181" spans="2:10" ht="47.25" x14ac:dyDescent="0.25">
      <c r="B181" s="453"/>
      <c r="C181" s="454"/>
      <c r="D181" s="110" t="s">
        <v>244</v>
      </c>
      <c r="E181" s="110" t="s">
        <v>244</v>
      </c>
      <c r="I181" s="1"/>
      <c r="J181" s="1"/>
    </row>
    <row r="182" spans="2:10" ht="63" x14ac:dyDescent="0.25">
      <c r="B182" s="453"/>
      <c r="C182" s="454"/>
      <c r="D182" s="110" t="s">
        <v>191</v>
      </c>
      <c r="E182" s="110" t="s">
        <v>191</v>
      </c>
      <c r="I182" s="1"/>
      <c r="J182" s="1"/>
    </row>
    <row r="183" spans="2:10" ht="31.5" x14ac:dyDescent="0.25">
      <c r="B183" s="453"/>
      <c r="C183" s="454"/>
      <c r="D183" s="110" t="s">
        <v>142</v>
      </c>
      <c r="E183" s="110" t="s">
        <v>142</v>
      </c>
      <c r="I183" s="1"/>
      <c r="J183" s="1"/>
    </row>
    <row r="184" spans="2:10" ht="31.5" x14ac:dyDescent="0.25">
      <c r="B184" s="453"/>
      <c r="C184" s="454"/>
      <c r="D184" s="110" t="s">
        <v>48</v>
      </c>
      <c r="E184" s="110" t="s">
        <v>48</v>
      </c>
      <c r="I184" s="1"/>
      <c r="J184" s="1"/>
    </row>
    <row r="185" spans="2:10" ht="47.25" x14ac:dyDescent="0.25">
      <c r="B185" s="453"/>
      <c r="C185" s="454"/>
      <c r="D185" s="110" t="s">
        <v>245</v>
      </c>
      <c r="E185" s="110" t="s">
        <v>245</v>
      </c>
      <c r="I185" s="1"/>
      <c r="J185" s="1"/>
    </row>
    <row r="186" spans="2:10" ht="47.25" x14ac:dyDescent="0.25">
      <c r="B186" s="453"/>
      <c r="C186" s="454"/>
      <c r="D186" s="110" t="s">
        <v>246</v>
      </c>
      <c r="E186" s="110" t="s">
        <v>246</v>
      </c>
      <c r="I186" s="1"/>
      <c r="J186" s="1"/>
    </row>
    <row r="187" spans="2:10" ht="31.5" x14ac:dyDescent="0.25">
      <c r="B187" s="453"/>
      <c r="C187" s="455" t="s">
        <v>247</v>
      </c>
      <c r="D187" s="110" t="s">
        <v>248</v>
      </c>
      <c r="E187" s="110" t="s">
        <v>98</v>
      </c>
      <c r="I187" s="1"/>
      <c r="J187" s="1"/>
    </row>
    <row r="188" spans="2:10" ht="31.5" x14ac:dyDescent="0.25">
      <c r="B188" s="453"/>
      <c r="C188" s="455"/>
      <c r="D188" s="110" t="s">
        <v>98</v>
      </c>
      <c r="E188" s="110" t="s">
        <v>74</v>
      </c>
      <c r="I188" s="1"/>
      <c r="J188" s="1"/>
    </row>
    <row r="189" spans="2:10" x14ac:dyDescent="0.25">
      <c r="B189" s="453"/>
      <c r="C189" s="455"/>
      <c r="D189" s="110" t="s">
        <v>74</v>
      </c>
      <c r="I189" s="1"/>
      <c r="J189" s="1"/>
    </row>
    <row r="190" spans="2:10" x14ac:dyDescent="0.25">
      <c r="B190" s="453"/>
      <c r="C190" s="455"/>
      <c r="D190" s="110" t="s">
        <v>142</v>
      </c>
      <c r="I190" s="1"/>
      <c r="J190" s="1"/>
    </row>
    <row r="191" spans="2:10" x14ac:dyDescent="0.25">
      <c r="B191" s="453"/>
      <c r="C191" s="455"/>
      <c r="D191" s="110" t="s">
        <v>48</v>
      </c>
      <c r="I191" s="1"/>
      <c r="J191" s="1"/>
    </row>
    <row r="192" spans="2:10" ht="31.5" x14ac:dyDescent="0.25">
      <c r="B192" s="453"/>
      <c r="C192" s="455"/>
      <c r="D192" s="110" t="s">
        <v>249</v>
      </c>
      <c r="I192" s="1"/>
      <c r="J192" s="1"/>
    </row>
    <row r="193" spans="2:10" ht="31.5" x14ac:dyDescent="0.25">
      <c r="B193" s="453"/>
      <c r="C193" s="455"/>
      <c r="D193" s="110" t="s">
        <v>250</v>
      </c>
      <c r="I193" s="1"/>
      <c r="J193" s="1"/>
    </row>
    <row r="194" spans="2:10" ht="31.5" x14ac:dyDescent="0.25">
      <c r="B194" s="453"/>
      <c r="C194" s="455"/>
      <c r="D194" s="110" t="s">
        <v>251</v>
      </c>
      <c r="I194" s="1"/>
      <c r="J194" s="1"/>
    </row>
    <row r="195" spans="2:10" ht="31.5" x14ac:dyDescent="0.25">
      <c r="B195" s="453"/>
      <c r="C195" s="455"/>
      <c r="D195" s="110" t="s">
        <v>252</v>
      </c>
      <c r="I195" s="1"/>
      <c r="J195" s="1"/>
    </row>
    <row r="196" spans="2:10" ht="31.5" x14ac:dyDescent="0.25">
      <c r="B196" s="453"/>
      <c r="C196" s="455"/>
      <c r="D196" s="110" t="s">
        <v>253</v>
      </c>
      <c r="I196" s="1"/>
      <c r="J196" s="1"/>
    </row>
    <row r="197" spans="2:10" ht="31.5" x14ac:dyDescent="0.25">
      <c r="B197" s="453"/>
      <c r="C197" s="456" t="s">
        <v>254</v>
      </c>
      <c r="D197" s="110" t="s">
        <v>255</v>
      </c>
      <c r="I197" s="1"/>
      <c r="J197" s="1"/>
    </row>
    <row r="198" spans="2:10" x14ac:dyDescent="0.25">
      <c r="B198" s="453"/>
      <c r="C198" s="457"/>
      <c r="D198" s="110" t="s">
        <v>142</v>
      </c>
      <c r="I198" s="1"/>
      <c r="J198" s="1"/>
    </row>
    <row r="199" spans="2:10" x14ac:dyDescent="0.25">
      <c r="B199" s="453"/>
      <c r="C199" s="458"/>
      <c r="D199" s="110" t="s">
        <v>48</v>
      </c>
      <c r="I199" s="1"/>
      <c r="J199" s="1"/>
    </row>
  </sheetData>
  <autoFilter ref="A16:U198"/>
  <mergeCells count="174">
    <mergeCell ref="A38:A39"/>
    <mergeCell ref="B38:B39"/>
    <mergeCell ref="C38:C39"/>
    <mergeCell ref="E38:E39"/>
    <mergeCell ref="A44:A47"/>
    <mergeCell ref="B44:B47"/>
    <mergeCell ref="C44:C47"/>
    <mergeCell ref="E44:E47"/>
    <mergeCell ref="A40:A41"/>
    <mergeCell ref="B40:B41"/>
    <mergeCell ref="C40:C41"/>
    <mergeCell ref="E40:E41"/>
    <mergeCell ref="A42:A43"/>
    <mergeCell ref="B42:B43"/>
    <mergeCell ref="C42:C43"/>
    <mergeCell ref="E42:E43"/>
    <mergeCell ref="L150:L151"/>
    <mergeCell ref="F117:G117"/>
    <mergeCell ref="F123:G123"/>
    <mergeCell ref="F134:G134"/>
    <mergeCell ref="F135:G135"/>
    <mergeCell ref="F137:G137"/>
    <mergeCell ref="D141:D142"/>
    <mergeCell ref="E141:E142"/>
    <mergeCell ref="F141:F142"/>
    <mergeCell ref="F118:G118"/>
    <mergeCell ref="F119:G119"/>
    <mergeCell ref="F133:G133"/>
    <mergeCell ref="F129:G129"/>
    <mergeCell ref="F130:G130"/>
    <mergeCell ref="A48:A54"/>
    <mergeCell ref="B48:B54"/>
    <mergeCell ref="C48:C54"/>
    <mergeCell ref="D50:D51"/>
    <mergeCell ref="E48:E54"/>
    <mergeCell ref="G48:G51"/>
    <mergeCell ref="D162:E162"/>
    <mergeCell ref="F162:G162"/>
    <mergeCell ref="K150:K151"/>
    <mergeCell ref="A56:A63"/>
    <mergeCell ref="B56:B63"/>
    <mergeCell ref="C56:C63"/>
    <mergeCell ref="F131:G131"/>
    <mergeCell ref="F124:G124"/>
    <mergeCell ref="F125:G125"/>
    <mergeCell ref="F126:G126"/>
    <mergeCell ref="F127:G127"/>
    <mergeCell ref="F128:G128"/>
    <mergeCell ref="F132:G132"/>
    <mergeCell ref="F122:G122"/>
    <mergeCell ref="F120:G120"/>
    <mergeCell ref="F121:G121"/>
    <mergeCell ref="A73:A75"/>
    <mergeCell ref="B73:Q73"/>
    <mergeCell ref="B167:B169"/>
    <mergeCell ref="B171:B178"/>
    <mergeCell ref="B180:B199"/>
    <mergeCell ref="C180:C186"/>
    <mergeCell ref="C187:C196"/>
    <mergeCell ref="C197:C199"/>
    <mergeCell ref="D159:E159"/>
    <mergeCell ref="F159:G159"/>
    <mergeCell ref="D160:E160"/>
    <mergeCell ref="F160:G160"/>
    <mergeCell ref="D161:E161"/>
    <mergeCell ref="F161:G161"/>
    <mergeCell ref="M156:N156"/>
    <mergeCell ref="O156:O157"/>
    <mergeCell ref="P156:P157"/>
    <mergeCell ref="Q156:Q157"/>
    <mergeCell ref="D158:E158"/>
    <mergeCell ref="F158:G158"/>
    <mergeCell ref="F152:G152"/>
    <mergeCell ref="A155:A157"/>
    <mergeCell ref="B155:Q155"/>
    <mergeCell ref="B156:B157"/>
    <mergeCell ref="C156:C157"/>
    <mergeCell ref="D156:E157"/>
    <mergeCell ref="F156:G157"/>
    <mergeCell ref="H156:J156"/>
    <mergeCell ref="K156:K157"/>
    <mergeCell ref="L156:L157"/>
    <mergeCell ref="M150:N150"/>
    <mergeCell ref="O150:O151"/>
    <mergeCell ref="P150:P151"/>
    <mergeCell ref="Q150:Q151"/>
    <mergeCell ref="P141:P142"/>
    <mergeCell ref="Q141:Q142"/>
    <mergeCell ref="A149:Q149"/>
    <mergeCell ref="A150:A151"/>
    <mergeCell ref="B150:B151"/>
    <mergeCell ref="C150:C151"/>
    <mergeCell ref="D150:D151"/>
    <mergeCell ref="E150:E151"/>
    <mergeCell ref="F150:G151"/>
    <mergeCell ref="H150:J150"/>
    <mergeCell ref="G141:I141"/>
    <mergeCell ref="J141:J142"/>
    <mergeCell ref="K141:K142"/>
    <mergeCell ref="L141:L142"/>
    <mergeCell ref="M141:N141"/>
    <mergeCell ref="O141:O142"/>
    <mergeCell ref="A140:A142"/>
    <mergeCell ref="B140:Q140"/>
    <mergeCell ref="B141:B142"/>
    <mergeCell ref="C141:C142"/>
    <mergeCell ref="B74:B75"/>
    <mergeCell ref="C74:C75"/>
    <mergeCell ref="D74:D75"/>
    <mergeCell ref="E74:E75"/>
    <mergeCell ref="M115:N115"/>
    <mergeCell ref="O115:O116"/>
    <mergeCell ref="P115:P116"/>
    <mergeCell ref="Q115:Q116"/>
    <mergeCell ref="F116:G116"/>
    <mergeCell ref="C97:C98"/>
    <mergeCell ref="A114:A116"/>
    <mergeCell ref="B114:Q114"/>
    <mergeCell ref="B115:B116"/>
    <mergeCell ref="C115:C116"/>
    <mergeCell ref="D115:D116"/>
    <mergeCell ref="E115:E116"/>
    <mergeCell ref="F115:G115"/>
    <mergeCell ref="H115:J115"/>
    <mergeCell ref="K115:K116"/>
    <mergeCell ref="L115:L116"/>
    <mergeCell ref="E23:E24"/>
    <mergeCell ref="F23:F24"/>
    <mergeCell ref="G23:G24"/>
    <mergeCell ref="H23:J23"/>
    <mergeCell ref="K23:K24"/>
    <mergeCell ref="L23:L24"/>
    <mergeCell ref="P74:P75"/>
    <mergeCell ref="Q74:Q75"/>
    <mergeCell ref="L74:L75"/>
    <mergeCell ref="M74:N74"/>
    <mergeCell ref="O74:O75"/>
    <mergeCell ref="F74:F75"/>
    <mergeCell ref="G74:G75"/>
    <mergeCell ref="K74:K75"/>
    <mergeCell ref="E56:E63"/>
    <mergeCell ref="J56:J63"/>
    <mergeCell ref="M48:M51"/>
    <mergeCell ref="N48:N51"/>
    <mergeCell ref="N56:N62"/>
    <mergeCell ref="M56:M62"/>
    <mergeCell ref="L56:L63"/>
    <mergeCell ref="O56:O63"/>
    <mergeCell ref="G56:G62"/>
    <mergeCell ref="L48:L51"/>
    <mergeCell ref="A22:A24"/>
    <mergeCell ref="B22:Q22"/>
    <mergeCell ref="B12:Q12"/>
    <mergeCell ref="B14:Q14"/>
    <mergeCell ref="A15:A16"/>
    <mergeCell ref="B15:B16"/>
    <mergeCell ref="C15:C16"/>
    <mergeCell ref="D15:D16"/>
    <mergeCell ref="E15:E16"/>
    <mergeCell ref="F15:F16"/>
    <mergeCell ref="G15:G16"/>
    <mergeCell ref="K15:K16"/>
    <mergeCell ref="L15:L16"/>
    <mergeCell ref="M15:N15"/>
    <mergeCell ref="O15:O16"/>
    <mergeCell ref="P15:P16"/>
    <mergeCell ref="Q15:Q16"/>
    <mergeCell ref="B23:B24"/>
    <mergeCell ref="C23:C24"/>
    <mergeCell ref="D23:D24"/>
    <mergeCell ref="M23:N23"/>
    <mergeCell ref="O23:O24"/>
    <mergeCell ref="P23:P24"/>
    <mergeCell ref="Q23:Q24"/>
  </mergeCells>
  <dataValidations count="6">
    <dataValidation type="list" allowBlank="1" showInputMessage="1" showErrorMessage="1" sqref="Q158:Q162 Q76:Q112 Q25:Q70 Q152 Q17:Q20 Q117:Q138 Q143:Q147">
      <formula1>$C$171:$C$178</formula1>
    </dataValidation>
    <dataValidation type="list" allowBlank="1" showInputMessage="1" showErrorMessage="1" sqref="L87 E87 E153 L93:L94 L32:L33 L108:L110 L89 L35 L70 L102:L106 E93 L152:L154 E17:E19 L143:L146 L81:L85 L136:L137 L128:L132 L124:L125 L67:L68 L134 L117:L120 L122 E143:E146">
      <formula1>#REF!</formula1>
    </dataValidation>
    <dataValidation type="list" allowBlank="1" showInputMessage="1" showErrorMessage="1" sqref="E86 E121 E123 E135 E94:E112 E25:E38 E42 E88:E92 E48 E133 E40 E76:E81 E152 E126:E127 E20 E55:E56 E44 E64:E70">
      <formula1>$D$187:$D$196</formula1>
    </dataValidation>
    <dataValidation type="list" allowBlank="1" showInputMessage="1" showErrorMessage="1" sqref="E147">
      <formula1>$D$197:$D$199</formula1>
    </dataValidation>
    <dataValidation type="list" allowBlank="1" showInputMessage="1" showErrorMessage="1" sqref="L147 L123 L121 L135 L52:L56 L36:L48 L76:L80 L64:L66 L111:L112 L138 L88 L34 L133 L95:L101 L90:L92 L17:L20 L86 L126:L127 L107 L25:L31 L69">
      <formula1>$C$167:$C$169</formula1>
    </dataValidation>
    <dataValidation type="list" allowBlank="1" showInputMessage="1" showErrorMessage="1" sqref="E138">
      <formula1>$D$180:$D$186</formula1>
    </dataValidation>
  </dataValidations>
  <printOptions horizontalCentered="1"/>
  <pageMargins left="0" right="0" top="0" bottom="0" header="0" footer="0"/>
  <pageSetup paperSize="9" scale="45" orientation="landscape" r:id="rId1"/>
  <rowBreaks count="4" manualBreakCount="4">
    <brk id="72" max="16383" man="1"/>
    <brk id="113" max="16383" man="1"/>
    <brk id="148" max="16383" man="1"/>
    <brk id="1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opLeftCell="A16" zoomScale="130" zoomScaleNormal="130" workbookViewId="0">
      <selection activeCell="D41" sqref="D41"/>
    </sheetView>
  </sheetViews>
  <sheetFormatPr defaultColWidth="9.140625" defaultRowHeight="15" x14ac:dyDescent="0.25"/>
  <cols>
    <col min="1" max="1" width="9.140625" customWidth="1"/>
    <col min="2" max="2" width="30.140625" customWidth="1"/>
    <col min="3" max="3" width="26.28515625" customWidth="1"/>
    <col min="4" max="4" width="23.5703125" customWidth="1"/>
    <col min="5" max="5" width="21.7109375" customWidth="1"/>
    <col min="6" max="6" width="19.7109375" customWidth="1"/>
    <col min="7" max="7" width="19" customWidth="1"/>
    <col min="8" max="8" width="14.5703125" customWidth="1"/>
    <col min="9" max="10" width="15.5703125" customWidth="1"/>
    <col min="11" max="11" width="16" style="212" bestFit="1" customWidth="1"/>
    <col min="12" max="12" width="16" customWidth="1"/>
    <col min="13" max="13" width="15.42578125" customWidth="1"/>
    <col min="14" max="14" width="15" customWidth="1"/>
    <col min="15" max="15" width="18.140625" customWidth="1"/>
  </cols>
  <sheetData>
    <row r="1" spans="1:9" ht="15.75" thickBot="1" x14ac:dyDescent="0.3">
      <c r="A1" s="152"/>
      <c r="B1" s="487"/>
      <c r="C1" s="487"/>
      <c r="D1" s="487"/>
      <c r="E1" s="487"/>
      <c r="F1" s="487"/>
      <c r="G1" s="487"/>
      <c r="H1" s="487"/>
    </row>
    <row r="2" spans="1:9" ht="15.75" x14ac:dyDescent="0.25">
      <c r="A2" s="488" t="s">
        <v>277</v>
      </c>
      <c r="B2" s="489"/>
      <c r="C2" s="489"/>
      <c r="D2" s="489"/>
      <c r="E2" s="153"/>
      <c r="F2" s="154"/>
      <c r="G2" s="155"/>
      <c r="H2" s="155"/>
    </row>
    <row r="3" spans="1:9" ht="15.75" x14ac:dyDescent="0.25">
      <c r="A3" s="490" t="s">
        <v>278</v>
      </c>
      <c r="B3" s="491"/>
      <c r="C3" s="491"/>
      <c r="D3" s="491"/>
      <c r="E3" s="156" t="s">
        <v>279</v>
      </c>
      <c r="F3" s="157" t="s">
        <v>280</v>
      </c>
      <c r="G3" s="158"/>
      <c r="H3" s="155"/>
    </row>
    <row r="4" spans="1:9" ht="15.75" thickBot="1" x14ac:dyDescent="0.3">
      <c r="A4" s="492" t="s">
        <v>281</v>
      </c>
      <c r="B4" s="493"/>
      <c r="C4" s="493"/>
      <c r="D4" s="493"/>
      <c r="E4" s="159">
        <v>2010</v>
      </c>
      <c r="F4" s="160">
        <v>43089</v>
      </c>
      <c r="G4" s="161"/>
      <c r="H4" s="162"/>
    </row>
    <row r="5" spans="1:9" ht="15.75" thickBot="1" x14ac:dyDescent="0.3">
      <c r="A5" s="163"/>
      <c r="B5" s="164"/>
      <c r="C5" s="164"/>
      <c r="D5" s="165"/>
      <c r="E5" s="166"/>
      <c r="F5" s="167"/>
    </row>
    <row r="6" spans="1:9" ht="15.75" x14ac:dyDescent="0.25">
      <c r="A6" s="488" t="s">
        <v>282</v>
      </c>
      <c r="B6" s="489"/>
      <c r="C6" s="489"/>
      <c r="D6" s="489"/>
      <c r="E6" s="489"/>
      <c r="F6" s="494"/>
      <c r="G6" s="155"/>
      <c r="H6" s="155"/>
    </row>
    <row r="7" spans="1:9" ht="15.75" thickBot="1" x14ac:dyDescent="0.3">
      <c r="A7" s="492" t="s">
        <v>406</v>
      </c>
      <c r="B7" s="493"/>
      <c r="C7" s="493"/>
      <c r="D7" s="493"/>
      <c r="E7" s="495">
        <v>2017</v>
      </c>
      <c r="F7" s="496"/>
      <c r="G7" s="161"/>
      <c r="H7" s="168"/>
    </row>
    <row r="8" spans="1:9" ht="15.75" thickBot="1" x14ac:dyDescent="0.3">
      <c r="A8" s="152"/>
      <c r="B8" s="497"/>
      <c r="C8" s="497"/>
      <c r="D8" s="497"/>
      <c r="E8" s="169"/>
      <c r="F8" s="169"/>
    </row>
    <row r="9" spans="1:9" ht="15.75" x14ac:dyDescent="0.25">
      <c r="A9" s="498" t="s">
        <v>283</v>
      </c>
      <c r="B9" s="499"/>
      <c r="C9" s="499"/>
      <c r="D9" s="499"/>
      <c r="E9" s="499"/>
      <c r="F9" s="499"/>
      <c r="G9" s="500"/>
      <c r="H9" s="155"/>
    </row>
    <row r="10" spans="1:9" ht="63" x14ac:dyDescent="0.25">
      <c r="A10" s="170" t="s">
        <v>284</v>
      </c>
      <c r="B10" s="170" t="s">
        <v>285</v>
      </c>
      <c r="C10" s="171" t="s">
        <v>286</v>
      </c>
      <c r="D10" s="171" t="s">
        <v>287</v>
      </c>
      <c r="E10" s="171" t="s">
        <v>288</v>
      </c>
      <c r="F10" s="171" t="s">
        <v>289</v>
      </c>
      <c r="G10" s="157" t="s">
        <v>290</v>
      </c>
    </row>
    <row r="11" spans="1:9" x14ac:dyDescent="0.25">
      <c r="A11" s="172">
        <v>1</v>
      </c>
      <c r="B11" s="173" t="s">
        <v>261</v>
      </c>
      <c r="C11" s="174">
        <f>SUMIF('Detalle Plan de Aquisicion '!I17:I19,100%,'Detalle Plan de Aquisicion '!$H$17:$H$19)</f>
        <v>124.566</v>
      </c>
      <c r="D11" s="174">
        <f>SUMIF('Detalle Plan de Aquisicion '!J17:J19,100%,'Detalle Plan de Aquisicion '!$H$17:$H$19)</f>
        <v>0</v>
      </c>
      <c r="E11" s="174">
        <v>0</v>
      </c>
      <c r="F11" s="174">
        <v>0</v>
      </c>
      <c r="G11" s="175">
        <f>SUM(C11:F11)</f>
        <v>124.566</v>
      </c>
      <c r="H11" s="213"/>
    </row>
    <row r="12" spans="1:9" x14ac:dyDescent="0.25">
      <c r="A12" s="172">
        <v>2</v>
      </c>
      <c r="B12" s="173" t="s">
        <v>291</v>
      </c>
      <c r="C12" s="174">
        <f>SUMIF('Detalle Plan de Aquisicion '!I25:I70,100%,'Detalle Plan de Aquisicion '!$H$25:$H$70)</f>
        <v>5330.7852999999996</v>
      </c>
      <c r="D12" s="174">
        <f>SUMIF('Detalle Plan de Aquisicion '!J25:J70,100%,'Detalle Plan de Aquisicion '!$H$25:$H$70)</f>
        <v>22</v>
      </c>
      <c r="E12" s="174">
        <v>0</v>
      </c>
      <c r="F12" s="174">
        <v>0</v>
      </c>
      <c r="G12" s="175">
        <f t="shared" ref="G12:G16" si="0">SUM(C12:F12)</f>
        <v>5352.7852999999996</v>
      </c>
      <c r="H12" s="212"/>
    </row>
    <row r="13" spans="1:9" x14ac:dyDescent="0.25">
      <c r="A13" s="172">
        <v>3</v>
      </c>
      <c r="B13" s="173" t="s">
        <v>292</v>
      </c>
      <c r="C13" s="174">
        <f>SUMIF('Detalle Plan de Aquisicion '!I76:I110,100%,'Detalle Plan de Aquisicion '!$H$76:$H$110)+'Detalle Plan de Aquisicion '!H109*'Detalle Plan de Aquisicion '!I109</f>
        <v>2573.2597014000003</v>
      </c>
      <c r="D13" s="174">
        <f>SUMIF('Detalle Plan de Aquisicion '!J76:J110,100%,'Detalle Plan de Aquisicion '!$H$76:$H$110)+'Detalle Plan de Aquisicion '!H109*'Detalle Plan de Aquisicion '!J109</f>
        <v>2205.7756985999999</v>
      </c>
      <c r="E13" s="174">
        <v>0</v>
      </c>
      <c r="F13" s="174">
        <v>0</v>
      </c>
      <c r="G13" s="175">
        <f t="shared" si="0"/>
        <v>4779.0354000000007</v>
      </c>
      <c r="H13" s="212"/>
    </row>
    <row r="14" spans="1:9" x14ac:dyDescent="0.25">
      <c r="A14" s="176">
        <v>4</v>
      </c>
      <c r="B14" s="173" t="s">
        <v>293</v>
      </c>
      <c r="C14" s="174">
        <f>SUMIF('Detalle Plan de Aquisicion '!I117:I137,100%,'Detalle Plan de Aquisicion '!$H$117:$H$137)</f>
        <v>1765.1410000000001</v>
      </c>
      <c r="D14" s="174">
        <f>SUMIF('Detalle Plan de Aquisicion '!J117:J137,100%,'Detalle Plan de Aquisicion '!$H$117:$H$137)</f>
        <v>234.91</v>
      </c>
      <c r="E14" s="174">
        <v>0</v>
      </c>
      <c r="F14" s="174">
        <v>0</v>
      </c>
      <c r="G14" s="175">
        <f t="shared" si="0"/>
        <v>2000.0510000000002</v>
      </c>
      <c r="H14" s="212"/>
    </row>
    <row r="15" spans="1:9" x14ac:dyDescent="0.25">
      <c r="A15" s="176">
        <v>5</v>
      </c>
      <c r="B15" s="173" t="s">
        <v>294</v>
      </c>
      <c r="C15" s="174">
        <f>SUM('Detalle Plan de Aquisicion '!G143:G146)</f>
        <v>156.25</v>
      </c>
      <c r="D15" s="174">
        <f>SUMIF('Detalle Plan de Aquisicion '!I143:I145,100%,'Detalle Plan de Aquisicion '!$G$143:$G$145)</f>
        <v>0</v>
      </c>
      <c r="E15" s="174">
        <v>0</v>
      </c>
      <c r="F15" s="174">
        <v>0</v>
      </c>
      <c r="G15" s="175">
        <f t="shared" si="0"/>
        <v>156.25</v>
      </c>
      <c r="H15" s="213"/>
      <c r="I15" s="128"/>
    </row>
    <row r="16" spans="1:9" x14ac:dyDescent="0.25">
      <c r="A16" s="176">
        <v>6</v>
      </c>
      <c r="B16" s="173" t="s">
        <v>295</v>
      </c>
      <c r="C16" s="174">
        <f>SUMIF('Detalle Plan de Aquisicion '!I152:I152,100%,'Detalle Plan de Aquisicion '!$H$152:$H$152)</f>
        <v>50</v>
      </c>
      <c r="D16" s="174">
        <f>SUMIF('Detalle Plan de Aquisicion '!J152:J152,100%,'Detalle Plan de Aquisicion '!$H$152:$H$152)</f>
        <v>0</v>
      </c>
      <c r="E16" s="174">
        <v>3000</v>
      </c>
      <c r="F16" s="174">
        <v>2000</v>
      </c>
      <c r="G16" s="175">
        <f t="shared" si="0"/>
        <v>5050</v>
      </c>
      <c r="H16" s="212"/>
      <c r="I16" s="177"/>
    </row>
    <row r="17" spans="1:15" x14ac:dyDescent="0.25">
      <c r="A17" s="172"/>
      <c r="B17" s="173" t="s">
        <v>296</v>
      </c>
      <c r="C17" s="174">
        <v>0</v>
      </c>
      <c r="D17" s="174">
        <v>299.298</v>
      </c>
      <c r="E17" s="174">
        <v>0</v>
      </c>
      <c r="F17" s="174">
        <v>0</v>
      </c>
      <c r="G17" s="175">
        <f>SUM(C17:F17)</f>
        <v>299.298</v>
      </c>
      <c r="H17" s="212"/>
      <c r="I17" s="177"/>
    </row>
    <row r="18" spans="1:15" x14ac:dyDescent="0.25">
      <c r="A18" s="172"/>
      <c r="B18" s="178" t="s">
        <v>297</v>
      </c>
      <c r="C18" s="174">
        <v>0</v>
      </c>
      <c r="D18" s="174">
        <v>0</v>
      </c>
      <c r="E18" s="174">
        <v>0</v>
      </c>
      <c r="F18" s="174">
        <v>0</v>
      </c>
      <c r="G18" s="175">
        <f t="shared" ref="G18:G20" si="1">SUM(C18:F18)</f>
        <v>0</v>
      </c>
      <c r="H18" s="213"/>
    </row>
    <row r="19" spans="1:15" x14ac:dyDescent="0.25">
      <c r="A19" s="172"/>
      <c r="B19" s="173" t="s">
        <v>298</v>
      </c>
      <c r="C19" s="174">
        <v>0</v>
      </c>
      <c r="D19" s="174">
        <v>0</v>
      </c>
      <c r="E19" s="174">
        <v>0</v>
      </c>
      <c r="F19" s="174">
        <v>0</v>
      </c>
      <c r="G19" s="175">
        <f t="shared" si="1"/>
        <v>0</v>
      </c>
      <c r="H19" s="212"/>
    </row>
    <row r="20" spans="1:15" x14ac:dyDescent="0.25">
      <c r="A20" s="172"/>
      <c r="B20" s="178" t="s">
        <v>299</v>
      </c>
      <c r="C20" s="174">
        <v>0</v>
      </c>
      <c r="D20" s="174">
        <v>0</v>
      </c>
      <c r="E20" s="174">
        <v>0</v>
      </c>
      <c r="F20" s="174">
        <v>0</v>
      </c>
      <c r="G20" s="175">
        <f t="shared" si="1"/>
        <v>0</v>
      </c>
      <c r="H20" s="212"/>
    </row>
    <row r="21" spans="1:15" ht="16.5" thickBot="1" x14ac:dyDescent="0.3">
      <c r="A21" s="179"/>
      <c r="B21" s="180" t="s">
        <v>40</v>
      </c>
      <c r="C21" s="181">
        <f>SUM(C11:C20)</f>
        <v>10000.0020014</v>
      </c>
      <c r="D21" s="181">
        <f>SUM(D11:D20)</f>
        <v>2761.9836986</v>
      </c>
      <c r="E21" s="181">
        <f>SUM(E11:E20)</f>
        <v>3000</v>
      </c>
      <c r="F21" s="181">
        <f>SUM(F11:F20)</f>
        <v>2000</v>
      </c>
      <c r="G21" s="182">
        <f>SUM(G11:G20)</f>
        <v>17761.985699999997</v>
      </c>
      <c r="H21" s="212"/>
    </row>
    <row r="22" spans="1:15" ht="15.75" thickBot="1" x14ac:dyDescent="0.3">
      <c r="C22" s="247"/>
      <c r="D22" s="333"/>
    </row>
    <row r="23" spans="1:15" ht="15.75" customHeight="1" x14ac:dyDescent="0.25">
      <c r="A23" s="498" t="s">
        <v>300</v>
      </c>
      <c r="B23" s="499"/>
      <c r="C23" s="499"/>
      <c r="D23" s="499"/>
      <c r="E23" s="499"/>
      <c r="F23" s="499"/>
      <c r="G23" s="499"/>
      <c r="H23" s="500"/>
      <c r="I23" s="183"/>
      <c r="J23" s="501"/>
      <c r="K23" s="502"/>
      <c r="L23" s="502"/>
      <c r="M23" s="502"/>
      <c r="N23" s="503"/>
      <c r="O23" s="503"/>
    </row>
    <row r="24" spans="1:15" ht="63" x14ac:dyDescent="0.25">
      <c r="A24" s="170" t="s">
        <v>284</v>
      </c>
      <c r="B24" s="171" t="s">
        <v>301</v>
      </c>
      <c r="C24" s="171" t="s">
        <v>286</v>
      </c>
      <c r="D24" s="171" t="s">
        <v>302</v>
      </c>
      <c r="E24" s="171" t="s">
        <v>288</v>
      </c>
      <c r="F24" s="171" t="s">
        <v>289</v>
      </c>
      <c r="G24" s="171" t="s">
        <v>290</v>
      </c>
      <c r="H24" s="157" t="s">
        <v>303</v>
      </c>
      <c r="I24" s="169"/>
      <c r="J24" s="169"/>
      <c r="K24" s="362"/>
      <c r="L24" s="169"/>
      <c r="M24" s="169"/>
      <c r="N24" s="169"/>
      <c r="O24" s="169"/>
    </row>
    <row r="25" spans="1:15" ht="22.5" customHeight="1" x14ac:dyDescent="0.25">
      <c r="A25" s="184" t="s">
        <v>31</v>
      </c>
      <c r="B25" s="185" t="s">
        <v>271</v>
      </c>
      <c r="C25" s="359">
        <f>SUMIFS('Detalle Plan de Aquisicion '!$H$17:$H$19,'Detalle Plan de Aquisicion '!$I$17:$I$19,100%,'Detalle Plan de Aquisicion '!$K$17:$K$19,'Plan de Adquisiciones'!$A25)+SUMIFS('Detalle Plan de Aquisicion '!$H$25:$H$70,'Detalle Plan de Aquisicion '!$I$25:$I$70,100%,'Detalle Plan de Aquisicion '!$K$25:$K$70,'Plan de Adquisiciones'!$A25)+SUMIFS('Detalle Plan de Aquisicion '!$H$76:$H$110,'Detalle Plan de Aquisicion '!$I$76:$I$110,100%,'Detalle Plan de Aquisicion '!$K$76:$K$110,'Plan de Adquisiciones'!$A25)+SUMIFS('Detalle Plan de Aquisicion '!$H$117:$H$137,'Detalle Plan de Aquisicion '!$I$117:$I$137,100%,'Detalle Plan de Aquisicion '!$K$117:$K$137,'Plan de Adquisiciones'!$A25)+SUMIFS('Detalle Plan de Aquisicion '!$G$143:$G$145,'Detalle Plan de Aquisicion '!$H$143:$H$145,100%,'Detalle Plan de Aquisicion '!$K$143:$K$145,'Plan de Adquisiciones'!$A25)+SUMIFS('Detalle Plan de Aquisicion '!$H$152,'Detalle Plan de Aquisicion '!$I$152,100%,'Detalle Plan de Aquisicion '!$K$152,'Plan de Adquisiciones'!$A25)</f>
        <v>1002.9975000000001</v>
      </c>
      <c r="D25" s="359">
        <f>SUMIFS('Detalle Plan de Aquisicion '!$H$17:$H$19,'Detalle Plan de Aquisicion '!$J$17:$J$19,100%,'Detalle Plan de Aquisicion '!$K$17:$K$19,'Plan de Adquisiciones'!$A25)+SUMIFS('Detalle Plan de Aquisicion '!$H$25:$H$70,'Detalle Plan de Aquisicion '!$J$25:$J$70,100%,'Detalle Plan de Aquisicion '!$K$25:$K$70,'Plan de Adquisiciones'!$A25)+SUMIFS('Detalle Plan de Aquisicion '!$H$76:$H$110,'Detalle Plan de Aquisicion '!$J$76:$J$110,100%,'Detalle Plan de Aquisicion '!$K$76:$K$110,'Plan de Adquisiciones'!$A25)+SUMIFS('Detalle Plan de Aquisicion '!$H$117:$H$137,'Detalle Plan de Aquisicion '!$J$117:$J$137,100%,'Detalle Plan de Aquisicion '!$K$117:$K$137,'Plan de Adquisiciones'!$A25)+SUMIFS('Detalle Plan de Aquisicion '!$G$143:$G$145,'Detalle Plan de Aquisicion '!$I$143:$I$145,100%,'Detalle Plan de Aquisicion '!$K$143:$K$145,'Plan de Adquisiciones'!$A25)+SUMIFS('Detalle Plan de Aquisicion '!$H$152,'Detalle Plan de Aquisicion '!$J$152,100%,'Detalle Plan de Aquisicion '!$K$152,'Plan de Adquisiciones'!$A25)</f>
        <v>2130.0099999999998</v>
      </c>
      <c r="E25" s="195"/>
      <c r="F25" s="195"/>
      <c r="G25" s="251">
        <f>SUM(C25:D25)</f>
        <v>3133.0074999999997</v>
      </c>
      <c r="H25" s="186">
        <v>0.17599999999999999</v>
      </c>
      <c r="I25" s="256"/>
      <c r="K25" s="363"/>
      <c r="L25" s="187"/>
      <c r="M25" s="187"/>
      <c r="N25" s="187"/>
      <c r="O25" s="188"/>
    </row>
    <row r="26" spans="1:15" ht="51" x14ac:dyDescent="0.25">
      <c r="A26" s="248" t="s">
        <v>195</v>
      </c>
      <c r="B26" s="185" t="s">
        <v>304</v>
      </c>
      <c r="C26" s="359">
        <f>SUM(C27:C29)</f>
        <v>675.08800000000008</v>
      </c>
      <c r="D26" s="359">
        <f>SUM(D27:D29)</f>
        <v>166.91</v>
      </c>
      <c r="E26" s="174"/>
      <c r="F26" s="174"/>
      <c r="G26" s="251">
        <f>SUM(C26:F26)</f>
        <v>841.99800000000005</v>
      </c>
      <c r="H26" s="189">
        <v>4.7E-2</v>
      </c>
      <c r="I26" s="256"/>
      <c r="K26" s="363"/>
      <c r="L26" s="187"/>
      <c r="M26" s="187"/>
      <c r="N26" s="187"/>
      <c r="O26" s="188"/>
    </row>
    <row r="27" spans="1:15" ht="39" x14ac:dyDescent="0.25">
      <c r="A27" s="249" t="s">
        <v>326</v>
      </c>
      <c r="B27" s="190" t="s">
        <v>305</v>
      </c>
      <c r="C27" s="174">
        <f>SUMIFS('Detalle Plan de Aquisicion '!$H$17:$H$19,'Detalle Plan de Aquisicion '!$I$17:$I$19,100%,'Detalle Plan de Aquisicion '!$K$17:$K$19,'Plan de Adquisiciones'!$A27)+SUMIFS('Detalle Plan de Aquisicion '!$H$25:$H$70,'Detalle Plan de Aquisicion '!$I$25:$I$70,100%,'Detalle Plan de Aquisicion '!$K$25:$K$70,'Plan de Adquisiciones'!$A27)+SUMIFS('Detalle Plan de Aquisicion '!$H$76:$H$110,'Detalle Plan de Aquisicion '!$I$76:$I$110,100%,'Detalle Plan de Aquisicion '!$K$76:$K$110,'Plan de Adquisiciones'!$A27)+SUMIFS('Detalle Plan de Aquisicion '!$H$117:$H$137,'Detalle Plan de Aquisicion '!$I$117:$I$137,100%,'Detalle Plan de Aquisicion '!$K$117:$K$137,'Plan de Adquisiciones'!$A27)+SUMIFS('Detalle Plan de Aquisicion '!$G$143:$G$145,'Detalle Plan de Aquisicion '!$H$143:$H$145,100%,'Detalle Plan de Aquisicion '!$K$143:$K$145,'Plan de Adquisiciones'!$A27)+SUMIFS('Detalle Plan de Aquisicion '!$H$152,'Detalle Plan de Aquisicion '!$I$152,100%,'Detalle Plan de Aquisicion '!$K$152,'Plan de Adquisiciones'!$A27)</f>
        <v>48</v>
      </c>
      <c r="D27" s="174">
        <f>SUMIFS('Detalle Plan de Aquisicion '!$H$17:$H$19,'Detalle Plan de Aquisicion '!$J$17:$J$19,100%,'Detalle Plan de Aquisicion '!$K$17:$K$19,'Plan de Adquisiciones'!$A27)+SUMIFS('Detalle Plan de Aquisicion '!$H$25:$H$70,'Detalle Plan de Aquisicion '!$J$25:$J$70,100%,'Detalle Plan de Aquisicion '!$K$25:$K$70,'Plan de Adquisiciones'!$A27)+SUMIFS('Detalle Plan de Aquisicion '!$H$76:$H$110,'Detalle Plan de Aquisicion '!$J$76:$J$110,100%,'Detalle Plan de Aquisicion '!$K$76:$K$110,'Plan de Adquisiciones'!$A27)+SUMIFS('Detalle Plan de Aquisicion '!$H$117:$H$137,'Detalle Plan de Aquisicion '!$J$117:$J$137,100%,'Detalle Plan de Aquisicion '!$K$117:$K$137,'Plan de Adquisiciones'!$A27)+SUMIFS('Detalle Plan de Aquisicion '!$G$143:$G$145,'Detalle Plan de Aquisicion '!$I$143:$I$145,100%,'Detalle Plan de Aquisicion '!$K$143:$K$145,'Plan de Adquisiciones'!$A27)+SUMIFS('Detalle Plan de Aquisicion '!$H$152,'Detalle Plan de Aquisicion '!$J$152,100%,'Detalle Plan de Aquisicion '!$K$152,'Plan de Adquisiciones'!$A27)</f>
        <v>15.643000000000001</v>
      </c>
      <c r="E27" s="174"/>
      <c r="F27" s="174"/>
      <c r="G27" s="253">
        <f t="shared" ref="G27:G37" si="2">SUM(C27:F27)</f>
        <v>63.643000000000001</v>
      </c>
      <c r="H27" s="191">
        <v>4.0000000000000001E-3</v>
      </c>
      <c r="I27" s="256"/>
      <c r="J27" s="187"/>
      <c r="K27" s="363"/>
      <c r="L27" s="187"/>
      <c r="M27" s="187"/>
      <c r="N27" s="187"/>
      <c r="O27" s="188"/>
    </row>
    <row r="28" spans="1:15" ht="26.25" x14ac:dyDescent="0.25">
      <c r="A28" s="249" t="s">
        <v>327</v>
      </c>
      <c r="B28" s="190" t="s">
        <v>306</v>
      </c>
      <c r="C28" s="174">
        <f>SUMIFS('Detalle Plan de Aquisicion '!$H$17:$H$19,'Detalle Plan de Aquisicion '!$I$17:$I$19,100%,'Detalle Plan de Aquisicion '!$K$17:$K$19,'Plan de Adquisiciones'!$A28)+SUMIFS('Detalle Plan de Aquisicion '!$H$25:$H$70,'Detalle Plan de Aquisicion '!$I$25:$I$70,100%,'Detalle Plan de Aquisicion '!$K$25:$K$70,'Plan de Adquisiciones'!$A28)+SUMIFS('Detalle Plan de Aquisicion '!$H$76:$H$110,'Detalle Plan de Aquisicion '!$I$76:$I$110,100%,'Detalle Plan de Aquisicion '!$K$76:$K$110,'Plan de Adquisiciones'!$A28)+SUMIFS('Detalle Plan de Aquisicion '!$H$117:$H$137,'Detalle Plan de Aquisicion '!$I$117:$I$137,100%,'Detalle Plan de Aquisicion '!$K$117:$K$137,'Plan de Adquisiciones'!$A28)+SUMIFS('Detalle Plan de Aquisicion '!$G$143:$G$145,'Detalle Plan de Aquisicion '!$H$143:$H$145,100%,'Detalle Plan de Aquisicion '!$K$143:$K$145,'Plan de Adquisiciones'!$A28)+SUMIFS('Detalle Plan de Aquisicion '!$H$152,'Detalle Plan de Aquisicion '!$I$152,100%,'Detalle Plan de Aquisicion '!$K$152,'Plan de Adquisiciones'!$A28)</f>
        <v>100</v>
      </c>
      <c r="D28" s="174">
        <f>SUMIFS('Detalle Plan de Aquisicion '!$H$17:$H$19,'Detalle Plan de Aquisicion '!$J$17:$J$19,100%,'Detalle Plan de Aquisicion '!$K$17:$K$19,'Plan de Adquisiciones'!$A28)+SUMIFS('Detalle Plan de Aquisicion '!$H$25:$H$65,'Detalle Plan de Aquisicion '!$J$25:$J$65,100%,'Detalle Plan de Aquisicion '!$K$25:$K$65,'Plan de Adquisiciones'!$A28)+SUMIFS('Detalle Plan de Aquisicion '!$H$76:$H$110,'Detalle Plan de Aquisicion '!$J$76:$J$110,100%,'Detalle Plan de Aquisicion '!$K$76:$K$110,'Plan de Adquisiciones'!$A28)+SUMIFS('Detalle Plan de Aquisicion '!$H$117:$H$137,'Detalle Plan de Aquisicion '!$J$117:$J$137,100%,'Detalle Plan de Aquisicion '!$K$117:$K$137,'Plan de Adquisiciones'!$A28)+SUMIFS('Detalle Plan de Aquisicion '!$G$143:$G$145,'Detalle Plan de Aquisicion '!$I$143:$I$145,100%,'Detalle Plan de Aquisicion '!$K$143:$K$145,'Plan de Adquisiciones'!$A28)+SUMIFS('Detalle Plan de Aquisicion '!$H$152,'Detalle Plan de Aquisicion '!$J$152,100%,'Detalle Plan de Aquisicion '!$K$152,'Plan de Adquisiciones'!$A28)</f>
        <v>15.643000000000001</v>
      </c>
      <c r="E28" s="174"/>
      <c r="F28" s="174"/>
      <c r="G28" s="253">
        <f t="shared" si="2"/>
        <v>115.643</v>
      </c>
      <c r="H28" s="191">
        <v>7.0000000000000001E-3</v>
      </c>
      <c r="I28" s="256"/>
      <c r="J28" s="187"/>
      <c r="K28" s="363"/>
      <c r="L28" s="187"/>
      <c r="M28" s="187"/>
      <c r="N28" s="187"/>
      <c r="O28" s="188"/>
    </row>
    <row r="29" spans="1:15" x14ac:dyDescent="0.25">
      <c r="A29" s="250" t="s">
        <v>328</v>
      </c>
      <c r="B29" s="192" t="s">
        <v>307</v>
      </c>
      <c r="C29" s="174">
        <f>SUMIFS('Detalle Plan de Aquisicion '!$H$17:$H$19,'Detalle Plan de Aquisicion '!$I$17:$I$19,100%,'Detalle Plan de Aquisicion '!$K$17:$K$19,'Plan de Adquisiciones'!$A29)+SUMIFS('Detalle Plan de Aquisicion '!$H$25:$H$70,'Detalle Plan de Aquisicion '!$I$25:$I$70,100%,'Detalle Plan de Aquisicion '!$K$25:$K$70,'Plan de Adquisiciones'!$A29)+SUMIFS('Detalle Plan de Aquisicion '!$H$76:$H$110,'Detalle Plan de Aquisicion '!$I$76:$I$110,100%,'Detalle Plan de Aquisicion '!$K$76:$K$110,'Plan de Adquisiciones'!$A29)+SUMIFS('Detalle Plan de Aquisicion '!$H$117:$H$137,'Detalle Plan de Aquisicion '!$I$117:$I$137,100%,'Detalle Plan de Aquisicion '!$K$117:$K$137,'Plan de Adquisiciones'!$A29)+SUMIFS('Detalle Plan de Aquisicion '!$G$143:$G$145,'Detalle Plan de Aquisicion '!$H$143:$H$145,100%,'Detalle Plan de Aquisicion '!$K$143:$K$145,'Plan de Adquisiciones'!$A29)+SUMIFS('Detalle Plan de Aquisicion '!$H$152,'Detalle Plan de Aquisicion '!$I$152,100%,'Detalle Plan de Aquisicion '!$K$152,'Plan de Adquisiciones'!$A29)</f>
        <v>527.08800000000008</v>
      </c>
      <c r="D29" s="174">
        <f>SUMIFS('Detalle Plan de Aquisicion '!$H$17:$H$19,'Detalle Plan de Aquisicion '!$J$17:$J$19,100%,'Detalle Plan de Aquisicion '!$K$17:$K$19,'Plan de Adquisiciones'!$A29)+SUMIFS('Detalle Plan de Aquisicion '!$H$25:$H$65,'Detalle Plan de Aquisicion '!$J$25:$J$65,100%,'Detalle Plan de Aquisicion '!$K$25:$K$65,'Plan de Adquisiciones'!$A29)+SUMIFS('Detalle Plan de Aquisicion '!$H$76:$H$110,'Detalle Plan de Aquisicion '!$J$76:$J$110,100%,'Detalle Plan de Aquisicion '!$K$76:$K$110,'Plan de Adquisiciones'!$A29)+SUMIFS('Detalle Plan de Aquisicion '!$H$117:$H$137,'Detalle Plan de Aquisicion '!$J$117:$J$137,100%,'Detalle Plan de Aquisicion '!$K$117:$K$137,'Plan de Adquisiciones'!$A29)+SUMIFS('Detalle Plan de Aquisicion '!$G$143:$G$145,'Detalle Plan de Aquisicion '!$I$143:$I$145,100%,'Detalle Plan de Aquisicion '!$K$143:$K$145,'Plan de Adquisiciones'!$A29)+SUMIFS('Detalle Plan de Aquisicion '!$H$152,'Detalle Plan de Aquisicion '!$J$152,100%,'Detalle Plan de Aquisicion '!$K$152,'Plan de Adquisiciones'!$A29)</f>
        <v>135.624</v>
      </c>
      <c r="E29" s="193"/>
      <c r="F29" s="174"/>
      <c r="G29" s="253">
        <f t="shared" si="2"/>
        <v>662.7120000000001</v>
      </c>
      <c r="H29" s="191">
        <v>3.6999999999999998E-2</v>
      </c>
      <c r="I29" s="256"/>
      <c r="J29" s="187"/>
      <c r="K29" s="363"/>
      <c r="L29" s="187"/>
      <c r="M29" s="187"/>
      <c r="N29" s="161"/>
      <c r="O29" s="161"/>
    </row>
    <row r="30" spans="1:15" ht="38.25" x14ac:dyDescent="0.25">
      <c r="A30" s="248" t="s">
        <v>36</v>
      </c>
      <c r="B30" s="185" t="s">
        <v>308</v>
      </c>
      <c r="C30" s="359">
        <f>SUM(C31:C32)</f>
        <v>7504.9165013999991</v>
      </c>
      <c r="D30" s="359">
        <f>SUM(D31:D32)</f>
        <v>97.765698600000007</v>
      </c>
      <c r="E30" s="214">
        <f t="shared" ref="E30:F30" si="3">SUM(E31:E32)</f>
        <v>3000</v>
      </c>
      <c r="F30" s="214">
        <f t="shared" si="3"/>
        <v>2000</v>
      </c>
      <c r="G30" s="251">
        <f>SUM(C30:F30)</f>
        <v>12602.682199999999</v>
      </c>
      <c r="H30" s="189">
        <v>0.71</v>
      </c>
      <c r="I30" s="256"/>
      <c r="J30" s="187"/>
      <c r="K30" s="363"/>
      <c r="L30" s="187"/>
      <c r="M30" s="187"/>
      <c r="N30" s="161"/>
      <c r="O30" s="161"/>
    </row>
    <row r="31" spans="1:15" s="384" customFormat="1" ht="39" x14ac:dyDescent="0.25">
      <c r="A31" s="249" t="s">
        <v>329</v>
      </c>
      <c r="B31" s="194" t="s">
        <v>309</v>
      </c>
      <c r="C31" s="174">
        <f>SUMIFS('Detalle Plan de Aquisicion '!$H$17:$H$19,'Detalle Plan de Aquisicion '!$I$17:$I$19,100%,'Detalle Plan de Aquisicion '!$K$17:$K$19,'Plan de Adquisiciones'!$A31)+SUMIFS('Detalle Plan de Aquisicion '!$H$25:$H$70,'Detalle Plan de Aquisicion '!$I$25:$I$70,100%,'Detalle Plan de Aquisicion '!$K$25:$K$70,'Plan de Adquisiciones'!$A31)+SUMIFS('Detalle Plan de Aquisicion '!$H$76:$H$110,'Detalle Plan de Aquisicion '!$I$76:$I$110,100%,'Detalle Plan de Aquisicion '!$K$76:$K$110,'Plan de Adquisiciones'!$A31)+SUMIFS('Detalle Plan de Aquisicion '!$H$117:$H$137,'Detalle Plan de Aquisicion '!$I$117:$I$137,100%,'Detalle Plan de Aquisicion '!$K$117:$K$137,'Plan de Adquisiciones'!$A31)+SUMIFS('Detalle Plan de Aquisicion '!$G$143:$G$145,'Detalle Plan de Aquisicion '!$H$143:$H$145,100%,'Detalle Plan de Aquisicion '!$K$143:$K$145,'Plan de Adquisiciones'!$A31)+SUMIFS('Detalle Plan de Aquisicion '!$H$152,'Detalle Plan de Aquisicion '!$I$152,100%,'Detalle Plan de Aquisicion '!$K$152,'Plan de Adquisiciones'!$A31)</f>
        <v>50</v>
      </c>
      <c r="D31" s="174">
        <f>SUMIFS('Detalle Plan de Aquisicion '!$H$17:$H$19,'Detalle Plan de Aquisicion '!$J$17:$J$19,100%,'Detalle Plan de Aquisicion '!$K$17:$K$19,'Plan de Adquisiciones'!$A31)+SUMIFS('Detalle Plan de Aquisicion '!$H$25:$H$70,'Detalle Plan de Aquisicion '!$J$25:$J$70,100%,'Detalle Plan de Aquisicion '!$K$25:$K$70,'Plan de Adquisiciones'!$A31)+SUMIFS('Detalle Plan de Aquisicion '!$H$76:$H$110,'Detalle Plan de Aquisicion '!$J$76:$J$110,100%,'Detalle Plan de Aquisicion '!$K$76:$K$110,'Plan de Adquisiciones'!$A31)+SUMIFS('Detalle Plan de Aquisicion '!$H$117:$H$137,'Detalle Plan de Aquisicion '!$J$117:$J$137,100%,'Detalle Plan de Aquisicion '!$K$117:$K$137,'Plan de Adquisiciones'!$A31)+SUMIFS('Detalle Plan de Aquisicion '!$G$143:$G$145,'Detalle Plan de Aquisicion '!$I$143:$I$145,100%,'Detalle Plan de Aquisicion '!$K$143:$K$145,'Plan de Adquisiciones'!$A31)+SUMIFS('Detalle Plan de Aquisicion '!$H$152,'Detalle Plan de Aquisicion '!$J$152,100%,'Detalle Plan de Aquisicion '!$K$152,'Plan de Adquisiciones'!$A31)</f>
        <v>46.627000000000002</v>
      </c>
      <c r="E31" s="389"/>
      <c r="F31" s="174"/>
      <c r="G31" s="253">
        <f t="shared" si="2"/>
        <v>96.62700000000001</v>
      </c>
      <c r="H31" s="390">
        <v>1.7000000000000001E-2</v>
      </c>
      <c r="I31" s="256"/>
      <c r="J31" s="187"/>
      <c r="K31" s="363"/>
      <c r="L31" s="187"/>
      <c r="M31" s="187"/>
      <c r="N31" s="161"/>
      <c r="O31" s="161"/>
    </row>
    <row r="32" spans="1:15" s="384" customFormat="1" ht="26.25" x14ac:dyDescent="0.25">
      <c r="A32" s="250" t="s">
        <v>330</v>
      </c>
      <c r="B32" s="194" t="s">
        <v>310</v>
      </c>
      <c r="C32" s="174">
        <f>SUMIFS('Detalle Plan de Aquisicion '!$H$17:$H$19,'Detalle Plan de Aquisicion '!$I$17:$I$19,100%,'Detalle Plan de Aquisicion '!$K$17:$K$19,'Plan de Adquisiciones'!$A32)+SUMIFS('Detalle Plan de Aquisicion '!$H$25:$H$70,'Detalle Plan de Aquisicion '!$I$25:$I$70,100%,'Detalle Plan de Aquisicion '!$K$25:$K$70,'Plan de Adquisiciones'!$A32)+SUMIFS('Detalle Plan de Aquisicion '!$H$76:$H$108,'Detalle Plan de Aquisicion '!$I$76:$I$108,100%,'Detalle Plan de Aquisicion '!$K$76:$K$108,'Plan de Adquisiciones'!$A32)+'Detalle Plan de Aquisicion '!I109*'Detalle Plan de Aquisicion '!H109+'Detalle Plan de Aquisicion '!I110*'Detalle Plan de Aquisicion '!H110+SUMIFS('Detalle Plan de Aquisicion '!$H$117:$H$137,'Detalle Plan de Aquisicion '!$I$117:$I$137,100%,'Detalle Plan de Aquisicion '!$K$117:$K$137,'Plan de Adquisiciones'!$A32)+SUMIFS('Detalle Plan de Aquisicion '!$G$143:$G$146,'Detalle Plan de Aquisicion '!$H$143:$H$146,100%,'Detalle Plan de Aquisicion '!$K$143:$K$146,'Plan de Adquisiciones'!$A32)+SUMIFS('Detalle Plan de Aquisicion '!$H$152,'Detalle Plan de Aquisicion '!$I$152,100%,'Detalle Plan de Aquisicion '!$K$152,'Plan de Adquisiciones'!$A32)</f>
        <v>7454.9165013999991</v>
      </c>
      <c r="D32" s="174">
        <f>SUMIFS('Detalle Plan de Aquisicion '!$H$17:$H$19,'Detalle Plan de Aquisicion '!$J$17:$J$19,100%,'Detalle Plan de Aquisicion '!$K$17:$K$19,'Plan de Adquisiciones'!$A32)+SUMIFS('Detalle Plan de Aquisicion '!$H$25:$H$65,'Detalle Plan de Aquisicion '!$J$25:$J$65,100%,'Detalle Plan de Aquisicion '!$K$25:$K$65,'Plan de Adquisiciones'!$A32)+SUMIFS('Detalle Plan de Aquisicion '!$H$76:$H$108,'Detalle Plan de Aquisicion '!$J$76:$J$108,100%,'Detalle Plan de Aquisicion '!$K$76:$K$108,'Plan de Adquisiciones'!$A32)+'Detalle Plan de Aquisicion '!J109*'Detalle Plan de Aquisicion '!H109+'Detalle Plan de Aquisicion '!J110*'Detalle Plan de Aquisicion '!H110+SUMIFS('Detalle Plan de Aquisicion '!$H$117:$H$137,'Detalle Plan de Aquisicion '!$J$117:$J$137,100%,'Detalle Plan de Aquisicion '!$K$117:$K$137,'Plan de Adquisiciones'!$A32)+SUMIFS('Detalle Plan de Aquisicion '!$G$143:$G$146,'Detalle Plan de Aquisicion '!$I$143:$I$146,100%,'Detalle Plan de Aquisicion '!$K$143:$K$146,'Plan de Adquisiciones'!$A32)+SUMIFS('Detalle Plan de Aquisicion '!$H$152,'Detalle Plan de Aquisicion '!$J$152,100%,'Detalle Plan de Aquisicion '!$K$152,'Plan de Adquisiciones'!$A32)</f>
        <v>51.138698599999998</v>
      </c>
      <c r="E32" s="391">
        <v>3000</v>
      </c>
      <c r="F32" s="391">
        <v>2000</v>
      </c>
      <c r="G32" s="253">
        <f t="shared" si="2"/>
        <v>12506.055199999999</v>
      </c>
      <c r="H32" s="390">
        <v>0.69299999999999995</v>
      </c>
      <c r="I32" s="256"/>
      <c r="J32" s="187"/>
      <c r="K32" s="363"/>
      <c r="L32" s="187"/>
      <c r="M32" s="187"/>
      <c r="N32" s="161"/>
      <c r="O32" s="161"/>
    </row>
    <row r="33" spans="1:15" ht="51" x14ac:dyDescent="0.25">
      <c r="A33" s="248" t="s">
        <v>212</v>
      </c>
      <c r="B33" s="196" t="s">
        <v>311</v>
      </c>
      <c r="C33" s="359">
        <f>SUM(C34)</f>
        <v>280</v>
      </c>
      <c r="D33" s="359">
        <f>SUM(D34)</f>
        <v>0</v>
      </c>
      <c r="E33" s="174"/>
      <c r="F33" s="254"/>
      <c r="G33" s="251">
        <f t="shared" si="2"/>
        <v>280</v>
      </c>
      <c r="H33" s="189">
        <v>1.6E-2</v>
      </c>
      <c r="I33" s="256"/>
      <c r="J33" s="187"/>
      <c r="K33" s="363"/>
      <c r="L33" s="271"/>
      <c r="M33" s="187"/>
      <c r="N33" s="161"/>
      <c r="O33" s="161"/>
    </row>
    <row r="34" spans="1:15" ht="39" x14ac:dyDescent="0.25">
      <c r="A34" s="250" t="s">
        <v>331</v>
      </c>
      <c r="B34" s="194" t="s">
        <v>312</v>
      </c>
      <c r="C34" s="174">
        <f>SUMIFS('Detalle Plan de Aquisicion '!$H$17:$H$19,'Detalle Plan de Aquisicion '!$I$17:$I$19,100%,'Detalle Plan de Aquisicion '!$K$17:$K$19,'Plan de Adquisiciones'!$A34)+SUMIFS('Detalle Plan de Aquisicion '!$H$25:$H$65,'Detalle Plan de Aquisicion '!$I$25:$I$65,100%,'Detalle Plan de Aquisicion '!$K$25:$K$65,'Plan de Adquisiciones'!$A34)+SUMIFS('Detalle Plan de Aquisicion '!$H$76:$H$110,'Detalle Plan de Aquisicion '!$I$76:$I$110,100%,'Detalle Plan de Aquisicion '!$K$76:$K$110,'Plan de Adquisiciones'!$A34)+SUMIFS('Detalle Plan de Aquisicion '!$H$117:$H$137,'Detalle Plan de Aquisicion '!$I$117:$I$137,100%,'Detalle Plan de Aquisicion '!$K$117:$K$137,'Plan de Adquisiciones'!$A34)+SUMIFS('Detalle Plan de Aquisicion '!$G$143:$G$145,'Detalle Plan de Aquisicion '!$H$143:$H$145,100%,'Detalle Plan de Aquisicion '!$K$143:$K$145,'Plan de Adquisiciones'!$A34)+SUMIFS('Detalle Plan de Aquisicion '!$H$152,'Detalle Plan de Aquisicion '!$I$152,100%,'Detalle Plan de Aquisicion '!$K$152,'Plan de Adquisiciones'!$A34)</f>
        <v>280</v>
      </c>
      <c r="D34" s="174">
        <f>SUMIFS('Detalle Plan de Aquisicion '!$H$17:$H$19,'Detalle Plan de Aquisicion '!$J$17:$J$19,100%,'Detalle Plan de Aquisicion '!$K$17:$K$19,'Plan de Adquisiciones'!$A34)+SUMIFS('Detalle Plan de Aquisicion '!$H$25:$H$70,'Detalle Plan de Aquisicion '!$J$25:$J$70,100%,'Detalle Plan de Aquisicion '!$K$25:$K$70,'Plan de Adquisiciones'!$A34)+SUMIFS('Detalle Plan de Aquisicion '!$H$76:$H$110,'Detalle Plan de Aquisicion '!$J$76:$J$110,100%,'Detalle Plan de Aquisicion '!$K$76:$K$110,'Plan de Adquisiciones'!$A34)+SUMIFS('Detalle Plan de Aquisicion '!$H$117:$H$137,'Detalle Plan de Aquisicion '!$J$117:$J$137,100%,'Detalle Plan de Aquisicion '!$K$117:$K$137,'Plan de Adquisiciones'!$A34)+SUMIFS('Detalle Plan de Aquisicion '!$G$143:$G$145,'Detalle Plan de Aquisicion '!$I$143:$I$145,100%,'Detalle Plan de Aquisicion '!$K$143:$K$145,'Plan de Adquisiciones'!$A34)+SUMIFS('Detalle Plan de Aquisicion '!$H$152,'Detalle Plan de Aquisicion '!$J$152,100%,'Detalle Plan de Aquisicion '!$K$152,'Plan de Adquisiciones'!$A34)</f>
        <v>0</v>
      </c>
      <c r="E34" s="193"/>
      <c r="F34" s="174"/>
      <c r="G34" s="253">
        <f t="shared" si="2"/>
        <v>280</v>
      </c>
      <c r="H34" s="191">
        <v>1.6E-2</v>
      </c>
      <c r="I34" s="256"/>
      <c r="J34" s="187"/>
      <c r="K34" s="363"/>
      <c r="L34" s="187"/>
      <c r="M34" s="187"/>
      <c r="N34" s="161"/>
      <c r="O34" s="161"/>
    </row>
    <row r="35" spans="1:15" ht="57" customHeight="1" x14ac:dyDescent="0.25">
      <c r="A35" s="248" t="s">
        <v>210</v>
      </c>
      <c r="B35" s="185" t="s">
        <v>313</v>
      </c>
      <c r="C35" s="359">
        <f>SUM(C36:C37)</f>
        <v>412</v>
      </c>
      <c r="D35" s="359">
        <f>SUM(D36:D37)</f>
        <v>68</v>
      </c>
      <c r="E35" s="193"/>
      <c r="F35" s="174"/>
      <c r="G35" s="251">
        <f t="shared" si="2"/>
        <v>480</v>
      </c>
      <c r="H35" s="189">
        <v>2.7E-2</v>
      </c>
      <c r="I35" s="256"/>
      <c r="J35" s="187"/>
      <c r="K35" s="363"/>
      <c r="L35" s="187"/>
      <c r="M35" s="187"/>
      <c r="N35" s="161"/>
      <c r="O35" s="161"/>
    </row>
    <row r="36" spans="1:15" ht="51.75" x14ac:dyDescent="0.25">
      <c r="A36" s="252" t="s">
        <v>332</v>
      </c>
      <c r="B36" s="194" t="s">
        <v>314</v>
      </c>
      <c r="C36" s="174">
        <f>SUMIFS('Detalle Plan de Aquisicion '!$H$17:$H$19,'Detalle Plan de Aquisicion '!$I$17:$I$19,100%,'Detalle Plan de Aquisicion '!$K$17:$K$19,'Plan de Adquisiciones'!$A36)+SUMIFS('Detalle Plan de Aquisicion '!$H$25:$H$70,'Detalle Plan de Aquisicion '!$I$25:$I$70,100%,'Detalle Plan de Aquisicion '!$K$25:$K$70,'Plan de Adquisiciones'!$A36)+SUMIFS('Detalle Plan de Aquisicion '!$H$76:$H$110,'Detalle Plan de Aquisicion '!$I$76:$I$110,100%,'Detalle Plan de Aquisicion '!$K$76:$K$110,'Plan de Adquisiciones'!$A36)+SUMIFS('Detalle Plan de Aquisicion '!$H$117:$H$137,'Detalle Plan de Aquisicion '!$I$117:$I$137,100%,'Detalle Plan de Aquisicion '!$K$117:$K$137,'Plan de Adquisiciones'!$A36)+SUMIFS('Detalle Plan de Aquisicion '!$G$143:$G$145,'Detalle Plan de Aquisicion '!$H$143:$H$145,100%,'Detalle Plan de Aquisicion '!$K$143:$K$145,'Plan de Adquisiciones'!$A36)+SUMIFS('Detalle Plan de Aquisicion '!$H$152,'Detalle Plan de Aquisicion '!$I$152,100%,'Detalle Plan de Aquisicion '!$K$152,'Plan de Adquisiciones'!$A36)</f>
        <v>215</v>
      </c>
      <c r="D36" s="174">
        <f>SUMIFS('Detalle Plan de Aquisicion '!$H$17:$H$19,'Detalle Plan de Aquisicion '!$J$17:$J$19,100%,'Detalle Plan de Aquisicion '!$K$17:$K$19,'Plan de Adquisiciones'!$A36)+SUMIFS('Detalle Plan de Aquisicion '!$H$25:$H$70,'Detalle Plan de Aquisicion '!$J$25:$J$70,100%,'Detalle Plan de Aquisicion '!$K$25:$K$70,'Plan de Adquisiciones'!$A36)+SUMIFS('Detalle Plan de Aquisicion '!$H$76:$H$110,'Detalle Plan de Aquisicion '!$J$76:$J$110,100%,'Detalle Plan de Aquisicion '!$K$76:$K$110,'Plan de Adquisiciones'!$A36)+SUMIFS('Detalle Plan de Aquisicion '!$H$117:$H$137,'Detalle Plan de Aquisicion '!$J$117:$J$137,100%,'Detalle Plan de Aquisicion '!$K$117:$K$137,'Plan de Adquisiciones'!$A36)+SUMIFS('Detalle Plan de Aquisicion '!$G$143:$G$145,'Detalle Plan de Aquisicion '!$I$143:$I$145,100%,'Detalle Plan de Aquisicion '!$K$143:$K$145,'Plan de Adquisiciones'!$A36)+SUMIFS('Detalle Plan de Aquisicion '!$H$152,'Detalle Plan de Aquisicion '!$J$152,100%,'Detalle Plan de Aquisicion '!$K$152,'Plan de Adquisiciones'!$A36)</f>
        <v>47</v>
      </c>
      <c r="E36" s="193"/>
      <c r="F36" s="174"/>
      <c r="G36" s="253">
        <f t="shared" si="2"/>
        <v>262</v>
      </c>
      <c r="H36" s="191">
        <v>1.4999999999999999E-2</v>
      </c>
      <c r="I36" s="256"/>
      <c r="J36" s="187"/>
      <c r="K36" s="363"/>
      <c r="L36" s="187"/>
      <c r="M36" s="187"/>
      <c r="N36" s="161"/>
      <c r="O36" s="161"/>
    </row>
    <row r="37" spans="1:15" ht="26.25" x14ac:dyDescent="0.25">
      <c r="A37" s="250" t="s">
        <v>333</v>
      </c>
      <c r="B37" s="197" t="s">
        <v>315</v>
      </c>
      <c r="C37" s="174">
        <f>SUMIFS('Detalle Plan de Aquisicion '!$H$17:$H$19,'Detalle Plan de Aquisicion '!$I$17:$I$19,100%,'Detalle Plan de Aquisicion '!$K$17:$K$19,'Plan de Adquisiciones'!$A37)+SUMIFS('Detalle Plan de Aquisicion '!$H$25:$H$70,'Detalle Plan de Aquisicion '!$I$25:$I$70,100%,'Detalle Plan de Aquisicion '!$K$25:$K$70,'Plan de Adquisiciones'!$A37)+SUMIFS('Detalle Plan de Aquisicion '!$H$76:$H$110,'Detalle Plan de Aquisicion '!$I$76:$I$110,100%,'Detalle Plan de Aquisicion '!$K$76:$K$110,'Plan de Adquisiciones'!$A37)+SUMIFS('Detalle Plan de Aquisicion '!$H$117:$H$137,'Detalle Plan de Aquisicion '!$I$117:$I$137,100%,'Detalle Plan de Aquisicion '!$K$117:$K$137,'Plan de Adquisiciones'!$A37)+SUMIFS('Detalle Plan de Aquisicion '!$G$143:$G$145,'Detalle Plan de Aquisicion '!$H$143:$H$145,100%,'Detalle Plan de Aquisicion '!$K$143:$K$145,'Plan de Adquisiciones'!$A37)+SUMIFS('Detalle Plan de Aquisicion '!$H$152,'Detalle Plan de Aquisicion '!$I$152,100%,'Detalle Plan de Aquisicion '!$K$152,'Plan de Adquisiciones'!$A37)</f>
        <v>197</v>
      </c>
      <c r="D37" s="174">
        <f>SUMIFS('Detalle Plan de Aquisicion '!$H$17:$H$19,'Detalle Plan de Aquisicion '!$J$17:$J$19,100%,'Detalle Plan de Aquisicion '!$K$17:$K$19,'Plan de Adquisiciones'!$A37)+SUMIFS('Detalle Plan de Aquisicion '!$H$25:$H$70,'Detalle Plan de Aquisicion '!$J$25:$J$70,100%,'Detalle Plan de Aquisicion '!$K$25:$K$70,'Plan de Adquisiciones'!$A37)+SUMIFS('Detalle Plan de Aquisicion '!$H$76:$H$110,'Detalle Plan de Aquisicion '!$J$76:$J$110,100%,'Detalle Plan de Aquisicion '!$K$76:$K$110,'Plan de Adquisiciones'!$A37)+SUMIFS('Detalle Plan de Aquisicion '!$H$117:$H$137,'Detalle Plan de Aquisicion '!$J$117:$J$137,100%,'Detalle Plan de Aquisicion '!$K$117:$K$137,'Plan de Adquisiciones'!$A37)+SUMIFS('Detalle Plan de Aquisicion '!$G$143:$G$145,'Detalle Plan de Aquisicion '!$I$143:$I$145,100%,'Detalle Plan de Aquisicion '!$K$143:$K$145,'Plan de Adquisiciones'!$A37)+SUMIFS('Detalle Plan de Aquisicion '!$H$152,'Detalle Plan de Aquisicion '!$J$152,100%,'Detalle Plan de Aquisicion '!$K$152,'Plan de Adquisiciones'!$A37)</f>
        <v>21</v>
      </c>
      <c r="E37" s="193"/>
      <c r="F37" s="174"/>
      <c r="G37" s="253">
        <f t="shared" si="2"/>
        <v>218</v>
      </c>
      <c r="H37" s="191">
        <v>1.2E-2</v>
      </c>
      <c r="I37" s="256"/>
      <c r="J37" s="187"/>
      <c r="K37" s="363"/>
      <c r="L37" s="187"/>
      <c r="M37" s="187"/>
      <c r="N37" s="161"/>
      <c r="O37" s="161"/>
    </row>
    <row r="38" spans="1:15" x14ac:dyDescent="0.25">
      <c r="A38" s="184" t="s">
        <v>188</v>
      </c>
      <c r="B38" s="185" t="s">
        <v>184</v>
      </c>
      <c r="C38" s="359">
        <f>SUMIFS('Detalle Plan de Aquisicion '!$H$17:$H$19,'Detalle Plan de Aquisicion '!$I$17:$I$19,100%,'Detalle Plan de Aquisicion '!$K$17:$K$19,'Plan de Adquisiciones'!$A38)+SUMIFS('Detalle Plan de Aquisicion '!$H$25:$H$70,'Detalle Plan de Aquisicion '!$I$25:$I$70,100%,'Detalle Plan de Aquisicion '!$K$25:$K$70,'Plan de Adquisiciones'!$A38)+SUMIFS('Detalle Plan de Aquisicion '!$H$76:$H$110,'Detalle Plan de Aquisicion '!$I$76:$I$110,100%,'Detalle Plan de Aquisicion '!$K$76:$K$110,'Plan de Adquisiciones'!$A38)+SUMIFS('Detalle Plan de Aquisicion '!$H$117:$H$137,'Detalle Plan de Aquisicion '!$I$117:$I$137,100%,'Detalle Plan de Aquisicion '!$K$117:$K$137,'Plan de Adquisiciones'!$A38)+SUMIFS('Detalle Plan de Aquisicion '!$G$143:$G$145,'Detalle Plan de Aquisicion '!$H$143:$H$145,100%,'Detalle Plan de Aquisicion '!$K$143:$K$145,'Plan de Adquisiciones'!$A38)+SUMIFS('Detalle Plan de Aquisicion '!$H$152,'Detalle Plan de Aquisicion '!$I$152,100%,'Detalle Plan de Aquisicion '!$K$152,'Plan de Adquisiciones'!$A38)</f>
        <v>125</v>
      </c>
      <c r="D38" s="359">
        <f>SUMIFS('Detalle Plan de Aquisicion '!$H$17:$H$19,'Detalle Plan de Aquisicion '!$J$17:$J$19,100%,'Detalle Plan de Aquisicion '!$K$17:$K$19,'Plan de Adquisiciones'!$A38)+SUMIFS('Detalle Plan de Aquisicion '!$H$25:$H$65,'Detalle Plan de Aquisicion '!$J$25:$J$65,100%,'Detalle Plan de Aquisicion '!$K$25:$K$65,'Plan de Adquisiciones'!$A38)+SUMIFS('Detalle Plan de Aquisicion '!$H$76:$H$110,'Detalle Plan de Aquisicion '!$J$76:$J$110,100%,'Detalle Plan de Aquisicion '!$K$76:$K$110,'Plan de Adquisiciones'!$A38)+SUMIFS('Detalle Plan de Aquisicion '!$H$117:$H$137,'Detalle Plan de Aquisicion '!$J$117:$J$137,100%,'Detalle Plan de Aquisicion '!$K$117:$K$137,'Plan de Adquisiciones'!$A38)+SUMIFS('Detalle Plan de Aquisicion '!$G$143:$G$145,'Detalle Plan de Aquisicion '!$I$143:$I$145,100%,'Detalle Plan de Aquisicion '!$K$143:$K$145,'Plan de Adquisiciones'!$A38)+SUMIFS('Detalle Plan de Aquisicion '!$H$152,'Detalle Plan de Aquisicion '!$J$152,100%,'Detalle Plan de Aquisicion '!$K$152,'Plan de Adquisiciones'!$A38)</f>
        <v>0</v>
      </c>
      <c r="E38" s="193"/>
      <c r="F38" s="174"/>
      <c r="G38" s="251">
        <f>SUM(C38:F38)</f>
        <v>125</v>
      </c>
      <c r="H38" s="189">
        <v>7.0000000000000001E-3</v>
      </c>
      <c r="I38" s="256"/>
      <c r="J38" s="187"/>
      <c r="K38" s="363"/>
      <c r="L38" s="187"/>
      <c r="M38" s="187"/>
      <c r="N38" s="161"/>
      <c r="O38" s="161"/>
    </row>
    <row r="39" spans="1:15" x14ac:dyDescent="0.25">
      <c r="A39" s="198"/>
      <c r="B39" s="197" t="s">
        <v>316</v>
      </c>
      <c r="C39" s="360">
        <v>0</v>
      </c>
      <c r="D39" s="359">
        <v>20</v>
      </c>
      <c r="E39" s="193"/>
      <c r="F39" s="193"/>
      <c r="G39" s="251">
        <f>SUM(C39:F39)</f>
        <v>20</v>
      </c>
      <c r="H39" s="189">
        <v>1E-3</v>
      </c>
      <c r="I39" s="256"/>
      <c r="J39" s="187"/>
      <c r="K39" s="363"/>
      <c r="L39" s="187"/>
      <c r="M39" s="187"/>
      <c r="N39" s="161"/>
      <c r="O39" s="161"/>
    </row>
    <row r="40" spans="1:15" x14ac:dyDescent="0.25">
      <c r="A40" s="199"/>
      <c r="B40" s="185" t="s">
        <v>317</v>
      </c>
      <c r="C40" s="174">
        <v>0</v>
      </c>
      <c r="D40" s="359">
        <v>279.298</v>
      </c>
      <c r="E40" s="193"/>
      <c r="F40" s="174"/>
      <c r="G40" s="251">
        <f>SUM(C40:F40)</f>
        <v>279.298</v>
      </c>
      <c r="H40" s="189">
        <v>1.6E-2</v>
      </c>
      <c r="I40" s="256"/>
      <c r="J40" s="187"/>
      <c r="K40" s="363"/>
      <c r="L40" s="187"/>
      <c r="M40" s="187"/>
      <c r="N40" s="161"/>
      <c r="O40" s="161"/>
    </row>
    <row r="41" spans="1:15" ht="16.5" thickBot="1" x14ac:dyDescent="0.3">
      <c r="A41" s="179"/>
      <c r="B41" s="200" t="s">
        <v>40</v>
      </c>
      <c r="C41" s="181">
        <f>SUM(C25+C26+C30+C33+C35+C38)</f>
        <v>10000.0020014</v>
      </c>
      <c r="D41" s="181">
        <f>SUM(D25,D26,D30,D33,D35,D38,D39,D40,D39200)</f>
        <v>2761.9836986</v>
      </c>
      <c r="E41" s="255">
        <f>SUM(E30)</f>
        <v>3000</v>
      </c>
      <c r="F41" s="255">
        <f>SUM(F30)</f>
        <v>2000</v>
      </c>
      <c r="G41" s="255">
        <f>SUM(G25,G26,G30,G33,G35,G38,G39,G40,)</f>
        <v>17761.985699999997</v>
      </c>
      <c r="H41" s="201">
        <v>1</v>
      </c>
      <c r="I41" s="256"/>
      <c r="J41" s="202"/>
      <c r="K41" s="364"/>
      <c r="L41" s="202"/>
      <c r="M41" s="202"/>
      <c r="N41" s="161"/>
      <c r="O41" s="161"/>
    </row>
    <row r="42" spans="1:15" s="384" customFormat="1" x14ac:dyDescent="0.25">
      <c r="C42" s="333"/>
      <c r="H42" s="385"/>
      <c r="K42" s="386"/>
    </row>
    <row r="43" spans="1:15" s="384" customFormat="1" x14ac:dyDescent="0.25">
      <c r="C43" s="333"/>
      <c r="D43" s="247"/>
      <c r="K43" s="386"/>
    </row>
    <row r="44" spans="1:15" s="384" customFormat="1" x14ac:dyDescent="0.25">
      <c r="D44" s="333"/>
      <c r="G44" s="387"/>
      <c r="K44" s="386"/>
    </row>
    <row r="45" spans="1:15" s="384" customFormat="1" x14ac:dyDescent="0.25">
      <c r="C45" s="247"/>
      <c r="D45" s="387"/>
      <c r="K45" s="386"/>
    </row>
    <row r="46" spans="1:15" s="384" customFormat="1" x14ac:dyDescent="0.25">
      <c r="C46" s="409"/>
      <c r="D46" s="333"/>
      <c r="G46" s="388"/>
      <c r="K46" s="386"/>
    </row>
    <row r="47" spans="1:15" s="384" customFormat="1" x14ac:dyDescent="0.25">
      <c r="C47" s="408"/>
      <c r="D47" s="333"/>
      <c r="K47" s="386"/>
    </row>
    <row r="48" spans="1:15" s="384" customFormat="1" x14ac:dyDescent="0.25">
      <c r="C48" s="408"/>
      <c r="D48" s="333"/>
      <c r="K48" s="386"/>
    </row>
    <row r="50" spans="3:3" x14ac:dyDescent="0.25">
      <c r="C50" s="407"/>
    </row>
  </sheetData>
  <mergeCells count="12">
    <mergeCell ref="E7:F7"/>
    <mergeCell ref="B8:D8"/>
    <mergeCell ref="A9:G9"/>
    <mergeCell ref="A23:H23"/>
    <mergeCell ref="J23:O23"/>
    <mergeCell ref="A7:D7"/>
    <mergeCell ref="B1:H1"/>
    <mergeCell ref="A2:D2"/>
    <mergeCell ref="A3:D3"/>
    <mergeCell ref="A4:D4"/>
    <mergeCell ref="A6:D6"/>
    <mergeCell ref="E6:F6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1"/>
  <sheetViews>
    <sheetView view="pageBreakPreview" zoomScaleNormal="100" zoomScaleSheetLayoutView="100" workbookViewId="0">
      <selection activeCell="C19" sqref="C19"/>
    </sheetView>
  </sheetViews>
  <sheetFormatPr defaultColWidth="9.140625" defaultRowHeight="15" x14ac:dyDescent="0.25"/>
  <cols>
    <col min="2" max="2" width="44.5703125" customWidth="1"/>
    <col min="3" max="3" width="46.28515625" customWidth="1"/>
    <col min="4" max="4" width="30.85546875" bestFit="1" customWidth="1"/>
  </cols>
  <sheetData>
    <row r="1" spans="2:4" ht="15.75" thickBot="1" x14ac:dyDescent="0.3">
      <c r="B1" s="138"/>
      <c r="C1" s="138"/>
      <c r="D1" s="138"/>
    </row>
    <row r="2" spans="2:4" x14ac:dyDescent="0.25">
      <c r="B2" s="139" t="s">
        <v>263</v>
      </c>
      <c r="C2" s="140" t="s">
        <v>264</v>
      </c>
      <c r="D2" s="141" t="s">
        <v>265</v>
      </c>
    </row>
    <row r="3" spans="2:4" x14ac:dyDescent="0.25">
      <c r="B3" s="504" t="s">
        <v>266</v>
      </c>
      <c r="C3" s="142"/>
      <c r="D3" s="143"/>
    </row>
    <row r="4" spans="2:4" x14ac:dyDescent="0.25">
      <c r="B4" s="505"/>
      <c r="C4" s="142"/>
      <c r="D4" s="143"/>
    </row>
    <row r="5" spans="2:4" x14ac:dyDescent="0.25">
      <c r="B5" s="505"/>
      <c r="C5" s="142"/>
      <c r="D5" s="143"/>
    </row>
    <row r="6" spans="2:4" x14ac:dyDescent="0.25">
      <c r="B6" s="505"/>
      <c r="C6" s="142"/>
      <c r="D6" s="143"/>
    </row>
    <row r="7" spans="2:4" x14ac:dyDescent="0.25">
      <c r="B7" s="505"/>
      <c r="C7" s="142"/>
      <c r="D7" s="143"/>
    </row>
    <row r="8" spans="2:4" x14ac:dyDescent="0.25">
      <c r="B8" s="505"/>
      <c r="C8" s="142"/>
      <c r="D8" s="143"/>
    </row>
    <row r="9" spans="2:4" ht="15.75" thickBot="1" x14ac:dyDescent="0.3">
      <c r="B9" s="506"/>
      <c r="C9" s="144"/>
      <c r="D9" s="145"/>
    </row>
    <row r="11" spans="2:4" ht="48" customHeight="1" x14ac:dyDescent="0.25">
      <c r="B11" s="507" t="s">
        <v>267</v>
      </c>
      <c r="C11" s="507"/>
      <c r="D11" s="138"/>
    </row>
    <row r="12" spans="2:4" ht="15.75" thickBot="1" x14ac:dyDescent="0.3">
      <c r="B12" s="138"/>
      <c r="C12" s="138"/>
      <c r="D12" s="138"/>
    </row>
    <row r="13" spans="2:4" x14ac:dyDescent="0.25">
      <c r="B13" s="146" t="s">
        <v>268</v>
      </c>
      <c r="C13" s="147" t="s">
        <v>269</v>
      </c>
      <c r="D13" s="148"/>
    </row>
    <row r="14" spans="2:4" x14ac:dyDescent="0.25">
      <c r="B14" s="508" t="s">
        <v>270</v>
      </c>
      <c r="C14" s="149" t="s">
        <v>271</v>
      </c>
      <c r="D14" s="148"/>
    </row>
    <row r="15" spans="2:4" ht="38.25" x14ac:dyDescent="0.25">
      <c r="B15" s="508"/>
      <c r="C15" s="150" t="s">
        <v>272</v>
      </c>
      <c r="D15" s="148"/>
    </row>
    <row r="16" spans="2:4" ht="30" customHeight="1" x14ac:dyDescent="0.25">
      <c r="B16" s="508"/>
      <c r="C16" s="150" t="s">
        <v>273</v>
      </c>
      <c r="D16" s="138"/>
    </row>
    <row r="17" spans="2:4" ht="25.5" x14ac:dyDescent="0.25">
      <c r="B17" s="508"/>
      <c r="C17" s="150" t="s">
        <v>274</v>
      </c>
      <c r="D17" s="138"/>
    </row>
    <row r="18" spans="2:4" ht="38.25" x14ac:dyDescent="0.25">
      <c r="B18" s="508"/>
      <c r="C18" s="150" t="s">
        <v>275</v>
      </c>
    </row>
    <row r="19" spans="2:4" ht="15.75" thickBot="1" x14ac:dyDescent="0.3">
      <c r="B19" s="509"/>
      <c r="C19" s="151" t="s">
        <v>184</v>
      </c>
    </row>
    <row r="21" spans="2:4" ht="38.25" customHeight="1" x14ac:dyDescent="0.25">
      <c r="B21" s="510" t="s">
        <v>276</v>
      </c>
      <c r="C21" s="510"/>
    </row>
  </sheetData>
  <mergeCells count="4">
    <mergeCell ref="B3:B9"/>
    <mergeCell ref="B11:C11"/>
    <mergeCell ref="B14:B19"/>
    <mergeCell ref="B21:C2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Detalle Plan de Aquisicion </vt:lpstr>
      <vt:lpstr>Plan de Adquisiciones</vt:lpstr>
      <vt:lpstr>Estructura del Proyecto</vt:lpstr>
    </vt:vector>
  </TitlesOfParts>
  <Company>SECTEC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Cinthia Melo do Carmo</dc:creator>
  <cp:lastModifiedBy>Luciana Tavora</cp:lastModifiedBy>
  <dcterms:created xsi:type="dcterms:W3CDTF">2017-04-20T21:10:57Z</dcterms:created>
  <dcterms:modified xsi:type="dcterms:W3CDTF">2017-10-27T15:02:37Z</dcterms:modified>
</cp:coreProperties>
</file>