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2.xml" ContentType="application/vnd.openxmlformats-officedocument.customXmlProperties+xml"/>
  <Override PartName="/customXml/itemProps5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idbg.sharepoint.com/teams/EZ-EC-LON/EC-L1251/15 LifeCycle Milestones/"/>
    </mc:Choice>
  </mc:AlternateContent>
  <xr:revisionPtr revIDLastSave="4" documentId="8_{B82E4035-9CC7-408E-A3FE-D7B33D4C7181}" xr6:coauthVersionLast="43" xr6:coauthVersionMax="43" xr10:uidLastSave="{E1AA18FD-FA48-4E45-B094-76D7AF052844}"/>
  <bookViews>
    <workbookView minimized="1" xWindow="0" yWindow="7388" windowWidth="5400" windowHeight="2812" tabRatio="813" activeTab="4" xr2:uid="{00000000-000D-0000-FFFF-FFFF00000000}"/>
  </bookViews>
  <sheets>
    <sheet name="1. Detailed Budget" sheetId="22" r:id="rId1"/>
    <sheet name="2. Pluriannual Plan PEP" sheetId="29" r:id="rId2"/>
    <sheet name="4. Budget by Components" sheetId="30" r:id="rId3"/>
    <sheet name="Prices" sheetId="10" r:id="rId4"/>
    <sheet name="3. Procurement Plan - PA" sheetId="24" r:id="rId5"/>
  </sheets>
  <externalReferences>
    <externalReference r:id="rId6"/>
  </externalReferences>
  <definedNames>
    <definedName name="_xlnm._FilterDatabase" localSheetId="4" hidden="1">'3. Procurement Plan - PA'!$K$1:$K$106</definedName>
    <definedName name="OLE_LINK1" localSheetId="0">'1. Detailed Budget'!#REF!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22" l="1"/>
  <c r="C48" i="24" l="1"/>
  <c r="N8" i="30" l="1"/>
  <c r="M10" i="30"/>
  <c r="M8" i="30"/>
  <c r="M9" i="30"/>
  <c r="L9" i="30"/>
  <c r="K9" i="30"/>
  <c r="E9" i="30"/>
  <c r="D9" i="30"/>
  <c r="C10" i="30"/>
  <c r="H10" i="30"/>
  <c r="G10" i="30"/>
  <c r="F10" i="30"/>
  <c r="B10" i="30"/>
  <c r="B4" i="30"/>
  <c r="M24" i="30"/>
  <c r="A10" i="30"/>
  <c r="L10" i="30"/>
  <c r="E10" i="30"/>
  <c r="I10" i="30"/>
  <c r="G9" i="30"/>
  <c r="F9" i="30"/>
  <c r="C9" i="30"/>
  <c r="I9" i="30"/>
  <c r="A9" i="30"/>
  <c r="C33" i="22"/>
  <c r="B33" i="22"/>
  <c r="C42" i="22"/>
  <c r="B42" i="22"/>
  <c r="C34" i="22"/>
  <c r="B34" i="22"/>
  <c r="N10" i="30" l="1"/>
  <c r="N9" i="30"/>
  <c r="N60" i="29"/>
  <c r="H60" i="29"/>
  <c r="K60" i="29"/>
  <c r="Q60" i="29" l="1"/>
  <c r="R60" i="29" s="1"/>
  <c r="B55" i="29"/>
  <c r="D55" i="29" s="1"/>
  <c r="O55" i="29"/>
  <c r="P55" i="29" s="1"/>
  <c r="L55" i="29"/>
  <c r="M55" i="29" s="1"/>
  <c r="F55" i="29"/>
  <c r="R55" i="29" s="1"/>
  <c r="H55" i="29" l="1"/>
  <c r="G55" i="29"/>
  <c r="Q55" i="29" l="1"/>
  <c r="S55" i="29" s="1"/>
  <c r="T55" i="29" s="1"/>
  <c r="J55" i="29"/>
  <c r="B53" i="29" l="1"/>
  <c r="H53" i="29" s="1"/>
  <c r="B54" i="29"/>
  <c r="B52" i="29"/>
  <c r="O54" i="29"/>
  <c r="P54" i="29" s="1"/>
  <c r="L54" i="29"/>
  <c r="M54" i="29" s="1"/>
  <c r="F54" i="29"/>
  <c r="O53" i="29"/>
  <c r="P53" i="29" s="1"/>
  <c r="L53" i="29"/>
  <c r="M53" i="29" s="1"/>
  <c r="F53" i="29"/>
  <c r="D53" i="29"/>
  <c r="H52" i="29" l="1"/>
  <c r="B51" i="29"/>
  <c r="D54" i="29"/>
  <c r="H54" i="29"/>
  <c r="R54" i="29"/>
  <c r="G54" i="29"/>
  <c r="R53" i="29"/>
  <c r="G53" i="29"/>
  <c r="H51" i="29" l="1"/>
  <c r="C39" i="24"/>
  <c r="K30" i="22"/>
  <c r="H8" i="30" l="1"/>
  <c r="G8" i="30"/>
  <c r="C8" i="30"/>
  <c r="B23" i="30"/>
  <c r="AC43" i="22" l="1"/>
  <c r="F8" i="30" s="1"/>
  <c r="A8" i="30"/>
  <c r="A7" i="30"/>
  <c r="A6" i="30"/>
  <c r="A5" i="30"/>
  <c r="Q34" i="30"/>
  <c r="P34" i="30"/>
  <c r="O34" i="30"/>
  <c r="N34" i="30"/>
  <c r="M34" i="30"/>
  <c r="R34" i="30" s="1"/>
  <c r="Q33" i="30"/>
  <c r="P33" i="30"/>
  <c r="O33" i="30"/>
  <c r="N33" i="30"/>
  <c r="M33" i="30"/>
  <c r="R32" i="30"/>
  <c r="R31" i="30"/>
  <c r="R33" i="30" s="1"/>
  <c r="S32" i="30" s="1"/>
  <c r="A20" i="30"/>
  <c r="A19" i="30"/>
  <c r="A18" i="30"/>
  <c r="A17" i="30"/>
  <c r="A16" i="30"/>
  <c r="A15" i="30"/>
  <c r="A14" i="30"/>
  <c r="A13" i="30"/>
  <c r="A12" i="30"/>
  <c r="E8" i="30"/>
  <c r="L5" i="30"/>
  <c r="K5" i="30"/>
  <c r="H5" i="30"/>
  <c r="H4" i="30" s="1"/>
  <c r="H24" i="30" s="1"/>
  <c r="G5" i="30"/>
  <c r="G4" i="30" s="1"/>
  <c r="G24" i="30" s="1"/>
  <c r="F5" i="30"/>
  <c r="F4" i="30" s="1"/>
  <c r="F24" i="30" s="1"/>
  <c r="E5" i="30"/>
  <c r="D5" i="30"/>
  <c r="E4" i="30" l="1"/>
  <c r="E24" i="30" s="1"/>
  <c r="S31" i="30"/>
  <c r="S33" i="30" s="1"/>
  <c r="A45" i="29" l="1"/>
  <c r="B44" i="29"/>
  <c r="C44" i="29" s="1"/>
  <c r="D44" i="29" s="1"/>
  <c r="A44" i="29"/>
  <c r="O43" i="29"/>
  <c r="P43" i="29" s="1"/>
  <c r="B43" i="29"/>
  <c r="H43" i="29" s="1"/>
  <c r="A43" i="29"/>
  <c r="A34" i="29"/>
  <c r="G43" i="24"/>
  <c r="C43" i="24"/>
  <c r="G42" i="24"/>
  <c r="C42" i="24"/>
  <c r="A38" i="24"/>
  <c r="C38" i="24"/>
  <c r="A71" i="24"/>
  <c r="J71" i="24"/>
  <c r="C71" i="24"/>
  <c r="J63" i="24"/>
  <c r="C63" i="24"/>
  <c r="J62" i="24"/>
  <c r="C62" i="24"/>
  <c r="H35" i="22"/>
  <c r="I35" i="22" l="1"/>
  <c r="G71" i="24" s="1"/>
  <c r="D8" i="30"/>
  <c r="D4" i="30" s="1"/>
  <c r="D24" i="30" s="1"/>
  <c r="F71" i="24"/>
  <c r="B45" i="29"/>
  <c r="C43" i="29"/>
  <c r="D43" i="29" s="1"/>
  <c r="K43" i="29"/>
  <c r="Q43" i="29" s="1"/>
  <c r="H44" i="29"/>
  <c r="E44" i="29"/>
  <c r="K44" i="29"/>
  <c r="L44" i="29"/>
  <c r="M44" i="29" s="1"/>
  <c r="I44" i="29"/>
  <c r="J44" i="29" s="1"/>
  <c r="F44" i="29"/>
  <c r="G44" i="29" s="1"/>
  <c r="I43" i="29"/>
  <c r="J43" i="29" s="1"/>
  <c r="B35" i="22"/>
  <c r="Q44" i="29" l="1"/>
  <c r="K45" i="29"/>
  <c r="L45" i="29" s="1"/>
  <c r="M45" i="29" s="1"/>
  <c r="H45" i="29"/>
  <c r="C45" i="29"/>
  <c r="D45" i="29" s="1"/>
  <c r="L43" i="29"/>
  <c r="M43" i="29" s="1"/>
  <c r="R44" i="29"/>
  <c r="S44" i="29" s="1"/>
  <c r="T44" i="29" s="1"/>
  <c r="R43" i="29"/>
  <c r="S43" i="29" s="1"/>
  <c r="T43" i="29" s="1"/>
  <c r="I45" i="29" l="1"/>
  <c r="Q45" i="29"/>
  <c r="B37" i="22"/>
  <c r="B38" i="22"/>
  <c r="O38" i="22"/>
  <c r="H43" i="24" s="1"/>
  <c r="O37" i="22"/>
  <c r="H42" i="24" s="1"/>
  <c r="B36" i="22"/>
  <c r="B39" i="22"/>
  <c r="B41" i="22"/>
  <c r="B43" i="22"/>
  <c r="B44" i="22"/>
  <c r="B45" i="22"/>
  <c r="B46" i="22"/>
  <c r="B47" i="22"/>
  <c r="B48" i="22"/>
  <c r="K29" i="22"/>
  <c r="N29" i="22" s="1"/>
  <c r="E24" i="22"/>
  <c r="H24" i="22" s="1"/>
  <c r="E23" i="22"/>
  <c r="H23" i="22" s="1"/>
  <c r="X11" i="22"/>
  <c r="C80" i="24"/>
  <c r="J80" i="24"/>
  <c r="F63" i="24" l="1"/>
  <c r="J45" i="29"/>
  <c r="R45" i="29"/>
  <c r="S45" i="29" s="1"/>
  <c r="T45" i="29" s="1"/>
  <c r="O29" i="22"/>
  <c r="H38" i="24" s="1"/>
  <c r="G38" i="24"/>
  <c r="B34" i="29"/>
  <c r="C38" i="22"/>
  <c r="F62" i="24"/>
  <c r="C37" i="22"/>
  <c r="I23" i="22"/>
  <c r="I24" i="22"/>
  <c r="G62" i="24" l="1"/>
  <c r="G63" i="24"/>
  <c r="N24" i="29"/>
  <c r="O61" i="29" l="1"/>
  <c r="P61" i="29" s="1"/>
  <c r="L61" i="29"/>
  <c r="M61" i="29" s="1"/>
  <c r="I61" i="29"/>
  <c r="F61" i="29"/>
  <c r="Q61" i="29"/>
  <c r="O60" i="29"/>
  <c r="L60" i="29"/>
  <c r="I60" i="29"/>
  <c r="F60" i="29"/>
  <c r="J73" i="24"/>
  <c r="J74" i="24"/>
  <c r="J75" i="24"/>
  <c r="J76" i="24"/>
  <c r="J77" i="24"/>
  <c r="J78" i="24"/>
  <c r="J79" i="24"/>
  <c r="J81" i="24"/>
  <c r="J82" i="24"/>
  <c r="J83" i="24"/>
  <c r="J72" i="24"/>
  <c r="J65" i="24"/>
  <c r="J66" i="24"/>
  <c r="J67" i="24"/>
  <c r="J68" i="24"/>
  <c r="J69" i="24"/>
  <c r="J70" i="24"/>
  <c r="J64" i="24"/>
  <c r="J61" i="24"/>
  <c r="J56" i="24"/>
  <c r="J57" i="24"/>
  <c r="J58" i="24"/>
  <c r="J59" i="24"/>
  <c r="J60" i="24"/>
  <c r="J55" i="24"/>
  <c r="C26" i="24"/>
  <c r="C25" i="24"/>
  <c r="T64" i="29"/>
  <c r="R61" i="29" l="1"/>
  <c r="S61" i="29"/>
  <c r="J60" i="29"/>
  <c r="M60" i="29"/>
  <c r="P60" i="29"/>
  <c r="C49" i="24" l="1"/>
  <c r="G93" i="24"/>
  <c r="G92" i="24"/>
  <c r="G91" i="24"/>
  <c r="G90" i="24"/>
  <c r="G88" i="24"/>
  <c r="G89" i="24"/>
  <c r="C93" i="24"/>
  <c r="C89" i="24"/>
  <c r="C90" i="24"/>
  <c r="C91" i="24"/>
  <c r="C92" i="24"/>
  <c r="C88" i="24"/>
  <c r="E59" i="22"/>
  <c r="AC59" i="22"/>
  <c r="AD59" i="22" s="1"/>
  <c r="X59" i="22"/>
  <c r="Y59" i="22" s="1"/>
  <c r="S59" i="22"/>
  <c r="T59" i="22" s="1"/>
  <c r="N59" i="22"/>
  <c r="O59" i="22" s="1"/>
  <c r="H59" i="22"/>
  <c r="C79" i="24"/>
  <c r="C78" i="24"/>
  <c r="A69" i="24"/>
  <c r="A67" i="24"/>
  <c r="C70" i="24"/>
  <c r="C69" i="24"/>
  <c r="C68" i="24"/>
  <c r="C66" i="24"/>
  <c r="C65" i="24"/>
  <c r="A61" i="24"/>
  <c r="A59" i="24"/>
  <c r="C61" i="24"/>
  <c r="C60" i="24"/>
  <c r="C58" i="24"/>
  <c r="C56" i="24"/>
  <c r="A55" i="24"/>
  <c r="C55" i="24"/>
  <c r="G46" i="24"/>
  <c r="A21" i="24"/>
  <c r="A20" i="24"/>
  <c r="A18" i="24"/>
  <c r="A33" i="24"/>
  <c r="A31" i="24"/>
  <c r="C46" i="24"/>
  <c r="C32" i="24"/>
  <c r="C33" i="24"/>
  <c r="C34" i="24"/>
  <c r="C35" i="24"/>
  <c r="C36" i="24"/>
  <c r="C37" i="24"/>
  <c r="C31" i="24"/>
  <c r="C18" i="24"/>
  <c r="X29" i="22"/>
  <c r="B35" i="29" s="1"/>
  <c r="E30" i="29"/>
  <c r="N51" i="29"/>
  <c r="K51" i="29"/>
  <c r="N48" i="29"/>
  <c r="K48" i="29"/>
  <c r="N46" i="29"/>
  <c r="C51" i="29"/>
  <c r="E46" i="29"/>
  <c r="E36" i="29"/>
  <c r="O52" i="29"/>
  <c r="P52" i="29" s="1"/>
  <c r="O50" i="29"/>
  <c r="P50" i="29" s="1"/>
  <c r="O49" i="29"/>
  <c r="P49" i="29" s="1"/>
  <c r="O47" i="29"/>
  <c r="P47" i="29" s="1"/>
  <c r="P46" i="29" s="1"/>
  <c r="O41" i="29"/>
  <c r="P41" i="29" s="1"/>
  <c r="O38" i="29"/>
  <c r="P38" i="29" s="1"/>
  <c r="O35" i="29"/>
  <c r="P35" i="29" s="1"/>
  <c r="O31" i="29"/>
  <c r="P31" i="29" s="1"/>
  <c r="O29" i="29"/>
  <c r="P29" i="29" s="1"/>
  <c r="O28" i="29"/>
  <c r="P28" i="29" s="1"/>
  <c r="O26" i="29"/>
  <c r="P26" i="29" s="1"/>
  <c r="O25" i="29"/>
  <c r="O19" i="29"/>
  <c r="P19" i="29" s="1"/>
  <c r="O18" i="29"/>
  <c r="P18" i="29" s="1"/>
  <c r="O15" i="29"/>
  <c r="P15" i="29" s="1"/>
  <c r="O13" i="29"/>
  <c r="P13" i="29" s="1"/>
  <c r="O8" i="29"/>
  <c r="L52" i="29"/>
  <c r="M52" i="29" s="1"/>
  <c r="L50" i="29"/>
  <c r="M50" i="29" s="1"/>
  <c r="L49" i="29"/>
  <c r="M49" i="29" s="1"/>
  <c r="L38" i="29"/>
  <c r="M38" i="29" s="1"/>
  <c r="L31" i="29"/>
  <c r="M31" i="29" s="1"/>
  <c r="L28" i="29"/>
  <c r="M28" i="29" s="1"/>
  <c r="L25" i="29"/>
  <c r="M25" i="29" s="1"/>
  <c r="L18" i="29"/>
  <c r="M18" i="29" s="1"/>
  <c r="L8" i="29"/>
  <c r="F52" i="29"/>
  <c r="F47" i="29"/>
  <c r="F42" i="29"/>
  <c r="G42" i="29" s="1"/>
  <c r="F38" i="29"/>
  <c r="F37" i="29"/>
  <c r="F35" i="29"/>
  <c r="F34" i="29"/>
  <c r="F33" i="29"/>
  <c r="F32" i="29"/>
  <c r="F31" i="29"/>
  <c r="F29" i="29"/>
  <c r="F28" i="29"/>
  <c r="F22" i="29"/>
  <c r="F21" i="29"/>
  <c r="F19" i="29"/>
  <c r="G19" i="29" s="1"/>
  <c r="F18" i="29"/>
  <c r="B50" i="29"/>
  <c r="B49" i="29"/>
  <c r="B47" i="29"/>
  <c r="B42" i="29"/>
  <c r="B41" i="29"/>
  <c r="H64" i="22"/>
  <c r="B64" i="22" s="1"/>
  <c r="G49" i="24" s="1"/>
  <c r="A57" i="29"/>
  <c r="A49" i="29"/>
  <c r="A50" i="29"/>
  <c r="A47" i="29"/>
  <c r="A42" i="29"/>
  <c r="A41" i="29"/>
  <c r="A38" i="29"/>
  <c r="A37" i="29"/>
  <c r="A36" i="29"/>
  <c r="A35" i="29"/>
  <c r="A32" i="29"/>
  <c r="A33" i="29"/>
  <c r="A31" i="29"/>
  <c r="A29" i="29"/>
  <c r="A28" i="29"/>
  <c r="A27" i="29"/>
  <c r="A26" i="29"/>
  <c r="A25" i="29"/>
  <c r="A22" i="29"/>
  <c r="A21" i="29"/>
  <c r="A20" i="29"/>
  <c r="A19" i="29"/>
  <c r="A18" i="29"/>
  <c r="A16" i="29"/>
  <c r="A15" i="29"/>
  <c r="A14" i="29"/>
  <c r="A13" i="29"/>
  <c r="K49" i="22"/>
  <c r="K16" i="22"/>
  <c r="K15" i="22"/>
  <c r="A11" i="29"/>
  <c r="A10" i="29"/>
  <c r="A9" i="29"/>
  <c r="A8" i="29"/>
  <c r="J54" i="29" l="1"/>
  <c r="Q54" i="29"/>
  <c r="S54" i="29" s="1"/>
  <c r="T54" i="29" s="1"/>
  <c r="M48" i="29"/>
  <c r="B40" i="29"/>
  <c r="I64" i="22"/>
  <c r="C64" i="22" s="1"/>
  <c r="H49" i="24" s="1"/>
  <c r="P25" i="29"/>
  <c r="O24" i="29"/>
  <c r="P24" i="29" s="1"/>
  <c r="G94" i="24"/>
  <c r="K63" i="29"/>
  <c r="L63" i="29" s="1"/>
  <c r="K42" i="29"/>
  <c r="L42" i="29" s="1"/>
  <c r="M42" i="29" s="1"/>
  <c r="H42" i="29"/>
  <c r="I42" i="29" s="1"/>
  <c r="F46" i="29"/>
  <c r="G22" i="29"/>
  <c r="G32" i="29"/>
  <c r="G37" i="29"/>
  <c r="H49" i="29"/>
  <c r="I49" i="29" s="1"/>
  <c r="E49" i="29"/>
  <c r="G28" i="29"/>
  <c r="R52" i="29"/>
  <c r="K41" i="29"/>
  <c r="H41" i="29"/>
  <c r="G34" i="29"/>
  <c r="Y29" i="22"/>
  <c r="H50" i="29"/>
  <c r="I50" i="29" s="1"/>
  <c r="J50" i="29" s="1"/>
  <c r="N42" i="29"/>
  <c r="N40" i="29" s="1"/>
  <c r="D52" i="29"/>
  <c r="D51" i="29" s="1"/>
  <c r="H47" i="29"/>
  <c r="K35" i="29"/>
  <c r="L35" i="29" s="1"/>
  <c r="M35" i="29" s="1"/>
  <c r="F30" i="29"/>
  <c r="I59" i="22"/>
  <c r="C59" i="22" s="1"/>
  <c r="B59" i="22"/>
  <c r="K47" i="29"/>
  <c r="K46" i="29" s="1"/>
  <c r="B48" i="29"/>
  <c r="C49" i="29"/>
  <c r="D49" i="29" s="1"/>
  <c r="B46" i="29"/>
  <c r="C41" i="29"/>
  <c r="C50" i="29"/>
  <c r="D50" i="29" s="1"/>
  <c r="E41" i="29"/>
  <c r="E40" i="29" s="1"/>
  <c r="E50" i="29"/>
  <c r="P48" i="29"/>
  <c r="C35" i="29"/>
  <c r="D35" i="29" s="1"/>
  <c r="C42" i="29"/>
  <c r="H35" i="29"/>
  <c r="C47" i="29"/>
  <c r="C46" i="29" s="1"/>
  <c r="M51" i="29"/>
  <c r="P51" i="29"/>
  <c r="G52" i="29"/>
  <c r="E51" i="29"/>
  <c r="O51" i="29"/>
  <c r="L51" i="29"/>
  <c r="L48" i="29"/>
  <c r="O48" i="29"/>
  <c r="G47" i="29"/>
  <c r="G46" i="29" s="1"/>
  <c r="O46" i="29"/>
  <c r="G38" i="29"/>
  <c r="F36" i="29"/>
  <c r="G35" i="29"/>
  <c r="G31" i="29"/>
  <c r="G33" i="29"/>
  <c r="G29" i="29"/>
  <c r="G18" i="29"/>
  <c r="G21" i="29"/>
  <c r="P8" i="29"/>
  <c r="M8" i="29"/>
  <c r="J53" i="29" l="1"/>
  <c r="Q53" i="29"/>
  <c r="S53" i="29" s="1"/>
  <c r="T53" i="29" s="1"/>
  <c r="F80" i="24"/>
  <c r="B20" i="30"/>
  <c r="I20" i="30"/>
  <c r="G80" i="24"/>
  <c r="D41" i="29"/>
  <c r="C40" i="29"/>
  <c r="D40" i="29" s="1"/>
  <c r="I41" i="29"/>
  <c r="I40" i="29" s="1"/>
  <c r="H40" i="29"/>
  <c r="L41" i="29"/>
  <c r="K40" i="29"/>
  <c r="G36" i="29"/>
  <c r="Q41" i="29"/>
  <c r="F51" i="29"/>
  <c r="R51" i="29" s="1"/>
  <c r="D46" i="29"/>
  <c r="Q63" i="29"/>
  <c r="O42" i="29"/>
  <c r="G51" i="29"/>
  <c r="Q50" i="29"/>
  <c r="Q49" i="29"/>
  <c r="F49" i="29"/>
  <c r="G49" i="29" s="1"/>
  <c r="I47" i="29"/>
  <c r="I46" i="29" s="1"/>
  <c r="Q47" i="29"/>
  <c r="J52" i="29"/>
  <c r="J51" i="29" s="1"/>
  <c r="Q52" i="29"/>
  <c r="S52" i="29" s="1"/>
  <c r="T52" i="29" s="1"/>
  <c r="Q42" i="29"/>
  <c r="L47" i="29"/>
  <c r="M47" i="29" s="1"/>
  <c r="M46" i="29" s="1"/>
  <c r="I35" i="29"/>
  <c r="R35" i="29" s="1"/>
  <c r="Q35" i="29"/>
  <c r="H46" i="29"/>
  <c r="Q46" i="29" s="1"/>
  <c r="D42" i="29"/>
  <c r="H48" i="29"/>
  <c r="D47" i="29"/>
  <c r="J42" i="29"/>
  <c r="F41" i="29"/>
  <c r="F40" i="29" s="1"/>
  <c r="G40" i="29" s="1"/>
  <c r="C48" i="29"/>
  <c r="D48" i="29" s="1"/>
  <c r="M63" i="29"/>
  <c r="E48" i="29"/>
  <c r="F50" i="29"/>
  <c r="R50" i="29" s="1"/>
  <c r="E17" i="29"/>
  <c r="Q51" i="29"/>
  <c r="F10" i="29"/>
  <c r="J49" i="29"/>
  <c r="J48" i="29" s="1"/>
  <c r="I48" i="29"/>
  <c r="G30" i="29"/>
  <c r="F17" i="29"/>
  <c r="G17" i="29"/>
  <c r="M20" i="30" l="1"/>
  <c r="R63" i="29"/>
  <c r="S63" i="29" s="1"/>
  <c r="T63" i="29" s="1"/>
  <c r="J47" i="29"/>
  <c r="J46" i="29" s="1"/>
  <c r="P42" i="29"/>
  <c r="O40" i="29"/>
  <c r="P40" i="29" s="1"/>
  <c r="Q40" i="29"/>
  <c r="J40" i="29"/>
  <c r="J41" i="29"/>
  <c r="M41" i="29"/>
  <c r="L40" i="29"/>
  <c r="M40" i="29" s="1"/>
  <c r="L46" i="29"/>
  <c r="R46" i="29" s="1"/>
  <c r="S46" i="29" s="1"/>
  <c r="T46" i="29" s="1"/>
  <c r="R42" i="29"/>
  <c r="S42" i="29" s="1"/>
  <c r="T42" i="29" s="1"/>
  <c r="Q48" i="29"/>
  <c r="R49" i="29"/>
  <c r="S49" i="29" s="1"/>
  <c r="T49" i="29" s="1"/>
  <c r="R41" i="29"/>
  <c r="J35" i="29"/>
  <c r="G41" i="29"/>
  <c r="R47" i="29"/>
  <c r="S47" i="29" s="1"/>
  <c r="T47" i="29" s="1"/>
  <c r="F48" i="29"/>
  <c r="S51" i="29"/>
  <c r="T51" i="29" s="1"/>
  <c r="S50" i="29"/>
  <c r="T50" i="29" s="1"/>
  <c r="S35" i="29"/>
  <c r="T35" i="29" s="1"/>
  <c r="G50" i="29"/>
  <c r="G48" i="29" s="1"/>
  <c r="G10" i="29"/>
  <c r="S41" i="29" l="1"/>
  <c r="T41" i="29" s="1"/>
  <c r="R40" i="29"/>
  <c r="S40" i="29" s="1"/>
  <c r="T40" i="29" s="1"/>
  <c r="R48" i="29"/>
  <c r="S48" i="29" s="1"/>
  <c r="T48" i="29" s="1"/>
  <c r="N16" i="22" l="1"/>
  <c r="B16" i="22" s="1"/>
  <c r="N15" i="22"/>
  <c r="B15" i="22" s="1"/>
  <c r="O15" i="22" l="1"/>
  <c r="B14" i="29"/>
  <c r="G31" i="24"/>
  <c r="O16" i="22"/>
  <c r="G32" i="24"/>
  <c r="B15" i="29"/>
  <c r="H15" i="29" s="1"/>
  <c r="O41" i="22"/>
  <c r="E32" i="22"/>
  <c r="H32" i="22" s="1"/>
  <c r="B32" i="22" s="1"/>
  <c r="E31" i="22"/>
  <c r="H31" i="22" s="1"/>
  <c r="B31" i="22" s="1"/>
  <c r="E30" i="22"/>
  <c r="C16" i="22" l="1"/>
  <c r="H32" i="24"/>
  <c r="C41" i="22"/>
  <c r="H46" i="24"/>
  <c r="C15" i="22"/>
  <c r="H31" i="24"/>
  <c r="N14" i="29"/>
  <c r="O14" i="29" s="1"/>
  <c r="P14" i="29" s="1"/>
  <c r="F69" i="24"/>
  <c r="B37" i="29"/>
  <c r="I32" i="22"/>
  <c r="F70" i="24"/>
  <c r="B38" i="29"/>
  <c r="C15" i="29"/>
  <c r="D15" i="29" s="1"/>
  <c r="K15" i="29"/>
  <c r="Q15" i="29" s="1"/>
  <c r="H14" i="29"/>
  <c r="K14" i="29"/>
  <c r="C14" i="29"/>
  <c r="D14" i="29" s="1"/>
  <c r="I31" i="22"/>
  <c r="C48" i="22"/>
  <c r="C46" i="22"/>
  <c r="C45" i="22"/>
  <c r="C44" i="22"/>
  <c r="C43" i="22"/>
  <c r="C19" i="24"/>
  <c r="C20" i="24"/>
  <c r="C21" i="24"/>
  <c r="C23" i="24"/>
  <c r="C22" i="24"/>
  <c r="A51" i="29"/>
  <c r="C31" i="22" l="1"/>
  <c r="G69" i="24"/>
  <c r="C32" i="22"/>
  <c r="G70" i="24"/>
  <c r="Q14" i="29"/>
  <c r="H37" i="29"/>
  <c r="N37" i="29"/>
  <c r="K37" i="29"/>
  <c r="I14" i="29"/>
  <c r="C37" i="29"/>
  <c r="D37" i="29" s="1"/>
  <c r="B36" i="29"/>
  <c r="L14" i="29"/>
  <c r="L15" i="29"/>
  <c r="M15" i="29"/>
  <c r="I15" i="29"/>
  <c r="R15" i="29" s="1"/>
  <c r="H38" i="29"/>
  <c r="Q38" i="29" s="1"/>
  <c r="C38" i="29"/>
  <c r="D38" i="29" s="1"/>
  <c r="J15" i="29" l="1"/>
  <c r="Q37" i="29"/>
  <c r="R14" i="29"/>
  <c r="S14" i="29" s="1"/>
  <c r="T14" i="29" s="1"/>
  <c r="S15" i="29"/>
  <c r="T15" i="29" s="1"/>
  <c r="H36" i="29"/>
  <c r="I37" i="29"/>
  <c r="M14" i="29"/>
  <c r="L37" i="29"/>
  <c r="L36" i="29" s="1"/>
  <c r="K36" i="29"/>
  <c r="N36" i="29"/>
  <c r="O37" i="29"/>
  <c r="I38" i="29"/>
  <c r="R38" i="29" s="1"/>
  <c r="C36" i="29"/>
  <c r="D36" i="29" s="1"/>
  <c r="J14" i="29"/>
  <c r="E58" i="22"/>
  <c r="E57" i="22"/>
  <c r="N49" i="22"/>
  <c r="O49" i="22"/>
  <c r="AC49" i="22"/>
  <c r="N30" i="22"/>
  <c r="E27" i="22"/>
  <c r="H27" i="22" s="1"/>
  <c r="E10" i="22"/>
  <c r="H10" i="22" s="1"/>
  <c r="B10" i="22" s="1"/>
  <c r="E9" i="22"/>
  <c r="H9" i="22" s="1"/>
  <c r="N18" i="22"/>
  <c r="B18" i="22" s="1"/>
  <c r="N19" i="22"/>
  <c r="B19" i="22" s="1"/>
  <c r="N20" i="22"/>
  <c r="B20" i="22" s="1"/>
  <c r="N21" i="22"/>
  <c r="B21" i="22" s="1"/>
  <c r="E14" i="22"/>
  <c r="H14" i="22" s="1"/>
  <c r="B14" i="22" s="1"/>
  <c r="E12" i="22"/>
  <c r="H12" i="22" s="1"/>
  <c r="B12" i="22" s="1"/>
  <c r="G39" i="24" l="1"/>
  <c r="C49" i="22"/>
  <c r="H47" i="24"/>
  <c r="B49" i="22"/>
  <c r="B8" i="30"/>
  <c r="B8" i="29"/>
  <c r="G36" i="24"/>
  <c r="Q36" i="29"/>
  <c r="G37" i="24"/>
  <c r="G35" i="24"/>
  <c r="F65" i="24"/>
  <c r="G34" i="24"/>
  <c r="R37" i="29"/>
  <c r="S37" i="29" s="1"/>
  <c r="T37" i="29" s="1"/>
  <c r="B33" i="29"/>
  <c r="I36" i="29"/>
  <c r="J38" i="29"/>
  <c r="S38" i="29"/>
  <c r="T38" i="29" s="1"/>
  <c r="F60" i="24"/>
  <c r="F55" i="24"/>
  <c r="B57" i="29"/>
  <c r="F56" i="24"/>
  <c r="M37" i="29"/>
  <c r="M36" i="29" s="1"/>
  <c r="F58" i="24"/>
  <c r="P37" i="29"/>
  <c r="P36" i="29" s="1"/>
  <c r="O36" i="29"/>
  <c r="J37" i="29"/>
  <c r="O19" i="22"/>
  <c r="O18" i="22"/>
  <c r="O21" i="22"/>
  <c r="O20" i="22"/>
  <c r="I27" i="22"/>
  <c r="I14" i="22"/>
  <c r="O30" i="22"/>
  <c r="I12" i="22"/>
  <c r="I9" i="22"/>
  <c r="G55" i="24" s="1"/>
  <c r="I10" i="22"/>
  <c r="H57" i="29" l="1"/>
  <c r="N57" i="29"/>
  <c r="E57" i="29"/>
  <c r="C12" i="22"/>
  <c r="G58" i="24"/>
  <c r="H37" i="24"/>
  <c r="C21" i="22"/>
  <c r="C14" i="22"/>
  <c r="G60" i="24"/>
  <c r="H36" i="24"/>
  <c r="C20" i="22"/>
  <c r="H39" i="24"/>
  <c r="I8" i="30"/>
  <c r="C10" i="22"/>
  <c r="G56" i="24"/>
  <c r="H34" i="24"/>
  <c r="C18" i="22"/>
  <c r="G65" i="24"/>
  <c r="H35" i="24"/>
  <c r="C19" i="22"/>
  <c r="J36" i="29"/>
  <c r="R36" i="29"/>
  <c r="S36" i="29" s="1"/>
  <c r="T36" i="29" s="1"/>
  <c r="H8" i="29"/>
  <c r="K57" i="29"/>
  <c r="K33" i="29"/>
  <c r="H33" i="29"/>
  <c r="J61" i="29"/>
  <c r="C33" i="29"/>
  <c r="D33" i="29" s="1"/>
  <c r="L33" i="29"/>
  <c r="M33" i="29" s="1"/>
  <c r="C8" i="29"/>
  <c r="D8" i="29" s="1"/>
  <c r="B56" i="29"/>
  <c r="B39" i="29" s="1"/>
  <c r="C57" i="29"/>
  <c r="C56" i="29" s="1"/>
  <c r="C39" i="29" s="1"/>
  <c r="T26" i="22"/>
  <c r="Q33" i="29" l="1"/>
  <c r="D57" i="29"/>
  <c r="Q8" i="29"/>
  <c r="I8" i="29"/>
  <c r="D56" i="29"/>
  <c r="D39" i="29"/>
  <c r="Q57" i="29"/>
  <c r="I57" i="29"/>
  <c r="H56" i="29"/>
  <c r="H39" i="29" s="1"/>
  <c r="L57" i="29"/>
  <c r="L56" i="29" s="1"/>
  <c r="L39" i="29" s="1"/>
  <c r="K56" i="29"/>
  <c r="K39" i="29" s="1"/>
  <c r="N56" i="29"/>
  <c r="N39" i="29" s="1"/>
  <c r="O57" i="29"/>
  <c r="O56" i="29" s="1"/>
  <c r="O39" i="29" s="1"/>
  <c r="F57" i="29"/>
  <c r="E56" i="29"/>
  <c r="I33" i="29"/>
  <c r="R33" i="29" s="1"/>
  <c r="M57" i="29" l="1"/>
  <c r="E39" i="29"/>
  <c r="Q56" i="29"/>
  <c r="P57" i="29"/>
  <c r="J8" i="29"/>
  <c r="R8" i="29"/>
  <c r="G57" i="29"/>
  <c r="G56" i="29" s="1"/>
  <c r="R57" i="29"/>
  <c r="S57" i="29" s="1"/>
  <c r="T57" i="29" s="1"/>
  <c r="M56" i="29"/>
  <c r="Q39" i="29"/>
  <c r="M39" i="29"/>
  <c r="P56" i="29"/>
  <c r="P39" i="29"/>
  <c r="S8" i="29"/>
  <c r="T8" i="29" s="1"/>
  <c r="J33" i="29"/>
  <c r="S33" i="29"/>
  <c r="T33" i="29" s="1"/>
  <c r="F56" i="29"/>
  <c r="F39" i="29" s="1"/>
  <c r="J57" i="29"/>
  <c r="J56" i="29" s="1"/>
  <c r="I56" i="29"/>
  <c r="I39" i="29" s="1"/>
  <c r="N17" i="22"/>
  <c r="G33" i="24" l="1"/>
  <c r="B19" i="29"/>
  <c r="R39" i="29"/>
  <c r="R56" i="29"/>
  <c r="S56" i="29" s="1"/>
  <c r="T56" i="29" s="1"/>
  <c r="O36" i="22"/>
  <c r="H30" i="22"/>
  <c r="B30" i="22" s="1"/>
  <c r="AC63" i="22"/>
  <c r="AD63" i="22" s="1"/>
  <c r="AC62" i="22"/>
  <c r="AD62" i="22" s="1"/>
  <c r="AC60" i="22"/>
  <c r="AD60" i="22" s="1"/>
  <c r="AC58" i="22"/>
  <c r="AD58" i="22" s="1"/>
  <c r="AD57" i="22"/>
  <c r="AD54" i="22"/>
  <c r="AC53" i="22"/>
  <c r="AD53" i="22" s="1"/>
  <c r="AD52" i="22"/>
  <c r="AC51" i="22"/>
  <c r="AD51" i="22" s="1"/>
  <c r="AC40" i="22"/>
  <c r="AC26" i="22"/>
  <c r="AD26" i="22" s="1"/>
  <c r="AD13" i="22"/>
  <c r="AC9" i="22"/>
  <c r="AD9" i="22" s="1"/>
  <c r="B40" i="22" l="1"/>
  <c r="C36" i="22"/>
  <c r="H41" i="24"/>
  <c r="J39" i="29"/>
  <c r="H19" i="29"/>
  <c r="K19" i="29"/>
  <c r="C19" i="29"/>
  <c r="D19" i="29" s="1"/>
  <c r="B32" i="29"/>
  <c r="F68" i="24"/>
  <c r="S39" i="29"/>
  <c r="T39" i="29" s="1"/>
  <c r="G39" i="29"/>
  <c r="I30" i="22"/>
  <c r="C30" i="22" s="1"/>
  <c r="AD65" i="22"/>
  <c r="X28" i="22"/>
  <c r="X27" i="22"/>
  <c r="B27" i="22" s="1"/>
  <c r="X24" i="22"/>
  <c r="X23" i="22"/>
  <c r="X17" i="22"/>
  <c r="E22" i="22"/>
  <c r="H22" i="22" s="1"/>
  <c r="B22" i="22" s="1"/>
  <c r="X13" i="22"/>
  <c r="X9" i="22"/>
  <c r="X58" i="22"/>
  <c r="Y58" i="22" s="1"/>
  <c r="S58" i="22"/>
  <c r="T58" i="22" s="1"/>
  <c r="N58" i="22"/>
  <c r="O58" i="22" s="1"/>
  <c r="H58" i="22"/>
  <c r="T57" i="22"/>
  <c r="H57" i="22"/>
  <c r="B23" i="22" l="1"/>
  <c r="B21" i="29"/>
  <c r="K21" i="29" s="1"/>
  <c r="L21" i="29" s="1"/>
  <c r="M21" i="29" s="1"/>
  <c r="B22" i="29"/>
  <c r="B24" i="22"/>
  <c r="G68" i="24"/>
  <c r="G21" i="24"/>
  <c r="B20" i="29"/>
  <c r="G26" i="24"/>
  <c r="B29" i="29"/>
  <c r="G19" i="24"/>
  <c r="B11" i="29"/>
  <c r="Q19" i="29"/>
  <c r="I19" i="29"/>
  <c r="J19" i="29" s="1"/>
  <c r="B10" i="29"/>
  <c r="G18" i="24"/>
  <c r="B9" i="22"/>
  <c r="L19" i="29"/>
  <c r="M19" i="29" s="1"/>
  <c r="G25" i="24"/>
  <c r="B27" i="29"/>
  <c r="Y13" i="22"/>
  <c r="H20" i="24" s="1"/>
  <c r="G20" i="24"/>
  <c r="B16" i="29"/>
  <c r="F61" i="24"/>
  <c r="B18" i="29"/>
  <c r="C32" i="29"/>
  <c r="D32" i="29" s="1"/>
  <c r="H32" i="29"/>
  <c r="Q32" i="29" s="1"/>
  <c r="Y23" i="22"/>
  <c r="G22" i="24"/>
  <c r="G23" i="24"/>
  <c r="Y17" i="22"/>
  <c r="Y28" i="22"/>
  <c r="H26" i="24" s="1"/>
  <c r="Y9" i="22"/>
  <c r="Y27" i="22"/>
  <c r="Y24" i="22"/>
  <c r="Y11" i="22"/>
  <c r="H19" i="24" s="1"/>
  <c r="I22" i="22"/>
  <c r="I57" i="22"/>
  <c r="C57" i="22" s="1"/>
  <c r="B57" i="22"/>
  <c r="B18" i="30" s="1"/>
  <c r="I58" i="22"/>
  <c r="C58" i="22" s="1"/>
  <c r="B58" i="22"/>
  <c r="B19" i="30" s="1"/>
  <c r="C21" i="29" l="1"/>
  <c r="D21" i="29" s="1"/>
  <c r="H21" i="29"/>
  <c r="Q21" i="29" s="1"/>
  <c r="C22" i="22"/>
  <c r="G61" i="24"/>
  <c r="C9" i="22"/>
  <c r="H18" i="24"/>
  <c r="I19" i="30"/>
  <c r="M19" i="30" s="1"/>
  <c r="G79" i="24"/>
  <c r="H22" i="24"/>
  <c r="C23" i="22"/>
  <c r="H23" i="24"/>
  <c r="C24" i="22"/>
  <c r="H21" i="24"/>
  <c r="I18" i="30"/>
  <c r="M18" i="30" s="1"/>
  <c r="G78" i="24"/>
  <c r="H25" i="24"/>
  <c r="C27" i="22"/>
  <c r="F78" i="24"/>
  <c r="H27" i="29"/>
  <c r="K27" i="29"/>
  <c r="C27" i="29"/>
  <c r="D27" i="29" s="1"/>
  <c r="N10" i="29"/>
  <c r="O10" i="29" s="1"/>
  <c r="P10" i="29" s="1"/>
  <c r="C10" i="29"/>
  <c r="D10" i="29" s="1"/>
  <c r="K10" i="29"/>
  <c r="L10" i="29" s="1"/>
  <c r="M10" i="29" s="1"/>
  <c r="H10" i="29"/>
  <c r="H20" i="29"/>
  <c r="K20" i="29"/>
  <c r="N20" i="29"/>
  <c r="C20" i="29"/>
  <c r="D20" i="29" s="1"/>
  <c r="I21" i="29"/>
  <c r="R21" i="29" s="1"/>
  <c r="C22" i="29"/>
  <c r="D22" i="29" s="1"/>
  <c r="K22" i="29"/>
  <c r="L22" i="29" s="1"/>
  <c r="M22" i="29" s="1"/>
  <c r="H22" i="29"/>
  <c r="K29" i="29"/>
  <c r="C29" i="29"/>
  <c r="D29" i="29" s="1"/>
  <c r="H29" i="29"/>
  <c r="F79" i="24"/>
  <c r="R19" i="29"/>
  <c r="S19" i="29" s="1"/>
  <c r="T19" i="29" s="1"/>
  <c r="K11" i="29"/>
  <c r="L11" i="29" s="1"/>
  <c r="M11" i="29" s="1"/>
  <c r="H11" i="29"/>
  <c r="C11" i="29"/>
  <c r="D11" i="29" s="1"/>
  <c r="N11" i="29"/>
  <c r="K16" i="29"/>
  <c r="N16" i="29"/>
  <c r="C16" i="29"/>
  <c r="D16" i="29" s="1"/>
  <c r="I32" i="29"/>
  <c r="R32" i="29" s="1"/>
  <c r="B17" i="29"/>
  <c r="H18" i="29"/>
  <c r="Q18" i="29" s="1"/>
  <c r="C18" i="29"/>
  <c r="A56" i="29"/>
  <c r="A6" i="29"/>
  <c r="C5" i="10"/>
  <c r="D5" i="10" s="1"/>
  <c r="B5" i="10"/>
  <c r="C4" i="10"/>
  <c r="D4" i="10" s="1"/>
  <c r="B4" i="10"/>
  <c r="D3" i="10"/>
  <c r="B3" i="10"/>
  <c r="B8" i="10" s="1"/>
  <c r="D8" i="10" s="1"/>
  <c r="C2" i="10"/>
  <c r="D2" i="10" s="1"/>
  <c r="B2" i="10"/>
  <c r="C17" i="29" l="1"/>
  <c r="I22" i="29"/>
  <c r="Q22" i="29"/>
  <c r="O11" i="29"/>
  <c r="P11" i="29" s="1"/>
  <c r="I10" i="29"/>
  <c r="Q10" i="29"/>
  <c r="L20" i="29"/>
  <c r="K17" i="29"/>
  <c r="I27" i="29"/>
  <c r="J27" i="29" s="1"/>
  <c r="Q27" i="29"/>
  <c r="I29" i="29"/>
  <c r="Q29" i="29"/>
  <c r="S21" i="29"/>
  <c r="T21" i="29" s="1"/>
  <c r="Q20" i="29"/>
  <c r="I20" i="29"/>
  <c r="J20" i="29" s="1"/>
  <c r="D17" i="29"/>
  <c r="Q11" i="29"/>
  <c r="I11" i="29"/>
  <c r="J11" i="29" s="1"/>
  <c r="L29" i="29"/>
  <c r="M29" i="29" s="1"/>
  <c r="J21" i="29"/>
  <c r="N17" i="29"/>
  <c r="O20" i="29"/>
  <c r="L27" i="29"/>
  <c r="M27" i="29" s="1"/>
  <c r="J32" i="29"/>
  <c r="Q16" i="29"/>
  <c r="D18" i="29"/>
  <c r="N12" i="29"/>
  <c r="O16" i="29"/>
  <c r="O12" i="29" s="1"/>
  <c r="L16" i="29"/>
  <c r="K12" i="29"/>
  <c r="I18" i="29"/>
  <c r="R18" i="29" s="1"/>
  <c r="H17" i="29"/>
  <c r="S32" i="29"/>
  <c r="T32" i="29" s="1"/>
  <c r="A30" i="29"/>
  <c r="C73" i="24"/>
  <c r="C74" i="24"/>
  <c r="C75" i="24"/>
  <c r="C76" i="24"/>
  <c r="C77" i="24"/>
  <c r="C67" i="24"/>
  <c r="C59" i="24"/>
  <c r="C57" i="24"/>
  <c r="G45" i="24"/>
  <c r="G44" i="24"/>
  <c r="G41" i="24"/>
  <c r="G40" i="24"/>
  <c r="A47" i="24"/>
  <c r="C44" i="24"/>
  <c r="C45" i="24"/>
  <c r="C41" i="24"/>
  <c r="C40" i="24"/>
  <c r="A44" i="24"/>
  <c r="A40" i="24"/>
  <c r="A24" i="24"/>
  <c r="R16" i="29" l="1"/>
  <c r="S16" i="29" s="1"/>
  <c r="T16" i="29" s="1"/>
  <c r="R29" i="29"/>
  <c r="S29" i="29" s="1"/>
  <c r="T29" i="29" s="1"/>
  <c r="Q17" i="29"/>
  <c r="P20" i="29"/>
  <c r="P17" i="29" s="1"/>
  <c r="O17" i="29"/>
  <c r="M20" i="29"/>
  <c r="M17" i="29" s="1"/>
  <c r="L17" i="29"/>
  <c r="J29" i="29"/>
  <c r="R11" i="29"/>
  <c r="S11" i="29" s="1"/>
  <c r="T11" i="29" s="1"/>
  <c r="R20" i="29"/>
  <c r="S20" i="29" s="1"/>
  <c r="T20" i="29" s="1"/>
  <c r="R27" i="29"/>
  <c r="S27" i="29" s="1"/>
  <c r="T27" i="29" s="1"/>
  <c r="J10" i="29"/>
  <c r="R10" i="29"/>
  <c r="S10" i="29" s="1"/>
  <c r="T10" i="29" s="1"/>
  <c r="J22" i="29"/>
  <c r="R22" i="29"/>
  <c r="S22" i="29" s="1"/>
  <c r="T22" i="29" s="1"/>
  <c r="P16" i="29"/>
  <c r="P12" i="29" s="1"/>
  <c r="M16" i="29"/>
  <c r="J18" i="29"/>
  <c r="S18" i="29"/>
  <c r="T18" i="29" s="1"/>
  <c r="I17" i="29"/>
  <c r="E54" i="22"/>
  <c r="O40" i="22"/>
  <c r="O39" i="22"/>
  <c r="O35" i="22"/>
  <c r="X26" i="22"/>
  <c r="B26" i="29" s="1"/>
  <c r="J17" i="29" l="1"/>
  <c r="C39" i="22"/>
  <c r="H44" i="24"/>
  <c r="L8" i="30"/>
  <c r="L4" i="30" s="1"/>
  <c r="L24" i="30" s="1"/>
  <c r="H45" i="24"/>
  <c r="H40" i="24"/>
  <c r="K8" i="30"/>
  <c r="H26" i="29"/>
  <c r="C26" i="29"/>
  <c r="D26" i="29" s="1"/>
  <c r="K26" i="29"/>
  <c r="N34" i="29"/>
  <c r="C34" i="29"/>
  <c r="D34" i="29" s="1"/>
  <c r="H34" i="29"/>
  <c r="K34" i="29"/>
  <c r="R17" i="29"/>
  <c r="S17" i="29" s="1"/>
  <c r="T17" i="29" s="1"/>
  <c r="C40" i="22"/>
  <c r="Y26" i="22"/>
  <c r="H24" i="24" s="1"/>
  <c r="H27" i="24" s="1"/>
  <c r="G47" i="24"/>
  <c r="K4" i="30" l="1"/>
  <c r="K24" i="30" s="1"/>
  <c r="O34" i="29"/>
  <c r="N30" i="29"/>
  <c r="N23" i="29" s="1"/>
  <c r="L34" i="29"/>
  <c r="K30" i="29"/>
  <c r="L26" i="29"/>
  <c r="K24" i="29"/>
  <c r="Q34" i="29"/>
  <c r="I34" i="29"/>
  <c r="I26" i="29"/>
  <c r="R26" i="29" s="1"/>
  <c r="Q26" i="29"/>
  <c r="T61" i="29"/>
  <c r="S26" i="29" l="1"/>
  <c r="T26" i="29" s="1"/>
  <c r="R34" i="29"/>
  <c r="J26" i="29"/>
  <c r="S34" i="29"/>
  <c r="T34" i="29" s="1"/>
  <c r="M34" i="29"/>
  <c r="M30" i="29" s="1"/>
  <c r="L30" i="29"/>
  <c r="K23" i="29"/>
  <c r="J34" i="29"/>
  <c r="M26" i="29"/>
  <c r="L24" i="29"/>
  <c r="P34" i="29"/>
  <c r="P30" i="29" s="1"/>
  <c r="O30" i="29"/>
  <c r="O23" i="29" s="1"/>
  <c r="P23" i="29" s="1"/>
  <c r="A48" i="29"/>
  <c r="A46" i="29"/>
  <c r="A40" i="29"/>
  <c r="A39" i="29"/>
  <c r="A24" i="29"/>
  <c r="A23" i="29"/>
  <c r="A17" i="29"/>
  <c r="A12" i="29"/>
  <c r="A7" i="29"/>
  <c r="A5" i="29"/>
  <c r="L23" i="29" l="1"/>
  <c r="M23" i="29" s="1"/>
  <c r="M24" i="29"/>
  <c r="H61" i="22"/>
  <c r="I61" i="22" l="1"/>
  <c r="C61" i="22" s="1"/>
  <c r="G82" i="24" s="1"/>
  <c r="B61" i="22"/>
  <c r="F82" i="24" s="1"/>
  <c r="C24" i="24"/>
  <c r="C64" i="24"/>
  <c r="A64" i="24"/>
  <c r="G24" i="24" l="1"/>
  <c r="G27" i="24" s="1"/>
  <c r="H51" i="22" l="1"/>
  <c r="B51" i="22" l="1"/>
  <c r="C47" i="24"/>
  <c r="B12" i="30" l="1"/>
  <c r="C72" i="24"/>
  <c r="C12" i="24" l="1"/>
  <c r="A45" i="24"/>
  <c r="G12" i="24" l="1"/>
  <c r="Y35" i="22" l="1"/>
  <c r="C35" i="22" s="1"/>
  <c r="T54" i="22"/>
  <c r="T52" i="22"/>
  <c r="X63" i="22" l="1"/>
  <c r="Y63" i="22" s="1"/>
  <c r="S63" i="22"/>
  <c r="T63" i="22" s="1"/>
  <c r="N63" i="22"/>
  <c r="O63" i="22" s="1"/>
  <c r="H63" i="22"/>
  <c r="I63" i="22" s="1"/>
  <c r="C63" i="22" s="1"/>
  <c r="X62" i="22"/>
  <c r="Y62" i="22" s="1"/>
  <c r="S62" i="22"/>
  <c r="T62" i="22" s="1"/>
  <c r="N62" i="22"/>
  <c r="O62" i="22" s="1"/>
  <c r="H62" i="22"/>
  <c r="X60" i="22"/>
  <c r="Y60" i="22" s="1"/>
  <c r="S60" i="22"/>
  <c r="T60" i="22" s="1"/>
  <c r="N60" i="22"/>
  <c r="O60" i="22" s="1"/>
  <c r="H60" i="22"/>
  <c r="B60" i="22" s="1"/>
  <c r="X53" i="22"/>
  <c r="Y53" i="22" s="1"/>
  <c r="S53" i="22"/>
  <c r="T53" i="22" s="1"/>
  <c r="N53" i="22"/>
  <c r="O53" i="22" s="1"/>
  <c r="X51" i="22"/>
  <c r="Y51" i="22" s="1"/>
  <c r="S51" i="22"/>
  <c r="T51" i="22" s="1"/>
  <c r="N51" i="22"/>
  <c r="S17" i="22"/>
  <c r="B17" i="22" s="1"/>
  <c r="G4" i="22"/>
  <c r="F81" i="24" l="1"/>
  <c r="I22" i="30"/>
  <c r="M22" i="30" s="1"/>
  <c r="H48" i="24"/>
  <c r="I62" i="22"/>
  <c r="C62" i="22" s="1"/>
  <c r="G83" i="24" s="1"/>
  <c r="B62" i="22"/>
  <c r="F83" i="24" s="1"/>
  <c r="O51" i="22"/>
  <c r="O65" i="22"/>
  <c r="I51" i="22"/>
  <c r="C51" i="22" s="1"/>
  <c r="T17" i="22"/>
  <c r="T65" i="22"/>
  <c r="I60" i="22"/>
  <c r="C60" i="22" s="1"/>
  <c r="Y65" i="22"/>
  <c r="B63" i="22"/>
  <c r="B22" i="30" s="1"/>
  <c r="I21" i="30" l="1"/>
  <c r="G81" i="24"/>
  <c r="B21" i="30"/>
  <c r="M21" i="30" s="1"/>
  <c r="I12" i="30"/>
  <c r="G72" i="24"/>
  <c r="H62" i="29"/>
  <c r="I62" i="29" s="1"/>
  <c r="N62" i="29"/>
  <c r="O62" i="29" s="1"/>
  <c r="E62" i="29"/>
  <c r="K62" i="29"/>
  <c r="L62" i="29" s="1"/>
  <c r="G48" i="24"/>
  <c r="G50" i="24" s="1"/>
  <c r="F72" i="24"/>
  <c r="M12" i="30" l="1"/>
  <c r="F62" i="29"/>
  <c r="G62" i="29" s="1"/>
  <c r="Q62" i="29"/>
  <c r="J62" i="29"/>
  <c r="M62" i="29"/>
  <c r="P62" i="29"/>
  <c r="E29" i="22"/>
  <c r="E11" i="22"/>
  <c r="H11" i="22" s="1"/>
  <c r="B11" i="22" s="1"/>
  <c r="E13" i="22"/>
  <c r="H13" i="22" s="1"/>
  <c r="B13" i="22" s="1"/>
  <c r="E28" i="22"/>
  <c r="E26" i="22"/>
  <c r="R62" i="29" l="1"/>
  <c r="S62" i="29"/>
  <c r="T62" i="29" s="1"/>
  <c r="B9" i="29"/>
  <c r="B13" i="29"/>
  <c r="F57" i="24"/>
  <c r="F59" i="24"/>
  <c r="H28" i="22"/>
  <c r="B28" i="22" s="1"/>
  <c r="H29" i="22"/>
  <c r="B29" i="22" s="1"/>
  <c r="H26" i="22"/>
  <c r="O17" i="22"/>
  <c r="I11" i="22"/>
  <c r="I13" i="22"/>
  <c r="E55" i="22"/>
  <c r="H55" i="22" s="1"/>
  <c r="E52" i="22"/>
  <c r="H52" i="22" s="1"/>
  <c r="E56" i="22"/>
  <c r="H56" i="22" s="1"/>
  <c r="E53" i="22"/>
  <c r="H53" i="22" s="1"/>
  <c r="H54" i="22"/>
  <c r="C11" i="22" l="1"/>
  <c r="G57" i="24"/>
  <c r="C13" i="22"/>
  <c r="C8" i="22" s="1"/>
  <c r="I6" i="30" s="1"/>
  <c r="G59" i="24"/>
  <c r="H33" i="24"/>
  <c r="H50" i="24" s="1"/>
  <c r="C17" i="22"/>
  <c r="K9" i="29"/>
  <c r="N9" i="29"/>
  <c r="B7" i="29"/>
  <c r="B25" i="29"/>
  <c r="H25" i="29" s="1"/>
  <c r="B8" i="22"/>
  <c r="B6" i="30" s="1"/>
  <c r="B31" i="29"/>
  <c r="C9" i="29"/>
  <c r="H9" i="29"/>
  <c r="F66" i="24"/>
  <c r="B28" i="29"/>
  <c r="B12" i="29"/>
  <c r="H13" i="29"/>
  <c r="Q13" i="29" s="1"/>
  <c r="C13" i="29"/>
  <c r="B26" i="22"/>
  <c r="I28" i="22"/>
  <c r="I29" i="22"/>
  <c r="F64" i="24"/>
  <c r="I26" i="22"/>
  <c r="F67" i="24"/>
  <c r="H65" i="22"/>
  <c r="I55" i="22"/>
  <c r="C55" i="22" s="1"/>
  <c r="B55" i="22"/>
  <c r="B16" i="30" s="1"/>
  <c r="I56" i="22"/>
  <c r="C56" i="22" s="1"/>
  <c r="B56" i="22"/>
  <c r="B17" i="30" s="1"/>
  <c r="H4" i="22"/>
  <c r="I52" i="22"/>
  <c r="C52" i="22" s="1"/>
  <c r="B52" i="22"/>
  <c r="I53" i="22"/>
  <c r="C53" i="22" s="1"/>
  <c r="B53" i="22"/>
  <c r="B14" i="30" s="1"/>
  <c r="I54" i="22"/>
  <c r="C54" i="22" s="1"/>
  <c r="B54" i="22"/>
  <c r="M6" i="30" l="1"/>
  <c r="E59" i="29"/>
  <c r="H59" i="29"/>
  <c r="I59" i="29" s="1"/>
  <c r="J59" i="29" s="1"/>
  <c r="N59" i="29"/>
  <c r="K59" i="29"/>
  <c r="B13" i="30"/>
  <c r="B50" i="22"/>
  <c r="I16" i="30"/>
  <c r="M16" i="30" s="1"/>
  <c r="G76" i="24"/>
  <c r="I14" i="30"/>
  <c r="M14" i="30" s="1"/>
  <c r="G74" i="24"/>
  <c r="C29" i="22"/>
  <c r="G67" i="24"/>
  <c r="F75" i="24"/>
  <c r="B15" i="30"/>
  <c r="I17" i="30"/>
  <c r="M17" i="30" s="1"/>
  <c r="G77" i="24"/>
  <c r="C28" i="22"/>
  <c r="G66" i="24"/>
  <c r="I15" i="30"/>
  <c r="M15" i="30" s="1"/>
  <c r="G75" i="24"/>
  <c r="I13" i="30"/>
  <c r="G73" i="24"/>
  <c r="C26" i="22"/>
  <c r="J7" i="30" s="1"/>
  <c r="J5" i="30" s="1"/>
  <c r="J4" i="30" s="1"/>
  <c r="J24" i="30" s="1"/>
  <c r="G64" i="24"/>
  <c r="B25" i="22"/>
  <c r="B7" i="22" s="1"/>
  <c r="C7" i="30"/>
  <c r="C5" i="30" s="1"/>
  <c r="C4" i="30" s="1"/>
  <c r="C24" i="30" s="1"/>
  <c r="E25" i="29"/>
  <c r="E24" i="29" s="1"/>
  <c r="C25" i="29"/>
  <c r="D25" i="29"/>
  <c r="Q9" i="29"/>
  <c r="B24" i="29"/>
  <c r="H12" i="29"/>
  <c r="C12" i="29"/>
  <c r="D12" i="29" s="1"/>
  <c r="D13" i="29"/>
  <c r="C7" i="29"/>
  <c r="D7" i="29" s="1"/>
  <c r="D9" i="29"/>
  <c r="H28" i="29"/>
  <c r="Q28" i="29" s="1"/>
  <c r="C28" i="29"/>
  <c r="K7" i="29"/>
  <c r="K6" i="29" s="1"/>
  <c r="K5" i="29" s="1"/>
  <c r="L9" i="29"/>
  <c r="L7" i="29" s="1"/>
  <c r="I25" i="29"/>
  <c r="N7" i="29"/>
  <c r="N6" i="29" s="1"/>
  <c r="N5" i="29" s="1"/>
  <c r="O9" i="29"/>
  <c r="O7" i="29" s="1"/>
  <c r="O6" i="29" s="1"/>
  <c r="O5" i="29" s="1"/>
  <c r="E7" i="29"/>
  <c r="C50" i="22"/>
  <c r="E12" i="29"/>
  <c r="I13" i="29"/>
  <c r="I9" i="29"/>
  <c r="H7" i="29"/>
  <c r="C31" i="29"/>
  <c r="C30" i="29" s="1"/>
  <c r="H31" i="29"/>
  <c r="Q31" i="29" s="1"/>
  <c r="B30" i="29"/>
  <c r="F73" i="24"/>
  <c r="F74" i="24"/>
  <c r="I65" i="22"/>
  <c r="F77" i="24"/>
  <c r="F76" i="24"/>
  <c r="Q25" i="29" l="1"/>
  <c r="H58" i="29"/>
  <c r="F25" i="29"/>
  <c r="F24" i="29" s="1"/>
  <c r="F23" i="29" s="1"/>
  <c r="F59" i="29"/>
  <c r="G59" i="29" s="1"/>
  <c r="C25" i="22"/>
  <c r="C7" i="22" s="1"/>
  <c r="B11" i="30"/>
  <c r="G84" i="24"/>
  <c r="M13" i="30"/>
  <c r="I11" i="30"/>
  <c r="B7" i="30"/>
  <c r="C24" i="29"/>
  <c r="D30" i="29"/>
  <c r="R9" i="29"/>
  <c r="S9" i="29" s="1"/>
  <c r="T9" i="29" s="1"/>
  <c r="D28" i="29"/>
  <c r="B23" i="29"/>
  <c r="D24" i="29"/>
  <c r="G24" i="29"/>
  <c r="E23" i="29"/>
  <c r="G23" i="29" s="1"/>
  <c r="C23" i="29"/>
  <c r="H24" i="29"/>
  <c r="B4" i="22"/>
  <c r="D1" i="22" s="1"/>
  <c r="G25" i="29"/>
  <c r="R25" i="29"/>
  <c r="I12" i="29"/>
  <c r="R13" i="29"/>
  <c r="S13" i="29" s="1"/>
  <c r="T13" i="29" s="1"/>
  <c r="F84" i="24"/>
  <c r="Q12" i="29"/>
  <c r="H6" i="29"/>
  <c r="Q7" i="29"/>
  <c r="L59" i="29"/>
  <c r="K58" i="29"/>
  <c r="K4" i="29" s="1"/>
  <c r="R36" i="30" s="1"/>
  <c r="O59" i="29"/>
  <c r="O58" i="29" s="1"/>
  <c r="N58" i="29"/>
  <c r="N4" i="29" s="1"/>
  <c r="S36" i="30" s="1"/>
  <c r="E58" i="29"/>
  <c r="Q59" i="29"/>
  <c r="R59" i="29" s="1"/>
  <c r="D31" i="29"/>
  <c r="P9" i="29"/>
  <c r="P7" i="29" s="1"/>
  <c r="J13" i="29"/>
  <c r="J12" i="29" s="1"/>
  <c r="L12" i="29"/>
  <c r="L6" i="29" s="1"/>
  <c r="L5" i="29" s="1"/>
  <c r="M9" i="29"/>
  <c r="M7" i="29" s="1"/>
  <c r="E6" i="29"/>
  <c r="F7" i="29"/>
  <c r="J9" i="29"/>
  <c r="J7" i="29" s="1"/>
  <c r="I7" i="29"/>
  <c r="P6" i="29"/>
  <c r="G7" i="29"/>
  <c r="H30" i="29"/>
  <c r="Q30" i="29" s="1"/>
  <c r="I31" i="29"/>
  <c r="F12" i="29"/>
  <c r="J25" i="29"/>
  <c r="I28" i="29"/>
  <c r="I24" i="29" s="1"/>
  <c r="M11" i="30" l="1"/>
  <c r="S25" i="29"/>
  <c r="T25" i="29" s="1"/>
  <c r="I7" i="30"/>
  <c r="I5" i="30" s="1"/>
  <c r="I4" i="30" s="1"/>
  <c r="Q58" i="29"/>
  <c r="B5" i="30"/>
  <c r="J28" i="29"/>
  <c r="D23" i="29"/>
  <c r="E5" i="29"/>
  <c r="E4" i="29" s="1"/>
  <c r="P36" i="30" s="1"/>
  <c r="J24" i="29"/>
  <c r="H23" i="29"/>
  <c r="R12" i="29"/>
  <c r="S12" i="29" s="1"/>
  <c r="T12" i="29" s="1"/>
  <c r="Q24" i="29"/>
  <c r="R28" i="29"/>
  <c r="S28" i="29" s="1"/>
  <c r="T28" i="29" s="1"/>
  <c r="J31" i="29"/>
  <c r="J30" i="29" s="1"/>
  <c r="R31" i="29"/>
  <c r="S31" i="29" s="1"/>
  <c r="T31" i="29" s="1"/>
  <c r="R7" i="29"/>
  <c r="S7" i="29" s="1"/>
  <c r="Q6" i="29"/>
  <c r="F58" i="29"/>
  <c r="P59" i="29"/>
  <c r="O4" i="29"/>
  <c r="S37" i="30" s="1"/>
  <c r="S38" i="30" s="1"/>
  <c r="M59" i="29"/>
  <c r="L58" i="29"/>
  <c r="L4" i="29" s="1"/>
  <c r="R37" i="30" s="1"/>
  <c r="R38" i="30" s="1"/>
  <c r="I58" i="29"/>
  <c r="M6" i="29"/>
  <c r="G12" i="29"/>
  <c r="M12" i="29"/>
  <c r="F6" i="29"/>
  <c r="F5" i="29" s="1"/>
  <c r="I6" i="29"/>
  <c r="P5" i="29"/>
  <c r="I30" i="29"/>
  <c r="I23" i="29" s="1"/>
  <c r="R24" i="29"/>
  <c r="M5" i="29"/>
  <c r="S59" i="29"/>
  <c r="T59" i="29" s="1"/>
  <c r="M7" i="30" l="1"/>
  <c r="M5" i="30"/>
  <c r="J23" i="29"/>
  <c r="R6" i="29"/>
  <c r="S6" i="29" s="1"/>
  <c r="P58" i="29"/>
  <c r="P4" i="29"/>
  <c r="M4" i="29"/>
  <c r="F4" i="29"/>
  <c r="P37" i="30" s="1"/>
  <c r="P38" i="30" s="1"/>
  <c r="R30" i="29"/>
  <c r="S30" i="29" s="1"/>
  <c r="T30" i="29" s="1"/>
  <c r="H5" i="29"/>
  <c r="H4" i="29" s="1"/>
  <c r="Q23" i="29"/>
  <c r="M58" i="29"/>
  <c r="R58" i="29"/>
  <c r="J6" i="29"/>
  <c r="S24" i="29"/>
  <c r="T24" i="29" s="1"/>
  <c r="G6" i="29"/>
  <c r="J58" i="29"/>
  <c r="Q4" i="29" l="1"/>
  <c r="Q36" i="30"/>
  <c r="M4" i="30"/>
  <c r="B24" i="30"/>
  <c r="Q5" i="29"/>
  <c r="I5" i="29"/>
  <c r="R5" i="29" s="1"/>
  <c r="R23" i="29"/>
  <c r="S23" i="29" s="1"/>
  <c r="T23" i="29" s="1"/>
  <c r="G5" i="29"/>
  <c r="T36" i="30" l="1"/>
  <c r="S5" i="29"/>
  <c r="J5" i="29"/>
  <c r="I4" i="29"/>
  <c r="Q37" i="30" s="1"/>
  <c r="T37" i="30" s="1"/>
  <c r="Q38" i="30" l="1"/>
  <c r="J4" i="29"/>
  <c r="R4" i="29"/>
  <c r="S4" i="29" s="1"/>
  <c r="G96" i="24"/>
  <c r="G98" i="24" s="1"/>
  <c r="C66" i="22"/>
  <c r="C4" i="22" l="1"/>
  <c r="I23" i="30"/>
  <c r="H96" i="24"/>
  <c r="H98" i="24" s="1"/>
  <c r="T38" i="30"/>
  <c r="S60" i="29"/>
  <c r="T60" i="29" s="1"/>
  <c r="M23" i="30" l="1"/>
  <c r="I24" i="30"/>
  <c r="S39" i="30"/>
  <c r="R39" i="30"/>
  <c r="P39" i="30"/>
  <c r="U37" i="30"/>
  <c r="U36" i="30"/>
  <c r="Q39" i="30"/>
  <c r="G4" i="29"/>
  <c r="G58" i="29"/>
  <c r="S58" i="29" s="1"/>
  <c r="I25" i="30" l="1"/>
  <c r="T39" i="30"/>
  <c r="T58" i="29"/>
  <c r="N23" i="30" l="1"/>
  <c r="B25" i="30"/>
  <c r="N4" i="30"/>
  <c r="G25" i="30"/>
  <c r="N11" i="30"/>
  <c r="N15" i="30"/>
  <c r="N12" i="30"/>
  <c r="N14" i="30"/>
  <c r="J25" i="30"/>
  <c r="H25" i="30"/>
  <c r="N6" i="30"/>
  <c r="N20" i="30"/>
  <c r="F25" i="30"/>
  <c r="L25" i="30"/>
  <c r="N18" i="30"/>
  <c r="N22" i="30"/>
  <c r="N13" i="30"/>
  <c r="N17" i="30"/>
  <c r="E25" i="30"/>
  <c r="K25" i="30"/>
  <c r="N7" i="30"/>
  <c r="N21" i="30"/>
  <c r="N19" i="30"/>
  <c r="D25" i="30"/>
  <c r="N5" i="30"/>
  <c r="N16" i="30"/>
  <c r="C25" i="30"/>
  <c r="M25" i="30" l="1"/>
  <c r="N25" i="30" s="1"/>
  <c r="N24" i="30"/>
</calcChain>
</file>

<file path=xl/sharedStrings.xml><?xml version="1.0" encoding="utf-8"?>
<sst xmlns="http://schemas.openxmlformats.org/spreadsheetml/2006/main" count="711" uniqueCount="270">
  <si>
    <t>Total Project</t>
  </si>
  <si>
    <t>Productos</t>
  </si>
  <si>
    <t>Consultorías individuales</t>
  </si>
  <si>
    <t>Firmas Consultoras</t>
  </si>
  <si>
    <t>Bienes</t>
  </si>
  <si>
    <t>Descripción</t>
  </si>
  <si>
    <t>Unitario Monto</t>
  </si>
  <si>
    <t>Especialistas</t>
  </si>
  <si>
    <t>Total</t>
  </si>
  <si>
    <t>Unidad Monto</t>
  </si>
  <si>
    <t>M2</t>
  </si>
  <si>
    <t>Total Componente I</t>
  </si>
  <si>
    <t>Total Componente II</t>
  </si>
  <si>
    <t>Total Coordinación del Proyecto</t>
  </si>
  <si>
    <t>Administración Proyecto</t>
  </si>
  <si>
    <t>Evaluación</t>
  </si>
  <si>
    <t>Auditoría</t>
  </si>
  <si>
    <t>Uno por año</t>
  </si>
  <si>
    <t xml:space="preserve">Total </t>
  </si>
  <si>
    <t>Categories</t>
  </si>
  <si>
    <t>BID</t>
  </si>
  <si>
    <t>BIENES</t>
  </si>
  <si>
    <t>OBRAS</t>
  </si>
  <si>
    <t>Rates</t>
  </si>
  <si>
    <t>Per diem and Tickets</t>
  </si>
  <si>
    <t>Taxes</t>
  </si>
  <si>
    <t>International Consultancy</t>
  </si>
  <si>
    <t>Local consultancy</t>
  </si>
  <si>
    <t>Consultant Firm Int</t>
  </si>
  <si>
    <t>International Lawyer</t>
  </si>
  <si>
    <t>National Lawyer</t>
  </si>
  <si>
    <t>Training consultancy</t>
  </si>
  <si>
    <t>Noc Room (Network Operating Center)</t>
  </si>
  <si>
    <t>Laptops</t>
  </si>
  <si>
    <t>Rack for Servers</t>
  </si>
  <si>
    <t>UPS 5 kva</t>
  </si>
  <si>
    <t xml:space="preserve">Printers </t>
  </si>
  <si>
    <t>Art an Diagram Services</t>
  </si>
  <si>
    <t>Per diem</t>
  </si>
  <si>
    <t>Training Seminars</t>
  </si>
  <si>
    <t>Accessories for Rack</t>
  </si>
  <si>
    <t>Servicios diferentes de Consultorías</t>
  </si>
  <si>
    <t>MEF</t>
  </si>
  <si>
    <t>Total BID</t>
  </si>
  <si>
    <t>IVA</t>
  </si>
  <si>
    <t>Administración, auditoría, monitoreo y evaluación</t>
  </si>
  <si>
    <t>INFORMACIÓN PARA CARGA INICIAL DEL PLAN DE ADQUISICIONES (EN CURSO Y/O ULTIMO PRESENTADO)</t>
  </si>
  <si>
    <t>Sistema Nacional</t>
  </si>
  <si>
    <t>Unidad Ejecutora:</t>
  </si>
  <si>
    <t>Actividad:</t>
  </si>
  <si>
    <t>Cantidad de Lotes :</t>
  </si>
  <si>
    <t>Número de Proceso:</t>
  </si>
  <si>
    <t xml:space="preserve">Monto Estimado </t>
  </si>
  <si>
    <t>Componente Asociado:</t>
  </si>
  <si>
    <t>Fechas</t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</si>
  <si>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</si>
  <si>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</si>
  <si>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</si>
  <si>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</si>
  <si>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</si>
  <si>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</si>
  <si>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</si>
  <si>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Proceso Cancelado</t>
  </si>
  <si>
    <t>Declaración de Licitación Desierta</t>
  </si>
  <si>
    <t>Rechazo de Ofertas</t>
  </si>
  <si>
    <t>Contrato En Ejecución</t>
  </si>
  <si>
    <t>Contrato Terminado</t>
  </si>
  <si>
    <t>Comparación de precios</t>
  </si>
  <si>
    <t xml:space="preserve">a determinar </t>
  </si>
  <si>
    <t>Componente 1</t>
  </si>
  <si>
    <t>Componente 3</t>
  </si>
  <si>
    <t>SERVICIOS DE NO CONSULTORÍA</t>
  </si>
  <si>
    <t>Producto</t>
  </si>
  <si>
    <t>Licitación Pública Internacional en 2 etapas </t>
  </si>
  <si>
    <t>Documento de Licitación</t>
  </si>
  <si>
    <t>Componente 2</t>
  </si>
  <si>
    <t>Comparación de Calificaciones</t>
  </si>
  <si>
    <t>CONSULTORÍAS FIRMAS</t>
  </si>
  <si>
    <t>Contratación Directa </t>
  </si>
  <si>
    <t xml:space="preserve">   </t>
  </si>
  <si>
    <t>cantidad</t>
  </si>
  <si>
    <t>N° de proceso</t>
  </si>
  <si>
    <t>Aviso de Expresiones de Interés</t>
  </si>
  <si>
    <t>Selección basada en el menor costo </t>
  </si>
  <si>
    <t>Selección Basada en la Calidad y Costo </t>
  </si>
  <si>
    <t>Precios Unitarios</t>
  </si>
  <si>
    <t>Bienes </t>
  </si>
  <si>
    <t>CONSULTORÍAS INDIVIDUOS</t>
  </si>
  <si>
    <t>Suma Alzada</t>
  </si>
  <si>
    <t>Cantidad Estimada de Consultores:</t>
  </si>
  <si>
    <t>Llave en mano</t>
  </si>
  <si>
    <t>Obras </t>
  </si>
  <si>
    <t>No Objeción a los TdR de la Actividad</t>
  </si>
  <si>
    <t>Firma Contrato</t>
  </si>
  <si>
    <t>3CV</t>
  </si>
  <si>
    <t>Suma global + Gastos Reembolsables</t>
  </si>
  <si>
    <t>Consultoría - Firmas </t>
  </si>
  <si>
    <t>Tiempo Trabajado</t>
  </si>
  <si>
    <t>Términos de Referencia</t>
  </si>
  <si>
    <t>Suma global</t>
  </si>
  <si>
    <t>Intermedia</t>
  </si>
  <si>
    <t>Final</t>
  </si>
  <si>
    <t xml:space="preserve">Licitación Pública Internacional </t>
  </si>
  <si>
    <t>Licitación Publica Nacional</t>
  </si>
  <si>
    <t>Coordinación y Administración del Proyecto</t>
  </si>
  <si>
    <r>
      <t xml:space="preserve">Método de Selección/Adquisición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</si>
  <si>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 xml:space="preserve">Método de Revisión 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</si>
  <si>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>Comentarios</t>
    </r>
    <r>
      <rPr>
        <sz val="8"/>
        <rFont val="Arial"/>
        <family val="2"/>
      </rPr>
      <t xml:space="preserve"> - para UCS incluir método de selección</t>
    </r>
  </si>
  <si>
    <r>
      <t xml:space="preserve">Método de 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</si>
  <si>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t>Selección Basada en Calificación de Consultores</t>
  </si>
  <si>
    <t>2019</t>
  </si>
  <si>
    <t>2020</t>
  </si>
  <si>
    <t>2021</t>
  </si>
  <si>
    <t>2022</t>
  </si>
  <si>
    <t>Contratacion equipo de coordinacion y administracion de proyecto</t>
  </si>
  <si>
    <t>Reserva contingencias</t>
  </si>
  <si>
    <t>Firma contrato y cumplimiento CP</t>
  </si>
  <si>
    <t xml:space="preserve">      Evaluación</t>
  </si>
  <si>
    <t xml:space="preserve">      Auditoría</t>
  </si>
  <si>
    <t>Administracion del programa</t>
  </si>
  <si>
    <t>Total IVA</t>
  </si>
  <si>
    <t>LOCAL</t>
  </si>
  <si>
    <t>TOTAL</t>
  </si>
  <si>
    <t>Total Subcomponente I</t>
  </si>
  <si>
    <t>Total Subcomponente II</t>
  </si>
  <si>
    <t>1.4 Nueva entidad de gestión propietaria de las EE.PP. que sustituiría a EMCO implementada</t>
  </si>
  <si>
    <t xml:space="preserve">Experto Adquisiciones </t>
  </si>
  <si>
    <t>Coordinador Operativo</t>
  </si>
  <si>
    <t xml:space="preserve">Apoyo ejecución </t>
  </si>
  <si>
    <t xml:space="preserve">Experto Legal </t>
  </si>
  <si>
    <t>EC-L1251 PROGRAMA DE APOYO A LA REFORMA DE EMPRESAS PÚBLICAS</t>
  </si>
  <si>
    <t>LOCAL  (impuestos-IVA)</t>
  </si>
  <si>
    <t>Componente 1. Rediseño del Marco de Gobernanza Corporativa y Fiscal de las EE.PP.</t>
  </si>
  <si>
    <t>Subcomponente 2. Rediseño de la función propietaria y de gestión</t>
  </si>
  <si>
    <t>Subcomponente I. Marco normativo</t>
  </si>
  <si>
    <t>Componente 2. Optimización de la cartera de EE.PP.</t>
  </si>
  <si>
    <t>Contingencias</t>
  </si>
  <si>
    <t>Socialización de la nueva entidad que sustituye a EMCO</t>
  </si>
  <si>
    <t xml:space="preserve">Consultoría especializada para diseño de la estrategia de fusión de Petroamazonas y Petroecuador, incluyendo definición de gobernanza corporativa y régimen fiscal </t>
  </si>
  <si>
    <t>2.1 Estrategia de fusión de Petroamazonas y Petroecuador, incluyendo definición de gobernanza corporativa y régimen fiscal diseñada e implementado</t>
  </si>
  <si>
    <t>Meses</t>
  </si>
  <si>
    <t xml:space="preserve">Monitoreo y Planificación </t>
  </si>
  <si>
    <t xml:space="preserve">Experto financiero </t>
  </si>
  <si>
    <t>Expost</t>
  </si>
  <si>
    <t>MERNNR</t>
  </si>
  <si>
    <t xml:space="preserve">Contingencia </t>
  </si>
  <si>
    <t>Consultant Firm Local</t>
  </si>
  <si>
    <t>Construction / Remodeling M2</t>
  </si>
  <si>
    <t>Data Base Servers</t>
  </si>
  <si>
    <t>Oracle License</t>
  </si>
  <si>
    <t>By processor</t>
  </si>
  <si>
    <t>Storage type San</t>
  </si>
  <si>
    <t>Rack support Server</t>
  </si>
  <si>
    <t>Communication Servers</t>
  </si>
  <si>
    <t>Lan Network and Core</t>
  </si>
  <si>
    <t>Communication Server WS</t>
  </si>
  <si>
    <t>by point</t>
  </si>
  <si>
    <t>Offices Communication</t>
  </si>
  <si>
    <t>Applications Server</t>
  </si>
  <si>
    <t>Security Platform</t>
  </si>
  <si>
    <t>Contingency Platform</t>
  </si>
  <si>
    <t>Business Intelligence</t>
  </si>
  <si>
    <t>Electronic Document Management Platform</t>
  </si>
  <si>
    <t>Computers (Thin Client)</t>
  </si>
  <si>
    <t>Integrated System for inventory Management and Human Resources Management</t>
  </si>
  <si>
    <t xml:space="preserve">Capacitación para la implementación de NIIF </t>
  </si>
  <si>
    <t>Capacitación para el reporte de EEFF</t>
  </si>
  <si>
    <t>Socialización de acciones anticorrupción con los actores relevantes</t>
  </si>
  <si>
    <t>Capacitación al personal de la nueva entidad propietaria de EE.PP.</t>
  </si>
  <si>
    <t>Otros</t>
  </si>
  <si>
    <t xml:space="preserve">1.2 Régimen de gobernanza fiscal implementado </t>
  </si>
  <si>
    <t>1.3 Mecanismos de transparencia y rendición de cuentas implementados</t>
  </si>
  <si>
    <t>Consultoría para la elaboración de un informe con los criterios para la precalificación de auditoras externas</t>
  </si>
  <si>
    <t>2.3 Evaluación de pertinencia de propiedad estatal, análisis de mercado, y estrategia de puesta en valor (liquidación, restructuración, alianza estratégica con inversores privados o desinversión) para las empresa Tame elaborada</t>
  </si>
  <si>
    <t>Experto hidrocarburos</t>
  </si>
  <si>
    <t>Experto Energía</t>
  </si>
  <si>
    <t>Consultoría especializada de apoyo para apoyo a la implementación de las medidas Anticorrupción (obtención del certificado ISO-37001 de las EE.PP.) para PAM y PEC</t>
  </si>
  <si>
    <t>Consultoría especializada de apoyo para apoyo a la implementación de las medidas Anticorrupción (obtención del certificado ISO-37001 de las EE.PP.) para FLOPEC</t>
  </si>
  <si>
    <t>Consultoría nacional de apoyo al diseño del régimen fiscal de las EE.PP. petroleras</t>
  </si>
  <si>
    <t>Consultoría nacional de apoyo a la implementación de las reformas de la LOEP</t>
  </si>
  <si>
    <t>Personal con beneficios por desvinculación devengados en PAM</t>
  </si>
  <si>
    <t>Personal con beneficios por desvinculación devengados en PEC</t>
  </si>
  <si>
    <t>Personal con beneficios por desvinculación devengados en TAME</t>
  </si>
  <si>
    <t>Personal con beneficios por desvinculación devengados en CNEL</t>
  </si>
  <si>
    <t>Personal con beneficios por desvinculación devengados en CELEC</t>
  </si>
  <si>
    <t>1.5 DNEP fortalecida, incluyendo el desarrollo de instrumentos de gestión (estudios de costes de producción) para asistir la formulación presupuestaria</t>
  </si>
  <si>
    <t xml:space="preserve">Consultoría especializada para el desarrollo de instrumentos de gestión (estudios de costes de producción) para asistir la formulación presupuestaria </t>
  </si>
  <si>
    <t>Consultoría especializada para definir sistemas de certificación de capacidad de pago y limites de endeudamiento.</t>
  </si>
  <si>
    <t>Personal con beneficios por desvinculación devengados en EMCO</t>
  </si>
  <si>
    <t>Consultoría especializada para el diseño institucional de la función recaudadora del SRI sobre las EE.PP, que incluya capacitación en función recaudadora sobre EE.PP. a funcionarios públicos del SRI</t>
  </si>
  <si>
    <t>Consultoría especializada para el diseño institucional de las funciones y responsabilidades tributarias dentro de las EE.PP., que incluye capacitación para enfrentar responsabilidades tributarias a direcciones relevantes de EE.PP</t>
  </si>
  <si>
    <t>Consultoría especializada de apoyo para apoyo a la implementación de las medidas Anticorrupción (obtención del certificado ISO-37001 de las EE.PP.) para CNEL</t>
  </si>
  <si>
    <t xml:space="preserve">Consultoría especializada de apoyo para apoyo a la implementación de las medidas Anticorrupción (obtención del certificado ISO-37001 de las EE.PP.) para CELEC </t>
  </si>
  <si>
    <t>EC-L1251</t>
  </si>
  <si>
    <t xml:space="preserve">      Auditoría desvinculaciones</t>
  </si>
  <si>
    <t>MINTEL</t>
  </si>
  <si>
    <t>MTOP</t>
  </si>
  <si>
    <t>EMCO (o la entidad que la sustituya)</t>
  </si>
  <si>
    <t>OTROS</t>
  </si>
  <si>
    <t>Auditoría desvinculaciones</t>
  </si>
  <si>
    <t>Evaluación intermedia</t>
  </si>
  <si>
    <t>Evaluación ex-post</t>
  </si>
  <si>
    <t>Evaluación final</t>
  </si>
  <si>
    <t xml:space="preserve">Consultoría especializada para diseño de la estrategia de gobernanza corporativa y régimen fiscal de TAME (valoración patrimonial). </t>
  </si>
  <si>
    <t xml:space="preserve"> Se les financiará  durante todo el Programa (4 años)</t>
  </si>
  <si>
    <t>Experto Telecom.</t>
  </si>
  <si>
    <t xml:space="preserve">1.6 Apoyo a los GADs en la adopción de las reformas de la LOEP en sus EE.PP. implementado </t>
  </si>
  <si>
    <t>2.5 Estrategia de comunicación (pública e interna) que facilite la comprensión de los objetivos de la reforma y las estrategias diseñadas para que beneficie al ciudadano implementada</t>
  </si>
  <si>
    <t>Capacitación especifica a la empresa Petrolera sobre el régimen fiscal de la EP</t>
  </si>
  <si>
    <t>Capacitación/transferencia conocimiento sobre contrato de gestión del desempeño de EE.PP.</t>
  </si>
  <si>
    <t xml:space="preserve">Visitas técnicas a Sistema de EEPP de un país de la región para intercambio de experiencias para el fortalecimiento de la DNEP </t>
  </si>
  <si>
    <t>Consultoría de desarrollo de herramientas informática de apoyo a la gestión (información de la áreas funcionales de las EP, y reportería para dar seguimiento a convenios). Basado en software libre. APROBACIÓN MINTEL (TDRS)</t>
  </si>
  <si>
    <t>Apoyo al proceso de implementación del nuevo modelo de gestión de EEPP</t>
  </si>
  <si>
    <t>Consultoría para el análisis de sostenibilidad financiera de EEPP de los GADs</t>
  </si>
  <si>
    <t xml:space="preserve">Consultoría especializada para implementación de la estrategia de fusión de Petroamazonas y Petroecuador, incluyendo definición de gobernanza corporativa y régimen fiscal </t>
  </si>
  <si>
    <t>2.2 Optimización de la Corporación Eléctrica del Ecuador (CELEC), y la Corporación Nacional de Electricidad (CNEL) diseñada.</t>
  </si>
  <si>
    <t>Consultoría especializada para la optimización del funcionamiento de CELEC y CNEL, que incluya: a) diagnostico institucional de ambas entidades y propuesta coordinada de gestión del sector eléctrico; b) implementación de las reformas a la LOEP; c) estudios de costes de producción, incluyendo estimación de valor de activos y costes operativos</t>
  </si>
  <si>
    <t>Acompañamiento para implementación NIIF 2017-2018</t>
  </si>
  <si>
    <t>Consultoría especializada para la implementación de la estrategia de comunicación (pública e interna) que facilite la comprensión de los objetivos de la reforma y las estrategias diseñadas para que beneficie al ciudadano, que incluya eventos de socialización</t>
  </si>
  <si>
    <t>1.1 Marco normativo (LOEP y reglamentos asociados) revisado y propuesta de reforma conforme a mejores estándares internacionales elaborada (incluye Gobernanza corporativa, régimen fiscal y mecanismos de transparencia y rendición de cuentas)</t>
  </si>
  <si>
    <t>Consultoría especializada para el diseño de reglamentos asociados a la LOEP</t>
  </si>
  <si>
    <t>Socialización y difusión de la nueva LOEP y reglamentos y normativa asociados, que incluya materiales de difusión (150 EP)</t>
  </si>
  <si>
    <t>Consultoría nacional de apoyo al diseño de reglamentos asociados a la LOEP</t>
  </si>
  <si>
    <t>Capacitación/transferencia de conocimiento sobre lineamientos de gobernanza corporativa de la OCDE y temas específicos de la nueva LOEP, reglamentos y normativa asociados (200 p)</t>
  </si>
  <si>
    <t>Consultoría especializada para el diseño del régimen fiscal de las EE.PP. petroleras, que incluya capacitación</t>
  </si>
  <si>
    <t>Consultoría especializada apoyo de a la implementación de las reformas de la LOEP, incluyendo la definición de sistemas de selección de directores, políticas de dietas, e instrumentos de medición del desempeño de las EE.PP. que incluya capacitación</t>
  </si>
  <si>
    <t>Consultoría especializada para seguimiento de la implementación del diseño de la nueva entidad de gestión propietaria de las EE.PP. que sustituiría a EMCO, que incluya la elaboración del estatuto orgánico administrativo, que incluya capacitación.</t>
  </si>
  <si>
    <t>Consultoría nacional de apoyo al seguimiento de la implementación del diseño de la nueva entidad de gestión propietaria de las EE.PP. que sustituiría a EMCO, , que incluya la elaboración del estatuto orgánico administrativo, que incluya capacitación.</t>
  </si>
  <si>
    <t>Consultoría para la capacitación en sectores estratégicos (energía, telecom, hidrocarburos)</t>
  </si>
  <si>
    <t>Consultoría especializada para implementación del Sistema informático de gestión (SAP)</t>
  </si>
  <si>
    <t>Asesoría legal para la fusión</t>
  </si>
  <si>
    <t xml:space="preserve">Consultoría especializada en temas técnicos de la cadena de valor (exploración y producción petrolera) para mejorar la eficiencia en la fusión. </t>
  </si>
  <si>
    <t>DNEP</t>
  </si>
  <si>
    <t>Monto Estimado Local en US$:</t>
  </si>
  <si>
    <t xml:space="preserve">Consultoría para la capacitación en implementación de NIIF </t>
  </si>
  <si>
    <t>Consultoría para la capacitación en para el reporte de EEFF</t>
  </si>
  <si>
    <t>Table 2.1. Presupuesto del Proyecto (US$)</t>
  </si>
  <si>
    <t>Local MEF</t>
  </si>
  <si>
    <t>Local EMCO</t>
  </si>
  <si>
    <t>Local MERNNR</t>
  </si>
  <si>
    <t>Local MTOP</t>
  </si>
  <si>
    <t>%</t>
  </si>
  <si>
    <t>EMCO</t>
  </si>
  <si>
    <t>PAM/PEC</t>
  </si>
  <si>
    <t>CELEC/CNEL</t>
  </si>
  <si>
    <t>TAME</t>
  </si>
  <si>
    <t>1.    Costos Directo</t>
  </si>
  <si>
    <t>2.   Costos Administrativos</t>
  </si>
  <si>
    <t>Auditoria</t>
  </si>
  <si>
    <t>3. Contingencia</t>
  </si>
  <si>
    <t xml:space="preserve">* La contraparte local incluye el IVA de todas las actividades </t>
  </si>
  <si>
    <t>Table 2.2.Disbursement Timetable (US$ millons)</t>
  </si>
  <si>
    <t>Source</t>
  </si>
  <si>
    <t>Year 1</t>
  </si>
  <si>
    <t>Year 2</t>
  </si>
  <si>
    <t>Year 3</t>
  </si>
  <si>
    <t>Year 4</t>
  </si>
  <si>
    <t>Year 5</t>
  </si>
  <si>
    <t>IDB</t>
  </si>
  <si>
    <t>Local</t>
  </si>
  <si>
    <t>Fuente</t>
  </si>
  <si>
    <t>TOTAL BID</t>
  </si>
  <si>
    <t>TOTAL LOCAL</t>
  </si>
  <si>
    <t>Consultoría especializada de apoyo para apoyo a la implementación de las medidas Anticorrupción (obtención del certificado ISO-37001 de las EE.PP.) para TAME</t>
  </si>
  <si>
    <t>Personal con beneficios por desvinculación devengados PAM y PEC</t>
  </si>
  <si>
    <t>Personal con beneficios por desvinculación devengados CNEL y CELEC</t>
  </si>
  <si>
    <t>Consultoría especializada para el diseño y la implementación de contrato de gestión del desempeño entre entidad propietaria y EE.PP., que incluya que incluya capacitación.</t>
  </si>
  <si>
    <t>Rediseño de EEPP</t>
  </si>
  <si>
    <t>Mejora de la gestión y optimización del TH</t>
  </si>
  <si>
    <t xml:space="preserve">2.4 Personal con beneficios por desvinculación devengados en Petroamazonas, Petroecuador, CNEL, CELEC, Tame y EMCO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</si>
</sst>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  <numFmt numFmtId="165" formatCode="[$-409]mmm\-yy;@"/>
  </numFmts>
  <fonts count="6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i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theme="4" tint="-0.249977111117893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FF00"/>
        <bgColor theme="4" tint="0.39997558519241921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2">
    <xf numFmtId="0" fontId="0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22" borderId="3" applyNumberFormat="0" applyAlignment="0" applyProtection="0"/>
    <xf numFmtId="0" fontId="30" fillId="22" borderId="3" applyNumberFormat="0" applyAlignment="0" applyProtection="0"/>
    <xf numFmtId="0" fontId="30" fillId="22" borderId="3" applyNumberFormat="0" applyAlignment="0" applyProtection="0"/>
    <xf numFmtId="0" fontId="31" fillId="23" borderId="4" applyNumberFormat="0" applyAlignment="0" applyProtection="0"/>
    <xf numFmtId="0" fontId="31" fillId="23" borderId="4" applyNumberFormat="0" applyAlignment="0" applyProtection="0"/>
    <xf numFmtId="0" fontId="31" fillId="23" borderId="4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5" fillId="0" borderId="6" applyNumberFormat="0" applyFill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36" fillId="0" borderId="7" applyNumberFormat="0" applyFill="0" applyAlignment="0" applyProtection="0"/>
    <xf numFmtId="0" fontId="36" fillId="0" borderId="7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9" borderId="3" applyNumberFormat="0" applyAlignment="0" applyProtection="0"/>
    <xf numFmtId="0" fontId="37" fillId="9" borderId="3" applyNumberFormat="0" applyAlignment="0" applyProtection="0"/>
    <xf numFmtId="0" fontId="37" fillId="9" borderId="3" applyNumberFormat="0" applyAlignment="0" applyProtection="0"/>
    <xf numFmtId="0" fontId="38" fillId="0" borderId="8" applyNumberFormat="0" applyFill="0" applyAlignment="0" applyProtection="0"/>
    <xf numFmtId="0" fontId="38" fillId="0" borderId="8" applyNumberFormat="0" applyFill="0" applyAlignment="0" applyProtection="0"/>
    <xf numFmtId="0" fontId="38" fillId="0" borderId="8" applyNumberFormat="0" applyFill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25" borderId="9" applyNumberFormat="0" applyFont="0" applyAlignment="0" applyProtection="0"/>
    <xf numFmtId="0" fontId="23" fillId="25" borderId="9" applyNumberFormat="0" applyFont="0" applyAlignment="0" applyProtection="0"/>
    <xf numFmtId="0" fontId="23" fillId="25" borderId="9" applyNumberFormat="0" applyFont="0" applyAlignment="0" applyProtection="0"/>
    <xf numFmtId="0" fontId="40" fillId="22" borderId="10" applyNumberFormat="0" applyAlignment="0" applyProtection="0"/>
    <xf numFmtId="0" fontId="40" fillId="22" borderId="10" applyNumberFormat="0" applyAlignment="0" applyProtection="0"/>
    <xf numFmtId="0" fontId="40" fillId="22" borderId="10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/>
    <xf numFmtId="0" fontId="44" fillId="0" borderId="0"/>
    <xf numFmtId="43" fontId="25" fillId="0" borderId="0" applyFont="0" applyFill="0" applyBorder="0" applyAlignment="0" applyProtection="0"/>
    <xf numFmtId="0" fontId="18" fillId="0" borderId="0"/>
    <xf numFmtId="43" fontId="17" fillId="0" borderId="0" applyFont="0" applyFill="0" applyBorder="0" applyAlignment="0" applyProtection="0"/>
    <xf numFmtId="0" fontId="17" fillId="0" borderId="0"/>
    <xf numFmtId="43" fontId="16" fillId="0" borderId="0" applyFont="0" applyFill="0" applyBorder="0" applyAlignment="0" applyProtection="0"/>
    <xf numFmtId="0" fontId="16" fillId="0" borderId="0"/>
    <xf numFmtId="0" fontId="15" fillId="0" borderId="0"/>
    <xf numFmtId="43" fontId="15" fillId="0" borderId="0" applyFont="0" applyFill="0" applyBorder="0" applyAlignment="0" applyProtection="0"/>
    <xf numFmtId="0" fontId="14" fillId="0" borderId="0"/>
    <xf numFmtId="0" fontId="14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0" fontId="8" fillId="0" borderId="0"/>
    <xf numFmtId="43" fontId="23" fillId="0" borderId="0" applyFont="0" applyFill="0" applyBorder="0" applyAlignment="0" applyProtection="0"/>
    <xf numFmtId="0" fontId="7" fillId="0" borderId="0"/>
    <xf numFmtId="0" fontId="5" fillId="0" borderId="0"/>
    <xf numFmtId="9" fontId="25" fillId="0" borderId="0" applyFont="0" applyFill="0" applyBorder="0" applyAlignment="0" applyProtection="0"/>
    <xf numFmtId="0" fontId="2" fillId="0" borderId="0"/>
  </cellStyleXfs>
  <cellXfs count="350">
    <xf numFmtId="0" fontId="0" fillId="0" borderId="0" xfId="0"/>
    <xf numFmtId="0" fontId="45" fillId="0" borderId="0" xfId="3" applyFont="1" applyProtection="1">
      <protection locked="0"/>
    </xf>
    <xf numFmtId="43" fontId="45" fillId="0" borderId="0" xfId="3" applyNumberFormat="1" applyFont="1" applyProtection="1">
      <protection locked="0"/>
    </xf>
    <xf numFmtId="0" fontId="19" fillId="0" borderId="0" xfId="0" applyFont="1"/>
    <xf numFmtId="3" fontId="45" fillId="26" borderId="2" xfId="0" applyNumberFormat="1" applyFont="1" applyFill="1" applyBorder="1" applyAlignment="1" applyProtection="1">
      <alignment horizontal="right" vertical="center" wrapText="1"/>
      <protection locked="0"/>
    </xf>
    <xf numFmtId="3" fontId="45" fillId="26" borderId="2" xfId="3" applyNumberFormat="1" applyFont="1" applyFill="1" applyBorder="1" applyAlignment="1">
      <alignment horizontal="right" vertical="center" wrapText="1"/>
    </xf>
    <xf numFmtId="3" fontId="45" fillId="0" borderId="2" xfId="0" applyNumberFormat="1" applyFont="1" applyBorder="1" applyAlignment="1" applyProtection="1">
      <alignment horizontal="right" vertical="center" wrapText="1"/>
      <protection locked="0"/>
    </xf>
    <xf numFmtId="3" fontId="45" fillId="0" borderId="2" xfId="3" applyNumberFormat="1" applyFont="1" applyBorder="1" applyAlignment="1">
      <alignment horizontal="right" vertical="center" wrapText="1"/>
    </xf>
    <xf numFmtId="0" fontId="45" fillId="26" borderId="2" xfId="3" applyFont="1" applyFill="1" applyBorder="1" applyAlignment="1" applyProtection="1">
      <alignment horizontal="left" vertical="center" wrapText="1"/>
      <protection locked="0"/>
    </xf>
    <xf numFmtId="3" fontId="45" fillId="0" borderId="0" xfId="3" applyNumberFormat="1" applyFont="1" applyProtection="1">
      <protection locked="0"/>
    </xf>
    <xf numFmtId="6" fontId="45" fillId="0" borderId="0" xfId="3" applyNumberFormat="1" applyFont="1" applyProtection="1">
      <protection locked="0"/>
    </xf>
    <xf numFmtId="4" fontId="45" fillId="0" borderId="0" xfId="3" applyNumberFormat="1" applyFont="1" applyProtection="1">
      <protection locked="0"/>
    </xf>
    <xf numFmtId="4" fontId="24" fillId="27" borderId="27" xfId="3" applyNumberFormat="1" applyFont="1" applyFill="1" applyBorder="1" applyAlignment="1" applyProtection="1">
      <alignment horizontal="center"/>
      <protection locked="0"/>
    </xf>
    <xf numFmtId="0" fontId="45" fillId="0" borderId="27" xfId="3" applyFont="1" applyBorder="1" applyProtection="1">
      <protection locked="0"/>
    </xf>
    <xf numFmtId="3" fontId="24" fillId="2" borderId="27" xfId="0" applyNumberFormat="1" applyFont="1" applyFill="1" applyBorder="1" applyAlignment="1" applyProtection="1">
      <alignment horizontal="center" wrapText="1"/>
      <protection locked="0"/>
    </xf>
    <xf numFmtId="0" fontId="24" fillId="3" borderId="27" xfId="3" applyFont="1" applyFill="1" applyBorder="1" applyAlignment="1" applyProtection="1">
      <alignment horizontal="center" vertical="center" wrapText="1"/>
      <protection locked="0"/>
    </xf>
    <xf numFmtId="0" fontId="45" fillId="26" borderId="27" xfId="0" applyFont="1" applyFill="1" applyBorder="1" applyAlignment="1" applyProtection="1">
      <alignment horizontal="left" vertical="center" wrapText="1"/>
      <protection locked="0"/>
    </xf>
    <xf numFmtId="3" fontId="45" fillId="26" borderId="27" xfId="0" applyNumberFormat="1" applyFont="1" applyFill="1" applyBorder="1" applyAlignment="1" applyProtection="1">
      <alignment horizontal="right" vertical="center" wrapText="1"/>
      <protection locked="0"/>
    </xf>
    <xf numFmtId="3" fontId="45" fillId="26" borderId="27" xfId="3" applyNumberFormat="1" applyFont="1" applyFill="1" applyBorder="1" applyAlignment="1">
      <alignment horizontal="right" vertical="center" wrapText="1"/>
    </xf>
    <xf numFmtId="0" fontId="45" fillId="0" borderId="27" xfId="3" applyFont="1" applyBorder="1" applyAlignment="1" applyProtection="1">
      <alignment horizontal="left" vertical="center" wrapText="1"/>
      <protection locked="0"/>
    </xf>
    <xf numFmtId="3" fontId="45" fillId="0" borderId="27" xfId="0" applyNumberFormat="1" applyFont="1" applyBorder="1" applyAlignment="1" applyProtection="1">
      <alignment horizontal="right" vertical="center" wrapText="1"/>
      <protection locked="0"/>
    </xf>
    <xf numFmtId="3" fontId="45" fillId="0" borderId="27" xfId="3" applyNumberFormat="1" applyFont="1" applyBorder="1" applyAlignment="1">
      <alignment horizontal="right" vertical="center" wrapText="1"/>
    </xf>
    <xf numFmtId="0" fontId="45" fillId="26" borderId="27" xfId="3" applyFont="1" applyFill="1" applyBorder="1" applyAlignment="1" applyProtection="1">
      <alignment horizontal="left" vertical="center" wrapText="1"/>
      <protection locked="0"/>
    </xf>
    <xf numFmtId="0" fontId="45" fillId="0" borderId="27" xfId="0" applyFont="1" applyBorder="1" applyAlignment="1" applyProtection="1">
      <alignment horizontal="left" vertical="center" wrapText="1"/>
      <protection locked="0"/>
    </xf>
    <xf numFmtId="3" fontId="45" fillId="26" borderId="27" xfId="0" applyNumberFormat="1" applyFont="1" applyFill="1" applyBorder="1" applyAlignment="1" applyProtection="1">
      <alignment vertical="center" wrapText="1"/>
      <protection locked="0"/>
    </xf>
    <xf numFmtId="3" fontId="45" fillId="26" borderId="27" xfId="3" applyNumberFormat="1" applyFont="1" applyFill="1" applyBorder="1" applyAlignment="1">
      <alignment vertical="center" wrapText="1"/>
    </xf>
    <xf numFmtId="3" fontId="24" fillId="2" borderId="27" xfId="3" applyNumberFormat="1" applyFont="1" applyFill="1" applyBorder="1" applyAlignment="1" applyProtection="1">
      <alignment horizontal="center" vertical="center"/>
      <protection locked="0"/>
    </xf>
    <xf numFmtId="3" fontId="24" fillId="0" borderId="27" xfId="3" applyNumberFormat="1" applyFont="1" applyBorder="1" applyAlignment="1" applyProtection="1">
      <alignment horizontal="right" vertical="center" wrapText="1"/>
      <protection locked="0"/>
    </xf>
    <xf numFmtId="0" fontId="24" fillId="28" borderId="27" xfId="0" applyFont="1" applyFill="1" applyBorder="1" applyAlignment="1" applyProtection="1">
      <alignment horizontal="left" vertical="center" wrapText="1"/>
      <protection locked="0"/>
    </xf>
    <xf numFmtId="3" fontId="24" fillId="28" borderId="27" xfId="0" applyNumberFormat="1" applyFont="1" applyFill="1" applyBorder="1" applyAlignment="1" applyProtection="1">
      <alignment horizontal="right" vertical="center" wrapText="1"/>
      <protection locked="0"/>
    </xf>
    <xf numFmtId="3" fontId="24" fillId="28" borderId="27" xfId="3" applyNumberFormat="1" applyFont="1" applyFill="1" applyBorder="1" applyAlignment="1">
      <alignment horizontal="right" vertical="center" wrapText="1"/>
    </xf>
    <xf numFmtId="0" fontId="24" fillId="28" borderId="27" xfId="3" applyFont="1" applyFill="1" applyBorder="1" applyAlignment="1" applyProtection="1">
      <alignment horizontal="left" vertical="center" wrapText="1"/>
      <protection locked="0"/>
    </xf>
    <xf numFmtId="0" fontId="26" fillId="26" borderId="27" xfId="0" applyFont="1" applyFill="1" applyBorder="1" applyAlignment="1">
      <alignment vertical="center"/>
    </xf>
    <xf numFmtId="0" fontId="26" fillId="26" borderId="27" xfId="0" applyFont="1" applyFill="1" applyBorder="1" applyAlignment="1">
      <alignment horizontal="center" vertical="center" wrapText="1"/>
    </xf>
    <xf numFmtId="0" fontId="11" fillId="0" borderId="0" xfId="0" applyFont="1"/>
    <xf numFmtId="3" fontId="11" fillId="0" borderId="0" xfId="0" applyNumberFormat="1" applyFont="1"/>
    <xf numFmtId="0" fontId="49" fillId="0" borderId="0" xfId="0" applyFont="1"/>
    <xf numFmtId="3" fontId="24" fillId="0" borderId="27" xfId="0" applyNumberFormat="1" applyFont="1" applyBorder="1" applyAlignment="1">
      <alignment horizontal="right" vertical="center" wrapText="1"/>
    </xf>
    <xf numFmtId="0" fontId="24" fillId="3" borderId="27" xfId="3" applyFont="1" applyFill="1" applyBorder="1" applyAlignment="1" applyProtection="1">
      <alignment horizontal="center" vertical="center"/>
      <protection locked="0"/>
    </xf>
    <xf numFmtId="3" fontId="24" fillId="0" borderId="27" xfId="3" applyNumberFormat="1" applyFont="1" applyBorder="1" applyAlignment="1" applyProtection="1">
      <alignment horizontal="right" wrapText="1"/>
      <protection locked="0"/>
    </xf>
    <xf numFmtId="3" fontId="45" fillId="26" borderId="2" xfId="3" applyNumberFormat="1" applyFont="1" applyFill="1" applyBorder="1" applyAlignment="1">
      <alignment vertical="center" wrapText="1"/>
    </xf>
    <xf numFmtId="0" fontId="24" fillId="28" borderId="30" xfId="0" applyFont="1" applyFill="1" applyBorder="1" applyAlignment="1" applyProtection="1">
      <alignment vertical="center" wrapText="1"/>
      <protection locked="0"/>
    </xf>
    <xf numFmtId="4" fontId="24" fillId="2" borderId="28" xfId="3" applyNumberFormat="1" applyFont="1" applyFill="1" applyBorder="1" applyAlignment="1" applyProtection="1">
      <alignment horizontal="center"/>
      <protection locked="0"/>
    </xf>
    <xf numFmtId="0" fontId="50" fillId="0" borderId="20" xfId="1" applyFont="1" applyBorder="1" applyAlignment="1">
      <alignment horizontal="left" vertical="center"/>
    </xf>
    <xf numFmtId="0" fontId="50" fillId="0" borderId="20" xfId="1" applyFont="1" applyBorder="1" applyAlignment="1">
      <alignment horizontal="left" vertical="center" wrapText="1"/>
    </xf>
    <xf numFmtId="0" fontId="23" fillId="0" borderId="0" xfId="1"/>
    <xf numFmtId="0" fontId="23" fillId="0" borderId="0" xfId="2"/>
    <xf numFmtId="0" fontId="23" fillId="0" borderId="0" xfId="2" applyAlignment="1">
      <alignment vertical="center" wrapText="1"/>
    </xf>
    <xf numFmtId="0" fontId="51" fillId="0" borderId="0" xfId="212" applyFont="1"/>
    <xf numFmtId="0" fontId="23" fillId="0" borderId="24" xfId="1" applyBorder="1" applyAlignment="1">
      <alignment vertical="center" wrapText="1"/>
    </xf>
    <xf numFmtId="0" fontId="23" fillId="0" borderId="27" xfId="1" applyBorder="1" applyAlignment="1">
      <alignment vertical="center" wrapText="1"/>
    </xf>
    <xf numFmtId="4" fontId="23" fillId="0" borderId="27" xfId="1" applyNumberFormat="1" applyBorder="1" applyAlignment="1">
      <alignment vertical="center" wrapText="1"/>
    </xf>
    <xf numFmtId="10" fontId="23" fillId="0" borderId="27" xfId="1" applyNumberFormat="1" applyBorder="1" applyAlignment="1">
      <alignment vertical="center" wrapText="1"/>
    </xf>
    <xf numFmtId="165" fontId="23" fillId="0" borderId="27" xfId="1" applyNumberFormat="1" applyBorder="1" applyAlignment="1">
      <alignment vertical="center" wrapText="1"/>
    </xf>
    <xf numFmtId="0" fontId="23" fillId="0" borderId="25" xfId="1" applyBorder="1" applyAlignment="1">
      <alignment vertical="center" wrapText="1"/>
    </xf>
    <xf numFmtId="0" fontId="23" fillId="0" borderId="23" xfId="1" applyBorder="1" applyAlignment="1">
      <alignment vertical="center" wrapText="1"/>
    </xf>
    <xf numFmtId="0" fontId="23" fillId="0" borderId="22" xfId="1" applyBorder="1" applyAlignment="1">
      <alignment vertical="center" wrapText="1"/>
    </xf>
    <xf numFmtId="4" fontId="23" fillId="0" borderId="22" xfId="1" applyNumberFormat="1" applyBorder="1" applyAlignment="1">
      <alignment vertical="center" wrapText="1"/>
    </xf>
    <xf numFmtId="10" fontId="23" fillId="0" borderId="22" xfId="1" applyNumberFormat="1" applyBorder="1" applyAlignment="1">
      <alignment vertical="center" wrapText="1"/>
    </xf>
    <xf numFmtId="165" fontId="23" fillId="0" borderId="22" xfId="1" applyNumberFormat="1" applyBorder="1" applyAlignment="1">
      <alignment vertical="center" wrapText="1"/>
    </xf>
    <xf numFmtId="0" fontId="23" fillId="0" borderId="26" xfId="1" applyBorder="1" applyAlignment="1">
      <alignment vertical="center" wrapText="1"/>
    </xf>
    <xf numFmtId="4" fontId="51" fillId="0" borderId="0" xfId="212" applyNumberFormat="1" applyFont="1"/>
    <xf numFmtId="10" fontId="51" fillId="0" borderId="0" xfId="212" applyNumberFormat="1" applyFont="1"/>
    <xf numFmtId="165" fontId="51" fillId="0" borderId="0" xfId="212" applyNumberFormat="1" applyFont="1"/>
    <xf numFmtId="0" fontId="23" fillId="29" borderId="24" xfId="1" applyFill="1" applyBorder="1" applyAlignment="1">
      <alignment vertical="center" wrapText="1"/>
    </xf>
    <xf numFmtId="0" fontId="23" fillId="29" borderId="27" xfId="1" applyFill="1" applyBorder="1" applyAlignment="1">
      <alignment vertical="center" wrapText="1"/>
    </xf>
    <xf numFmtId="10" fontId="23" fillId="29" borderId="27" xfId="1" applyNumberFormat="1" applyFill="1" applyBorder="1" applyAlignment="1">
      <alignment vertical="center" wrapText="1"/>
    </xf>
    <xf numFmtId="0" fontId="23" fillId="29" borderId="25" xfId="1" applyFill="1" applyBorder="1" applyAlignment="1">
      <alignment vertical="center" wrapText="1"/>
    </xf>
    <xf numFmtId="0" fontId="23" fillId="0" borderId="0" xfId="1" applyAlignment="1">
      <alignment vertical="center" wrapText="1"/>
    </xf>
    <xf numFmtId="10" fontId="23" fillId="0" borderId="0" xfId="1" applyNumberFormat="1" applyAlignment="1">
      <alignment vertical="center" wrapText="1"/>
    </xf>
    <xf numFmtId="0" fontId="23" fillId="0" borderId="0" xfId="2" applyAlignment="1">
      <alignment horizontal="left" vertical="center" wrapText="1"/>
    </xf>
    <xf numFmtId="9" fontId="23" fillId="29" borderId="27" xfId="214" applyFont="1" applyFill="1" applyBorder="1" applyAlignment="1">
      <alignment vertical="center" wrapText="1"/>
    </xf>
    <xf numFmtId="4" fontId="23" fillId="0" borderId="0" xfId="1" applyNumberFormat="1" applyAlignment="1">
      <alignment vertical="center" wrapText="1"/>
    </xf>
    <xf numFmtId="0" fontId="45" fillId="0" borderId="2" xfId="3" applyFont="1" applyBorder="1" applyAlignment="1" applyProtection="1">
      <alignment horizontal="left" vertical="center" wrapText="1"/>
      <protection locked="0"/>
    </xf>
    <xf numFmtId="0" fontId="45" fillId="0" borderId="2" xfId="3" applyFont="1" applyBorder="1" applyProtection="1">
      <protection locked="0"/>
    </xf>
    <xf numFmtId="164" fontId="23" fillId="29" borderId="27" xfId="134" applyNumberFormat="1" applyFont="1" applyFill="1" applyBorder="1" applyAlignment="1">
      <alignment vertical="center" wrapText="1"/>
    </xf>
    <xf numFmtId="164" fontId="49" fillId="29" borderId="27" xfId="134" applyNumberFormat="1" applyFont="1" applyFill="1" applyBorder="1" applyAlignment="1">
      <alignment vertical="center" wrapText="1"/>
    </xf>
    <xf numFmtId="4" fontId="52" fillId="0" borderId="0" xfId="212" applyNumberFormat="1" applyFont="1"/>
    <xf numFmtId="3" fontId="24" fillId="2" borderId="27" xfId="3" applyNumberFormat="1" applyFont="1" applyFill="1" applyBorder="1" applyAlignment="1" applyProtection="1">
      <alignment horizontal="center"/>
      <protection locked="0"/>
    </xf>
    <xf numFmtId="0" fontId="45" fillId="26" borderId="2" xfId="0" applyFont="1" applyFill="1" applyBorder="1" applyAlignment="1" applyProtection="1">
      <alignment horizontal="left" vertical="center" wrapText="1"/>
      <protection locked="0"/>
    </xf>
    <xf numFmtId="0" fontId="24" fillId="27" borderId="17" xfId="3" applyFont="1" applyFill="1" applyBorder="1" applyAlignment="1" applyProtection="1">
      <alignment vertical="center" wrapText="1"/>
      <protection locked="0"/>
    </xf>
    <xf numFmtId="0" fontId="24" fillId="27" borderId="2" xfId="3" applyFont="1" applyFill="1" applyBorder="1" applyAlignment="1" applyProtection="1">
      <alignment vertical="center" wrapText="1"/>
      <protection locked="0"/>
    </xf>
    <xf numFmtId="165" fontId="23" fillId="29" borderId="27" xfId="1" applyNumberFormat="1" applyFill="1" applyBorder="1" applyAlignment="1">
      <alignment vertical="center" wrapText="1"/>
    </xf>
    <xf numFmtId="4" fontId="23" fillId="32" borderId="27" xfId="1" applyNumberFormat="1" applyFill="1" applyBorder="1" applyAlignment="1">
      <alignment horizontal="center" vertical="center" wrapText="1"/>
    </xf>
    <xf numFmtId="165" fontId="23" fillId="32" borderId="27" xfId="1" applyNumberFormat="1" applyFill="1" applyBorder="1" applyAlignment="1">
      <alignment horizontal="center" vertical="center" wrapText="1"/>
    </xf>
    <xf numFmtId="165" fontId="23" fillId="0" borderId="0" xfId="1" applyNumberFormat="1" applyAlignment="1">
      <alignment vertical="center" wrapText="1"/>
    </xf>
    <xf numFmtId="0" fontId="52" fillId="0" borderId="0" xfId="212" applyFont="1"/>
    <xf numFmtId="10" fontId="52" fillId="0" borderId="0" xfId="212" applyNumberFormat="1" applyFont="1"/>
    <xf numFmtId="0" fontId="23" fillId="32" borderId="27" xfId="1" applyFill="1" applyBorder="1" applyAlignment="1">
      <alignment horizontal="center" vertical="center" wrapText="1"/>
    </xf>
    <xf numFmtId="10" fontId="23" fillId="32" borderId="27" xfId="1" applyNumberFormat="1" applyFill="1" applyBorder="1" applyAlignment="1">
      <alignment horizontal="center" vertical="center" wrapText="1"/>
    </xf>
    <xf numFmtId="0" fontId="23" fillId="32" borderId="28" xfId="1" applyFill="1" applyBorder="1" applyAlignment="1">
      <alignment horizontal="center" vertical="center" wrapText="1"/>
    </xf>
    <xf numFmtId="0" fontId="23" fillId="32" borderId="30" xfId="1" applyFill="1" applyBorder="1" applyAlignment="1">
      <alignment horizontal="center" vertical="center" wrapText="1"/>
    </xf>
    <xf numFmtId="164" fontId="23" fillId="0" borderId="27" xfId="134" applyNumberFormat="1" applyFont="1" applyBorder="1" applyAlignment="1">
      <alignment vertical="center" wrapText="1"/>
    </xf>
    <xf numFmtId="9" fontId="23" fillId="0" borderId="27" xfId="214" applyFont="1" applyBorder="1" applyAlignment="1">
      <alignment vertical="center" wrapText="1"/>
    </xf>
    <xf numFmtId="3" fontId="24" fillId="36" borderId="27" xfId="3" applyNumberFormat="1" applyFont="1" applyFill="1" applyBorder="1" applyAlignment="1" applyProtection="1">
      <alignment horizontal="center"/>
      <protection locked="0"/>
    </xf>
    <xf numFmtId="0" fontId="24" fillId="36" borderId="29" xfId="3" applyFont="1" applyFill="1" applyBorder="1" applyAlignment="1" applyProtection="1">
      <alignment horizontal="left" wrapText="1"/>
      <protection locked="0"/>
    </xf>
    <xf numFmtId="0" fontId="24" fillId="36" borderId="30" xfId="3" applyFont="1" applyFill="1" applyBorder="1" applyAlignment="1" applyProtection="1">
      <alignment horizontal="left" wrapText="1"/>
      <protection locked="0"/>
    </xf>
    <xf numFmtId="0" fontId="45" fillId="36" borderId="27" xfId="3" applyFont="1" applyFill="1" applyBorder="1" applyProtection="1">
      <protection locked="0"/>
    </xf>
    <xf numFmtId="0" fontId="46" fillId="0" borderId="27" xfId="0" applyFont="1" applyBorder="1" applyAlignment="1" applyProtection="1">
      <alignment horizontal="left" vertical="center" wrapText="1"/>
      <protection locked="0"/>
    </xf>
    <xf numFmtId="0" fontId="56" fillId="36" borderId="0" xfId="0" applyFont="1" applyFill="1"/>
    <xf numFmtId="3" fontId="45" fillId="0" borderId="27" xfId="219" applyNumberFormat="1" applyFont="1" applyBorder="1" applyAlignment="1">
      <alignment horizontal="right" vertical="center" wrapText="1"/>
    </xf>
    <xf numFmtId="3" fontId="46" fillId="0" borderId="27" xfId="0" applyNumberFormat="1" applyFont="1" applyBorder="1" applyAlignment="1" applyProtection="1">
      <alignment horizontal="right" vertical="center" wrapText="1"/>
      <protection locked="0"/>
    </xf>
    <xf numFmtId="3" fontId="46" fillId="0" borderId="27" xfId="219" applyNumberFormat="1" applyFont="1" applyBorder="1" applyAlignment="1">
      <alignment horizontal="right" vertical="center" wrapText="1"/>
    </xf>
    <xf numFmtId="3" fontId="46" fillId="0" borderId="27" xfId="3" applyNumberFormat="1" applyFont="1" applyBorder="1" applyAlignment="1">
      <alignment horizontal="right" vertical="center" wrapText="1"/>
    </xf>
    <xf numFmtId="165" fontId="23" fillId="36" borderId="27" xfId="1" applyNumberFormat="1" applyFill="1" applyBorder="1" applyAlignment="1">
      <alignment vertical="center" wrapText="1"/>
    </xf>
    <xf numFmtId="0" fontId="23" fillId="29" borderId="37" xfId="1" applyFill="1" applyBorder="1" applyAlignment="1">
      <alignment vertical="center" wrapText="1"/>
    </xf>
    <xf numFmtId="0" fontId="23" fillId="29" borderId="34" xfId="1" applyFill="1" applyBorder="1" applyAlignment="1">
      <alignment vertical="center" wrapText="1"/>
    </xf>
    <xf numFmtId="3" fontId="23" fillId="29" borderId="34" xfId="1" applyNumberFormat="1" applyFill="1" applyBorder="1" applyAlignment="1">
      <alignment vertical="center" wrapText="1"/>
    </xf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3" fontId="4" fillId="0" borderId="0" xfId="0" applyNumberFormat="1" applyFont="1" applyAlignment="1">
      <alignment vertical="center"/>
    </xf>
    <xf numFmtId="0" fontId="24" fillId="3" borderId="17" xfId="0" applyFont="1" applyFill="1" applyBorder="1" applyAlignment="1" applyProtection="1">
      <alignment horizontal="center" vertical="center"/>
      <protection locked="0"/>
    </xf>
    <xf numFmtId="0" fontId="24" fillId="3" borderId="2" xfId="0" applyFont="1" applyFill="1" applyBorder="1" applyAlignment="1" applyProtection="1">
      <alignment horizontal="center" vertical="center"/>
      <protection locked="0"/>
    </xf>
    <xf numFmtId="0" fontId="24" fillId="3" borderId="17" xfId="0" applyFont="1" applyFill="1" applyBorder="1" applyAlignment="1" applyProtection="1">
      <alignment horizontal="center" vertical="center" wrapText="1"/>
      <protection locked="0"/>
    </xf>
    <xf numFmtId="0" fontId="24" fillId="3" borderId="2" xfId="0" applyFont="1" applyFill="1" applyBorder="1" applyAlignment="1" applyProtection="1">
      <alignment horizontal="center" vertical="center" wrapText="1"/>
      <protection locked="0"/>
    </xf>
    <xf numFmtId="0" fontId="24" fillId="27" borderId="28" xfId="3" applyFont="1" applyFill="1" applyBorder="1" applyAlignment="1" applyProtection="1">
      <alignment horizontal="center" wrapText="1"/>
      <protection locked="0"/>
    </xf>
    <xf numFmtId="0" fontId="24" fillId="27" borderId="29" xfId="3" applyFont="1" applyFill="1" applyBorder="1" applyAlignment="1" applyProtection="1">
      <alignment horizontal="center" wrapText="1"/>
      <protection locked="0"/>
    </xf>
    <xf numFmtId="0" fontId="24" fillId="27" borderId="28" xfId="3" applyFont="1" applyFill="1" applyBorder="1" applyAlignment="1" applyProtection="1">
      <alignment horizontal="left" wrapText="1"/>
      <protection locked="0"/>
    </xf>
    <xf numFmtId="0" fontId="24" fillId="27" borderId="29" xfId="3" applyFont="1" applyFill="1" applyBorder="1" applyAlignment="1" applyProtection="1">
      <alignment horizontal="left" wrapText="1"/>
      <protection locked="0"/>
    </xf>
    <xf numFmtId="0" fontId="24" fillId="2" borderId="13" xfId="3" applyFont="1" applyFill="1" applyBorder="1" applyAlignment="1" applyProtection="1">
      <alignment horizontal="center" wrapText="1"/>
      <protection locked="0"/>
    </xf>
    <xf numFmtId="0" fontId="24" fillId="2" borderId="20" xfId="3" applyFont="1" applyFill="1" applyBorder="1" applyAlignment="1" applyProtection="1">
      <alignment horizontal="center" wrapText="1"/>
      <protection locked="0"/>
    </xf>
    <xf numFmtId="0" fontId="24" fillId="2" borderId="14" xfId="3" applyFont="1" applyFill="1" applyBorder="1" applyAlignment="1" applyProtection="1">
      <alignment horizontal="center" wrapText="1"/>
      <protection locked="0"/>
    </xf>
    <xf numFmtId="0" fontId="24" fillId="2" borderId="12" xfId="3" applyFont="1" applyFill="1" applyBorder="1" applyAlignment="1" applyProtection="1">
      <alignment horizontal="center" wrapText="1"/>
      <protection locked="0"/>
    </xf>
    <xf numFmtId="0" fontId="24" fillId="2" borderId="16" xfId="3" applyFont="1" applyFill="1" applyBorder="1" applyAlignment="1" applyProtection="1">
      <alignment horizontal="center" wrapText="1"/>
      <protection locked="0"/>
    </xf>
    <xf numFmtId="0" fontId="24" fillId="2" borderId="15" xfId="3" applyFont="1" applyFill="1" applyBorder="1" applyAlignment="1" applyProtection="1">
      <alignment horizontal="center" wrapText="1"/>
      <protection locked="0"/>
    </xf>
    <xf numFmtId="0" fontId="24" fillId="2" borderId="13" xfId="3" applyFont="1" applyFill="1" applyBorder="1" applyAlignment="1" applyProtection="1">
      <alignment horizontal="center" vertical="center"/>
      <protection locked="0"/>
    </xf>
    <xf numFmtId="0" fontId="24" fillId="2" borderId="20" xfId="3" applyFont="1" applyFill="1" applyBorder="1" applyAlignment="1" applyProtection="1">
      <alignment horizontal="center" vertical="center"/>
      <protection locked="0"/>
    </xf>
    <xf numFmtId="0" fontId="24" fillId="2" borderId="14" xfId="3" applyFont="1" applyFill="1" applyBorder="1" applyAlignment="1" applyProtection="1">
      <alignment horizontal="center" vertical="center"/>
      <protection locked="0"/>
    </xf>
    <xf numFmtId="0" fontId="24" fillId="2" borderId="12" xfId="3" applyFont="1" applyFill="1" applyBorder="1" applyAlignment="1" applyProtection="1">
      <alignment horizontal="center" vertical="center"/>
      <protection locked="0"/>
    </xf>
    <xf numFmtId="0" fontId="24" fillId="2" borderId="16" xfId="3" applyFont="1" applyFill="1" applyBorder="1" applyAlignment="1" applyProtection="1">
      <alignment horizontal="center" vertical="center"/>
      <protection locked="0"/>
    </xf>
    <xf numFmtId="0" fontId="24" fillId="2" borderId="15" xfId="3" applyFont="1" applyFill="1" applyBorder="1" applyAlignment="1" applyProtection="1">
      <alignment horizontal="center" vertical="center"/>
      <protection locked="0"/>
    </xf>
    <xf numFmtId="0" fontId="24" fillId="28" borderId="28" xfId="0" applyFont="1" applyFill="1" applyBorder="1" applyAlignment="1" applyProtection="1">
      <alignment vertical="center" wrapText="1"/>
      <protection locked="0"/>
    </xf>
    <xf numFmtId="0" fontId="24" fillId="2" borderId="28" xfId="3" applyFont="1" applyFill="1" applyBorder="1" applyAlignment="1" applyProtection="1">
      <alignment horizontal="center" vertical="center" wrapText="1"/>
      <protection locked="0"/>
    </xf>
    <xf numFmtId="0" fontId="24" fillId="2" borderId="29" xfId="3" applyFont="1" applyFill="1" applyBorder="1" applyAlignment="1" applyProtection="1">
      <alignment horizontal="center" vertical="center" wrapText="1"/>
      <protection locked="0"/>
    </xf>
    <xf numFmtId="0" fontId="24" fillId="36" borderId="28" xfId="3" applyFont="1" applyFill="1" applyBorder="1" applyAlignment="1" applyProtection="1">
      <alignment horizontal="left" wrapText="1"/>
      <protection locked="0"/>
    </xf>
    <xf numFmtId="0" fontId="24" fillId="2" borderId="28" xfId="3" applyFont="1" applyFill="1" applyBorder="1" applyAlignment="1" applyProtection="1">
      <alignment horizontal="left" vertical="center" wrapText="1"/>
      <protection locked="0"/>
    </xf>
    <xf numFmtId="0" fontId="24" fillId="2" borderId="29" xfId="3" applyFont="1" applyFill="1" applyBorder="1" applyAlignment="1" applyProtection="1">
      <alignment horizontal="left" vertical="center" wrapText="1"/>
      <protection locked="0"/>
    </xf>
    <xf numFmtId="0" fontId="24" fillId="0" borderId="0" xfId="3" applyFont="1" applyProtection="1">
      <protection locked="0"/>
    </xf>
    <xf numFmtId="0" fontId="24" fillId="3" borderId="17" xfId="3" applyFont="1" applyFill="1" applyBorder="1" applyAlignment="1" applyProtection="1">
      <alignment vertical="center"/>
      <protection locked="0"/>
    </xf>
    <xf numFmtId="0" fontId="24" fillId="3" borderId="2" xfId="3" applyFont="1" applyFill="1" applyBorder="1" applyAlignment="1" applyProtection="1">
      <alignment vertical="center"/>
      <protection locked="0"/>
    </xf>
    <xf numFmtId="0" fontId="24" fillId="27" borderId="27" xfId="3" applyFont="1" applyFill="1" applyBorder="1" applyProtection="1">
      <protection locked="0"/>
    </xf>
    <xf numFmtId="0" fontId="24" fillId="36" borderId="27" xfId="3" applyFont="1" applyFill="1" applyBorder="1" applyProtection="1">
      <protection locked="0"/>
    </xf>
    <xf numFmtId="0" fontId="24" fillId="30" borderId="27" xfId="0" applyFont="1" applyFill="1" applyBorder="1" applyAlignment="1" applyProtection="1">
      <alignment vertical="center" wrapText="1"/>
      <protection locked="0"/>
    </xf>
    <xf numFmtId="0" fontId="24" fillId="2" borderId="27" xfId="3" applyFont="1" applyFill="1" applyBorder="1" applyAlignment="1" applyProtection="1">
      <alignment wrapText="1"/>
      <protection locked="0"/>
    </xf>
    <xf numFmtId="0" fontId="45" fillId="0" borderId="27" xfId="3" applyFont="1" applyBorder="1" applyAlignment="1" applyProtection="1">
      <alignment vertical="center" wrapText="1"/>
      <protection locked="0"/>
    </xf>
    <xf numFmtId="0" fontId="45" fillId="0" borderId="1" xfId="3" applyFont="1" applyBorder="1" applyAlignment="1" applyProtection="1">
      <alignment vertical="center" wrapText="1"/>
      <protection locked="0"/>
    </xf>
    <xf numFmtId="0" fontId="24" fillId="2" borderId="27" xfId="3" applyFont="1" applyFill="1" applyBorder="1" applyProtection="1">
      <protection locked="0"/>
    </xf>
    <xf numFmtId="0" fontId="23" fillId="32" borderId="25" xfId="1" applyFill="1" applyBorder="1" applyAlignment="1">
      <alignment horizontal="center" vertical="center" wrapText="1"/>
    </xf>
    <xf numFmtId="3" fontId="45" fillId="0" borderId="27" xfId="3" applyNumberFormat="1" applyFont="1" applyFill="1" applyBorder="1" applyAlignment="1">
      <alignment horizontal="right" vertical="center" wrapText="1"/>
    </xf>
    <xf numFmtId="3" fontId="45" fillId="26" borderId="27" xfId="3" applyNumberFormat="1" applyFont="1" applyFill="1" applyBorder="1" applyAlignment="1" applyProtection="1">
      <alignment horizontal="right" vertical="center" wrapText="1"/>
    </xf>
    <xf numFmtId="0" fontId="45" fillId="0" borderId="2" xfId="0" applyFont="1" applyBorder="1" applyAlignment="1" applyProtection="1">
      <alignment horizontal="left" vertical="center" wrapText="1"/>
      <protection locked="0"/>
    </xf>
    <xf numFmtId="0" fontId="24" fillId="27" borderId="28" xfId="3" applyFont="1" applyFill="1" applyBorder="1" applyAlignment="1" applyProtection="1">
      <alignment horizontal="left"/>
      <protection locked="0"/>
    </xf>
    <xf numFmtId="0" fontId="45" fillId="31" borderId="27" xfId="3" applyFont="1" applyFill="1" applyBorder="1" applyAlignment="1" applyProtection="1">
      <alignment wrapText="1"/>
      <protection locked="0"/>
    </xf>
    <xf numFmtId="0" fontId="24" fillId="30" borderId="17" xfId="0" applyFont="1" applyFill="1" applyBorder="1" applyAlignment="1" applyProtection="1">
      <alignment vertical="center" wrapText="1"/>
      <protection locked="0"/>
    </xf>
    <xf numFmtId="0" fontId="23" fillId="29" borderId="34" xfId="1" applyFill="1" applyBorder="1" applyAlignment="1">
      <alignment horizontal="left" vertical="center" wrapText="1"/>
    </xf>
    <xf numFmtId="10" fontId="23" fillId="32" borderId="27" xfId="1" applyNumberFormat="1" applyFill="1" applyBorder="1" applyAlignment="1">
      <alignment horizontal="center" vertical="center" wrapText="1"/>
    </xf>
    <xf numFmtId="0" fontId="46" fillId="0" borderId="39" xfId="0" applyFont="1" applyBorder="1" applyAlignment="1" applyProtection="1">
      <alignment horizontal="left" vertical="center" wrapText="1"/>
      <protection locked="0"/>
    </xf>
    <xf numFmtId="3" fontId="45" fillId="0" borderId="39" xfId="0" applyNumberFormat="1" applyFont="1" applyBorder="1" applyAlignment="1" applyProtection="1">
      <alignment horizontal="right" vertical="center" wrapText="1"/>
      <protection locked="0"/>
    </xf>
    <xf numFmtId="3" fontId="45" fillId="0" borderId="39" xfId="3" applyNumberFormat="1" applyFont="1" applyBorder="1" applyAlignment="1">
      <alignment horizontal="right" vertical="center" wrapText="1"/>
    </xf>
    <xf numFmtId="0" fontId="45" fillId="26" borderId="39" xfId="0" applyFont="1" applyFill="1" applyBorder="1" applyAlignment="1" applyProtection="1">
      <alignment horizontal="left" vertical="center" wrapText="1"/>
      <protection locked="0"/>
    </xf>
    <xf numFmtId="3" fontId="45" fillId="26" borderId="39" xfId="0" applyNumberFormat="1" applyFont="1" applyFill="1" applyBorder="1" applyAlignment="1" applyProtection="1">
      <alignment horizontal="right" vertical="center" wrapText="1"/>
      <protection locked="0"/>
    </xf>
    <xf numFmtId="3" fontId="45" fillId="26" borderId="39" xfId="3" applyNumberFormat="1" applyFont="1" applyFill="1" applyBorder="1" applyAlignment="1">
      <alignment horizontal="right" vertical="center" wrapText="1"/>
    </xf>
    <xf numFmtId="0" fontId="45" fillId="26" borderId="39" xfId="3" applyFont="1" applyFill="1" applyBorder="1" applyAlignment="1" applyProtection="1">
      <alignment horizontal="left" vertical="center" wrapText="1"/>
      <protection locked="0"/>
    </xf>
    <xf numFmtId="0" fontId="45" fillId="0" borderId="39" xfId="3" applyFont="1" applyBorder="1" applyProtection="1">
      <protection locked="0"/>
    </xf>
    <xf numFmtId="3" fontId="45" fillId="26" borderId="39" xfId="3" applyNumberFormat="1" applyFont="1" applyFill="1" applyBorder="1" applyAlignment="1" applyProtection="1">
      <alignment horizontal="right" vertical="center" wrapText="1"/>
    </xf>
    <xf numFmtId="0" fontId="45" fillId="0" borderId="39" xfId="3" applyFont="1" applyBorder="1" applyAlignment="1" applyProtection="1">
      <alignment horizontal="left" vertical="center" wrapText="1"/>
      <protection locked="0"/>
    </xf>
    <xf numFmtId="0" fontId="55" fillId="38" borderId="0" xfId="216" applyFont="1" applyFill="1" applyBorder="1" applyAlignment="1">
      <alignment horizontal="center"/>
    </xf>
    <xf numFmtId="3" fontId="45" fillId="26" borderId="39" xfId="0" applyNumberFormat="1" applyFont="1" applyFill="1" applyBorder="1" applyAlignment="1" applyProtection="1">
      <alignment horizontal="left" vertical="center" wrapText="1"/>
      <protection locked="0"/>
    </xf>
    <xf numFmtId="3" fontId="45" fillId="0" borderId="2" xfId="3" applyNumberFormat="1" applyFont="1" applyBorder="1" applyAlignment="1">
      <alignment horizontal="left" vertical="center" wrapText="1"/>
    </xf>
    <xf numFmtId="0" fontId="45" fillId="0" borderId="2" xfId="3" applyFont="1" applyFill="1" applyBorder="1" applyAlignment="1" applyProtection="1">
      <alignment horizontal="left" vertical="center" wrapText="1"/>
      <protection locked="0"/>
    </xf>
    <xf numFmtId="3" fontId="45" fillId="0" borderId="2" xfId="3" applyNumberFormat="1" applyFont="1" applyFill="1" applyBorder="1" applyAlignment="1">
      <alignment horizontal="right" vertical="center" wrapText="1"/>
    </xf>
    <xf numFmtId="0" fontId="45" fillId="0" borderId="27" xfId="3" applyFont="1" applyFill="1" applyBorder="1" applyAlignment="1" applyProtection="1">
      <alignment wrapText="1"/>
      <protection locked="0"/>
    </xf>
    <xf numFmtId="3" fontId="23" fillId="29" borderId="27" xfId="1" applyNumberFormat="1" applyFill="1" applyBorder="1" applyAlignment="1">
      <alignment vertical="center" wrapText="1"/>
    </xf>
    <xf numFmtId="0" fontId="23" fillId="0" borderId="39" xfId="1" applyBorder="1" applyAlignment="1">
      <alignment vertical="center" wrapText="1"/>
    </xf>
    <xf numFmtId="164" fontId="23" fillId="29" borderId="39" xfId="134" applyNumberFormat="1" applyFont="1" applyFill="1" applyBorder="1" applyAlignment="1">
      <alignment vertical="center" wrapText="1"/>
    </xf>
    <xf numFmtId="0" fontId="23" fillId="29" borderId="41" xfId="1" applyFill="1" applyBorder="1" applyAlignment="1">
      <alignment vertical="center" wrapText="1"/>
    </xf>
    <xf numFmtId="4" fontId="23" fillId="32" borderId="39" xfId="1" applyNumberFormat="1" applyFill="1" applyBorder="1" applyAlignment="1">
      <alignment horizontal="center" vertical="center" wrapText="1"/>
    </xf>
    <xf numFmtId="0" fontId="23" fillId="29" borderId="12" xfId="1" applyFill="1" applyBorder="1" applyAlignment="1">
      <alignment horizontal="left" vertical="center" wrapText="1"/>
    </xf>
    <xf numFmtId="10" fontId="23" fillId="0" borderId="39" xfId="1" applyNumberFormat="1" applyBorder="1" applyAlignment="1">
      <alignment vertical="center" wrapText="1"/>
    </xf>
    <xf numFmtId="0" fontId="23" fillId="0" borderId="41" xfId="1" applyBorder="1" applyAlignment="1">
      <alignment vertical="center" wrapText="1"/>
    </xf>
    <xf numFmtId="0" fontId="58" fillId="0" borderId="0" xfId="0" applyFont="1"/>
    <xf numFmtId="0" fontId="23" fillId="0" borderId="40" xfId="1" applyBorder="1" applyAlignment="1">
      <alignment vertical="center" wrapText="1"/>
    </xf>
    <xf numFmtId="4" fontId="23" fillId="0" borderId="39" xfId="1" applyNumberFormat="1" applyBorder="1" applyAlignment="1">
      <alignment vertical="center" wrapText="1"/>
    </xf>
    <xf numFmtId="165" fontId="23" fillId="0" borderId="39" xfId="1" applyNumberFormat="1" applyBorder="1" applyAlignment="1">
      <alignment vertical="center" wrapText="1"/>
    </xf>
    <xf numFmtId="0" fontId="23" fillId="0" borderId="32" xfId="1" applyBorder="1" applyAlignment="1">
      <alignment vertical="center" wrapText="1"/>
    </xf>
    <xf numFmtId="0" fontId="23" fillId="0" borderId="17" xfId="1" applyBorder="1" applyAlignment="1">
      <alignment vertical="center" wrapText="1"/>
    </xf>
    <xf numFmtId="10" fontId="23" fillId="0" borderId="17" xfId="1" applyNumberFormat="1" applyBorder="1" applyAlignment="1">
      <alignment vertical="center" wrapText="1"/>
    </xf>
    <xf numFmtId="165" fontId="23" fillId="0" borderId="17" xfId="1" applyNumberFormat="1" applyBorder="1" applyAlignment="1">
      <alignment vertical="center" wrapText="1"/>
    </xf>
    <xf numFmtId="0" fontId="23" fillId="0" borderId="34" xfId="1" applyBorder="1" applyAlignment="1">
      <alignment vertical="center" wrapText="1"/>
    </xf>
    <xf numFmtId="3" fontId="23" fillId="0" borderId="39" xfId="1" applyNumberFormat="1" applyBorder="1" applyAlignment="1">
      <alignment vertical="center" wrapText="1"/>
    </xf>
    <xf numFmtId="164" fontId="49" fillId="0" borderId="2" xfId="1" applyNumberFormat="1" applyFont="1" applyBorder="1" applyAlignment="1">
      <alignment vertical="center" wrapText="1"/>
    </xf>
    <xf numFmtId="0" fontId="51" fillId="0" borderId="0" xfId="212" applyFont="1" applyAlignment="1">
      <alignment horizontal="left"/>
    </xf>
    <xf numFmtId="0" fontId="23" fillId="0" borderId="24" xfId="1" applyBorder="1" applyAlignment="1">
      <alignment horizontal="left" vertical="center" wrapText="1"/>
    </xf>
    <xf numFmtId="0" fontId="23" fillId="0" borderId="23" xfId="1" applyBorder="1" applyAlignment="1">
      <alignment horizontal="left" vertical="center" wrapText="1"/>
    </xf>
    <xf numFmtId="0" fontId="23" fillId="0" borderId="31" xfId="1" applyBorder="1" applyAlignment="1">
      <alignment horizontal="left" vertical="center" wrapText="1"/>
    </xf>
    <xf numFmtId="0" fontId="23" fillId="29" borderId="27" xfId="1" applyFill="1" applyBorder="1" applyAlignment="1">
      <alignment horizontal="left" vertical="center" wrapText="1"/>
    </xf>
    <xf numFmtId="0" fontId="23" fillId="0" borderId="0" xfId="1" applyAlignment="1">
      <alignment horizontal="left" vertical="center" wrapText="1"/>
    </xf>
    <xf numFmtId="0" fontId="23" fillId="0" borderId="40" xfId="1" applyBorder="1" applyAlignment="1">
      <alignment horizontal="left" vertical="center" wrapText="1"/>
    </xf>
    <xf numFmtId="0" fontId="23" fillId="0" borderId="32" xfId="1" applyBorder="1" applyAlignment="1">
      <alignment horizontal="left" vertical="center" wrapText="1"/>
    </xf>
    <xf numFmtId="0" fontId="23" fillId="0" borderId="39" xfId="1" applyBorder="1" applyAlignment="1">
      <alignment horizontal="left" vertical="center" wrapText="1"/>
    </xf>
    <xf numFmtId="3" fontId="23" fillId="31" borderId="34" xfId="1" applyNumberFormat="1" applyFill="1" applyBorder="1" applyAlignment="1">
      <alignment vertical="center" wrapText="1"/>
    </xf>
    <xf numFmtId="0" fontId="23" fillId="0" borderId="27" xfId="1" applyFill="1" applyBorder="1" applyAlignment="1">
      <alignment vertical="center" wrapText="1"/>
    </xf>
    <xf numFmtId="0" fontId="45" fillId="0" borderId="39" xfId="0" applyFont="1" applyBorder="1" applyAlignment="1" applyProtection="1">
      <alignment horizontal="left" vertical="center" wrapText="1"/>
      <protection locked="0"/>
    </xf>
    <xf numFmtId="3" fontId="45" fillId="0" borderId="2" xfId="3" applyNumberFormat="1" applyFont="1" applyFill="1" applyBorder="1" applyAlignment="1">
      <alignment horizontal="left" vertical="center" wrapText="1"/>
    </xf>
    <xf numFmtId="3" fontId="45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45" fillId="26" borderId="39" xfId="219" applyNumberFormat="1" applyFont="1" applyFill="1" applyBorder="1" applyAlignment="1" applyProtection="1">
      <alignment horizontal="right" vertical="center" wrapText="1"/>
    </xf>
    <xf numFmtId="0" fontId="45" fillId="31" borderId="27" xfId="3" applyFont="1" applyFill="1" applyBorder="1" applyAlignment="1" applyProtection="1">
      <alignment horizontal="left" vertical="center" wrapText="1"/>
      <protection locked="0"/>
    </xf>
    <xf numFmtId="0" fontId="45" fillId="31" borderId="39" xfId="0" applyFont="1" applyFill="1" applyBorder="1" applyAlignment="1" applyProtection="1">
      <alignment horizontal="left" vertical="center" wrapText="1"/>
      <protection locked="0"/>
    </xf>
    <xf numFmtId="0" fontId="45" fillId="31" borderId="39" xfId="3" applyFont="1" applyFill="1" applyBorder="1" applyAlignment="1" applyProtection="1">
      <alignment wrapText="1"/>
      <protection locked="0"/>
    </xf>
    <xf numFmtId="4" fontId="23" fillId="0" borderId="43" xfId="1" applyNumberFormat="1" applyBorder="1" applyAlignment="1">
      <alignment vertical="center" wrapText="1"/>
    </xf>
    <xf numFmtId="3" fontId="23" fillId="0" borderId="17" xfId="1" applyNumberFormat="1" applyBorder="1" applyAlignment="1">
      <alignment vertical="center" wrapText="1"/>
    </xf>
    <xf numFmtId="164" fontId="49" fillId="0" borderId="0" xfId="1" applyNumberFormat="1" applyFont="1" applyBorder="1" applyAlignment="1">
      <alignment vertical="center" wrapText="1"/>
    </xf>
    <xf numFmtId="0" fontId="2" fillId="0" borderId="0" xfId="221"/>
    <xf numFmtId="0" fontId="61" fillId="39" borderId="41" xfId="221" applyFont="1" applyFill="1" applyBorder="1" applyAlignment="1">
      <alignment horizontal="center" vertical="center" wrapText="1"/>
    </xf>
    <xf numFmtId="0" fontId="61" fillId="39" borderId="49" xfId="221" applyFont="1" applyFill="1" applyBorder="1" applyAlignment="1">
      <alignment horizontal="center" vertical="center" wrapText="1"/>
    </xf>
    <xf numFmtId="0" fontId="61" fillId="0" borderId="51" xfId="221" applyFont="1" applyBorder="1" applyAlignment="1">
      <alignment horizontal="left" vertical="center" wrapText="1" indent="1"/>
    </xf>
    <xf numFmtId="3" fontId="61" fillId="0" borderId="50" xfId="221" applyNumberFormat="1" applyFont="1" applyBorder="1" applyAlignment="1">
      <alignment horizontal="right" vertical="center" wrapText="1"/>
    </xf>
    <xf numFmtId="4" fontId="62" fillId="0" borderId="50" xfId="221" applyNumberFormat="1" applyFont="1" applyBorder="1" applyAlignment="1">
      <alignment horizontal="center" vertical="center" wrapText="1"/>
    </xf>
    <xf numFmtId="43" fontId="2" fillId="0" borderId="0" xfId="134" applyFont="1"/>
    <xf numFmtId="3" fontId="2" fillId="0" borderId="0" xfId="221" applyNumberFormat="1"/>
    <xf numFmtId="3" fontId="61" fillId="0" borderId="50" xfId="221" applyNumberFormat="1" applyFont="1" applyBorder="1" applyAlignment="1">
      <alignment horizontal="left" vertical="center" wrapText="1"/>
    </xf>
    <xf numFmtId="3" fontId="61" fillId="0" borderId="50" xfId="221" quotePrefix="1" applyNumberFormat="1" applyFont="1" applyBorder="1" applyAlignment="1">
      <alignment horizontal="right" vertical="center" wrapText="1"/>
    </xf>
    <xf numFmtId="0" fontId="61" fillId="0" borderId="51" xfId="221" applyFont="1" applyBorder="1" applyAlignment="1">
      <alignment horizontal="left" vertical="center" wrapText="1" indent="2"/>
    </xf>
    <xf numFmtId="0" fontId="61" fillId="39" borderId="51" xfId="221" applyFont="1" applyFill="1" applyBorder="1" applyAlignment="1">
      <alignment vertical="center" wrapText="1"/>
    </xf>
    <xf numFmtId="3" fontId="61" fillId="39" borderId="50" xfId="221" applyNumberFormat="1" applyFont="1" applyFill="1" applyBorder="1" applyAlignment="1">
      <alignment horizontal="right" vertical="center" wrapText="1"/>
    </xf>
    <xf numFmtId="4" fontId="62" fillId="40" borderId="50" xfId="221" applyNumberFormat="1" applyFont="1" applyFill="1" applyBorder="1" applyAlignment="1">
      <alignment horizontal="center" vertical="center" wrapText="1"/>
    </xf>
    <xf numFmtId="2" fontId="61" fillId="39" borderId="50" xfId="221" applyNumberFormat="1" applyFont="1" applyFill="1" applyBorder="1" applyAlignment="1">
      <alignment horizontal="center" vertical="center" wrapText="1"/>
    </xf>
    <xf numFmtId="3" fontId="61" fillId="39" borderId="50" xfId="221" applyNumberFormat="1" applyFont="1" applyFill="1" applyBorder="1" applyAlignment="1">
      <alignment horizontal="center" vertical="center" wrapText="1"/>
    </xf>
    <xf numFmtId="0" fontId="63" fillId="0" borderId="0" xfId="221" applyFont="1"/>
    <xf numFmtId="3" fontId="26" fillId="40" borderId="19" xfId="221" applyNumberFormat="1" applyFont="1" applyFill="1" applyBorder="1" applyAlignment="1">
      <alignment horizontal="center"/>
    </xf>
    <xf numFmtId="3" fontId="26" fillId="40" borderId="18" xfId="221" applyNumberFormat="1" applyFont="1" applyFill="1" applyBorder="1" applyAlignment="1">
      <alignment horizontal="center"/>
    </xf>
    <xf numFmtId="0" fontId="64" fillId="40" borderId="52" xfId="221" applyFont="1" applyFill="1" applyBorder="1" applyAlignment="1">
      <alignment horizontal="center" vertical="center" wrapText="1"/>
    </xf>
    <xf numFmtId="0" fontId="64" fillId="40" borderId="53" xfId="221" applyFont="1" applyFill="1" applyBorder="1" applyAlignment="1">
      <alignment horizontal="center" vertical="center" wrapText="1"/>
    </xf>
    <xf numFmtId="3" fontId="65" fillId="0" borderId="54" xfId="221" applyNumberFormat="1" applyFont="1" applyBorder="1" applyAlignment="1">
      <alignment horizontal="center" vertical="center" wrapText="1"/>
    </xf>
    <xf numFmtId="3" fontId="65" fillId="0" borderId="55" xfId="221" applyNumberFormat="1" applyFont="1" applyBorder="1" applyAlignment="1">
      <alignment horizontal="center" vertical="center" wrapText="1"/>
    </xf>
    <xf numFmtId="3" fontId="64" fillId="0" borderId="55" xfId="221" applyNumberFormat="1" applyFont="1" applyBorder="1" applyAlignment="1">
      <alignment horizontal="center" vertical="center" wrapText="1"/>
    </xf>
    <xf numFmtId="4" fontId="64" fillId="0" borderId="56" xfId="221" applyNumberFormat="1" applyFont="1" applyBorder="1" applyAlignment="1">
      <alignment horizontal="center" vertical="center" wrapText="1"/>
    </xf>
    <xf numFmtId="3" fontId="64" fillId="42" borderId="54" xfId="221" applyNumberFormat="1" applyFont="1" applyFill="1" applyBorder="1" applyAlignment="1">
      <alignment horizontal="center" vertical="center" wrapText="1"/>
    </xf>
    <xf numFmtId="3" fontId="64" fillId="42" borderId="55" xfId="221" applyNumberFormat="1" applyFont="1" applyFill="1" applyBorder="1" applyAlignment="1">
      <alignment horizontal="center" vertical="center" wrapText="1"/>
    </xf>
    <xf numFmtId="4" fontId="64" fillId="42" borderId="56" xfId="221" applyNumberFormat="1" applyFont="1" applyFill="1" applyBorder="1" applyAlignment="1">
      <alignment horizontal="center" vertical="center" wrapText="1"/>
    </xf>
    <xf numFmtId="4" fontId="64" fillId="42" borderId="57" xfId="221" applyNumberFormat="1" applyFont="1" applyFill="1" applyBorder="1" applyAlignment="1">
      <alignment horizontal="center" vertical="center" wrapText="1"/>
    </xf>
    <xf numFmtId="4" fontId="64" fillId="42" borderId="58" xfId="221" applyNumberFormat="1" applyFont="1" applyFill="1" applyBorder="1" applyAlignment="1">
      <alignment horizontal="center" vertical="center" wrapText="1"/>
    </xf>
    <xf numFmtId="0" fontId="64" fillId="42" borderId="50" xfId="221" applyFont="1" applyFill="1" applyBorder="1" applyAlignment="1">
      <alignment horizontal="center" vertical="center" wrapText="1"/>
    </xf>
    <xf numFmtId="0" fontId="66" fillId="42" borderId="59" xfId="0" applyFont="1" applyFill="1" applyBorder="1" applyAlignment="1">
      <alignment horizontal="center" vertical="center" wrapText="1"/>
    </xf>
    <xf numFmtId="0" fontId="66" fillId="42" borderId="60" xfId="0" applyFont="1" applyFill="1" applyBorder="1" applyAlignment="1">
      <alignment horizontal="center" vertical="center"/>
    </xf>
    <xf numFmtId="0" fontId="66" fillId="42" borderId="60" xfId="0" applyFont="1" applyFill="1" applyBorder="1" applyAlignment="1">
      <alignment horizontal="center" vertical="center" wrapText="1"/>
    </xf>
    <xf numFmtId="0" fontId="66" fillId="0" borderId="51" xfId="0" applyFont="1" applyBorder="1" applyAlignment="1">
      <alignment horizontal="center" vertical="center" wrapText="1"/>
    </xf>
    <xf numFmtId="3" fontId="67" fillId="0" borderId="50" xfId="0" applyNumberFormat="1" applyFont="1" applyBorder="1" applyAlignment="1">
      <alignment horizontal="right" vertical="center" wrapText="1"/>
    </xf>
    <xf numFmtId="9" fontId="0" fillId="0" borderId="0" xfId="220" applyFont="1"/>
    <xf numFmtId="0" fontId="66" fillId="42" borderId="51" xfId="0" applyFont="1" applyFill="1" applyBorder="1" applyAlignment="1">
      <alignment horizontal="center" vertical="center" wrapText="1"/>
    </xf>
    <xf numFmtId="3" fontId="66" fillId="42" borderId="50" xfId="0" applyNumberFormat="1" applyFont="1" applyFill="1" applyBorder="1" applyAlignment="1">
      <alignment horizontal="right" vertical="center" wrapText="1"/>
    </xf>
    <xf numFmtId="10" fontId="66" fillId="42" borderId="50" xfId="220" applyNumberFormat="1" applyFont="1" applyFill="1" applyBorder="1" applyAlignment="1">
      <alignment horizontal="right" vertical="center" wrapText="1"/>
    </xf>
    <xf numFmtId="10" fontId="66" fillId="42" borderId="50" xfId="0" applyNumberFormat="1" applyFont="1" applyFill="1" applyBorder="1" applyAlignment="1">
      <alignment horizontal="right" vertical="center" wrapText="1"/>
    </xf>
    <xf numFmtId="0" fontId="2" fillId="31" borderId="0" xfId="221" applyFill="1"/>
    <xf numFmtId="4" fontId="52" fillId="0" borderId="61" xfId="212" applyNumberFormat="1" applyFont="1" applyBorder="1" applyAlignment="1">
      <alignment horizontal="center"/>
    </xf>
    <xf numFmtId="4" fontId="52" fillId="0" borderId="61" xfId="212" applyNumberFormat="1" applyFont="1" applyBorder="1"/>
    <xf numFmtId="0" fontId="23" fillId="0" borderId="61" xfId="1" applyFont="1" applyBorder="1" applyAlignment="1">
      <alignment vertical="center" wrapText="1"/>
    </xf>
    <xf numFmtId="0" fontId="23" fillId="29" borderId="61" xfId="1" applyFont="1" applyFill="1" applyBorder="1" applyAlignment="1">
      <alignment vertical="center" wrapText="1"/>
    </xf>
    <xf numFmtId="0" fontId="55" fillId="33" borderId="0" xfId="216" applyFont="1" applyFill="1" applyBorder="1" applyAlignment="1">
      <alignment horizontal="center"/>
    </xf>
    <xf numFmtId="0" fontId="8" fillId="0" borderId="0" xfId="216" applyBorder="1" applyAlignment="1">
      <alignment horizontal="center"/>
    </xf>
    <xf numFmtId="0" fontId="3" fillId="0" borderId="0" xfId="216" applyFont="1" applyBorder="1" applyAlignment="1">
      <alignment horizontal="center"/>
    </xf>
    <xf numFmtId="164" fontId="55" fillId="34" borderId="0" xfId="216" applyNumberFormat="1" applyFont="1" applyFill="1" applyBorder="1" applyAlignment="1">
      <alignment horizontal="center"/>
    </xf>
    <xf numFmtId="164" fontId="57" fillId="34" borderId="0" xfId="216" applyNumberFormat="1" applyFont="1" applyFill="1" applyBorder="1" applyAlignment="1">
      <alignment horizontal="center"/>
    </xf>
    <xf numFmtId="43" fontId="8" fillId="35" borderId="0" xfId="216" applyNumberFormat="1" applyFill="1" applyBorder="1" applyAlignment="1">
      <alignment horizontal="center"/>
    </xf>
    <xf numFmtId="164" fontId="8" fillId="0" borderId="0" xfId="216" applyNumberFormat="1" applyBorder="1" applyAlignment="1">
      <alignment horizontal="center"/>
    </xf>
    <xf numFmtId="43" fontId="8" fillId="37" borderId="0" xfId="216" applyNumberFormat="1" applyFill="1" applyBorder="1" applyAlignment="1">
      <alignment horizontal="center"/>
    </xf>
    <xf numFmtId="43" fontId="8" fillId="0" borderId="0" xfId="216" applyNumberFormat="1" applyBorder="1" applyAlignment="1">
      <alignment horizontal="center"/>
    </xf>
    <xf numFmtId="43" fontId="8" fillId="0" borderId="0" xfId="134" applyFont="1" applyBorder="1" applyAlignment="1">
      <alignment horizontal="center"/>
    </xf>
    <xf numFmtId="0" fontId="55" fillId="34" borderId="0" xfId="216" applyFont="1" applyFill="1" applyBorder="1" applyAlignment="1">
      <alignment horizontal="center" wrapText="1"/>
    </xf>
    <xf numFmtId="0" fontId="8" fillId="35" borderId="0" xfId="216" applyFill="1" applyBorder="1" applyAlignment="1">
      <alignment horizontal="center" wrapText="1"/>
    </xf>
    <xf numFmtId="3" fontId="8" fillId="37" borderId="0" xfId="216" applyNumberFormat="1" applyFill="1" applyBorder="1" applyAlignment="1">
      <alignment horizontal="center" wrapText="1"/>
    </xf>
    <xf numFmtId="164" fontId="8" fillId="0" borderId="0" xfId="134" applyNumberFormat="1" applyFont="1" applyBorder="1" applyAlignment="1">
      <alignment horizontal="center" wrapText="1"/>
    </xf>
    <xf numFmtId="0" fontId="8" fillId="0" borderId="0" xfId="216" applyBorder="1" applyAlignment="1">
      <alignment horizontal="center" wrapText="1"/>
    </xf>
    <xf numFmtId="3" fontId="8" fillId="35" borderId="0" xfId="216" applyNumberFormat="1" applyFill="1" applyBorder="1" applyAlignment="1">
      <alignment horizontal="center" wrapText="1"/>
    </xf>
    <xf numFmtId="3" fontId="8" fillId="0" borderId="0" xfId="216" applyNumberFormat="1" applyBorder="1" applyAlignment="1">
      <alignment horizontal="center" wrapText="1"/>
    </xf>
    <xf numFmtId="0" fontId="6" fillId="35" borderId="0" xfId="216" applyFont="1" applyFill="1" applyBorder="1" applyAlignment="1">
      <alignment horizontal="center" wrapText="1"/>
    </xf>
    <xf numFmtId="0" fontId="8" fillId="0" borderId="0" xfId="216" applyBorder="1" applyAlignment="1">
      <alignment horizontal="left"/>
    </xf>
    <xf numFmtId="0" fontId="55" fillId="34" borderId="0" xfId="216" applyFont="1" applyFill="1" applyBorder="1" applyAlignment="1">
      <alignment horizontal="left" wrapText="1"/>
    </xf>
    <xf numFmtId="0" fontId="8" fillId="35" borderId="0" xfId="216" applyFill="1" applyBorder="1" applyAlignment="1">
      <alignment horizontal="left" wrapText="1"/>
    </xf>
    <xf numFmtId="0" fontId="8" fillId="37" borderId="0" xfId="216" applyFill="1" applyBorder="1" applyAlignment="1">
      <alignment horizontal="left" wrapText="1"/>
    </xf>
    <xf numFmtId="43" fontId="8" fillId="0" borderId="0" xfId="134" applyFont="1" applyBorder="1" applyAlignment="1">
      <alignment horizontal="left" wrapText="1"/>
    </xf>
    <xf numFmtId="0" fontId="8" fillId="0" borderId="0" xfId="216" applyBorder="1" applyAlignment="1">
      <alignment horizontal="left" wrapText="1"/>
    </xf>
    <xf numFmtId="0" fontId="6" fillId="35" borderId="0" xfId="216" applyFont="1" applyFill="1" applyBorder="1" applyAlignment="1">
      <alignment horizontal="left" wrapText="1"/>
    </xf>
    <xf numFmtId="0" fontId="3" fillId="0" borderId="0" xfId="216" applyFont="1" applyBorder="1" applyAlignment="1">
      <alignment horizontal="left" wrapText="1"/>
    </xf>
    <xf numFmtId="0" fontId="1" fillId="0" borderId="0" xfId="216" applyFont="1" applyBorder="1" applyAlignment="1">
      <alignment horizontal="left" wrapText="1"/>
    </xf>
    <xf numFmtId="164" fontId="8" fillId="35" borderId="0" xfId="216" applyNumberFormat="1" applyFill="1" applyBorder="1" applyAlignment="1">
      <alignment horizontal="center"/>
    </xf>
    <xf numFmtId="164" fontId="8" fillId="37" borderId="0" xfId="216" applyNumberFormat="1" applyFill="1" applyBorder="1" applyAlignment="1">
      <alignment horizontal="center" wrapText="1"/>
    </xf>
    <xf numFmtId="164" fontId="8" fillId="35" borderId="0" xfId="216" applyNumberFormat="1" applyFill="1" applyBorder="1" applyAlignment="1">
      <alignment horizontal="center" wrapText="1"/>
    </xf>
    <xf numFmtId="164" fontId="8" fillId="0" borderId="0" xfId="216" applyNumberFormat="1" applyBorder="1" applyAlignment="1">
      <alignment horizontal="center" wrapText="1"/>
    </xf>
    <xf numFmtId="164" fontId="8" fillId="37" borderId="0" xfId="216" applyNumberFormat="1" applyFill="1" applyBorder="1" applyAlignment="1">
      <alignment horizontal="center"/>
    </xf>
    <xf numFmtId="164" fontId="8" fillId="31" borderId="0" xfId="216" applyNumberFormat="1" applyFill="1" applyBorder="1" applyAlignment="1">
      <alignment horizontal="center" wrapText="1"/>
    </xf>
    <xf numFmtId="164" fontId="8" fillId="43" borderId="0" xfId="216" applyNumberFormat="1" applyFill="1" applyBorder="1" applyAlignment="1">
      <alignment horizontal="center"/>
    </xf>
    <xf numFmtId="164" fontId="8" fillId="31" borderId="0" xfId="216" applyNumberFormat="1" applyFill="1" applyBorder="1" applyAlignment="1">
      <alignment horizontal="center"/>
    </xf>
    <xf numFmtId="164" fontId="55" fillId="44" borderId="0" xfId="216" applyNumberFormat="1" applyFont="1" applyFill="1" applyBorder="1" applyAlignment="1">
      <alignment horizontal="center"/>
    </xf>
    <xf numFmtId="0" fontId="24" fillId="2" borderId="28" xfId="3" applyFont="1" applyFill="1" applyBorder="1" applyAlignment="1" applyProtection="1">
      <alignment horizontal="center" wrapText="1"/>
      <protection locked="0"/>
    </xf>
    <xf numFmtId="0" fontId="24" fillId="2" borderId="29" xfId="3" applyFont="1" applyFill="1" applyBorder="1" applyAlignment="1" applyProtection="1">
      <alignment horizontal="center" wrapText="1"/>
      <protection locked="0"/>
    </xf>
    <xf numFmtId="0" fontId="24" fillId="2" borderId="30" xfId="3" applyFont="1" applyFill="1" applyBorder="1" applyAlignment="1" applyProtection="1">
      <alignment horizontal="center" wrapText="1"/>
      <protection locked="0"/>
    </xf>
    <xf numFmtId="3" fontId="24" fillId="27" borderId="28" xfId="3" applyNumberFormat="1" applyFont="1" applyFill="1" applyBorder="1" applyAlignment="1" applyProtection="1">
      <alignment horizontal="center"/>
      <protection locked="0"/>
    </xf>
    <xf numFmtId="3" fontId="24" fillId="27" borderId="30" xfId="3" applyNumberFormat="1" applyFont="1" applyFill="1" applyBorder="1" applyAlignment="1" applyProtection="1">
      <alignment horizontal="center"/>
      <protection locked="0"/>
    </xf>
    <xf numFmtId="0" fontId="24" fillId="30" borderId="17" xfId="0" applyFont="1" applyFill="1" applyBorder="1" applyAlignment="1" applyProtection="1">
      <alignment horizontal="center" vertical="center" wrapText="1"/>
      <protection locked="0"/>
    </xf>
    <xf numFmtId="0" fontId="24" fillId="30" borderId="1" xfId="0" applyFont="1" applyFill="1" applyBorder="1" applyAlignment="1" applyProtection="1">
      <alignment horizontal="center" vertical="center" wrapText="1"/>
      <protection locked="0"/>
    </xf>
    <xf numFmtId="0" fontId="24" fillId="30" borderId="2" xfId="0" applyFont="1" applyFill="1" applyBorder="1" applyAlignment="1" applyProtection="1">
      <alignment horizontal="center" vertical="center" wrapText="1"/>
      <protection locked="0"/>
    </xf>
    <xf numFmtId="0" fontId="24" fillId="30" borderId="39" xfId="0" applyFont="1" applyFill="1" applyBorder="1" applyAlignment="1" applyProtection="1">
      <alignment horizontal="left" vertical="center" wrapText="1"/>
      <protection locked="0"/>
    </xf>
    <xf numFmtId="0" fontId="24" fillId="30" borderId="17" xfId="0" applyFont="1" applyFill="1" applyBorder="1" applyAlignment="1" applyProtection="1">
      <alignment vertical="center" wrapText="1"/>
      <protection locked="0"/>
    </xf>
    <xf numFmtId="0" fontId="24" fillId="30" borderId="1" xfId="0" applyFont="1" applyFill="1" applyBorder="1" applyAlignment="1" applyProtection="1">
      <alignment vertical="center" wrapText="1"/>
      <protection locked="0"/>
    </xf>
    <xf numFmtId="0" fontId="24" fillId="30" borderId="2" xfId="0" applyFont="1" applyFill="1" applyBorder="1" applyAlignment="1" applyProtection="1">
      <alignment vertical="center" wrapText="1"/>
      <protection locked="0"/>
    </xf>
    <xf numFmtId="0" fontId="24" fillId="30" borderId="17" xfId="0" applyFont="1" applyFill="1" applyBorder="1" applyAlignment="1" applyProtection="1">
      <alignment horizontal="left" vertical="center" wrapText="1"/>
      <protection locked="0"/>
    </xf>
    <xf numFmtId="0" fontId="24" fillId="30" borderId="1" xfId="0" applyFont="1" applyFill="1" applyBorder="1" applyAlignment="1" applyProtection="1">
      <alignment horizontal="left" vertical="center" wrapText="1"/>
      <protection locked="0"/>
    </xf>
    <xf numFmtId="0" fontId="24" fillId="30" borderId="2" xfId="0" applyFont="1" applyFill="1" applyBorder="1" applyAlignment="1" applyProtection="1">
      <alignment horizontal="left" vertical="center" wrapText="1"/>
      <protection locked="0"/>
    </xf>
    <xf numFmtId="3" fontId="45" fillId="26" borderId="17" xfId="3" applyNumberFormat="1" applyFont="1" applyFill="1" applyBorder="1" applyAlignment="1">
      <alignment horizontal="center" vertical="center" wrapText="1"/>
    </xf>
    <xf numFmtId="3" fontId="45" fillId="26" borderId="2" xfId="3" applyNumberFormat="1" applyFont="1" applyFill="1" applyBorder="1" applyAlignment="1">
      <alignment horizontal="center" vertical="center" wrapText="1"/>
    </xf>
    <xf numFmtId="0" fontId="55" fillId="33" borderId="0" xfId="216" applyFont="1" applyFill="1" applyBorder="1" applyAlignment="1">
      <alignment horizontal="center"/>
    </xf>
    <xf numFmtId="0" fontId="55" fillId="38" borderId="0" xfId="216" applyFont="1" applyFill="1" applyBorder="1" applyAlignment="1">
      <alignment horizontal="center"/>
    </xf>
    <xf numFmtId="0" fontId="60" fillId="41" borderId="47" xfId="221" applyFont="1" applyFill="1" applyBorder="1" applyAlignment="1">
      <alignment vertical="center" wrapText="1"/>
    </xf>
    <xf numFmtId="0" fontId="59" fillId="0" borderId="0" xfId="221" applyFont="1" applyAlignment="1">
      <alignment horizontal="center" wrapText="1"/>
    </xf>
    <xf numFmtId="0" fontId="60" fillId="0" borderId="0" xfId="221" applyFont="1" applyAlignment="1">
      <alignment horizontal="center" wrapText="1"/>
    </xf>
    <xf numFmtId="0" fontId="0" fillId="0" borderId="0" xfId="0" applyAlignment="1">
      <alignment horizontal="center" wrapText="1"/>
    </xf>
    <xf numFmtId="0" fontId="59" fillId="0" borderId="44" xfId="221" applyFont="1" applyBorder="1" applyAlignment="1">
      <alignment horizontal="center" wrapText="1"/>
    </xf>
    <xf numFmtId="0" fontId="60" fillId="0" borderId="44" xfId="221" applyFont="1" applyBorder="1" applyAlignment="1">
      <alignment horizontal="center" wrapText="1"/>
    </xf>
    <xf numFmtId="0" fontId="61" fillId="39" borderId="45" xfId="221" applyFont="1" applyFill="1" applyBorder="1" applyAlignment="1">
      <alignment horizontal="center" vertical="center" wrapText="1"/>
    </xf>
    <xf numFmtId="0" fontId="61" fillId="39" borderId="48" xfId="221" applyFont="1" applyFill="1" applyBorder="1" applyAlignment="1">
      <alignment horizontal="center" vertical="center" wrapText="1"/>
    </xf>
    <xf numFmtId="0" fontId="61" fillId="39" borderId="46" xfId="221" applyFont="1" applyFill="1" applyBorder="1" applyAlignment="1">
      <alignment horizontal="center" vertical="center" wrapText="1"/>
    </xf>
    <xf numFmtId="0" fontId="61" fillId="39" borderId="47" xfId="221" applyFont="1" applyFill="1" applyBorder="1" applyAlignment="1">
      <alignment horizontal="center" vertical="center" wrapText="1"/>
    </xf>
    <xf numFmtId="0" fontId="61" fillId="39" borderId="50" xfId="221" applyFont="1" applyFill="1" applyBorder="1" applyAlignment="1">
      <alignment horizontal="center" vertical="center" wrapText="1"/>
    </xf>
    <xf numFmtId="0" fontId="61" fillId="39" borderId="51" xfId="221" applyFont="1" applyFill="1" applyBorder="1" applyAlignment="1">
      <alignment horizontal="center" vertical="center" wrapText="1"/>
    </xf>
    <xf numFmtId="0" fontId="23" fillId="32" borderId="25" xfId="1" applyFill="1" applyBorder="1" applyAlignment="1">
      <alignment horizontal="center" vertical="center" wrapText="1"/>
    </xf>
    <xf numFmtId="0" fontId="23" fillId="32" borderId="27" xfId="1" applyFill="1" applyBorder="1" applyAlignment="1">
      <alignment horizontal="center" vertical="center" wrapText="1"/>
    </xf>
    <xf numFmtId="0" fontId="50" fillId="32" borderId="19" xfId="1" applyFont="1" applyFill="1" applyBorder="1" applyAlignment="1">
      <alignment horizontal="left" vertical="center" wrapText="1"/>
    </xf>
    <xf numFmtId="0" fontId="50" fillId="32" borderId="18" xfId="1" applyFont="1" applyFill="1" applyBorder="1" applyAlignment="1">
      <alignment horizontal="left" vertical="center" wrapText="1"/>
    </xf>
    <xf numFmtId="0" fontId="50" fillId="32" borderId="21" xfId="1" applyFont="1" applyFill="1" applyBorder="1" applyAlignment="1">
      <alignment horizontal="left" vertical="center" wrapText="1"/>
    </xf>
    <xf numFmtId="0" fontId="23" fillId="32" borderId="27" xfId="1" applyFill="1" applyBorder="1" applyAlignment="1">
      <alignment horizontal="center" vertical="center"/>
    </xf>
    <xf numFmtId="0" fontId="23" fillId="32" borderId="39" xfId="1" applyFill="1" applyBorder="1" applyAlignment="1">
      <alignment horizontal="center" vertical="center"/>
    </xf>
    <xf numFmtId="10" fontId="23" fillId="32" borderId="27" xfId="1" applyNumberFormat="1" applyFill="1" applyBorder="1" applyAlignment="1">
      <alignment horizontal="center" vertical="center" wrapText="1"/>
    </xf>
    <xf numFmtId="0" fontId="23" fillId="32" borderId="32" xfId="1" applyFill="1" applyBorder="1" applyAlignment="1">
      <alignment horizontal="center" vertical="center" wrapText="1"/>
    </xf>
    <xf numFmtId="0" fontId="23" fillId="32" borderId="33" xfId="1" applyFill="1" applyBorder="1" applyAlignment="1">
      <alignment horizontal="center" vertical="center" wrapText="1"/>
    </xf>
    <xf numFmtId="0" fontId="23" fillId="32" borderId="28" xfId="1" applyFill="1" applyBorder="1" applyAlignment="1">
      <alignment horizontal="center" vertical="center" wrapText="1"/>
    </xf>
    <xf numFmtId="0" fontId="23" fillId="32" borderId="30" xfId="1" applyFill="1" applyBorder="1" applyAlignment="1">
      <alignment horizontal="center" vertical="center" wrapText="1"/>
    </xf>
    <xf numFmtId="0" fontId="23" fillId="32" borderId="24" xfId="1" applyFill="1" applyBorder="1" applyAlignment="1">
      <alignment horizontal="left" vertical="center" wrapText="1"/>
    </xf>
    <xf numFmtId="0" fontId="23" fillId="32" borderId="24" xfId="1" applyFill="1" applyBorder="1" applyAlignment="1">
      <alignment horizontal="center" vertical="center" wrapText="1"/>
    </xf>
    <xf numFmtId="0" fontId="23" fillId="29" borderId="34" xfId="1" applyFill="1" applyBorder="1" applyAlignment="1">
      <alignment horizontal="left" vertical="center" wrapText="1"/>
    </xf>
    <xf numFmtId="0" fontId="23" fillId="29" borderId="36" xfId="1" applyFill="1" applyBorder="1" applyAlignment="1">
      <alignment horizontal="left" vertical="center" wrapText="1"/>
    </xf>
    <xf numFmtId="0" fontId="23" fillId="29" borderId="35" xfId="1" applyFill="1" applyBorder="1" applyAlignment="1">
      <alignment horizontal="left" vertical="center" wrapText="1"/>
    </xf>
    <xf numFmtId="0" fontId="23" fillId="29" borderId="37" xfId="1" applyFill="1" applyBorder="1" applyAlignment="1">
      <alignment horizontal="left" vertical="center" wrapText="1"/>
    </xf>
    <xf numFmtId="0" fontId="23" fillId="29" borderId="42" xfId="1" applyFill="1" applyBorder="1" applyAlignment="1">
      <alignment horizontal="left" vertical="center" wrapText="1"/>
    </xf>
    <xf numFmtId="0" fontId="23" fillId="29" borderId="38" xfId="1" applyFill="1" applyBorder="1" applyAlignment="1">
      <alignment horizontal="left" vertical="center" wrapText="1"/>
    </xf>
    <xf numFmtId="0" fontId="23" fillId="29" borderId="34" xfId="1" applyFill="1" applyBorder="1" applyAlignment="1">
      <alignment horizontal="center" vertical="center" wrapText="1"/>
    </xf>
    <xf numFmtId="0" fontId="23" fillId="29" borderId="35" xfId="1" applyFill="1" applyBorder="1" applyAlignment="1">
      <alignment horizontal="center" vertical="center" wrapText="1"/>
    </xf>
    <xf numFmtId="0" fontId="23" fillId="29" borderId="36" xfId="1" applyFill="1" applyBorder="1" applyAlignment="1">
      <alignment horizontal="center" vertical="center" wrapText="1"/>
    </xf>
  </cellXfs>
  <cellStyles count="222">
    <cellStyle name="20% - Accent1 2" xfId="5" xr:uid="{00000000-0005-0000-0000-000000000000}"/>
    <cellStyle name="20% - Accent1 3" xfId="6" xr:uid="{00000000-0005-0000-0000-000001000000}"/>
    <cellStyle name="20% - Accent1 4" xfId="7" xr:uid="{00000000-0005-0000-0000-000002000000}"/>
    <cellStyle name="20% - Accent2 2" xfId="8" xr:uid="{00000000-0005-0000-0000-000003000000}"/>
    <cellStyle name="20% - Accent2 3" xfId="9" xr:uid="{00000000-0005-0000-0000-000004000000}"/>
    <cellStyle name="20% - Accent2 4" xfId="10" xr:uid="{00000000-0005-0000-0000-000005000000}"/>
    <cellStyle name="20% - Accent3 2" xfId="11" xr:uid="{00000000-0005-0000-0000-000006000000}"/>
    <cellStyle name="20% - Accent3 3" xfId="12" xr:uid="{00000000-0005-0000-0000-000007000000}"/>
    <cellStyle name="20% - Accent3 4" xfId="13" xr:uid="{00000000-0005-0000-0000-000008000000}"/>
    <cellStyle name="20% - Accent4 2" xfId="14" xr:uid="{00000000-0005-0000-0000-000009000000}"/>
    <cellStyle name="20% - Accent4 3" xfId="15" xr:uid="{00000000-0005-0000-0000-00000A000000}"/>
    <cellStyle name="20% - Accent4 4" xfId="16" xr:uid="{00000000-0005-0000-0000-00000B000000}"/>
    <cellStyle name="20% - Accent5 2" xfId="17" xr:uid="{00000000-0005-0000-0000-00000C000000}"/>
    <cellStyle name="20% - Accent5 3" xfId="18" xr:uid="{00000000-0005-0000-0000-00000D000000}"/>
    <cellStyle name="20% - Accent5 4" xfId="19" xr:uid="{00000000-0005-0000-0000-00000E000000}"/>
    <cellStyle name="20% - Accent6 2" xfId="20" xr:uid="{00000000-0005-0000-0000-00000F000000}"/>
    <cellStyle name="20% - Accent6 3" xfId="21" xr:uid="{00000000-0005-0000-0000-000010000000}"/>
    <cellStyle name="20% - Accent6 4" xfId="22" xr:uid="{00000000-0005-0000-0000-000011000000}"/>
    <cellStyle name="40% - Accent1 2" xfId="23" xr:uid="{00000000-0005-0000-0000-000012000000}"/>
    <cellStyle name="40% - Accent1 3" xfId="24" xr:uid="{00000000-0005-0000-0000-000013000000}"/>
    <cellStyle name="40% - Accent1 4" xfId="25" xr:uid="{00000000-0005-0000-0000-000014000000}"/>
    <cellStyle name="40% - Accent2 2" xfId="26" xr:uid="{00000000-0005-0000-0000-000015000000}"/>
    <cellStyle name="40% - Accent2 3" xfId="27" xr:uid="{00000000-0005-0000-0000-000016000000}"/>
    <cellStyle name="40% - Accent2 4" xfId="28" xr:uid="{00000000-0005-0000-0000-000017000000}"/>
    <cellStyle name="40% - Accent3 2" xfId="29" xr:uid="{00000000-0005-0000-0000-000018000000}"/>
    <cellStyle name="40% - Accent3 3" xfId="30" xr:uid="{00000000-0005-0000-0000-000019000000}"/>
    <cellStyle name="40% - Accent3 4" xfId="31" xr:uid="{00000000-0005-0000-0000-00001A000000}"/>
    <cellStyle name="40% - Accent4 2" xfId="32" xr:uid="{00000000-0005-0000-0000-00001B000000}"/>
    <cellStyle name="40% - Accent4 3" xfId="33" xr:uid="{00000000-0005-0000-0000-00001C000000}"/>
    <cellStyle name="40% - Accent4 4" xfId="34" xr:uid="{00000000-0005-0000-0000-00001D000000}"/>
    <cellStyle name="40% - Accent5 2" xfId="35" xr:uid="{00000000-0005-0000-0000-00001E000000}"/>
    <cellStyle name="40% - Accent5 3" xfId="36" xr:uid="{00000000-0005-0000-0000-00001F000000}"/>
    <cellStyle name="40% - Accent5 4" xfId="37" xr:uid="{00000000-0005-0000-0000-000020000000}"/>
    <cellStyle name="40% - Accent6 2" xfId="38" xr:uid="{00000000-0005-0000-0000-000021000000}"/>
    <cellStyle name="40% - Accent6 3" xfId="39" xr:uid="{00000000-0005-0000-0000-000022000000}"/>
    <cellStyle name="40% - Accent6 4" xfId="40" xr:uid="{00000000-0005-0000-0000-000023000000}"/>
    <cellStyle name="60% - Accent1 2" xfId="41" xr:uid="{00000000-0005-0000-0000-000024000000}"/>
    <cellStyle name="60% - Accent1 3" xfId="42" xr:uid="{00000000-0005-0000-0000-000025000000}"/>
    <cellStyle name="60% - Accent1 4" xfId="43" xr:uid="{00000000-0005-0000-0000-000026000000}"/>
    <cellStyle name="60% - Accent2 2" xfId="44" xr:uid="{00000000-0005-0000-0000-000027000000}"/>
    <cellStyle name="60% - Accent2 3" xfId="45" xr:uid="{00000000-0005-0000-0000-000028000000}"/>
    <cellStyle name="60% - Accent2 4" xfId="46" xr:uid="{00000000-0005-0000-0000-000029000000}"/>
    <cellStyle name="60% - Accent3 2" xfId="47" xr:uid="{00000000-0005-0000-0000-00002A000000}"/>
    <cellStyle name="60% - Accent3 3" xfId="48" xr:uid="{00000000-0005-0000-0000-00002B000000}"/>
    <cellStyle name="60% - Accent3 4" xfId="49" xr:uid="{00000000-0005-0000-0000-00002C000000}"/>
    <cellStyle name="60% - Accent4 2" xfId="50" xr:uid="{00000000-0005-0000-0000-00002D000000}"/>
    <cellStyle name="60% - Accent4 3" xfId="51" xr:uid="{00000000-0005-0000-0000-00002E000000}"/>
    <cellStyle name="60% - Accent4 4" xfId="52" xr:uid="{00000000-0005-0000-0000-00002F000000}"/>
    <cellStyle name="60% - Accent5 2" xfId="53" xr:uid="{00000000-0005-0000-0000-000030000000}"/>
    <cellStyle name="60% - Accent5 3" xfId="54" xr:uid="{00000000-0005-0000-0000-000031000000}"/>
    <cellStyle name="60% - Accent5 4" xfId="55" xr:uid="{00000000-0005-0000-0000-000032000000}"/>
    <cellStyle name="60% - Accent6 2" xfId="56" xr:uid="{00000000-0005-0000-0000-000033000000}"/>
    <cellStyle name="60% - Accent6 3" xfId="57" xr:uid="{00000000-0005-0000-0000-000034000000}"/>
    <cellStyle name="60% - Accent6 4" xfId="58" xr:uid="{00000000-0005-0000-0000-000035000000}"/>
    <cellStyle name="Accent1 2" xfId="59" xr:uid="{00000000-0005-0000-0000-000036000000}"/>
    <cellStyle name="Accent1 3" xfId="60" xr:uid="{00000000-0005-0000-0000-000037000000}"/>
    <cellStyle name="Accent1 4" xfId="61" xr:uid="{00000000-0005-0000-0000-000038000000}"/>
    <cellStyle name="Accent2 2" xfId="62" xr:uid="{00000000-0005-0000-0000-000039000000}"/>
    <cellStyle name="Accent2 3" xfId="63" xr:uid="{00000000-0005-0000-0000-00003A000000}"/>
    <cellStyle name="Accent2 4" xfId="64" xr:uid="{00000000-0005-0000-0000-00003B000000}"/>
    <cellStyle name="Accent3 2" xfId="65" xr:uid="{00000000-0005-0000-0000-00003C000000}"/>
    <cellStyle name="Accent3 3" xfId="66" xr:uid="{00000000-0005-0000-0000-00003D000000}"/>
    <cellStyle name="Accent3 4" xfId="67" xr:uid="{00000000-0005-0000-0000-00003E000000}"/>
    <cellStyle name="Accent4 2" xfId="68" xr:uid="{00000000-0005-0000-0000-00003F000000}"/>
    <cellStyle name="Accent4 3" xfId="69" xr:uid="{00000000-0005-0000-0000-000040000000}"/>
    <cellStyle name="Accent4 4" xfId="70" xr:uid="{00000000-0005-0000-0000-000041000000}"/>
    <cellStyle name="Accent5 2" xfId="71" xr:uid="{00000000-0005-0000-0000-000042000000}"/>
    <cellStyle name="Accent5 3" xfId="72" xr:uid="{00000000-0005-0000-0000-000043000000}"/>
    <cellStyle name="Accent5 4" xfId="73" xr:uid="{00000000-0005-0000-0000-000044000000}"/>
    <cellStyle name="Accent6 2" xfId="74" xr:uid="{00000000-0005-0000-0000-000045000000}"/>
    <cellStyle name="Accent6 3" xfId="75" xr:uid="{00000000-0005-0000-0000-000046000000}"/>
    <cellStyle name="Accent6 4" xfId="76" xr:uid="{00000000-0005-0000-0000-000047000000}"/>
    <cellStyle name="Bad 2" xfId="77" xr:uid="{00000000-0005-0000-0000-000048000000}"/>
    <cellStyle name="Bad 3" xfId="78" xr:uid="{00000000-0005-0000-0000-000049000000}"/>
    <cellStyle name="Bad 4" xfId="79" xr:uid="{00000000-0005-0000-0000-00004A000000}"/>
    <cellStyle name="Calculation 2" xfId="80" xr:uid="{00000000-0005-0000-0000-00004B000000}"/>
    <cellStyle name="Calculation 3" xfId="81" xr:uid="{00000000-0005-0000-0000-00004C000000}"/>
    <cellStyle name="Calculation 4" xfId="82" xr:uid="{00000000-0005-0000-0000-00004D000000}"/>
    <cellStyle name="Check Cell 2" xfId="83" xr:uid="{00000000-0005-0000-0000-00004E000000}"/>
    <cellStyle name="Check Cell 3" xfId="84" xr:uid="{00000000-0005-0000-0000-00004F000000}"/>
    <cellStyle name="Check Cell 4" xfId="85" xr:uid="{00000000-0005-0000-0000-000050000000}"/>
    <cellStyle name="Comma" xfId="134" builtinId="3"/>
    <cellStyle name="Comma 2" xfId="136" xr:uid="{00000000-0005-0000-0000-000052000000}"/>
    <cellStyle name="Comma 2 2" xfId="138" xr:uid="{00000000-0005-0000-0000-000053000000}"/>
    <cellStyle name="Comma 2 3" xfId="141" xr:uid="{00000000-0005-0000-0000-000054000000}"/>
    <cellStyle name="Comma 2 4" xfId="145" xr:uid="{00000000-0005-0000-0000-000055000000}"/>
    <cellStyle name="Comma 3" xfId="148" xr:uid="{00000000-0005-0000-0000-000056000000}"/>
    <cellStyle name="Comma 4" xfId="213" xr:uid="{D813C9B9-69D0-4F97-80BE-FE90D9B16EB9}"/>
    <cellStyle name="Comma 5" xfId="217" xr:uid="{E45D700E-5645-47C8-B0D2-0E34EC4A7CA1}"/>
    <cellStyle name="Explanatory Text 2" xfId="86" xr:uid="{00000000-0005-0000-0000-000057000000}"/>
    <cellStyle name="Explanatory Text 3" xfId="87" xr:uid="{00000000-0005-0000-0000-000058000000}"/>
    <cellStyle name="Explanatory Text 4" xfId="88" xr:uid="{00000000-0005-0000-0000-000059000000}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Good 2" xfId="89" xr:uid="{00000000-0005-0000-0000-000079000000}"/>
    <cellStyle name="Good 3" xfId="90" xr:uid="{00000000-0005-0000-0000-00007A000000}"/>
    <cellStyle name="Good 4" xfId="91" xr:uid="{00000000-0005-0000-0000-00007B000000}"/>
    <cellStyle name="Heading 1 2" xfId="92" xr:uid="{00000000-0005-0000-0000-00007C000000}"/>
    <cellStyle name="Heading 1 3" xfId="93" xr:uid="{00000000-0005-0000-0000-00007D000000}"/>
    <cellStyle name="Heading 1 4" xfId="94" xr:uid="{00000000-0005-0000-0000-00007E000000}"/>
    <cellStyle name="Heading 2 2" xfId="95" xr:uid="{00000000-0005-0000-0000-00007F000000}"/>
    <cellStyle name="Heading 2 3" xfId="96" xr:uid="{00000000-0005-0000-0000-000080000000}"/>
    <cellStyle name="Heading 2 4" xfId="97" xr:uid="{00000000-0005-0000-0000-000081000000}"/>
    <cellStyle name="Heading 3 2" xfId="98" xr:uid="{00000000-0005-0000-0000-000082000000}"/>
    <cellStyle name="Heading 3 3" xfId="99" xr:uid="{00000000-0005-0000-0000-000083000000}"/>
    <cellStyle name="Heading 3 4" xfId="100" xr:uid="{00000000-0005-0000-0000-000084000000}"/>
    <cellStyle name="Heading 4 2" xfId="101" xr:uid="{00000000-0005-0000-0000-000085000000}"/>
    <cellStyle name="Heading 4 3" xfId="102" xr:uid="{00000000-0005-0000-0000-000086000000}"/>
    <cellStyle name="Heading 4 4" xfId="103" xr:uid="{00000000-0005-0000-0000-000087000000}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Input 2" xfId="104" xr:uid="{00000000-0005-0000-0000-0000A7000000}"/>
    <cellStyle name="Input 3" xfId="105" xr:uid="{00000000-0005-0000-0000-0000A8000000}"/>
    <cellStyle name="Input 4" xfId="106" xr:uid="{00000000-0005-0000-0000-0000A9000000}"/>
    <cellStyle name="Linked Cell 2" xfId="107" xr:uid="{00000000-0005-0000-0000-0000AA000000}"/>
    <cellStyle name="Linked Cell 3" xfId="108" xr:uid="{00000000-0005-0000-0000-0000AB000000}"/>
    <cellStyle name="Linked Cell 4" xfId="109" xr:uid="{00000000-0005-0000-0000-0000AC000000}"/>
    <cellStyle name="Neutral 2" xfId="110" xr:uid="{00000000-0005-0000-0000-0000AD000000}"/>
    <cellStyle name="Neutral 3" xfId="111" xr:uid="{00000000-0005-0000-0000-0000AE000000}"/>
    <cellStyle name="Neutral 4" xfId="112" xr:uid="{00000000-0005-0000-0000-0000AF000000}"/>
    <cellStyle name="Normal" xfId="0" builtinId="0"/>
    <cellStyle name="Normal 10" xfId="212" xr:uid="{2193FBE9-3E68-417D-A0C0-280C9018FBD4}"/>
    <cellStyle name="Normal 11" xfId="215" xr:uid="{00000000-0005-0000-0000-000006010000}"/>
    <cellStyle name="Normal 12" xfId="216" xr:uid="{1D9591AD-CE09-41C4-8A06-54B6BAC5D31E}"/>
    <cellStyle name="Normal 2" xfId="1" xr:uid="{00000000-0005-0000-0000-0000B1000000}"/>
    <cellStyle name="Normal 2 2" xfId="113" xr:uid="{00000000-0005-0000-0000-0000B2000000}"/>
    <cellStyle name="Normal 2 3" xfId="114" xr:uid="{00000000-0005-0000-0000-0000B3000000}"/>
    <cellStyle name="Normal 2 4" xfId="115" xr:uid="{00000000-0005-0000-0000-0000B4000000}"/>
    <cellStyle name="Normal 3" xfId="2" xr:uid="{00000000-0005-0000-0000-0000B5000000}"/>
    <cellStyle name="Normal 3 2" xfId="116" xr:uid="{00000000-0005-0000-0000-0000B6000000}"/>
    <cellStyle name="Normal 3 3" xfId="218" xr:uid="{DE3F75CD-693F-425C-88D8-6948FCA9222D}"/>
    <cellStyle name="Normal 4" xfId="3" xr:uid="{00000000-0005-0000-0000-0000B7000000}"/>
    <cellStyle name="Normal 4 2" xfId="140" xr:uid="{00000000-0005-0000-0000-0000B8000000}"/>
    <cellStyle name="Normal 4 3" xfId="142" xr:uid="{00000000-0005-0000-0000-0000B9000000}"/>
    <cellStyle name="Normal 4 4" xfId="144" xr:uid="{00000000-0005-0000-0000-0000BA000000}"/>
    <cellStyle name="Normal 4 5" xfId="149" xr:uid="{00000000-0005-0000-0000-0000BB000000}"/>
    <cellStyle name="Normal 4 6" xfId="219" xr:uid="{79B5414D-A718-456C-97B0-4C316E3C7A9B}"/>
    <cellStyle name="Normal 5" xfId="4" xr:uid="{00000000-0005-0000-0000-0000BC000000}"/>
    <cellStyle name="Normal 5 2" xfId="143" xr:uid="{00000000-0005-0000-0000-0000BD000000}"/>
    <cellStyle name="Normal 5 2 2" xfId="221" xr:uid="{B0F6C611-6E31-4957-A054-2231AD5A61C1}"/>
    <cellStyle name="Normal 5 3" xfId="146" xr:uid="{00000000-0005-0000-0000-0000BE000000}"/>
    <cellStyle name="Normal 6" xfId="132" xr:uid="{00000000-0005-0000-0000-0000BF000000}"/>
    <cellStyle name="Normal 7" xfId="135" xr:uid="{00000000-0005-0000-0000-0000C0000000}"/>
    <cellStyle name="Normal 8" xfId="137" xr:uid="{00000000-0005-0000-0000-0000C1000000}"/>
    <cellStyle name="Normal 8 2" xfId="139" xr:uid="{00000000-0005-0000-0000-0000C2000000}"/>
    <cellStyle name="Normal 9" xfId="147" xr:uid="{00000000-0005-0000-0000-0000C3000000}"/>
    <cellStyle name="Note 2" xfId="117" xr:uid="{00000000-0005-0000-0000-0000C4000000}"/>
    <cellStyle name="Note 3" xfId="118" xr:uid="{00000000-0005-0000-0000-0000C5000000}"/>
    <cellStyle name="Note 4" xfId="119" xr:uid="{00000000-0005-0000-0000-0000C6000000}"/>
    <cellStyle name="Output 2" xfId="120" xr:uid="{00000000-0005-0000-0000-0000C7000000}"/>
    <cellStyle name="Output 3" xfId="121" xr:uid="{00000000-0005-0000-0000-0000C8000000}"/>
    <cellStyle name="Output 4" xfId="122" xr:uid="{00000000-0005-0000-0000-0000C9000000}"/>
    <cellStyle name="Percent" xfId="220" builtinId="5"/>
    <cellStyle name="Percent 2" xfId="214" xr:uid="{76C1BB2F-945F-4F44-B6B6-D2C7728B00D4}"/>
    <cellStyle name="TableStyleLight1" xfId="133" xr:uid="{00000000-0005-0000-0000-0000CB000000}"/>
    <cellStyle name="Title 2" xfId="123" xr:uid="{00000000-0005-0000-0000-0000CC000000}"/>
    <cellStyle name="Title 3" xfId="124" xr:uid="{00000000-0005-0000-0000-0000CD000000}"/>
    <cellStyle name="Title 4" xfId="125" xr:uid="{00000000-0005-0000-0000-0000CE000000}"/>
    <cellStyle name="Total 2" xfId="126" xr:uid="{00000000-0005-0000-0000-0000CF000000}"/>
    <cellStyle name="Total 3" xfId="127" xr:uid="{00000000-0005-0000-0000-0000D0000000}"/>
    <cellStyle name="Total 4" xfId="128" xr:uid="{00000000-0005-0000-0000-0000D1000000}"/>
    <cellStyle name="Warning Text 2" xfId="129" xr:uid="{00000000-0005-0000-0000-0000D2000000}"/>
    <cellStyle name="Warning Text 3" xfId="130" xr:uid="{00000000-0005-0000-0000-0000D3000000}"/>
    <cellStyle name="Warning Text 4" xfId="131" xr:uid="{00000000-0005-0000-0000-0000D4000000}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7" Type="http://schemas.openxmlformats.org/officeDocument/2006/relationships/customXml" Target="../customXml/item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calvo\Documents\Ecuador\EC-L1251%20EEPP\Presupuesto\EC-L1251_EER2%20--%20PEP%20POA%20PA%20y%20Presupuesto%20Detallado.%201405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Detailed Budget"/>
      <sheetName val="2. Pluriannual Plan PEP"/>
      <sheetName val="3. Procurement Plan - PA"/>
      <sheetName val="4. Budget by Components"/>
      <sheetName val="Prices"/>
    </sheetNames>
    <sheetDataSet>
      <sheetData sheetId="0">
        <row r="40">
          <cell r="N40">
            <v>1000000</v>
          </cell>
        </row>
        <row r="41">
          <cell r="N41">
            <v>100000</v>
          </cell>
        </row>
        <row r="42">
          <cell r="N42"/>
        </row>
        <row r="43">
          <cell r="N43"/>
        </row>
        <row r="50">
          <cell r="A50" t="str">
            <v>Coordinador Operativo</v>
          </cell>
        </row>
        <row r="51">
          <cell r="A51" t="str">
            <v xml:space="preserve">Experto financiero </v>
          </cell>
        </row>
        <row r="52">
          <cell r="A52" t="str">
            <v xml:space="preserve">Experto Adquisiciones </v>
          </cell>
        </row>
        <row r="53">
          <cell r="A53" t="str">
            <v xml:space="preserve">Monitoreo y Planificación </v>
          </cell>
        </row>
        <row r="54">
          <cell r="A54" t="str">
            <v xml:space="preserve">Apoyo ejecución </v>
          </cell>
        </row>
        <row r="55">
          <cell r="A55" t="str">
            <v xml:space="preserve">Experto Legal </v>
          </cell>
        </row>
        <row r="56">
          <cell r="A56" t="str">
            <v>Experto hidrocarburos</v>
          </cell>
        </row>
        <row r="57">
          <cell r="A57" t="str">
            <v>Experto Energía</v>
          </cell>
        </row>
        <row r="58">
          <cell r="A58" t="str">
            <v>Experto Telecom.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28257-B07D-4B44-BCC5-9B58D0045234}">
  <dimension ref="A1:AE84"/>
  <sheetViews>
    <sheetView view="pageBreakPreview" zoomScale="70" zoomScaleNormal="120" zoomScaleSheetLayoutView="70" workbookViewId="0">
      <pane xSplit="1" ySplit="3" topLeftCell="B36" activePane="bottomRight" state="frozen"/>
      <selection activeCell="A23" sqref="A23:R23"/>
      <selection pane="topRight" activeCell="A23" sqref="A23:R23"/>
      <selection pane="bottomLeft" activeCell="A23" sqref="A23:R23"/>
      <selection pane="bottomRight" activeCell="C40" sqref="C40"/>
    </sheetView>
  </sheetViews>
  <sheetFormatPr defaultColWidth="9" defaultRowHeight="15" x14ac:dyDescent="0.25"/>
  <cols>
    <col min="1" max="1" width="38.75" style="139" customWidth="1"/>
    <col min="2" max="2" width="17.125" style="1" bestFit="1" customWidth="1"/>
    <col min="3" max="3" width="22.25" style="1" customWidth="1"/>
    <col min="4" max="4" width="41.25" style="1" customWidth="1"/>
    <col min="5" max="5" width="15.75" style="1" customWidth="1"/>
    <col min="6" max="6" width="9.75" style="1" bestFit="1" customWidth="1"/>
    <col min="7" max="7" width="6.75" style="1" customWidth="1"/>
    <col min="8" max="8" width="12.75" style="1" bestFit="1" customWidth="1"/>
    <col min="9" max="9" width="9.75" style="1" bestFit="1" customWidth="1"/>
    <col min="10" max="10" width="37.375" style="1" customWidth="1"/>
    <col min="11" max="11" width="8.875" style="1" customWidth="1"/>
    <col min="12" max="12" width="7.5" style="1" bestFit="1" customWidth="1"/>
    <col min="13" max="13" width="7.75" style="1" customWidth="1"/>
    <col min="14" max="14" width="11.25" style="1" customWidth="1"/>
    <col min="15" max="15" width="10.5" style="1" customWidth="1"/>
    <col min="16" max="16" width="17" style="1" customWidth="1"/>
    <col min="17" max="17" width="13" style="1" bestFit="1" customWidth="1"/>
    <col min="18" max="18" width="8.25" style="1" bestFit="1" customWidth="1"/>
    <col min="19" max="19" width="12.25" style="1" customWidth="1"/>
    <col min="20" max="20" width="5.75" style="1" customWidth="1"/>
    <col min="21" max="21" width="29.125" style="1" customWidth="1"/>
    <col min="22" max="22" width="11.25" style="1" customWidth="1"/>
    <col min="23" max="23" width="8.25" style="1" bestFit="1" customWidth="1"/>
    <col min="24" max="24" width="12.25" style="1" customWidth="1"/>
    <col min="25" max="25" width="8" style="1" customWidth="1"/>
    <col min="26" max="26" width="37.25" style="1" customWidth="1"/>
    <col min="27" max="27" width="15" style="1" hidden="1" customWidth="1"/>
    <col min="28" max="28" width="6" style="1" customWidth="1"/>
    <col min="29" max="29" width="11.25" style="1" customWidth="1"/>
    <col min="30" max="30" width="6.125" style="1" customWidth="1"/>
    <col min="31" max="31" width="12.75" style="1" customWidth="1"/>
    <col min="32" max="16384" width="9" style="1"/>
  </cols>
  <sheetData>
    <row r="1" spans="1:30" x14ac:dyDescent="0.25">
      <c r="B1" s="11"/>
      <c r="D1" s="11">
        <f>B4-75000000</f>
        <v>0</v>
      </c>
      <c r="F1" s="11"/>
    </row>
    <row r="2" spans="1:30" x14ac:dyDescent="0.25">
      <c r="A2" s="36" t="s">
        <v>130</v>
      </c>
    </row>
    <row r="3" spans="1:30" s="13" customFormat="1" x14ac:dyDescent="0.25">
      <c r="A3" s="80" t="s">
        <v>0</v>
      </c>
      <c r="B3" s="299">
        <f>B4+C4</f>
        <v>78840000</v>
      </c>
      <c r="C3" s="300"/>
      <c r="D3" s="117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</row>
    <row r="4" spans="1:30" s="13" customFormat="1" x14ac:dyDescent="0.25">
      <c r="A4" s="81"/>
      <c r="B4" s="12">
        <f>B7+B33+B50+B66</f>
        <v>75000000</v>
      </c>
      <c r="C4" s="12">
        <f>C7+C33+C50+C66</f>
        <v>3840000.0000000042</v>
      </c>
      <c r="D4" s="296" t="s">
        <v>2</v>
      </c>
      <c r="E4" s="297"/>
      <c r="F4" s="298"/>
      <c r="G4" s="14">
        <f>SUM(G11:G62)</f>
        <v>39</v>
      </c>
      <c r="H4" s="14">
        <f>SUM(H11:H62)</f>
        <v>3227060</v>
      </c>
      <c r="I4" s="14"/>
      <c r="J4" s="121" t="s">
        <v>3</v>
      </c>
      <c r="K4" s="122"/>
      <c r="L4" s="122"/>
      <c r="M4" s="122"/>
      <c r="N4" s="122"/>
      <c r="O4" s="123"/>
      <c r="P4" s="127" t="s">
        <v>4</v>
      </c>
      <c r="Q4" s="128"/>
      <c r="R4" s="128"/>
      <c r="S4" s="128"/>
      <c r="T4" s="129"/>
      <c r="U4" s="127" t="s">
        <v>41</v>
      </c>
      <c r="V4" s="128"/>
      <c r="W4" s="128"/>
      <c r="X4" s="128"/>
      <c r="Y4" s="129"/>
      <c r="Z4" s="127" t="s">
        <v>169</v>
      </c>
      <c r="AA4" s="128"/>
      <c r="AB4" s="128"/>
      <c r="AC4" s="128"/>
      <c r="AD4" s="129"/>
    </row>
    <row r="5" spans="1:30" s="13" customFormat="1" ht="15.6" customHeight="1" x14ac:dyDescent="0.25">
      <c r="A5" s="140" t="s">
        <v>1</v>
      </c>
      <c r="B5" s="113" t="s">
        <v>43</v>
      </c>
      <c r="C5" s="115" t="s">
        <v>131</v>
      </c>
      <c r="D5" s="38"/>
      <c r="E5" s="15"/>
      <c r="F5" s="15"/>
      <c r="G5" s="14">
        <v>0</v>
      </c>
      <c r="H5" s="14">
        <v>0</v>
      </c>
      <c r="I5" s="14"/>
      <c r="J5" s="124"/>
      <c r="K5" s="125"/>
      <c r="L5" s="125"/>
      <c r="M5" s="125"/>
      <c r="N5" s="125"/>
      <c r="O5" s="126"/>
      <c r="P5" s="130"/>
      <c r="Q5" s="131"/>
      <c r="R5" s="131"/>
      <c r="S5" s="131"/>
      <c r="T5" s="132"/>
      <c r="U5" s="130"/>
      <c r="V5" s="131"/>
      <c r="W5" s="131"/>
      <c r="X5" s="131"/>
      <c r="Y5" s="132"/>
      <c r="Z5" s="130"/>
      <c r="AA5" s="131"/>
      <c r="AB5" s="131"/>
      <c r="AC5" s="131"/>
      <c r="AD5" s="132"/>
    </row>
    <row r="6" spans="1:30" s="13" customFormat="1" ht="28.9" customHeight="1" x14ac:dyDescent="0.25">
      <c r="A6" s="141"/>
      <c r="B6" s="114"/>
      <c r="C6" s="116"/>
      <c r="D6" s="38" t="s">
        <v>5</v>
      </c>
      <c r="E6" s="15" t="s">
        <v>6</v>
      </c>
      <c r="F6" s="15" t="s">
        <v>140</v>
      </c>
      <c r="G6" s="15" t="s">
        <v>7</v>
      </c>
      <c r="H6" s="38" t="s">
        <v>8</v>
      </c>
      <c r="I6" s="38" t="s">
        <v>44</v>
      </c>
      <c r="J6" s="38" t="s">
        <v>5</v>
      </c>
      <c r="K6" s="15" t="s">
        <v>9</v>
      </c>
      <c r="L6" s="15" t="s">
        <v>140</v>
      </c>
      <c r="M6" s="15" t="s">
        <v>7</v>
      </c>
      <c r="N6" s="38" t="s">
        <v>8</v>
      </c>
      <c r="O6" s="38" t="s">
        <v>44</v>
      </c>
      <c r="P6" s="38" t="s">
        <v>5</v>
      </c>
      <c r="Q6" s="15" t="s">
        <v>9</v>
      </c>
      <c r="R6" s="15" t="s">
        <v>140</v>
      </c>
      <c r="S6" s="38" t="s">
        <v>8</v>
      </c>
      <c r="T6" s="38" t="s">
        <v>44</v>
      </c>
      <c r="U6" s="38" t="s">
        <v>5</v>
      </c>
      <c r="V6" s="15" t="s">
        <v>9</v>
      </c>
      <c r="W6" s="15" t="s">
        <v>140</v>
      </c>
      <c r="X6" s="38" t="s">
        <v>8</v>
      </c>
      <c r="Y6" s="38" t="s">
        <v>44</v>
      </c>
      <c r="Z6" s="38" t="s">
        <v>5</v>
      </c>
      <c r="AA6" s="15" t="s">
        <v>9</v>
      </c>
      <c r="AB6" s="38" t="s">
        <v>10</v>
      </c>
      <c r="AC6" s="38" t="s">
        <v>8</v>
      </c>
      <c r="AD6" s="38" t="s">
        <v>44</v>
      </c>
    </row>
    <row r="7" spans="1:30" s="13" customFormat="1" ht="16.149999999999999" customHeight="1" x14ac:dyDescent="0.25">
      <c r="A7" s="142" t="s">
        <v>11</v>
      </c>
      <c r="B7" s="12">
        <f>B8+B25</f>
        <v>4109945.6</v>
      </c>
      <c r="C7" s="12">
        <f>C8+C25</f>
        <v>493193.47199999995</v>
      </c>
      <c r="D7" s="153" t="s">
        <v>132</v>
      </c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</row>
    <row r="8" spans="1:30" s="97" customFormat="1" ht="16.149999999999999" customHeight="1" x14ac:dyDescent="0.25">
      <c r="A8" s="143" t="s">
        <v>123</v>
      </c>
      <c r="B8" s="94">
        <f>SUM(B9:B24)</f>
        <v>2922425.6</v>
      </c>
      <c r="C8" s="94">
        <f>SUM(C9:C24)</f>
        <v>350691.07199999999</v>
      </c>
      <c r="D8" s="99" t="s">
        <v>134</v>
      </c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6"/>
    </row>
    <row r="9" spans="1:30" s="13" customFormat="1" ht="64.150000000000006" customHeight="1" x14ac:dyDescent="0.25">
      <c r="A9" s="301" t="s">
        <v>219</v>
      </c>
      <c r="B9" s="37">
        <f>SUM(H9:H9)+SUM(N9:N9)+SUM(S9:S9)+SUM(X9:X9)+SUM(AC9:AC9)</f>
        <v>93000</v>
      </c>
      <c r="C9" s="37">
        <f>SUM(I9:I9)+SUM(O9:O9)+SUM(T9:T9)+SUM(Y9:Y9)+SUM(AD9:AD9)</f>
        <v>11160</v>
      </c>
      <c r="D9" s="169" t="s">
        <v>220</v>
      </c>
      <c r="E9" s="17">
        <f>Prices!D2</f>
        <v>16500</v>
      </c>
      <c r="F9" s="17">
        <v>2</v>
      </c>
      <c r="G9" s="17">
        <v>1</v>
      </c>
      <c r="H9" s="18">
        <f>E9*F9*G9</f>
        <v>33000</v>
      </c>
      <c r="I9" s="18">
        <f>H9*0.12</f>
        <v>3960</v>
      </c>
      <c r="K9" s="20"/>
      <c r="L9" s="20"/>
      <c r="M9" s="20"/>
      <c r="N9" s="21"/>
      <c r="O9" s="21"/>
      <c r="P9" s="16"/>
      <c r="Q9" s="17"/>
      <c r="R9" s="17"/>
      <c r="S9" s="18"/>
      <c r="T9" s="18"/>
      <c r="U9" s="170" t="s">
        <v>221</v>
      </c>
      <c r="V9" s="7">
        <v>15000</v>
      </c>
      <c r="W9" s="6">
        <v>4</v>
      </c>
      <c r="X9" s="21">
        <f>V9*W9</f>
        <v>60000</v>
      </c>
      <c r="Y9" s="21">
        <f>X9*0.12</f>
        <v>7200</v>
      </c>
      <c r="Z9" s="22"/>
      <c r="AA9" s="17"/>
      <c r="AB9" s="17"/>
      <c r="AC9" s="18">
        <f>AA9*AB9</f>
        <v>0</v>
      </c>
      <c r="AD9" s="18">
        <f t="shared" ref="AD9" si="0">AC9*0.12</f>
        <v>0</v>
      </c>
    </row>
    <row r="10" spans="1:30" s="13" customFormat="1" ht="41.45" customHeight="1" x14ac:dyDescent="0.25">
      <c r="A10" s="302"/>
      <c r="B10" s="37">
        <f t="shared" ref="B10:B23" si="1">SUM(H10:H10)+SUM(N10:N10)+SUM(S10:S10)+SUM(X10:X10)+SUM(AC10:AC10)</f>
        <v>6160</v>
      </c>
      <c r="C10" s="37">
        <f t="shared" ref="C10:C24" si="2">SUM(I10:I10)+SUM(O10:O10)+SUM(T10:T10)+SUM(Y10:Y10)+SUM(AD10:AD10)</f>
        <v>739.19999999999993</v>
      </c>
      <c r="D10" s="169" t="s">
        <v>222</v>
      </c>
      <c r="E10" s="17">
        <f>Prices!B3</f>
        <v>3080</v>
      </c>
      <c r="F10" s="17">
        <v>2</v>
      </c>
      <c r="G10" s="17">
        <v>1</v>
      </c>
      <c r="H10" s="18">
        <f>E10*F10*G10</f>
        <v>6160</v>
      </c>
      <c r="I10" s="18">
        <f>H10*0.12</f>
        <v>739.19999999999993</v>
      </c>
      <c r="K10" s="20"/>
      <c r="L10" s="20"/>
      <c r="M10" s="20"/>
      <c r="N10" s="21"/>
      <c r="O10" s="21"/>
      <c r="P10" s="16"/>
      <c r="Q10" s="17"/>
      <c r="R10" s="17"/>
      <c r="S10" s="18"/>
      <c r="T10" s="18"/>
      <c r="U10" s="205"/>
      <c r="V10" s="172"/>
      <c r="W10" s="206"/>
      <c r="X10" s="150"/>
      <c r="Y10" s="150"/>
      <c r="Z10" s="22"/>
      <c r="AA10" s="17"/>
      <c r="AB10" s="17"/>
      <c r="AC10" s="18"/>
      <c r="AD10" s="18"/>
    </row>
    <row r="11" spans="1:30" s="13" customFormat="1" ht="106.15" customHeight="1" x14ac:dyDescent="0.25">
      <c r="A11" s="302"/>
      <c r="B11" s="37">
        <f t="shared" si="1"/>
        <v>456000</v>
      </c>
      <c r="C11" s="37">
        <f t="shared" si="2"/>
        <v>54720</v>
      </c>
      <c r="D11" s="169" t="s">
        <v>225</v>
      </c>
      <c r="E11" s="17">
        <f>Prices!D2</f>
        <v>16500</v>
      </c>
      <c r="F11" s="17">
        <v>12</v>
      </c>
      <c r="G11" s="17">
        <v>2</v>
      </c>
      <c r="H11" s="18">
        <f>E11*F11*G11</f>
        <v>396000</v>
      </c>
      <c r="I11" s="18">
        <f>H11*0.12</f>
        <v>47520</v>
      </c>
      <c r="J11" s="23"/>
      <c r="K11" s="20"/>
      <c r="L11" s="20"/>
      <c r="M11" s="20"/>
      <c r="N11" s="21"/>
      <c r="O11" s="21"/>
      <c r="P11" s="16"/>
      <c r="Q11" s="17"/>
      <c r="R11" s="17"/>
      <c r="S11" s="18"/>
      <c r="T11" s="18"/>
      <c r="U11" s="205" t="s">
        <v>223</v>
      </c>
      <c r="V11" s="7">
        <v>15000</v>
      </c>
      <c r="W11" s="6">
        <v>4</v>
      </c>
      <c r="X11" s="21">
        <f>V11*W11</f>
        <v>60000</v>
      </c>
      <c r="Y11" s="21">
        <f>X11*0.12</f>
        <v>7200</v>
      </c>
      <c r="Z11" s="22"/>
      <c r="AA11" s="17"/>
      <c r="AB11" s="17"/>
      <c r="AC11" s="18"/>
      <c r="AD11" s="18"/>
    </row>
    <row r="12" spans="1:30" s="13" customFormat="1" ht="52.9" customHeight="1" x14ac:dyDescent="0.25">
      <c r="A12" s="303"/>
      <c r="B12" s="37">
        <f t="shared" si="1"/>
        <v>73920</v>
      </c>
      <c r="C12" s="37">
        <f t="shared" si="2"/>
        <v>8870.4</v>
      </c>
      <c r="D12" s="169" t="s">
        <v>179</v>
      </c>
      <c r="E12" s="17">
        <f>Prices!B3</f>
        <v>3080</v>
      </c>
      <c r="F12" s="17">
        <v>12</v>
      </c>
      <c r="G12" s="17">
        <v>2</v>
      </c>
      <c r="H12" s="18">
        <f>E12*F12*G12</f>
        <v>73920</v>
      </c>
      <c r="I12" s="18">
        <f>H12*0.12</f>
        <v>8870.4</v>
      </c>
      <c r="J12" s="23"/>
      <c r="K12" s="20"/>
      <c r="L12" s="20"/>
      <c r="M12" s="20"/>
      <c r="N12" s="21"/>
      <c r="O12" s="21"/>
      <c r="P12" s="16"/>
      <c r="Q12" s="17"/>
      <c r="R12" s="17"/>
      <c r="S12" s="18"/>
      <c r="T12" s="18"/>
      <c r="U12" s="205"/>
      <c r="V12" s="7"/>
      <c r="W12" s="6"/>
      <c r="X12" s="21"/>
      <c r="Y12" s="21"/>
      <c r="Z12" s="22"/>
      <c r="AA12" s="17"/>
      <c r="AB12" s="17"/>
      <c r="AC12" s="18"/>
      <c r="AD12" s="18"/>
    </row>
    <row r="13" spans="1:30" s="13" customFormat="1" ht="72.599999999999994" customHeight="1" x14ac:dyDescent="0.25">
      <c r="A13" s="301" t="s">
        <v>170</v>
      </c>
      <c r="B13" s="37">
        <f t="shared" si="1"/>
        <v>119000</v>
      </c>
      <c r="C13" s="37">
        <f t="shared" si="2"/>
        <v>14280</v>
      </c>
      <c r="D13" s="169" t="s">
        <v>224</v>
      </c>
      <c r="E13" s="17">
        <f>Prices!D2</f>
        <v>16500</v>
      </c>
      <c r="F13" s="17">
        <v>6</v>
      </c>
      <c r="G13" s="17">
        <v>1</v>
      </c>
      <c r="H13" s="18">
        <f t="shared" ref="H13" si="3">E13*F13*G13</f>
        <v>99000</v>
      </c>
      <c r="I13" s="18">
        <f t="shared" ref="I13" si="4">H13*0.12</f>
        <v>11880</v>
      </c>
      <c r="P13" s="16"/>
      <c r="Q13" s="17"/>
      <c r="R13" s="17"/>
      <c r="S13" s="151"/>
      <c r="T13" s="18"/>
      <c r="U13" s="205" t="s">
        <v>208</v>
      </c>
      <c r="V13" s="7">
        <v>10000</v>
      </c>
      <c r="W13" s="6">
        <v>2</v>
      </c>
      <c r="X13" s="21">
        <f t="shared" ref="X13" si="5">V13*W13</f>
        <v>20000</v>
      </c>
      <c r="Y13" s="21">
        <f t="shared" ref="Y13:Y24" si="6">X13*0.12</f>
        <v>2400</v>
      </c>
      <c r="Z13" s="22"/>
      <c r="AA13" s="17"/>
      <c r="AB13" s="17"/>
      <c r="AC13" s="18"/>
      <c r="AD13" s="18">
        <f t="shared" ref="AD13" si="7">AC13*0.12</f>
        <v>0</v>
      </c>
    </row>
    <row r="14" spans="1:30" s="13" customFormat="1" ht="53.25" customHeight="1" x14ac:dyDescent="0.25">
      <c r="A14" s="302"/>
      <c r="B14" s="37">
        <f t="shared" si="1"/>
        <v>18480</v>
      </c>
      <c r="C14" s="37">
        <f t="shared" si="2"/>
        <v>2217.6</v>
      </c>
      <c r="D14" s="169" t="s">
        <v>178</v>
      </c>
      <c r="E14" s="17">
        <f>Prices!B3</f>
        <v>3080</v>
      </c>
      <c r="F14" s="17">
        <v>6</v>
      </c>
      <c r="G14" s="17">
        <v>1</v>
      </c>
      <c r="H14" s="18">
        <f>E14*F14*G14</f>
        <v>18480</v>
      </c>
      <c r="I14" s="18">
        <f>H14*0.12</f>
        <v>2217.6</v>
      </c>
      <c r="P14" s="16"/>
      <c r="Q14" s="17"/>
      <c r="R14" s="17"/>
      <c r="S14" s="151"/>
      <c r="T14" s="18"/>
      <c r="U14" s="170"/>
      <c r="V14" s="7"/>
      <c r="W14" s="6"/>
      <c r="X14" s="21"/>
      <c r="Y14" s="21"/>
      <c r="Z14" s="22"/>
      <c r="AA14" s="17"/>
      <c r="AB14" s="17"/>
      <c r="AC14" s="18"/>
      <c r="AD14" s="18"/>
    </row>
    <row r="15" spans="1:30" s="165" customFormat="1" ht="77.45" customHeight="1" x14ac:dyDescent="0.25">
      <c r="A15" s="302"/>
      <c r="B15" s="37">
        <f t="shared" si="1"/>
        <v>488505.59999999998</v>
      </c>
      <c r="C15" s="37">
        <f t="shared" si="2"/>
        <v>58620.671999999999</v>
      </c>
      <c r="D15" s="162"/>
      <c r="E15" s="162"/>
      <c r="F15" s="162"/>
      <c r="G15" s="4"/>
      <c r="H15" s="163"/>
      <c r="I15" s="163"/>
      <c r="J15" s="23" t="s">
        <v>189</v>
      </c>
      <c r="K15" s="20">
        <f>Prices!D4</f>
        <v>20354.399999999998</v>
      </c>
      <c r="L15" s="20">
        <v>6</v>
      </c>
      <c r="M15" s="20">
        <v>4</v>
      </c>
      <c r="N15" s="21">
        <f>K15*L15*M15</f>
        <v>488505.59999999998</v>
      </c>
      <c r="O15" s="21">
        <f>N15*0.12</f>
        <v>58620.671999999999</v>
      </c>
      <c r="P15" s="161"/>
      <c r="Q15" s="162"/>
      <c r="R15" s="162"/>
      <c r="S15" s="166"/>
      <c r="T15" s="163"/>
      <c r="U15" s="170"/>
      <c r="V15" s="7"/>
      <c r="W15" s="6"/>
      <c r="X15" s="160"/>
      <c r="Y15" s="160"/>
      <c r="Z15" s="164"/>
      <c r="AA15" s="162"/>
      <c r="AB15" s="162"/>
      <c r="AC15" s="163"/>
      <c r="AD15" s="163"/>
    </row>
    <row r="16" spans="1:30" s="165" customFormat="1" ht="96.6" customHeight="1" x14ac:dyDescent="0.25">
      <c r="A16" s="303"/>
      <c r="B16" s="37">
        <f t="shared" si="1"/>
        <v>332640</v>
      </c>
      <c r="C16" s="37">
        <f t="shared" si="2"/>
        <v>39916.799999999996</v>
      </c>
      <c r="D16" s="162"/>
      <c r="E16" s="162"/>
      <c r="F16" s="162"/>
      <c r="G16" s="4"/>
      <c r="H16" s="163"/>
      <c r="I16" s="163"/>
      <c r="J16" s="23" t="s">
        <v>190</v>
      </c>
      <c r="K16" s="20">
        <f>Prices!D8</f>
        <v>4620</v>
      </c>
      <c r="L16" s="20">
        <v>18</v>
      </c>
      <c r="M16" s="20">
        <v>4</v>
      </c>
      <c r="N16" s="21">
        <f t="shared" ref="N16" si="8">K16*L16*M16</f>
        <v>332640</v>
      </c>
      <c r="O16" s="21">
        <f t="shared" ref="O16" si="9">N16*0.12</f>
        <v>39916.799999999996</v>
      </c>
      <c r="P16" s="161"/>
      <c r="Q16" s="162"/>
      <c r="R16" s="162"/>
      <c r="S16" s="166"/>
      <c r="T16" s="163"/>
      <c r="U16" s="170"/>
      <c r="V16" s="7"/>
      <c r="W16" s="6"/>
      <c r="X16" s="160"/>
      <c r="Y16" s="160"/>
      <c r="Z16" s="164"/>
      <c r="AA16" s="162"/>
      <c r="AB16" s="162"/>
      <c r="AC16" s="163"/>
      <c r="AD16" s="163"/>
    </row>
    <row r="17" spans="1:30" s="13" customFormat="1" ht="63.6" customHeight="1" x14ac:dyDescent="0.25">
      <c r="A17" s="305" t="s">
        <v>171</v>
      </c>
      <c r="B17" s="37">
        <f t="shared" si="1"/>
        <v>290000</v>
      </c>
      <c r="C17" s="37">
        <f t="shared" si="2"/>
        <v>34800</v>
      </c>
      <c r="D17" s="79"/>
      <c r="E17" s="17"/>
      <c r="F17" s="17"/>
      <c r="G17" s="79"/>
      <c r="H17" s="17"/>
      <c r="I17" s="17"/>
      <c r="J17" s="23" t="s">
        <v>176</v>
      </c>
      <c r="K17" s="150">
        <v>250000</v>
      </c>
      <c r="L17" s="150">
        <v>1</v>
      </c>
      <c r="M17" s="150"/>
      <c r="N17" s="150">
        <f>K17*L17</f>
        <v>250000</v>
      </c>
      <c r="O17" s="150">
        <f>N17*0.12</f>
        <v>30000</v>
      </c>
      <c r="P17" s="16"/>
      <c r="Q17" s="17"/>
      <c r="R17" s="17"/>
      <c r="S17" s="18">
        <f>Q17*R17</f>
        <v>0</v>
      </c>
      <c r="T17" s="18">
        <f t="shared" ref="T17" si="10">S17*0.12</f>
        <v>0</v>
      </c>
      <c r="U17" s="170" t="s">
        <v>167</v>
      </c>
      <c r="V17" s="7">
        <v>10000</v>
      </c>
      <c r="W17" s="6">
        <v>4</v>
      </c>
      <c r="X17" s="21">
        <f t="shared" ref="X17:X24" si="11">V17*W17</f>
        <v>40000</v>
      </c>
      <c r="Y17" s="21">
        <f t="shared" si="6"/>
        <v>4800</v>
      </c>
      <c r="Z17" s="22"/>
      <c r="AA17" s="17"/>
      <c r="AB17" s="17"/>
      <c r="AC17" s="18"/>
      <c r="AD17" s="18"/>
    </row>
    <row r="18" spans="1:30" s="13" customFormat="1" ht="63.6" customHeight="1" x14ac:dyDescent="0.25">
      <c r="A18" s="306"/>
      <c r="B18" s="37">
        <f t="shared" si="1"/>
        <v>250000</v>
      </c>
      <c r="C18" s="37">
        <f t="shared" si="2"/>
        <v>30000</v>
      </c>
      <c r="D18" s="79"/>
      <c r="E18" s="17"/>
      <c r="F18" s="17"/>
      <c r="G18" s="79"/>
      <c r="H18" s="17"/>
      <c r="I18" s="17"/>
      <c r="J18" s="23" t="s">
        <v>192</v>
      </c>
      <c r="K18" s="150">
        <v>250000</v>
      </c>
      <c r="L18" s="150">
        <v>1</v>
      </c>
      <c r="M18" s="150"/>
      <c r="N18" s="150">
        <f t="shared" ref="N18:N21" si="12">K18*L18</f>
        <v>250000</v>
      </c>
      <c r="O18" s="150">
        <f t="shared" ref="O18:O21" si="13">N18*0.12</f>
        <v>30000</v>
      </c>
      <c r="P18" s="16"/>
      <c r="Q18" s="17"/>
      <c r="R18" s="17"/>
      <c r="S18" s="18"/>
      <c r="T18" s="18"/>
      <c r="U18" s="170"/>
      <c r="V18" s="7"/>
      <c r="W18" s="6"/>
      <c r="X18" s="21"/>
      <c r="Y18" s="21"/>
      <c r="Z18" s="22"/>
      <c r="AA18" s="17"/>
      <c r="AB18" s="17"/>
      <c r="AC18" s="18"/>
      <c r="AD18" s="18"/>
    </row>
    <row r="19" spans="1:30" s="13" customFormat="1" ht="63.6" customHeight="1" x14ac:dyDescent="0.25">
      <c r="A19" s="306"/>
      <c r="B19" s="37">
        <f t="shared" si="1"/>
        <v>200000</v>
      </c>
      <c r="C19" s="37">
        <f t="shared" si="2"/>
        <v>24000</v>
      </c>
      <c r="D19" s="79"/>
      <c r="E19" s="17"/>
      <c r="F19" s="17"/>
      <c r="G19" s="79"/>
      <c r="H19" s="17"/>
      <c r="I19" s="17"/>
      <c r="J19" s="23" t="s">
        <v>191</v>
      </c>
      <c r="K19" s="150">
        <v>200000</v>
      </c>
      <c r="L19" s="150">
        <v>1</v>
      </c>
      <c r="M19" s="150"/>
      <c r="N19" s="150">
        <f t="shared" si="12"/>
        <v>200000</v>
      </c>
      <c r="O19" s="150">
        <f t="shared" si="13"/>
        <v>24000</v>
      </c>
      <c r="P19" s="16"/>
      <c r="Q19" s="17"/>
      <c r="R19" s="17"/>
      <c r="S19" s="18"/>
      <c r="T19" s="18"/>
      <c r="U19" s="73"/>
      <c r="V19" s="7"/>
      <c r="W19" s="6"/>
      <c r="X19" s="21"/>
      <c r="Y19" s="21"/>
      <c r="Z19" s="22"/>
      <c r="AA19" s="17"/>
      <c r="AB19" s="17"/>
      <c r="AC19" s="18"/>
      <c r="AD19" s="18"/>
    </row>
    <row r="20" spans="1:30" s="13" customFormat="1" ht="63.6" customHeight="1" x14ac:dyDescent="0.25">
      <c r="A20" s="306"/>
      <c r="B20" s="37">
        <f t="shared" si="1"/>
        <v>250000</v>
      </c>
      <c r="C20" s="37">
        <f t="shared" si="2"/>
        <v>30000</v>
      </c>
      <c r="D20" s="79"/>
      <c r="E20" s="17"/>
      <c r="F20" s="17"/>
      <c r="G20" s="79"/>
      <c r="H20" s="17"/>
      <c r="I20" s="17"/>
      <c r="J20" s="23" t="s">
        <v>263</v>
      </c>
      <c r="K20" s="150">
        <v>250000</v>
      </c>
      <c r="L20" s="150">
        <v>1</v>
      </c>
      <c r="M20" s="150"/>
      <c r="N20" s="150">
        <f t="shared" si="12"/>
        <v>250000</v>
      </c>
      <c r="O20" s="150">
        <f t="shared" si="13"/>
        <v>30000</v>
      </c>
      <c r="P20" s="16"/>
      <c r="Q20" s="17"/>
      <c r="R20" s="17"/>
      <c r="S20" s="18"/>
      <c r="T20" s="18"/>
      <c r="U20" s="73"/>
      <c r="V20" s="7"/>
      <c r="W20" s="6"/>
      <c r="X20" s="21"/>
      <c r="Y20" s="21"/>
      <c r="Z20" s="22"/>
      <c r="AA20" s="17"/>
      <c r="AB20" s="17"/>
      <c r="AC20" s="18"/>
      <c r="AD20" s="18"/>
    </row>
    <row r="21" spans="1:30" s="13" customFormat="1" ht="63.6" customHeight="1" x14ac:dyDescent="0.25">
      <c r="A21" s="306"/>
      <c r="B21" s="37">
        <f t="shared" si="1"/>
        <v>200000</v>
      </c>
      <c r="C21" s="37">
        <f t="shared" si="2"/>
        <v>24000</v>
      </c>
      <c r="D21" s="79"/>
      <c r="E21" s="17"/>
      <c r="F21" s="17"/>
      <c r="G21" s="79"/>
      <c r="H21" s="17"/>
      <c r="I21" s="17"/>
      <c r="J21" s="23" t="s">
        <v>177</v>
      </c>
      <c r="K21" s="150">
        <v>200000</v>
      </c>
      <c r="L21" s="150">
        <v>1</v>
      </c>
      <c r="M21" s="150"/>
      <c r="N21" s="150">
        <f t="shared" si="12"/>
        <v>200000</v>
      </c>
      <c r="O21" s="150">
        <f t="shared" si="13"/>
        <v>24000</v>
      </c>
      <c r="P21" s="16"/>
      <c r="Q21" s="17"/>
      <c r="R21" s="17"/>
      <c r="S21" s="18"/>
      <c r="T21" s="18"/>
      <c r="U21" s="73"/>
      <c r="V21" s="7"/>
      <c r="W21" s="6"/>
      <c r="X21" s="21"/>
      <c r="Y21" s="21"/>
      <c r="Z21" s="22"/>
      <c r="AA21" s="17"/>
      <c r="AB21" s="17"/>
      <c r="AC21" s="18"/>
      <c r="AD21" s="18"/>
    </row>
    <row r="22" spans="1:30" s="13" customFormat="1" ht="55.5" customHeight="1" x14ac:dyDescent="0.25">
      <c r="A22" s="306"/>
      <c r="B22" s="37">
        <f t="shared" si="1"/>
        <v>6160</v>
      </c>
      <c r="C22" s="37">
        <f t="shared" si="2"/>
        <v>739.19999999999993</v>
      </c>
      <c r="D22" s="79" t="s">
        <v>172</v>
      </c>
      <c r="E22" s="17">
        <f>Prices!B3</f>
        <v>3080</v>
      </c>
      <c r="F22" s="17">
        <v>2</v>
      </c>
      <c r="G22" s="79">
        <v>1</v>
      </c>
      <c r="H22" s="17">
        <f t="shared" ref="H22" si="14">E22*F22*G22</f>
        <v>6160</v>
      </c>
      <c r="I22" s="17">
        <f t="shared" ref="I22" si="15">H22*0.12</f>
        <v>739.19999999999993</v>
      </c>
      <c r="J22" s="23"/>
      <c r="K22" s="152"/>
      <c r="L22" s="152"/>
      <c r="M22" s="152"/>
      <c r="N22" s="152"/>
      <c r="O22" s="21"/>
      <c r="P22" s="16"/>
      <c r="Q22" s="17"/>
      <c r="R22" s="17"/>
      <c r="S22" s="18"/>
      <c r="T22" s="18"/>
      <c r="Z22" s="22"/>
      <c r="AA22" s="17"/>
      <c r="AB22" s="17"/>
      <c r="AC22" s="18"/>
      <c r="AD22" s="18"/>
    </row>
    <row r="23" spans="1:30" s="165" customFormat="1" ht="55.5" customHeight="1" x14ac:dyDescent="0.25">
      <c r="A23" s="306"/>
      <c r="B23" s="37">
        <f t="shared" si="1"/>
        <v>69280</v>
      </c>
      <c r="C23" s="37">
        <f t="shared" si="2"/>
        <v>8313.5999999999985</v>
      </c>
      <c r="D23" s="79" t="s">
        <v>234</v>
      </c>
      <c r="E23" s="17">
        <f>Prices!B3</f>
        <v>3080</v>
      </c>
      <c r="F23" s="17">
        <v>8</v>
      </c>
      <c r="G23" s="79">
        <v>2</v>
      </c>
      <c r="H23" s="17">
        <f t="shared" ref="H23:H24" si="16">E23*F23*G23</f>
        <v>49280</v>
      </c>
      <c r="I23" s="17">
        <f t="shared" ref="I23:I24" si="17">H23*0.12</f>
        <v>5913.5999999999995</v>
      </c>
      <c r="J23" s="204"/>
      <c r="K23" s="152"/>
      <c r="L23" s="152"/>
      <c r="M23" s="152"/>
      <c r="N23" s="152"/>
      <c r="O23" s="160"/>
      <c r="P23" s="161"/>
      <c r="Q23" s="162"/>
      <c r="R23" s="162"/>
      <c r="S23" s="163"/>
      <c r="T23" s="163"/>
      <c r="U23" s="23" t="s">
        <v>165</v>
      </c>
      <c r="V23" s="172">
        <v>10000</v>
      </c>
      <c r="W23" s="6">
        <v>2</v>
      </c>
      <c r="X23" s="21">
        <f>V23*W23</f>
        <v>20000</v>
      </c>
      <c r="Y23" s="21">
        <f>X23*0.12</f>
        <v>2400</v>
      </c>
      <c r="Z23" s="164"/>
      <c r="AA23" s="162"/>
      <c r="AB23" s="162"/>
      <c r="AC23" s="163"/>
      <c r="AD23" s="163"/>
    </row>
    <row r="24" spans="1:30" s="13" customFormat="1" ht="33.75" customHeight="1" x14ac:dyDescent="0.25">
      <c r="A24" s="307"/>
      <c r="B24" s="37">
        <f>SUM(H24:H24)+SUM(N24:N24)+SUM(S24:S24)+SUM(X24:X24)+SUM(AC24:AC24)</f>
        <v>69280</v>
      </c>
      <c r="C24" s="37">
        <f t="shared" si="2"/>
        <v>8313.5999999999985</v>
      </c>
      <c r="D24" s="79" t="s">
        <v>235</v>
      </c>
      <c r="E24" s="17">
        <f>Prices!B3</f>
        <v>3080</v>
      </c>
      <c r="F24" s="17">
        <v>8</v>
      </c>
      <c r="G24" s="79">
        <v>2</v>
      </c>
      <c r="H24" s="17">
        <f t="shared" si="16"/>
        <v>49280</v>
      </c>
      <c r="I24" s="17">
        <f t="shared" si="17"/>
        <v>5913.5999999999995</v>
      </c>
      <c r="J24" s="23"/>
      <c r="K24" s="20"/>
      <c r="L24" s="20"/>
      <c r="M24" s="20"/>
      <c r="N24" s="21"/>
      <c r="O24" s="21"/>
      <c r="P24" s="16"/>
      <c r="Q24" s="17"/>
      <c r="R24" s="17"/>
      <c r="S24" s="18"/>
      <c r="T24" s="18"/>
      <c r="U24" s="23" t="s">
        <v>166</v>
      </c>
      <c r="V24" s="172">
        <v>10000</v>
      </c>
      <c r="W24" s="6">
        <v>2</v>
      </c>
      <c r="X24" s="21">
        <f t="shared" si="11"/>
        <v>20000</v>
      </c>
      <c r="Y24" s="21">
        <f t="shared" si="6"/>
        <v>2400</v>
      </c>
      <c r="Z24" s="22"/>
      <c r="AA24" s="17"/>
      <c r="AB24" s="17"/>
      <c r="AC24" s="18"/>
      <c r="AD24" s="18"/>
    </row>
    <row r="25" spans="1:30" s="97" customFormat="1" ht="14.45" customHeight="1" x14ac:dyDescent="0.25">
      <c r="A25" s="143" t="s">
        <v>124</v>
      </c>
      <c r="B25" s="94">
        <f>+SUM(B26:B32)</f>
        <v>1187520</v>
      </c>
      <c r="C25" s="94">
        <f>+SUM(C26:C32)</f>
        <v>142502.39999999999</v>
      </c>
      <c r="D25" s="136" t="s">
        <v>133</v>
      </c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</row>
    <row r="26" spans="1:30" s="13" customFormat="1" ht="82.15" customHeight="1" x14ac:dyDescent="0.25">
      <c r="A26" s="308" t="s">
        <v>125</v>
      </c>
      <c r="B26" s="37">
        <f t="shared" ref="B26:B32" si="18">SUM(H26:H26)+SUM(N26:N26)+SUM(S26:S26)+SUM(X26:X26)+SUM(AC26:AC26)</f>
        <v>228000</v>
      </c>
      <c r="C26" s="37">
        <f>SUM(I26:I26)+SUM(O26:O26)+SUM(T26:T26)+SUM(Y26:Y26)+SUM(AD26:AD26)</f>
        <v>27360</v>
      </c>
      <c r="D26" s="79" t="s">
        <v>226</v>
      </c>
      <c r="E26" s="24">
        <f>Prices!D2</f>
        <v>16500</v>
      </c>
      <c r="F26" s="24">
        <v>6</v>
      </c>
      <c r="G26" s="24">
        <v>2</v>
      </c>
      <c r="H26" s="25">
        <f>E26*F26*G26+10000</f>
        <v>208000</v>
      </c>
      <c r="I26" s="25">
        <f t="shared" ref="I26" si="19">H26*0.12</f>
        <v>24960</v>
      </c>
      <c r="J26" s="98"/>
      <c r="K26" s="20"/>
      <c r="L26" s="20"/>
      <c r="M26" s="20"/>
      <c r="N26" s="21"/>
      <c r="O26" s="21"/>
      <c r="P26" s="16"/>
      <c r="Q26" s="17"/>
      <c r="R26" s="17"/>
      <c r="S26" s="18"/>
      <c r="T26" s="18">
        <f>S26*0.12</f>
        <v>0</v>
      </c>
      <c r="U26" s="171" t="s">
        <v>137</v>
      </c>
      <c r="V26" s="7">
        <v>10000</v>
      </c>
      <c r="W26" s="6">
        <v>2</v>
      </c>
      <c r="X26" s="21">
        <f>V26*W26</f>
        <v>20000</v>
      </c>
      <c r="Y26" s="21">
        <f>X26*0.12</f>
        <v>2400</v>
      </c>
      <c r="Z26" s="22"/>
      <c r="AA26" s="17"/>
      <c r="AB26" s="17"/>
      <c r="AC26" s="18">
        <f>AA26*AB26</f>
        <v>0</v>
      </c>
      <c r="AD26" s="18">
        <f>AC26*0.12</f>
        <v>0</v>
      </c>
    </row>
    <row r="27" spans="1:30" s="13" customFormat="1" ht="72" customHeight="1" x14ac:dyDescent="0.25">
      <c r="A27" s="309"/>
      <c r="B27" s="37">
        <f t="shared" si="18"/>
        <v>103920</v>
      </c>
      <c r="C27" s="37">
        <f t="shared" ref="C27:C32" si="20">SUM(I27:I27)+SUM(O27:O27)+SUM(T27:T27)+SUM(Y27:Y27)+SUM(AD27:AD27)</f>
        <v>12470.4</v>
      </c>
      <c r="D27" s="79" t="s">
        <v>227</v>
      </c>
      <c r="E27" s="24">
        <f>Prices!B3</f>
        <v>3080</v>
      </c>
      <c r="F27" s="24">
        <v>12</v>
      </c>
      <c r="G27" s="24">
        <v>2</v>
      </c>
      <c r="H27" s="25">
        <f>E27*F27*G27+10000</f>
        <v>83920</v>
      </c>
      <c r="I27" s="25">
        <f t="shared" ref="I27" si="21">H27*0.12</f>
        <v>10070.4</v>
      </c>
      <c r="J27" s="98"/>
      <c r="K27" s="20"/>
      <c r="L27" s="20"/>
      <c r="M27" s="20"/>
      <c r="N27" s="21"/>
      <c r="O27" s="21"/>
      <c r="P27" s="16"/>
      <c r="Q27" s="17"/>
      <c r="R27" s="17"/>
      <c r="S27" s="18"/>
      <c r="T27" s="18"/>
      <c r="U27" s="171" t="s">
        <v>168</v>
      </c>
      <c r="V27" s="7">
        <v>10000</v>
      </c>
      <c r="W27" s="6">
        <v>2</v>
      </c>
      <c r="X27" s="21">
        <f t="shared" ref="X27" si="22">V27*W27</f>
        <v>20000</v>
      </c>
      <c r="Y27" s="21">
        <f t="shared" ref="Y27" si="23">X27*0.12</f>
        <v>2400</v>
      </c>
      <c r="Z27" s="22"/>
      <c r="AA27" s="17"/>
      <c r="AB27" s="17"/>
      <c r="AC27" s="18"/>
      <c r="AD27" s="18"/>
    </row>
    <row r="28" spans="1:30" s="165" customFormat="1" ht="70.900000000000006" customHeight="1" x14ac:dyDescent="0.25">
      <c r="A28" s="310"/>
      <c r="B28" s="37">
        <f t="shared" si="18"/>
        <v>69500</v>
      </c>
      <c r="C28" s="37">
        <f t="shared" si="20"/>
        <v>8340</v>
      </c>
      <c r="D28" s="79" t="s">
        <v>266</v>
      </c>
      <c r="E28" s="17">
        <f>Prices!D2</f>
        <v>16500</v>
      </c>
      <c r="F28" s="17">
        <v>3</v>
      </c>
      <c r="G28" s="17">
        <v>1</v>
      </c>
      <c r="H28" s="18">
        <f t="shared" ref="H28" si="24">E28*F28*G28</f>
        <v>49500</v>
      </c>
      <c r="I28" s="18">
        <f t="shared" ref="I28" si="25">H28*0.12</f>
        <v>5940</v>
      </c>
      <c r="J28" s="158"/>
      <c r="K28" s="159"/>
      <c r="L28" s="159"/>
      <c r="M28" s="159"/>
      <c r="N28" s="160"/>
      <c r="O28" s="160"/>
      <c r="P28" s="161"/>
      <c r="Q28" s="162"/>
      <c r="R28" s="162"/>
      <c r="S28" s="163"/>
      <c r="T28" s="163"/>
      <c r="U28" s="171" t="s">
        <v>209</v>
      </c>
      <c r="V28" s="7">
        <v>10000</v>
      </c>
      <c r="W28" s="6">
        <v>2</v>
      </c>
      <c r="X28" s="21">
        <f>V28*W28</f>
        <v>20000</v>
      </c>
      <c r="Y28" s="21">
        <f>X28*0.12</f>
        <v>2400</v>
      </c>
      <c r="Z28" s="164"/>
      <c r="AA28" s="162"/>
      <c r="AB28" s="162"/>
      <c r="AC28" s="163"/>
      <c r="AD28" s="163"/>
    </row>
    <row r="29" spans="1:30" s="13" customFormat="1" ht="74.45" customHeight="1" x14ac:dyDescent="0.25">
      <c r="A29" s="304" t="s">
        <v>185</v>
      </c>
      <c r="B29" s="37">
        <f t="shared" si="18"/>
        <v>287300</v>
      </c>
      <c r="C29" s="37">
        <f t="shared" si="20"/>
        <v>34476</v>
      </c>
      <c r="D29" s="79" t="s">
        <v>186</v>
      </c>
      <c r="E29" s="17">
        <f>Prices!D2</f>
        <v>16500</v>
      </c>
      <c r="F29" s="24">
        <v>6</v>
      </c>
      <c r="G29" s="24">
        <v>2</v>
      </c>
      <c r="H29" s="25">
        <f>E29*F29*G29+20000</f>
        <v>218000</v>
      </c>
      <c r="I29" s="25">
        <f t="shared" ref="I29" si="26">H29*0.12</f>
        <v>26160</v>
      </c>
      <c r="J29" s="208" t="s">
        <v>228</v>
      </c>
      <c r="K29" s="20">
        <f>Prices!D8</f>
        <v>4620</v>
      </c>
      <c r="L29" s="20">
        <v>5</v>
      </c>
      <c r="M29" s="20">
        <v>3</v>
      </c>
      <c r="N29" s="21">
        <f t="shared" ref="N29" si="27">K29*L29*M29</f>
        <v>69300</v>
      </c>
      <c r="O29" s="21">
        <f t="shared" ref="O29" si="28">N29*0.12</f>
        <v>8316</v>
      </c>
      <c r="P29" s="16"/>
      <c r="Q29" s="17"/>
      <c r="R29" s="17"/>
      <c r="S29" s="18"/>
      <c r="T29" s="18"/>
      <c r="U29" s="19" t="s">
        <v>210</v>
      </c>
      <c r="V29" s="7">
        <v>0</v>
      </c>
      <c r="W29" s="7">
        <v>0</v>
      </c>
      <c r="X29" s="7">
        <f>V29*W29</f>
        <v>0</v>
      </c>
      <c r="Y29" s="7">
        <f>X29*0.12</f>
        <v>0</v>
      </c>
      <c r="Z29" s="22"/>
      <c r="AA29" s="17"/>
      <c r="AB29" s="17"/>
      <c r="AC29" s="18"/>
      <c r="AD29" s="18"/>
    </row>
    <row r="30" spans="1:30" s="13" customFormat="1" ht="70.5" customHeight="1" x14ac:dyDescent="0.25">
      <c r="A30" s="304"/>
      <c r="B30" s="37">
        <f t="shared" si="18"/>
        <v>173880</v>
      </c>
      <c r="C30" s="37">
        <f>SUM(I30:I30)+SUM(O30:O30)+SUM(T30:T30)+SUM(Y30:Y30)+SUM(AD30:AD30)</f>
        <v>20865.599999999999</v>
      </c>
      <c r="D30" s="79" t="s">
        <v>187</v>
      </c>
      <c r="E30" s="17">
        <f>Prices!D2</f>
        <v>16500</v>
      </c>
      <c r="F30" s="24">
        <v>2</v>
      </c>
      <c r="G30" s="24">
        <v>1</v>
      </c>
      <c r="H30" s="25">
        <f>E30*F30*G30+20000</f>
        <v>53000</v>
      </c>
      <c r="I30" s="25">
        <f t="shared" ref="I30" si="29">H30*0.12</f>
        <v>6360</v>
      </c>
      <c r="J30" s="23" t="s">
        <v>211</v>
      </c>
      <c r="K30" s="20">
        <f>Prices!D8</f>
        <v>4620</v>
      </c>
      <c r="L30" s="20">
        <v>6</v>
      </c>
      <c r="M30" s="20">
        <v>4</v>
      </c>
      <c r="N30" s="100">
        <f t="shared" ref="N30" si="30">K30*L30*M30+10000</f>
        <v>120880</v>
      </c>
      <c r="O30" s="21">
        <f>N30*0.12</f>
        <v>14505.6</v>
      </c>
      <c r="P30" s="16"/>
      <c r="Q30" s="17"/>
      <c r="R30" s="17"/>
      <c r="S30" s="18"/>
      <c r="T30" s="18"/>
      <c r="Z30" s="22"/>
      <c r="AA30" s="17"/>
      <c r="AB30" s="17"/>
      <c r="AC30" s="18"/>
      <c r="AD30" s="18"/>
    </row>
    <row r="31" spans="1:30" s="13" customFormat="1" ht="48.6" customHeight="1" x14ac:dyDescent="0.25">
      <c r="A31" s="304" t="s">
        <v>206</v>
      </c>
      <c r="B31" s="37">
        <f t="shared" si="18"/>
        <v>305680</v>
      </c>
      <c r="C31" s="37">
        <f t="shared" si="20"/>
        <v>36681.599999999999</v>
      </c>
      <c r="D31" s="79" t="s">
        <v>212</v>
      </c>
      <c r="E31" s="24">
        <f>Prices!B3</f>
        <v>3080</v>
      </c>
      <c r="F31" s="24">
        <v>24</v>
      </c>
      <c r="G31" s="24">
        <v>4</v>
      </c>
      <c r="H31" s="25">
        <f t="shared" ref="H31:H32" si="31">E31*F31*G31+10000</f>
        <v>305680</v>
      </c>
      <c r="I31" s="25">
        <f t="shared" ref="I31:I35" si="32">H31*0.12</f>
        <v>36681.599999999999</v>
      </c>
      <c r="J31" s="98"/>
      <c r="K31" s="101"/>
      <c r="L31" s="101"/>
      <c r="M31" s="101"/>
      <c r="N31" s="102"/>
      <c r="O31" s="103"/>
      <c r="P31" s="16"/>
      <c r="Q31" s="17"/>
      <c r="R31" s="17"/>
      <c r="S31" s="18"/>
      <c r="T31" s="18"/>
      <c r="U31" s="73"/>
      <c r="V31" s="7"/>
      <c r="W31" s="7"/>
      <c r="X31" s="7"/>
      <c r="Y31" s="7"/>
      <c r="Z31" s="22"/>
      <c r="AA31" s="17"/>
      <c r="AB31" s="17"/>
      <c r="AC31" s="18"/>
      <c r="AD31" s="18"/>
    </row>
    <row r="32" spans="1:30" s="13" customFormat="1" ht="48.6" customHeight="1" x14ac:dyDescent="0.25">
      <c r="A32" s="304"/>
      <c r="B32" s="37">
        <f t="shared" si="18"/>
        <v>19240</v>
      </c>
      <c r="C32" s="37">
        <f t="shared" si="20"/>
        <v>2308.7999999999997</v>
      </c>
      <c r="D32" s="79" t="s">
        <v>213</v>
      </c>
      <c r="E32" s="24">
        <f>Prices!B3</f>
        <v>3080</v>
      </c>
      <c r="F32" s="24">
        <v>3</v>
      </c>
      <c r="G32" s="24">
        <v>1</v>
      </c>
      <c r="H32" s="25">
        <f t="shared" si="31"/>
        <v>19240</v>
      </c>
      <c r="I32" s="25">
        <f t="shared" si="32"/>
        <v>2308.7999999999997</v>
      </c>
      <c r="J32" s="98"/>
      <c r="K32" s="101"/>
      <c r="L32" s="101"/>
      <c r="M32" s="101"/>
      <c r="N32" s="102"/>
      <c r="O32" s="103"/>
      <c r="P32" s="16"/>
      <c r="Q32" s="17"/>
      <c r="R32" s="17"/>
      <c r="S32" s="18"/>
      <c r="T32" s="18"/>
      <c r="U32" s="73"/>
      <c r="V32" s="7"/>
      <c r="W32" s="7"/>
      <c r="X32" s="7"/>
      <c r="Y32" s="7"/>
      <c r="Z32" s="22"/>
      <c r="AA32" s="17"/>
      <c r="AB32" s="17"/>
      <c r="AC32" s="18"/>
      <c r="AD32" s="18"/>
    </row>
    <row r="33" spans="1:30" s="13" customFormat="1" ht="14.45" customHeight="1" x14ac:dyDescent="0.25">
      <c r="A33" s="142" t="s">
        <v>12</v>
      </c>
      <c r="B33" s="12">
        <f>B34+B42</f>
        <v>67816399.99999997</v>
      </c>
      <c r="C33" s="12">
        <f>C34+C42</f>
        <v>2977968</v>
      </c>
      <c r="D33" s="119" t="s">
        <v>135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</row>
    <row r="34" spans="1:30" s="97" customFormat="1" ht="14.45" customHeight="1" x14ac:dyDescent="0.25">
      <c r="A34" s="143" t="s">
        <v>123</v>
      </c>
      <c r="B34" s="94">
        <f>+SUM(B35:B41)</f>
        <v>24262000</v>
      </c>
      <c r="C34" s="94">
        <f>+SUM(C35:C41)</f>
        <v>2911440</v>
      </c>
      <c r="D34" s="136" t="s">
        <v>267</v>
      </c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</row>
    <row r="35" spans="1:30" s="13" customFormat="1" ht="69.75" customHeight="1" x14ac:dyDescent="0.25">
      <c r="A35" s="301" t="s">
        <v>139</v>
      </c>
      <c r="B35" s="37">
        <f>SUM(H35:H35)+SUM(N35:N35)+SUM(S35:S35)+SUM(X35:X35)+SUM(AC35:AC35)</f>
        <v>10162000</v>
      </c>
      <c r="C35" s="37">
        <f t="shared" ref="C35:C49" si="33">SUM(I35:I35)+SUM(O35:O35)+SUM(T35:T35)+SUM(Y35:Y35)+SUM(AD35:AD35)</f>
        <v>1219440</v>
      </c>
      <c r="D35" s="209" t="s">
        <v>231</v>
      </c>
      <c r="E35" s="162">
        <v>4500</v>
      </c>
      <c r="F35" s="162">
        <v>12</v>
      </c>
      <c r="G35" s="162">
        <v>3</v>
      </c>
      <c r="H35" s="207">
        <f>E35*F35*G35</f>
        <v>162000</v>
      </c>
      <c r="I35" s="25">
        <f t="shared" si="32"/>
        <v>19440</v>
      </c>
      <c r="J35" s="173" t="s">
        <v>138</v>
      </c>
      <c r="K35" s="20"/>
      <c r="L35" s="20"/>
      <c r="M35" s="20"/>
      <c r="N35" s="20">
        <v>10000000</v>
      </c>
      <c r="O35" s="20">
        <f t="shared" ref="O35:O41" si="34">N35*0.12</f>
        <v>1200000</v>
      </c>
      <c r="P35" s="79"/>
      <c r="Q35" s="18"/>
      <c r="R35" s="18"/>
      <c r="S35" s="18"/>
      <c r="T35" s="18"/>
      <c r="V35" s="7"/>
      <c r="W35" s="6"/>
      <c r="X35" s="21"/>
      <c r="Y35" s="21">
        <f t="shared" ref="Y35" si="35">X35*0.12</f>
        <v>0</v>
      </c>
      <c r="Z35" s="8"/>
      <c r="AA35" s="4"/>
      <c r="AB35" s="4"/>
      <c r="AC35" s="5"/>
      <c r="AD35" s="40"/>
    </row>
    <row r="36" spans="1:30" s="13" customFormat="1" ht="78" customHeight="1" x14ac:dyDescent="0.25">
      <c r="A36" s="302"/>
      <c r="B36" s="37">
        <f t="shared" ref="B36:B49" si="36">SUM(H36:H36)+SUM(N36:N36)+SUM(S36:S36)+SUM(X36:X36)+SUM(AC36:AC36)</f>
        <v>5000000</v>
      </c>
      <c r="C36" s="37">
        <f t="shared" si="33"/>
        <v>600000</v>
      </c>
      <c r="D36" s="16"/>
      <c r="E36" s="17"/>
      <c r="F36" s="17"/>
      <c r="G36" s="17"/>
      <c r="H36" s="18"/>
      <c r="I36" s="18"/>
      <c r="J36" s="173" t="s">
        <v>214</v>
      </c>
      <c r="K36" s="20"/>
      <c r="L36" s="20"/>
      <c r="M36" s="20"/>
      <c r="N36" s="20">
        <v>5000000</v>
      </c>
      <c r="O36" s="20">
        <f t="shared" si="34"/>
        <v>600000</v>
      </c>
      <c r="P36" s="79"/>
      <c r="Q36" s="18"/>
      <c r="R36" s="18"/>
      <c r="S36" s="18"/>
      <c r="T36" s="18"/>
      <c r="U36" s="74"/>
      <c r="V36" s="7"/>
      <c r="W36" s="6"/>
      <c r="X36" s="21"/>
      <c r="Y36" s="21"/>
      <c r="Z36" s="8"/>
      <c r="AA36" s="4"/>
      <c r="AB36" s="4"/>
      <c r="AC36" s="5"/>
      <c r="AD36" s="40"/>
    </row>
    <row r="37" spans="1:30" s="165" customFormat="1" ht="48.6" customHeight="1" x14ac:dyDescent="0.25">
      <c r="A37" s="302"/>
      <c r="B37" s="37">
        <f t="shared" ref="B37:B38" si="37">SUM(H37:H37)+SUM(N37:N37)+SUM(S37:S37)+SUM(X37:X37)+SUM(AC37:AC37)</f>
        <v>4000000</v>
      </c>
      <c r="C37" s="37">
        <f t="shared" ref="C37:C38" si="38">SUM(I37:I37)+SUM(O37:O37)+SUM(T37:T37)+SUM(Y37:Y37)+SUM(AD37:AD37)</f>
        <v>480000</v>
      </c>
      <c r="D37" s="79"/>
      <c r="E37" s="162"/>
      <c r="F37" s="162"/>
      <c r="G37" s="162"/>
      <c r="H37" s="163"/>
      <c r="I37" s="163"/>
      <c r="J37" s="154" t="s">
        <v>229</v>
      </c>
      <c r="K37" s="159"/>
      <c r="L37" s="159"/>
      <c r="M37" s="159"/>
      <c r="N37" s="20">
        <v>4000000</v>
      </c>
      <c r="O37" s="20">
        <f t="shared" ref="O37" si="39">N37*0.12</f>
        <v>480000</v>
      </c>
      <c r="P37" s="79"/>
      <c r="Q37" s="163"/>
      <c r="R37" s="163"/>
      <c r="S37" s="163"/>
      <c r="T37" s="163"/>
      <c r="U37" s="74"/>
      <c r="V37" s="7"/>
      <c r="W37" s="6"/>
      <c r="X37" s="160"/>
      <c r="Y37" s="160"/>
      <c r="Z37" s="8"/>
      <c r="AA37" s="4"/>
      <c r="AB37" s="4"/>
      <c r="AC37" s="5"/>
      <c r="AD37" s="40"/>
    </row>
    <row r="38" spans="1:30" s="165" customFormat="1" ht="34.15" customHeight="1" x14ac:dyDescent="0.25">
      <c r="A38" s="303"/>
      <c r="B38" s="37">
        <f t="shared" si="37"/>
        <v>1000000</v>
      </c>
      <c r="C38" s="37">
        <f t="shared" si="38"/>
        <v>120000</v>
      </c>
      <c r="D38" s="79"/>
      <c r="E38" s="162"/>
      <c r="F38" s="162"/>
      <c r="G38" s="162"/>
      <c r="H38" s="163"/>
      <c r="I38" s="163"/>
      <c r="J38" s="210" t="s">
        <v>230</v>
      </c>
      <c r="K38" s="159"/>
      <c r="L38" s="159"/>
      <c r="M38" s="159"/>
      <c r="N38" s="20">
        <v>1000000</v>
      </c>
      <c r="O38" s="20">
        <f t="shared" ref="O38" si="40">N38*0.12</f>
        <v>120000</v>
      </c>
      <c r="P38" s="79"/>
      <c r="Q38" s="163"/>
      <c r="R38" s="163"/>
      <c r="S38" s="163"/>
      <c r="T38" s="163"/>
      <c r="U38" s="74"/>
      <c r="V38" s="7"/>
      <c r="W38" s="6"/>
      <c r="X38" s="160"/>
      <c r="Y38" s="160"/>
      <c r="Z38" s="8"/>
      <c r="AA38" s="4"/>
      <c r="AB38" s="4"/>
      <c r="AC38" s="5"/>
      <c r="AD38" s="40"/>
    </row>
    <row r="39" spans="1:30" s="13" customFormat="1" ht="134.44999999999999" customHeight="1" x14ac:dyDescent="0.25">
      <c r="A39" s="155" t="s">
        <v>215</v>
      </c>
      <c r="B39" s="37">
        <f t="shared" si="36"/>
        <v>3000000</v>
      </c>
      <c r="C39" s="37">
        <f t="shared" si="33"/>
        <v>360000</v>
      </c>
      <c r="D39" s="79"/>
      <c r="E39" s="24"/>
      <c r="F39" s="24"/>
      <c r="G39" s="24"/>
      <c r="H39" s="25"/>
      <c r="I39" s="25"/>
      <c r="J39" s="173" t="s">
        <v>216</v>
      </c>
      <c r="N39" s="20">
        <v>3000000</v>
      </c>
      <c r="O39" s="20">
        <f t="shared" si="34"/>
        <v>360000</v>
      </c>
      <c r="P39" s="79"/>
      <c r="Q39" s="18"/>
      <c r="R39" s="18"/>
      <c r="S39" s="18"/>
      <c r="T39" s="18"/>
      <c r="U39" s="74"/>
      <c r="V39" s="7"/>
      <c r="W39" s="6"/>
      <c r="X39" s="21"/>
      <c r="Y39" s="21"/>
      <c r="Z39" s="8"/>
      <c r="AA39" s="4"/>
      <c r="AB39" s="4"/>
      <c r="AC39" s="5"/>
      <c r="AD39" s="40"/>
    </row>
    <row r="40" spans="1:30" s="13" customFormat="1" ht="82.15" customHeight="1" x14ac:dyDescent="0.25">
      <c r="A40" s="308" t="s">
        <v>173</v>
      </c>
      <c r="B40" s="37">
        <f t="shared" si="36"/>
        <v>1000000</v>
      </c>
      <c r="C40" s="37">
        <f t="shared" si="33"/>
        <v>120000</v>
      </c>
      <c r="D40" s="16"/>
      <c r="E40" s="24"/>
      <c r="F40" s="24"/>
      <c r="G40" s="24"/>
      <c r="H40" s="25"/>
      <c r="I40" s="25"/>
      <c r="J40" s="154" t="s">
        <v>203</v>
      </c>
      <c r="N40" s="20">
        <v>1000000</v>
      </c>
      <c r="O40" s="20">
        <f t="shared" si="34"/>
        <v>120000</v>
      </c>
      <c r="P40" s="16"/>
      <c r="Q40" s="17"/>
      <c r="R40" s="17"/>
      <c r="S40" s="18"/>
      <c r="T40" s="18"/>
      <c r="Z40" s="22"/>
      <c r="AA40" s="17"/>
      <c r="AB40" s="17"/>
      <c r="AC40" s="18">
        <f>AA40*AB40</f>
        <v>0</v>
      </c>
      <c r="AD40" s="18"/>
    </row>
    <row r="41" spans="1:30" s="13" customFormat="1" ht="33.6" customHeight="1" x14ac:dyDescent="0.25">
      <c r="A41" s="310"/>
      <c r="B41" s="37">
        <f t="shared" si="36"/>
        <v>100000</v>
      </c>
      <c r="C41" s="37">
        <f t="shared" si="33"/>
        <v>12000</v>
      </c>
      <c r="D41" s="79"/>
      <c r="E41" s="24"/>
      <c r="F41" s="24"/>
      <c r="G41" s="24"/>
      <c r="H41" s="25"/>
      <c r="I41" s="25"/>
      <c r="J41" s="154" t="s">
        <v>217</v>
      </c>
      <c r="N41" s="20">
        <v>100000</v>
      </c>
      <c r="O41" s="20">
        <f t="shared" si="34"/>
        <v>12000</v>
      </c>
      <c r="P41" s="16"/>
      <c r="Q41" s="17"/>
      <c r="R41" s="17"/>
      <c r="S41" s="18"/>
      <c r="T41" s="18"/>
      <c r="U41" s="74"/>
      <c r="V41" s="74"/>
      <c r="W41" s="74"/>
      <c r="Z41" s="22"/>
      <c r="AA41" s="17"/>
      <c r="AB41" s="17"/>
      <c r="AC41" s="18"/>
      <c r="AD41" s="18"/>
    </row>
    <row r="42" spans="1:30" s="97" customFormat="1" ht="14.45" customHeight="1" x14ac:dyDescent="0.25">
      <c r="A42" s="143" t="s">
        <v>124</v>
      </c>
      <c r="B42" s="94">
        <f>+SUM(B43:B49)</f>
        <v>43554399.99999997</v>
      </c>
      <c r="C42" s="94">
        <f>+SUM(C43:C49)</f>
        <v>66528</v>
      </c>
      <c r="D42" s="136" t="s">
        <v>268</v>
      </c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</row>
    <row r="43" spans="1:30" s="13" customFormat="1" ht="28.15" customHeight="1" x14ac:dyDescent="0.25">
      <c r="A43" s="308" t="s">
        <v>269</v>
      </c>
      <c r="B43" s="37">
        <f t="shared" si="36"/>
        <v>35727272.727272704</v>
      </c>
      <c r="C43" s="37">
        <f t="shared" si="33"/>
        <v>0</v>
      </c>
      <c r="D43" s="79"/>
      <c r="E43" s="24"/>
      <c r="F43" s="24"/>
      <c r="G43" s="24"/>
      <c r="H43" s="25"/>
      <c r="I43" s="25"/>
      <c r="J43" s="173"/>
      <c r="N43" s="20"/>
      <c r="O43" s="20"/>
      <c r="P43" s="16"/>
      <c r="Q43" s="17"/>
      <c r="R43" s="17"/>
      <c r="S43" s="18"/>
      <c r="T43" s="18"/>
      <c r="U43" s="74"/>
      <c r="V43" s="74"/>
      <c r="W43" s="74"/>
      <c r="Z43" s="22" t="s">
        <v>180</v>
      </c>
      <c r="AA43" s="17"/>
      <c r="AB43" s="17"/>
      <c r="AC43" s="311">
        <f>32727272.7272727+3000000</f>
        <v>35727272.727272704</v>
      </c>
      <c r="AD43" s="18"/>
    </row>
    <row r="44" spans="1:30" s="13" customFormat="1" ht="28.15" customHeight="1" x14ac:dyDescent="0.25">
      <c r="A44" s="309"/>
      <c r="B44" s="37">
        <f t="shared" si="36"/>
        <v>0</v>
      </c>
      <c r="C44" s="37">
        <f t="shared" si="33"/>
        <v>0</v>
      </c>
      <c r="D44" s="79"/>
      <c r="E44" s="24"/>
      <c r="F44" s="24"/>
      <c r="G44" s="24"/>
      <c r="H44" s="25"/>
      <c r="I44" s="25"/>
      <c r="J44" s="173"/>
      <c r="N44" s="20"/>
      <c r="O44" s="20"/>
      <c r="P44" s="16"/>
      <c r="Q44" s="17"/>
      <c r="R44" s="17"/>
      <c r="S44" s="18"/>
      <c r="T44" s="18"/>
      <c r="U44" s="74"/>
      <c r="V44" s="74"/>
      <c r="W44" s="74"/>
      <c r="Z44" s="22" t="s">
        <v>181</v>
      </c>
      <c r="AA44" s="17"/>
      <c r="AB44" s="17"/>
      <c r="AC44" s="312"/>
      <c r="AD44" s="18"/>
    </row>
    <row r="45" spans="1:30" s="13" customFormat="1" ht="28.15" customHeight="1" x14ac:dyDescent="0.25">
      <c r="A45" s="309"/>
      <c r="B45" s="37">
        <f t="shared" si="36"/>
        <v>909090.90909090906</v>
      </c>
      <c r="C45" s="37">
        <f t="shared" si="33"/>
        <v>0</v>
      </c>
      <c r="D45" s="79"/>
      <c r="E45" s="24"/>
      <c r="F45" s="24"/>
      <c r="G45" s="24"/>
      <c r="H45" s="25"/>
      <c r="I45" s="25"/>
      <c r="J45" s="173"/>
      <c r="N45" s="20"/>
      <c r="O45" s="20"/>
      <c r="P45" s="16"/>
      <c r="Q45" s="17"/>
      <c r="R45" s="17"/>
      <c r="S45" s="18"/>
      <c r="T45" s="18"/>
      <c r="U45" s="74"/>
      <c r="V45" s="74"/>
      <c r="W45" s="74"/>
      <c r="Z45" s="22" t="s">
        <v>182</v>
      </c>
      <c r="AA45" s="17"/>
      <c r="AB45" s="17"/>
      <c r="AC45" s="18">
        <v>909090.90909090906</v>
      </c>
      <c r="AD45" s="18"/>
    </row>
    <row r="46" spans="1:30" s="13" customFormat="1" ht="28.15" customHeight="1" x14ac:dyDescent="0.25">
      <c r="A46" s="309"/>
      <c r="B46" s="37">
        <f t="shared" si="36"/>
        <v>5454545.4545454541</v>
      </c>
      <c r="C46" s="37">
        <f t="shared" si="33"/>
        <v>0</v>
      </c>
      <c r="D46" s="79"/>
      <c r="E46" s="24"/>
      <c r="F46" s="24"/>
      <c r="G46" s="24"/>
      <c r="H46" s="25"/>
      <c r="I46" s="25"/>
      <c r="J46" s="173"/>
      <c r="N46" s="20"/>
      <c r="O46" s="20"/>
      <c r="P46" s="16"/>
      <c r="Q46" s="17"/>
      <c r="R46" s="17"/>
      <c r="S46" s="18"/>
      <c r="T46" s="18"/>
      <c r="U46" s="74"/>
      <c r="V46" s="74"/>
      <c r="W46" s="74"/>
      <c r="Z46" s="22" t="s">
        <v>183</v>
      </c>
      <c r="AA46" s="17"/>
      <c r="AB46" s="17"/>
      <c r="AC46" s="311">
        <v>5454545.4545454541</v>
      </c>
      <c r="AD46" s="18"/>
    </row>
    <row r="47" spans="1:30" s="13" customFormat="1" ht="28.15" customHeight="1" x14ac:dyDescent="0.25">
      <c r="A47" s="309"/>
      <c r="B47" s="37">
        <f t="shared" si="36"/>
        <v>0</v>
      </c>
      <c r="C47" s="37"/>
      <c r="D47" s="79"/>
      <c r="E47" s="24"/>
      <c r="F47" s="24"/>
      <c r="G47" s="24"/>
      <c r="H47" s="25"/>
      <c r="I47" s="25"/>
      <c r="J47" s="173"/>
      <c r="N47" s="20"/>
      <c r="O47" s="20"/>
      <c r="P47" s="16"/>
      <c r="Q47" s="17"/>
      <c r="R47" s="17"/>
      <c r="S47" s="18"/>
      <c r="T47" s="18"/>
      <c r="U47" s="74"/>
      <c r="V47" s="74"/>
      <c r="W47" s="74"/>
      <c r="Z47" s="22" t="s">
        <v>184</v>
      </c>
      <c r="AA47" s="17"/>
      <c r="AB47" s="17"/>
      <c r="AC47" s="312"/>
      <c r="AD47" s="18"/>
    </row>
    <row r="48" spans="1:30" s="13" customFormat="1" ht="28.15" customHeight="1" x14ac:dyDescent="0.25">
      <c r="A48" s="310"/>
      <c r="B48" s="37">
        <f t="shared" si="36"/>
        <v>909090.90909090906</v>
      </c>
      <c r="C48" s="37">
        <f t="shared" si="33"/>
        <v>0</v>
      </c>
      <c r="D48" s="79"/>
      <c r="E48" s="24"/>
      <c r="F48" s="24"/>
      <c r="G48" s="24"/>
      <c r="H48" s="25"/>
      <c r="I48" s="25"/>
      <c r="J48" s="173"/>
      <c r="N48" s="20"/>
      <c r="O48" s="20"/>
      <c r="P48" s="16"/>
      <c r="Q48" s="17"/>
      <c r="R48" s="17"/>
      <c r="S48" s="18"/>
      <c r="T48" s="18"/>
      <c r="U48" s="74"/>
      <c r="V48" s="74"/>
      <c r="W48" s="74"/>
      <c r="Z48" s="22" t="s">
        <v>188</v>
      </c>
      <c r="AA48" s="17"/>
      <c r="AB48" s="17"/>
      <c r="AC48" s="18">
        <v>909090.90909090906</v>
      </c>
      <c r="AD48" s="18"/>
    </row>
    <row r="49" spans="1:31" s="13" customFormat="1" ht="85.15" customHeight="1" x14ac:dyDescent="0.25">
      <c r="A49" s="144" t="s">
        <v>207</v>
      </c>
      <c r="B49" s="37">
        <f t="shared" si="36"/>
        <v>554400</v>
      </c>
      <c r="C49" s="37">
        <f t="shared" si="33"/>
        <v>66528</v>
      </c>
      <c r="D49" s="79"/>
      <c r="E49" s="24"/>
      <c r="F49" s="24"/>
      <c r="G49" s="24"/>
      <c r="H49" s="25"/>
      <c r="I49" s="25"/>
      <c r="J49" s="173" t="s">
        <v>218</v>
      </c>
      <c r="K49" s="20">
        <f>Prices!D8</f>
        <v>4620</v>
      </c>
      <c r="L49" s="20">
        <v>24</v>
      </c>
      <c r="M49" s="20">
        <v>5</v>
      </c>
      <c r="N49" s="100">
        <f>K49*L49*M49</f>
        <v>554400</v>
      </c>
      <c r="O49" s="21">
        <f>N49*0.12</f>
        <v>66528</v>
      </c>
      <c r="P49" s="16"/>
      <c r="Q49" s="17"/>
      <c r="R49" s="17"/>
      <c r="S49" s="18"/>
      <c r="T49" s="25"/>
      <c r="U49" s="171"/>
      <c r="V49" s="7"/>
      <c r="W49" s="6"/>
      <c r="X49" s="21"/>
      <c r="Y49" s="21"/>
      <c r="Z49" s="22"/>
      <c r="AA49" s="17"/>
      <c r="AB49" s="17"/>
      <c r="AC49" s="18">
        <f>AA49*AB49</f>
        <v>0</v>
      </c>
      <c r="AD49" s="25"/>
    </row>
    <row r="50" spans="1:31" s="13" customFormat="1" ht="31.9" customHeight="1" x14ac:dyDescent="0.25">
      <c r="A50" s="145" t="s">
        <v>13</v>
      </c>
      <c r="B50" s="26">
        <f>SUM(B51:B64)</f>
        <v>1610600</v>
      </c>
      <c r="C50" s="26">
        <f>SUM(C51:C64)</f>
        <v>193272</v>
      </c>
      <c r="D50" s="137" t="s">
        <v>14</v>
      </c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</row>
    <row r="51" spans="1:31" s="13" customFormat="1" x14ac:dyDescent="0.25">
      <c r="A51" s="146" t="s">
        <v>127</v>
      </c>
      <c r="B51" s="27">
        <f>H51</f>
        <v>220000</v>
      </c>
      <c r="C51" s="27">
        <f>I51</f>
        <v>26400</v>
      </c>
      <c r="D51" s="16"/>
      <c r="E51" s="17">
        <v>5500</v>
      </c>
      <c r="F51" s="17">
        <v>40</v>
      </c>
      <c r="G51" s="17">
        <v>1</v>
      </c>
      <c r="H51" s="18">
        <f>E51*F51*G51</f>
        <v>220000</v>
      </c>
      <c r="I51" s="18">
        <f>H51*0.12</f>
        <v>26400</v>
      </c>
      <c r="J51" s="19"/>
      <c r="K51" s="20"/>
      <c r="L51" s="20"/>
      <c r="M51" s="20"/>
      <c r="N51" s="21">
        <f>K51*M51</f>
        <v>0</v>
      </c>
      <c r="O51" s="21">
        <f>L51*N51</f>
        <v>0</v>
      </c>
      <c r="P51" s="16"/>
      <c r="Q51" s="17"/>
      <c r="R51" s="17"/>
      <c r="S51" s="18">
        <f>Q51*R51</f>
        <v>0</v>
      </c>
      <c r="T51" s="18">
        <f>S51*0.12</f>
        <v>0</v>
      </c>
      <c r="U51" s="21"/>
      <c r="V51" s="21"/>
      <c r="W51" s="21"/>
      <c r="X51" s="21">
        <f>V51*W51</f>
        <v>0</v>
      </c>
      <c r="Y51" s="21">
        <f>W51*X51</f>
        <v>0</v>
      </c>
      <c r="Z51" s="18"/>
      <c r="AA51" s="18"/>
      <c r="AB51" s="18"/>
      <c r="AC51" s="18">
        <f>AA51*AB51</f>
        <v>0</v>
      </c>
      <c r="AD51" s="18">
        <f>AC51*0.12</f>
        <v>0</v>
      </c>
    </row>
    <row r="52" spans="1:31" s="13" customFormat="1" ht="23.25" customHeight="1" x14ac:dyDescent="0.25">
      <c r="A52" s="146" t="s">
        <v>142</v>
      </c>
      <c r="B52" s="27">
        <f t="shared" ref="B52:B55" si="41">H52</f>
        <v>123200</v>
      </c>
      <c r="C52" s="27">
        <f t="shared" ref="C52:C64" si="42">I52</f>
        <v>14784</v>
      </c>
      <c r="D52" s="16"/>
      <c r="E52" s="17">
        <f>Prices!B3</f>
        <v>3080</v>
      </c>
      <c r="F52" s="17">
        <v>40</v>
      </c>
      <c r="G52" s="17">
        <v>1</v>
      </c>
      <c r="H52" s="18">
        <f t="shared" ref="H52:H55" si="43">E52*F52*G52</f>
        <v>123200</v>
      </c>
      <c r="I52" s="18">
        <f t="shared" ref="I52:I55" si="44">H52*0.12</f>
        <v>14784</v>
      </c>
      <c r="J52" s="19"/>
      <c r="K52" s="20"/>
      <c r="L52" s="20"/>
      <c r="M52" s="20"/>
      <c r="N52" s="21"/>
      <c r="O52" s="21"/>
      <c r="P52" s="16"/>
      <c r="Q52" s="17"/>
      <c r="R52" s="17"/>
      <c r="S52" s="18"/>
      <c r="T52" s="18">
        <f t="shared" ref="T52:T63" si="45">S52*0.12</f>
        <v>0</v>
      </c>
      <c r="U52" s="21"/>
      <c r="V52" s="21"/>
      <c r="W52" s="21"/>
      <c r="X52" s="21"/>
      <c r="Y52" s="21"/>
      <c r="Z52" s="18"/>
      <c r="AA52" s="18"/>
      <c r="AB52" s="18"/>
      <c r="AC52" s="18"/>
      <c r="AD52" s="18">
        <f t="shared" ref="AD52:AD54" si="46">AC52*0.12</f>
        <v>0</v>
      </c>
      <c r="AE52" s="13">
        <v>909090.90909090906</v>
      </c>
    </row>
    <row r="53" spans="1:31" s="13" customFormat="1" x14ac:dyDescent="0.25">
      <c r="A53" s="146" t="s">
        <v>126</v>
      </c>
      <c r="B53" s="27">
        <f t="shared" si="41"/>
        <v>123200</v>
      </c>
      <c r="C53" s="27">
        <f t="shared" si="42"/>
        <v>14784</v>
      </c>
      <c r="D53" s="16"/>
      <c r="E53" s="17">
        <f>Prices!B3</f>
        <v>3080</v>
      </c>
      <c r="F53" s="17">
        <v>40</v>
      </c>
      <c r="G53" s="17">
        <v>1</v>
      </c>
      <c r="H53" s="18">
        <f t="shared" si="43"/>
        <v>123200</v>
      </c>
      <c r="I53" s="18">
        <f t="shared" si="44"/>
        <v>14784</v>
      </c>
      <c r="J53" s="19"/>
      <c r="K53" s="20"/>
      <c r="L53" s="20"/>
      <c r="M53" s="20"/>
      <c r="N53" s="21">
        <f>K53*M53</f>
        <v>0</v>
      </c>
      <c r="O53" s="21">
        <f>L53*N53</f>
        <v>0</v>
      </c>
      <c r="P53" s="16"/>
      <c r="Q53" s="17"/>
      <c r="R53" s="17"/>
      <c r="S53" s="18">
        <f>Q53*R53</f>
        <v>0</v>
      </c>
      <c r="T53" s="18">
        <f t="shared" si="45"/>
        <v>0</v>
      </c>
      <c r="U53" s="21"/>
      <c r="V53" s="21"/>
      <c r="W53" s="21"/>
      <c r="X53" s="21">
        <f>V53*W53</f>
        <v>0</v>
      </c>
      <c r="Y53" s="21">
        <f>W53*X53</f>
        <v>0</v>
      </c>
      <c r="Z53" s="18"/>
      <c r="AA53" s="18"/>
      <c r="AB53" s="18"/>
      <c r="AC53" s="18">
        <f>AA53*AB53</f>
        <v>0</v>
      </c>
      <c r="AD53" s="18">
        <f t="shared" si="46"/>
        <v>0</v>
      </c>
    </row>
    <row r="54" spans="1:31" s="13" customFormat="1" x14ac:dyDescent="0.25">
      <c r="A54" s="146" t="s">
        <v>141</v>
      </c>
      <c r="B54" s="27">
        <f t="shared" si="41"/>
        <v>123200</v>
      </c>
      <c r="C54" s="27">
        <f t="shared" si="42"/>
        <v>14784</v>
      </c>
      <c r="D54" s="16"/>
      <c r="E54" s="17">
        <f>Prices!B3</f>
        <v>3080</v>
      </c>
      <c r="F54" s="17">
        <v>40</v>
      </c>
      <c r="G54" s="17">
        <v>1</v>
      </c>
      <c r="H54" s="18">
        <f t="shared" si="43"/>
        <v>123200</v>
      </c>
      <c r="I54" s="18">
        <f t="shared" si="44"/>
        <v>14784</v>
      </c>
      <c r="J54" s="19"/>
      <c r="K54" s="20"/>
      <c r="L54" s="20"/>
      <c r="M54" s="20"/>
      <c r="N54" s="21"/>
      <c r="O54" s="21"/>
      <c r="P54" s="16"/>
      <c r="Q54" s="17"/>
      <c r="R54" s="17"/>
      <c r="S54" s="18"/>
      <c r="T54" s="18">
        <f t="shared" si="45"/>
        <v>0</v>
      </c>
      <c r="U54" s="21"/>
      <c r="V54" s="21"/>
      <c r="W54" s="21"/>
      <c r="X54" s="21"/>
      <c r="Y54" s="21"/>
      <c r="Z54" s="18"/>
      <c r="AA54" s="18"/>
      <c r="AB54" s="18"/>
      <c r="AC54" s="18"/>
      <c r="AD54" s="18">
        <f t="shared" si="46"/>
        <v>0</v>
      </c>
    </row>
    <row r="55" spans="1:31" s="13" customFormat="1" x14ac:dyDescent="0.25">
      <c r="A55" s="146" t="s">
        <v>128</v>
      </c>
      <c r="B55" s="27">
        <f t="shared" si="41"/>
        <v>123200</v>
      </c>
      <c r="C55" s="27">
        <f t="shared" si="42"/>
        <v>14784</v>
      </c>
      <c r="D55" s="16"/>
      <c r="E55" s="17">
        <f>Prices!B3</f>
        <v>3080</v>
      </c>
      <c r="F55" s="17">
        <v>40</v>
      </c>
      <c r="G55" s="17">
        <v>1</v>
      </c>
      <c r="H55" s="18">
        <f t="shared" si="43"/>
        <v>123200</v>
      </c>
      <c r="I55" s="18">
        <f t="shared" si="44"/>
        <v>14784</v>
      </c>
      <c r="J55" s="19"/>
      <c r="K55" s="20"/>
      <c r="L55" s="20"/>
      <c r="M55" s="20"/>
      <c r="N55" s="21"/>
      <c r="O55" s="21"/>
      <c r="P55" s="16"/>
      <c r="Q55" s="17"/>
      <c r="R55" s="17"/>
      <c r="S55" s="18"/>
      <c r="T55" s="18"/>
      <c r="U55" s="21"/>
      <c r="V55" s="21"/>
      <c r="W55" s="21"/>
      <c r="X55" s="21"/>
      <c r="Y55" s="21"/>
      <c r="Z55" s="18"/>
      <c r="AA55" s="18"/>
      <c r="AB55" s="18"/>
      <c r="AC55" s="18"/>
      <c r="AD55" s="18"/>
    </row>
    <row r="56" spans="1:31" s="13" customFormat="1" x14ac:dyDescent="0.25">
      <c r="A56" s="146" t="s">
        <v>129</v>
      </c>
      <c r="B56" s="27">
        <f>H56</f>
        <v>123200</v>
      </c>
      <c r="C56" s="27">
        <f t="shared" si="42"/>
        <v>14784</v>
      </c>
      <c r="D56" s="16"/>
      <c r="E56" s="17">
        <f>Prices!B3</f>
        <v>3080</v>
      </c>
      <c r="F56" s="17">
        <v>40</v>
      </c>
      <c r="G56" s="17">
        <v>1</v>
      </c>
      <c r="H56" s="18">
        <f>E56*F56*G56</f>
        <v>123200</v>
      </c>
      <c r="I56" s="18">
        <f>H56*0.12</f>
        <v>14784</v>
      </c>
      <c r="J56" s="19"/>
      <c r="K56" s="20"/>
      <c r="L56" s="20"/>
      <c r="M56" s="20"/>
      <c r="N56" s="21"/>
      <c r="O56" s="21"/>
      <c r="P56" s="16"/>
      <c r="Q56" s="17"/>
      <c r="R56" s="17"/>
      <c r="S56" s="18"/>
      <c r="T56" s="18"/>
      <c r="U56" s="21"/>
      <c r="V56" s="21"/>
      <c r="W56" s="21"/>
      <c r="X56" s="21"/>
      <c r="Y56" s="21"/>
      <c r="Z56" s="18"/>
      <c r="AA56" s="18"/>
      <c r="AB56" s="18"/>
      <c r="AC56" s="18"/>
      <c r="AD56" s="18"/>
    </row>
    <row r="57" spans="1:31" s="13" customFormat="1" ht="23.25" customHeight="1" x14ac:dyDescent="0.25">
      <c r="A57" s="146" t="s">
        <v>174</v>
      </c>
      <c r="B57" s="27">
        <f t="shared" ref="B57:B58" si="47">H57</f>
        <v>123200</v>
      </c>
      <c r="C57" s="27">
        <f t="shared" si="42"/>
        <v>14784</v>
      </c>
      <c r="D57" s="16"/>
      <c r="E57" s="17">
        <f>Prices!B3</f>
        <v>3080</v>
      </c>
      <c r="F57" s="17">
        <v>40</v>
      </c>
      <c r="G57" s="17">
        <v>1</v>
      </c>
      <c r="H57" s="18">
        <f t="shared" ref="H57:H58" si="48">E57*F57*G57</f>
        <v>123200</v>
      </c>
      <c r="I57" s="18">
        <f t="shared" ref="I57:I58" si="49">H57*0.12</f>
        <v>14784</v>
      </c>
      <c r="J57" s="19"/>
      <c r="K57" s="20"/>
      <c r="L57" s="20"/>
      <c r="M57" s="20"/>
      <c r="N57" s="21"/>
      <c r="O57" s="21"/>
      <c r="P57" s="16"/>
      <c r="Q57" s="17"/>
      <c r="R57" s="17"/>
      <c r="S57" s="18"/>
      <c r="T57" s="18">
        <f t="shared" ref="T57:T58" si="50">S57*0.12</f>
        <v>0</v>
      </c>
      <c r="U57" s="21"/>
      <c r="V57" s="21"/>
      <c r="W57" s="21"/>
      <c r="X57" s="21"/>
      <c r="Y57" s="21"/>
      <c r="Z57" s="18"/>
      <c r="AA57" s="18"/>
      <c r="AB57" s="18"/>
      <c r="AC57" s="18"/>
      <c r="AD57" s="18">
        <f t="shared" ref="AD57:AD58" si="51">AC57*0.12</f>
        <v>0</v>
      </c>
    </row>
    <row r="58" spans="1:31" s="13" customFormat="1" x14ac:dyDescent="0.25">
      <c r="A58" s="146" t="s">
        <v>175</v>
      </c>
      <c r="B58" s="27">
        <f t="shared" si="47"/>
        <v>123200</v>
      </c>
      <c r="C58" s="27">
        <f t="shared" si="42"/>
        <v>14784</v>
      </c>
      <c r="D58" s="16"/>
      <c r="E58" s="17">
        <f>Prices!B3</f>
        <v>3080</v>
      </c>
      <c r="F58" s="17">
        <v>40</v>
      </c>
      <c r="G58" s="17">
        <v>1</v>
      </c>
      <c r="H58" s="18">
        <f t="shared" si="48"/>
        <v>123200</v>
      </c>
      <c r="I58" s="18">
        <f t="shared" si="49"/>
        <v>14784</v>
      </c>
      <c r="J58" s="19"/>
      <c r="K58" s="20"/>
      <c r="L58" s="20"/>
      <c r="M58" s="20"/>
      <c r="N58" s="21">
        <f>K58*M58</f>
        <v>0</v>
      </c>
      <c r="O58" s="21">
        <f>L58*N58</f>
        <v>0</v>
      </c>
      <c r="P58" s="16"/>
      <c r="Q58" s="17"/>
      <c r="R58" s="17"/>
      <c r="S58" s="18">
        <f>Q58*R58</f>
        <v>0</v>
      </c>
      <c r="T58" s="18">
        <f t="shared" si="50"/>
        <v>0</v>
      </c>
      <c r="U58" s="21"/>
      <c r="V58" s="21"/>
      <c r="W58" s="21"/>
      <c r="X58" s="21">
        <f>V58*W58</f>
        <v>0</v>
      </c>
      <c r="Y58" s="21">
        <f>W58*X58</f>
        <v>0</v>
      </c>
      <c r="Z58" s="18"/>
      <c r="AA58" s="18"/>
      <c r="AB58" s="18"/>
      <c r="AC58" s="18">
        <f>AA58*AB58</f>
        <v>0</v>
      </c>
      <c r="AD58" s="18">
        <f t="shared" si="51"/>
        <v>0</v>
      </c>
    </row>
    <row r="59" spans="1:31" s="13" customFormat="1" x14ac:dyDescent="0.25">
      <c r="A59" s="146" t="s">
        <v>205</v>
      </c>
      <c r="B59" s="27">
        <f t="shared" ref="B59:B62" si="52">H59</f>
        <v>123200</v>
      </c>
      <c r="C59" s="27">
        <f t="shared" ref="C59" si="53">I59</f>
        <v>14784</v>
      </c>
      <c r="D59" s="16"/>
      <c r="E59" s="17">
        <f>Prices!B3</f>
        <v>3080</v>
      </c>
      <c r="F59" s="17">
        <v>40</v>
      </c>
      <c r="G59" s="17">
        <v>1</v>
      </c>
      <c r="H59" s="18">
        <f t="shared" ref="H59" si="54">E59*F59*G59</f>
        <v>123200</v>
      </c>
      <c r="I59" s="18">
        <f t="shared" ref="I59" si="55">H59*0.12</f>
        <v>14784</v>
      </c>
      <c r="J59" s="19"/>
      <c r="K59" s="20"/>
      <c r="L59" s="20"/>
      <c r="M59" s="20"/>
      <c r="N59" s="21">
        <f>K59*M59</f>
        <v>0</v>
      </c>
      <c r="O59" s="21">
        <f>L59*N59</f>
        <v>0</v>
      </c>
      <c r="P59" s="16"/>
      <c r="Q59" s="17"/>
      <c r="R59" s="17"/>
      <c r="S59" s="18">
        <f>Q59*R59</f>
        <v>0</v>
      </c>
      <c r="T59" s="18">
        <f t="shared" ref="T59" si="56">S59*0.12</f>
        <v>0</v>
      </c>
      <c r="U59" s="21"/>
      <c r="V59" s="21"/>
      <c r="W59" s="21"/>
      <c r="X59" s="21">
        <f>V59*W59</f>
        <v>0</v>
      </c>
      <c r="Y59" s="21">
        <f>W59*X59</f>
        <v>0</v>
      </c>
      <c r="Z59" s="18"/>
      <c r="AA59" s="18"/>
      <c r="AB59" s="18"/>
      <c r="AC59" s="18">
        <f>AA59*AB59</f>
        <v>0</v>
      </c>
      <c r="AD59" s="18">
        <f t="shared" ref="AD59" si="57">AC59*0.12</f>
        <v>0</v>
      </c>
    </row>
    <row r="60" spans="1:31" s="13" customFormat="1" x14ac:dyDescent="0.25">
      <c r="A60" s="146" t="s">
        <v>15</v>
      </c>
      <c r="B60" s="27">
        <f t="shared" si="52"/>
        <v>100000</v>
      </c>
      <c r="C60" s="27">
        <f>I60</f>
        <v>12000</v>
      </c>
      <c r="D60" s="16" t="s">
        <v>101</v>
      </c>
      <c r="E60" s="17">
        <v>100000</v>
      </c>
      <c r="F60" s="17">
        <v>1</v>
      </c>
      <c r="G60" s="17">
        <v>1</v>
      </c>
      <c r="H60" s="18">
        <f t="shared" ref="H60:H63" si="58">E60*F60*G60</f>
        <v>100000</v>
      </c>
      <c r="I60" s="18">
        <f t="shared" ref="I60:I63" si="59">H60*0.12</f>
        <v>12000</v>
      </c>
      <c r="J60" s="19"/>
      <c r="K60" s="20"/>
      <c r="L60" s="20"/>
      <c r="M60" s="20"/>
      <c r="N60" s="21">
        <f t="shared" ref="N60:O63" si="60">K60*M60</f>
        <v>0</v>
      </c>
      <c r="O60" s="21">
        <f t="shared" si="60"/>
        <v>0</v>
      </c>
      <c r="P60" s="16"/>
      <c r="Q60" s="17"/>
      <c r="R60" s="17"/>
      <c r="S60" s="18">
        <f t="shared" ref="S60:S63" si="61">Q60*R60</f>
        <v>0</v>
      </c>
      <c r="T60" s="18">
        <f t="shared" si="45"/>
        <v>0</v>
      </c>
      <c r="U60" s="21"/>
      <c r="V60" s="21"/>
      <c r="W60" s="21"/>
      <c r="X60" s="21">
        <f t="shared" ref="X60:Y63" si="62">V60*W60</f>
        <v>0</v>
      </c>
      <c r="Y60" s="21">
        <f t="shared" si="62"/>
        <v>0</v>
      </c>
      <c r="Z60" s="18"/>
      <c r="AA60" s="18"/>
      <c r="AB60" s="18"/>
      <c r="AC60" s="18">
        <f t="shared" ref="AC60" si="63">AA60*AB60</f>
        <v>0</v>
      </c>
      <c r="AD60" s="18">
        <f t="shared" ref="AD60" si="64">AC60*0.12</f>
        <v>0</v>
      </c>
    </row>
    <row r="61" spans="1:31" s="13" customFormat="1" x14ac:dyDescent="0.25">
      <c r="A61" s="146"/>
      <c r="B61" s="27">
        <f t="shared" si="52"/>
        <v>100000</v>
      </c>
      <c r="C61" s="27">
        <f t="shared" si="42"/>
        <v>12000</v>
      </c>
      <c r="D61" s="16" t="s">
        <v>143</v>
      </c>
      <c r="E61" s="17">
        <v>100000</v>
      </c>
      <c r="F61" s="17">
        <v>1</v>
      </c>
      <c r="G61" s="17">
        <v>1</v>
      </c>
      <c r="H61" s="18">
        <f t="shared" ref="H61" si="65">E61*F61*G61</f>
        <v>100000</v>
      </c>
      <c r="I61" s="18">
        <f t="shared" ref="I61" si="66">H61*0.12</f>
        <v>12000</v>
      </c>
      <c r="J61" s="19"/>
      <c r="K61" s="20"/>
      <c r="L61" s="20"/>
      <c r="M61" s="20"/>
      <c r="N61" s="21"/>
      <c r="O61" s="21"/>
      <c r="P61" s="16"/>
      <c r="Q61" s="17"/>
      <c r="R61" s="17"/>
      <c r="S61" s="18"/>
      <c r="T61" s="18"/>
      <c r="U61" s="21"/>
      <c r="V61" s="21"/>
      <c r="W61" s="21"/>
      <c r="X61" s="21"/>
      <c r="Y61" s="21"/>
      <c r="Z61" s="18"/>
      <c r="AA61" s="18"/>
      <c r="AB61" s="18"/>
      <c r="AC61" s="18"/>
      <c r="AD61" s="18"/>
    </row>
    <row r="62" spans="1:31" s="13" customFormat="1" ht="15" customHeight="1" x14ac:dyDescent="0.25">
      <c r="A62" s="147"/>
      <c r="B62" s="27">
        <f t="shared" si="52"/>
        <v>30000</v>
      </c>
      <c r="C62" s="27">
        <f t="shared" si="42"/>
        <v>3600</v>
      </c>
      <c r="D62" s="16" t="s">
        <v>100</v>
      </c>
      <c r="E62" s="17">
        <v>30000</v>
      </c>
      <c r="F62" s="17">
        <v>1</v>
      </c>
      <c r="G62" s="17">
        <v>1</v>
      </c>
      <c r="H62" s="18">
        <f t="shared" si="58"/>
        <v>30000</v>
      </c>
      <c r="I62" s="18">
        <f t="shared" si="59"/>
        <v>3600</v>
      </c>
      <c r="J62" s="19"/>
      <c r="K62" s="20"/>
      <c r="L62" s="20"/>
      <c r="M62" s="20"/>
      <c r="N62" s="21">
        <f t="shared" si="60"/>
        <v>0</v>
      </c>
      <c r="O62" s="21">
        <f t="shared" si="60"/>
        <v>0</v>
      </c>
      <c r="P62" s="16"/>
      <c r="Q62" s="17"/>
      <c r="R62" s="17"/>
      <c r="S62" s="18">
        <f t="shared" si="61"/>
        <v>0</v>
      </c>
      <c r="T62" s="18">
        <f t="shared" si="45"/>
        <v>0</v>
      </c>
      <c r="U62" s="21"/>
      <c r="V62" s="21"/>
      <c r="W62" s="21"/>
      <c r="X62" s="21">
        <f t="shared" si="62"/>
        <v>0</v>
      </c>
      <c r="Y62" s="21">
        <f t="shared" si="62"/>
        <v>0</v>
      </c>
      <c r="Z62" s="18"/>
      <c r="AA62" s="18"/>
      <c r="AB62" s="18"/>
      <c r="AC62" s="18">
        <f t="shared" ref="AC62:AC63" si="67">AA62*AB62</f>
        <v>0</v>
      </c>
      <c r="AD62" s="18">
        <f t="shared" ref="AD62:AD63" si="68">AC62*0.12</f>
        <v>0</v>
      </c>
    </row>
    <row r="63" spans="1:31" s="13" customFormat="1" x14ac:dyDescent="0.25">
      <c r="A63" s="146" t="s">
        <v>16</v>
      </c>
      <c r="B63" s="39">
        <f>H63</f>
        <v>125000</v>
      </c>
      <c r="C63" s="27">
        <f t="shared" si="42"/>
        <v>15000</v>
      </c>
      <c r="D63" s="16" t="s">
        <v>17</v>
      </c>
      <c r="E63" s="17">
        <v>25000</v>
      </c>
      <c r="F63" s="17">
        <v>5</v>
      </c>
      <c r="G63" s="17">
        <v>1</v>
      </c>
      <c r="H63" s="18">
        <f t="shared" si="58"/>
        <v>125000</v>
      </c>
      <c r="I63" s="18">
        <f t="shared" si="59"/>
        <v>15000</v>
      </c>
      <c r="J63" s="19"/>
      <c r="K63" s="20"/>
      <c r="L63" s="20"/>
      <c r="M63" s="20"/>
      <c r="N63" s="21">
        <f t="shared" si="60"/>
        <v>0</v>
      </c>
      <c r="O63" s="21">
        <f t="shared" si="60"/>
        <v>0</v>
      </c>
      <c r="P63" s="16"/>
      <c r="Q63" s="17"/>
      <c r="R63" s="17"/>
      <c r="S63" s="18">
        <f t="shared" si="61"/>
        <v>0</v>
      </c>
      <c r="T63" s="18">
        <f t="shared" si="45"/>
        <v>0</v>
      </c>
      <c r="U63" s="21"/>
      <c r="V63" s="21"/>
      <c r="W63" s="21"/>
      <c r="X63" s="21">
        <f t="shared" si="62"/>
        <v>0</v>
      </c>
      <c r="Y63" s="21">
        <f t="shared" si="62"/>
        <v>0</v>
      </c>
      <c r="Z63" s="18"/>
      <c r="AA63" s="18"/>
      <c r="AB63" s="18"/>
      <c r="AC63" s="18">
        <f t="shared" si="67"/>
        <v>0</v>
      </c>
      <c r="AD63" s="18">
        <f t="shared" si="68"/>
        <v>0</v>
      </c>
    </row>
    <row r="64" spans="1:31" s="165" customFormat="1" x14ac:dyDescent="0.25">
      <c r="A64" s="146" t="s">
        <v>199</v>
      </c>
      <c r="B64" s="39">
        <f>H64</f>
        <v>50000</v>
      </c>
      <c r="C64" s="27">
        <f t="shared" si="42"/>
        <v>6000</v>
      </c>
      <c r="D64" s="16" t="s">
        <v>17</v>
      </c>
      <c r="E64" s="17">
        <v>25000</v>
      </c>
      <c r="F64" s="17">
        <v>2</v>
      </c>
      <c r="G64" s="17">
        <v>1</v>
      </c>
      <c r="H64" s="18">
        <f t="shared" ref="H64" si="69">E64*F64*G64</f>
        <v>50000</v>
      </c>
      <c r="I64" s="18">
        <f t="shared" ref="I64" si="70">H64*0.12</f>
        <v>6000</v>
      </c>
      <c r="J64" s="167"/>
      <c r="K64" s="159"/>
      <c r="L64" s="159"/>
      <c r="M64" s="159"/>
      <c r="N64" s="160"/>
      <c r="O64" s="160"/>
      <c r="P64" s="161"/>
      <c r="Q64" s="162"/>
      <c r="R64" s="162"/>
      <c r="S64" s="163"/>
      <c r="T64" s="163"/>
      <c r="U64" s="160"/>
      <c r="V64" s="160"/>
      <c r="W64" s="160"/>
      <c r="X64" s="160"/>
      <c r="Y64" s="160"/>
      <c r="Z64" s="163"/>
      <c r="AA64" s="163"/>
      <c r="AB64" s="163"/>
      <c r="AC64" s="163"/>
      <c r="AD64" s="163"/>
    </row>
    <row r="65" spans="1:30" s="13" customFormat="1" x14ac:dyDescent="0.25">
      <c r="A65" s="133" t="s">
        <v>18</v>
      </c>
      <c r="B65" s="41"/>
      <c r="C65" s="41"/>
      <c r="D65" s="28"/>
      <c r="E65" s="29"/>
      <c r="F65" s="29"/>
      <c r="G65" s="29"/>
      <c r="H65" s="30">
        <f>SUM(H51:H63)</f>
        <v>1560600</v>
      </c>
      <c r="I65" s="30">
        <f>SUM(I51:I63)</f>
        <v>187272</v>
      </c>
      <c r="J65" s="31"/>
      <c r="K65" s="29"/>
      <c r="L65" s="29"/>
      <c r="M65" s="29"/>
      <c r="N65" s="30"/>
      <c r="O65" s="30">
        <f>SUM(O52:O63)</f>
        <v>0</v>
      </c>
      <c r="P65" s="28"/>
      <c r="Q65" s="29"/>
      <c r="R65" s="29"/>
      <c r="S65" s="30"/>
      <c r="T65" s="30">
        <f>SUM(T52:T63)</f>
        <v>0</v>
      </c>
      <c r="U65" s="31"/>
      <c r="V65" s="29"/>
      <c r="W65" s="29"/>
      <c r="X65" s="30"/>
      <c r="Y65" s="30">
        <f>SUM(Y52:Y63)</f>
        <v>0</v>
      </c>
      <c r="Z65" s="31"/>
      <c r="AA65" s="29"/>
      <c r="AB65" s="29"/>
      <c r="AC65" s="30"/>
      <c r="AD65" s="30">
        <f>SUM(AD52:AD63)</f>
        <v>0</v>
      </c>
    </row>
    <row r="66" spans="1:30" s="13" customFormat="1" x14ac:dyDescent="0.25">
      <c r="A66" s="148" t="s">
        <v>136</v>
      </c>
      <c r="B66" s="78">
        <v>1463054.400000036</v>
      </c>
      <c r="C66" s="42">
        <f>B66*0.12</f>
        <v>175566.5280000043</v>
      </c>
      <c r="D66" s="134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</row>
    <row r="67" spans="1:30" x14ac:dyDescent="0.25">
      <c r="D67" s="9"/>
      <c r="H67" s="9"/>
      <c r="I67" s="9"/>
      <c r="N67" s="9"/>
      <c r="O67" s="9"/>
      <c r="P67" s="10"/>
      <c r="S67" s="9"/>
      <c r="T67" s="9"/>
      <c r="X67" s="9"/>
      <c r="Y67" s="9"/>
      <c r="AD67" s="9"/>
    </row>
    <row r="68" spans="1:30" x14ac:dyDescent="0.25">
      <c r="B68" s="2"/>
      <c r="C68" s="2"/>
      <c r="D68" s="9"/>
    </row>
    <row r="69" spans="1:30" x14ac:dyDescent="0.25">
      <c r="B69" s="2"/>
      <c r="C69" s="2"/>
      <c r="D69" s="9"/>
    </row>
    <row r="70" spans="1:30" ht="14.65" customHeight="1" x14ac:dyDescent="0.25">
      <c r="B70" s="9"/>
      <c r="C70" s="9"/>
    </row>
    <row r="71" spans="1:30" x14ac:dyDescent="0.25">
      <c r="B71" s="9"/>
      <c r="C71" s="9"/>
      <c r="S71" s="10"/>
    </row>
    <row r="76" spans="1:30" x14ac:dyDescent="0.25">
      <c r="E76" s="9"/>
    </row>
    <row r="77" spans="1:30" x14ac:dyDescent="0.25">
      <c r="E77" s="9"/>
      <c r="J77" s="11"/>
    </row>
    <row r="78" spans="1:30" x14ac:dyDescent="0.25">
      <c r="E78" s="9"/>
    </row>
    <row r="79" spans="1:30" x14ac:dyDescent="0.25">
      <c r="E79" s="9"/>
    </row>
    <row r="80" spans="1:30" x14ac:dyDescent="0.25">
      <c r="E80" s="9"/>
    </row>
    <row r="81" spans="5:5" x14ac:dyDescent="0.25">
      <c r="E81" s="9"/>
    </row>
    <row r="84" spans="5:5" x14ac:dyDescent="0.25">
      <c r="E84" s="9"/>
    </row>
  </sheetData>
  <mergeCells count="13">
    <mergeCell ref="AC43:AC44"/>
    <mergeCell ref="AC46:AC47"/>
    <mergeCell ref="A13:A16"/>
    <mergeCell ref="A35:A38"/>
    <mergeCell ref="A43:A48"/>
    <mergeCell ref="A31:A32"/>
    <mergeCell ref="A40:A41"/>
    <mergeCell ref="D4:F4"/>
    <mergeCell ref="B3:C3"/>
    <mergeCell ref="A9:A12"/>
    <mergeCell ref="A29:A30"/>
    <mergeCell ref="A17:A24"/>
    <mergeCell ref="A26:A2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F3EAE-4B9D-4A5F-BF1F-8098BE420780}">
  <dimension ref="A2:Y73"/>
  <sheetViews>
    <sheetView topLeftCell="A11" zoomScale="80" zoomScaleNormal="80" workbookViewId="0">
      <selection activeCell="A19" sqref="A19"/>
    </sheetView>
  </sheetViews>
  <sheetFormatPr defaultColWidth="8.75" defaultRowHeight="15" x14ac:dyDescent="0.25"/>
  <cols>
    <col min="1" max="1" width="54.25" style="278" customWidth="1"/>
    <col min="2" max="2" width="13.625" style="261" customWidth="1"/>
    <col min="3" max="3" width="12.25" style="261" customWidth="1"/>
    <col min="4" max="4" width="17.25" style="261" customWidth="1"/>
    <col min="5" max="7" width="10.125" style="261" customWidth="1"/>
    <col min="8" max="8" width="12.125" style="261" customWidth="1"/>
    <col min="9" max="9" width="10.125" style="261" customWidth="1"/>
    <col min="10" max="10" width="12.125" style="261" customWidth="1"/>
    <col min="11" max="13" width="13.25" style="261" customWidth="1"/>
    <col min="14" max="16" width="10.125" style="261" customWidth="1"/>
    <col min="17" max="17" width="11.375" style="261" customWidth="1"/>
    <col min="18" max="18" width="10.125" style="261" customWidth="1"/>
    <col min="19" max="19" width="11.625" style="261" customWidth="1"/>
    <col min="20" max="20" width="10.5" style="261" customWidth="1"/>
    <col min="21" max="21" width="10.125" style="261" bestFit="1" customWidth="1"/>
    <col min="22" max="22" width="8.75" style="261"/>
    <col min="23" max="23" width="19.75" style="261" customWidth="1"/>
    <col min="24" max="24" width="8.75" style="261"/>
    <col min="25" max="25" width="11.5" style="261" bestFit="1" customWidth="1"/>
    <col min="26" max="16384" width="8.75" style="261"/>
  </cols>
  <sheetData>
    <row r="2" spans="1:20" x14ac:dyDescent="0.25">
      <c r="E2" s="313" t="s">
        <v>110</v>
      </c>
      <c r="F2" s="313"/>
      <c r="G2" s="260"/>
      <c r="H2" s="314" t="s">
        <v>111</v>
      </c>
      <c r="I2" s="314"/>
      <c r="J2" s="314"/>
      <c r="K2" s="313" t="s">
        <v>112</v>
      </c>
      <c r="L2" s="313"/>
      <c r="M2" s="313"/>
      <c r="N2" s="314" t="s">
        <v>113</v>
      </c>
      <c r="O2" s="314"/>
      <c r="P2" s="314"/>
      <c r="Q2" s="168" t="s">
        <v>43</v>
      </c>
      <c r="R2" s="168" t="s">
        <v>120</v>
      </c>
      <c r="S2" s="168" t="s">
        <v>18</v>
      </c>
    </row>
    <row r="3" spans="1:20" x14ac:dyDescent="0.25">
      <c r="B3" s="262" t="s">
        <v>8</v>
      </c>
      <c r="C3" s="262"/>
      <c r="D3" s="262"/>
      <c r="E3" s="260" t="s">
        <v>20</v>
      </c>
      <c r="F3" s="260" t="s">
        <v>121</v>
      </c>
      <c r="G3" s="260" t="s">
        <v>122</v>
      </c>
      <c r="H3" s="168" t="s">
        <v>20</v>
      </c>
      <c r="I3" s="168" t="s">
        <v>121</v>
      </c>
      <c r="J3" s="168" t="s">
        <v>122</v>
      </c>
      <c r="K3" s="260" t="s">
        <v>20</v>
      </c>
      <c r="L3" s="260" t="s">
        <v>121</v>
      </c>
      <c r="M3" s="260" t="s">
        <v>122</v>
      </c>
      <c r="N3" s="168" t="s">
        <v>20</v>
      </c>
      <c r="O3" s="168" t="s">
        <v>121</v>
      </c>
      <c r="P3" s="168" t="s">
        <v>122</v>
      </c>
      <c r="Q3" s="168"/>
      <c r="R3" s="168"/>
      <c r="S3" s="168"/>
    </row>
    <row r="4" spans="1:20" x14ac:dyDescent="0.25">
      <c r="A4" s="279" t="s">
        <v>193</v>
      </c>
      <c r="B4" s="270"/>
      <c r="C4" s="270"/>
      <c r="D4" s="270"/>
      <c r="E4" s="295">
        <f>E5+E39+E58</f>
        <v>2771074</v>
      </c>
      <c r="F4" s="263">
        <f>F5+F39+F58</f>
        <v>332528.88</v>
      </c>
      <c r="G4" s="264">
        <f>E4+F4</f>
        <v>3103602.88</v>
      </c>
      <c r="H4" s="263">
        <f>H5+H39+H58</f>
        <v>58198353.679999977</v>
      </c>
      <c r="I4" s="263">
        <f>I5+I39+I58</f>
        <v>1823802.4416000014</v>
      </c>
      <c r="J4" s="264">
        <f>H4+I4</f>
        <v>60022156.12159998</v>
      </c>
      <c r="K4" s="263">
        <f>K5+K39+K58</f>
        <v>11372083.440000013</v>
      </c>
      <c r="L4" s="263">
        <f>L5+L39+L58</f>
        <v>1364650.0128000013</v>
      </c>
      <c r="M4" s="264">
        <f>K4+L4</f>
        <v>12736733.452800013</v>
      </c>
      <c r="N4" s="263">
        <f>N5+N39+N58</f>
        <v>2658488.8800000148</v>
      </c>
      <c r="O4" s="263">
        <f>O5+O39+O58</f>
        <v>319018.6656000017</v>
      </c>
      <c r="P4" s="264">
        <f>N4+O4</f>
        <v>2977507.5456000166</v>
      </c>
      <c r="Q4" s="263">
        <f t="shared" ref="Q4:Q39" si="0">E4+H4+K4+N4</f>
        <v>75000000</v>
      </c>
      <c r="R4" s="263">
        <f t="shared" ref="R4:R39" si="1">F4+I4+L4+O4</f>
        <v>3840000.0000000047</v>
      </c>
      <c r="S4" s="263">
        <f>Q4+R4</f>
        <v>78840000</v>
      </c>
    </row>
    <row r="5" spans="1:20" ht="30" x14ac:dyDescent="0.25">
      <c r="A5" s="280" t="str">
        <f>'1. Detailed Budget'!D7</f>
        <v>Componente 1. Rediseño del Marco de Gobernanza Corporativa y Fiscal de las EE.PP.</v>
      </c>
      <c r="B5" s="271"/>
      <c r="C5" s="271"/>
      <c r="D5" s="271"/>
      <c r="E5" s="287">
        <f>E6+E23</f>
        <v>58384</v>
      </c>
      <c r="F5" s="287">
        <f>F6+F23</f>
        <v>7006.08</v>
      </c>
      <c r="G5" s="287">
        <f>E5+F5</f>
        <v>65390.080000000002</v>
      </c>
      <c r="H5" s="287">
        <f>H6+H23</f>
        <v>2196907.36</v>
      </c>
      <c r="I5" s="287">
        <f>I6+I23</f>
        <v>263628.88319999998</v>
      </c>
      <c r="J5" s="287">
        <f t="shared" ref="J5" si="2">H5+I5</f>
        <v>2460536.2431999999</v>
      </c>
      <c r="K5" s="287">
        <f>K6+K23</f>
        <v>1470637.12</v>
      </c>
      <c r="L5" s="287">
        <f>L6+L23</f>
        <v>176476.45440000002</v>
      </c>
      <c r="M5" s="287">
        <f>K5+L5</f>
        <v>1647113.5744</v>
      </c>
      <c r="N5" s="287">
        <f>N6+N23</f>
        <v>384017.12</v>
      </c>
      <c r="O5" s="287">
        <f>O6+O23</f>
        <v>46082.054399999994</v>
      </c>
      <c r="P5" s="287">
        <f>N5+O5</f>
        <v>430099.17440000002</v>
      </c>
      <c r="Q5" s="287">
        <f t="shared" si="0"/>
        <v>4109945.6</v>
      </c>
      <c r="R5" s="287">
        <f t="shared" si="1"/>
        <v>493193.47200000007</v>
      </c>
      <c r="S5" s="287">
        <f t="shared" ref="S5:S6" si="3">Q5+R5</f>
        <v>4603139.0720000006</v>
      </c>
    </row>
    <row r="6" spans="1:20" x14ac:dyDescent="0.25">
      <c r="A6" s="280" t="str">
        <f>'1. Detailed Budget'!D8</f>
        <v>Subcomponente I. Marco normativo</v>
      </c>
      <c r="B6" s="271"/>
      <c r="C6" s="271"/>
      <c r="D6" s="271"/>
      <c r="E6" s="287">
        <f>E7+E12+E17</f>
        <v>0</v>
      </c>
      <c r="F6" s="287">
        <f>F7+F12+F17</f>
        <v>0</v>
      </c>
      <c r="G6" s="287">
        <f>E6+F6</f>
        <v>0</v>
      </c>
      <c r="H6" s="287">
        <f>H7+H12+H17</f>
        <v>1440335.3599999999</v>
      </c>
      <c r="I6" s="287">
        <f>I7+I12+I17</f>
        <v>172840.2432</v>
      </c>
      <c r="J6" s="287">
        <f>H6+I6</f>
        <v>1613175.6031999998</v>
      </c>
      <c r="K6" s="287">
        <f>K7+K12+K17</f>
        <v>1234205.1200000001</v>
      </c>
      <c r="L6" s="287">
        <f>L7+L12+L17</f>
        <v>148104.61440000002</v>
      </c>
      <c r="M6" s="287">
        <f>K6+L6</f>
        <v>1382309.7344000002</v>
      </c>
      <c r="N6" s="287">
        <f>N7+N12+N17</f>
        <v>247885.12</v>
      </c>
      <c r="O6" s="287">
        <f>O7+O12+O17</f>
        <v>29746.214399999997</v>
      </c>
      <c r="P6" s="287">
        <f>N6+O6</f>
        <v>277631.33439999999</v>
      </c>
      <c r="Q6" s="287">
        <f t="shared" si="0"/>
        <v>2922425.6</v>
      </c>
      <c r="R6" s="287">
        <f t="shared" si="1"/>
        <v>350691.07199999999</v>
      </c>
      <c r="S6" s="287">
        <f t="shared" si="3"/>
        <v>3273116.6720000003</v>
      </c>
    </row>
    <row r="7" spans="1:20" ht="75" x14ac:dyDescent="0.25">
      <c r="A7" s="281" t="str">
        <f>'1. Detailed Budget'!A9</f>
        <v>1.1 Marco normativo (LOEP y reglamentos asociados) revisado y propuesta de reforma conforme a mejores estándares internacionales elaborada (incluye Gobernanza corporativa, régimen fiscal y mecanismos de transparencia y rendición de cuentas)</v>
      </c>
      <c r="B7" s="272">
        <f>SUM(B8:B11)</f>
        <v>629080</v>
      </c>
      <c r="C7" s="272">
        <f>SUM(C8:C11)</f>
        <v>75489.600000000006</v>
      </c>
      <c r="D7" s="272">
        <f>B7+C7</f>
        <v>704569.6</v>
      </c>
      <c r="E7" s="288">
        <f>SUM(E8:E11)</f>
        <v>0</v>
      </c>
      <c r="F7" s="288">
        <f t="shared" ref="F7:G7" si="4">SUM(F8:F11)</f>
        <v>0</v>
      </c>
      <c r="G7" s="288">
        <f t="shared" si="4"/>
        <v>0</v>
      </c>
      <c r="H7" s="288">
        <f>SUM(H8:H11)</f>
        <v>281128</v>
      </c>
      <c r="I7" s="288">
        <f t="shared" ref="I7" si="5">SUM(I8:I11)</f>
        <v>33735.360000000001</v>
      </c>
      <c r="J7" s="288">
        <f t="shared" ref="J7" si="6">SUM(J8:J11)</f>
        <v>314863.35999999999</v>
      </c>
      <c r="K7" s="288">
        <f>SUM(K8:K11)</f>
        <v>220968</v>
      </c>
      <c r="L7" s="288">
        <f t="shared" ref="L7" si="7">SUM(L8:L11)</f>
        <v>26516.16</v>
      </c>
      <c r="M7" s="288">
        <f t="shared" ref="M7" si="8">SUM(M8:M11)</f>
        <v>247484.16</v>
      </c>
      <c r="N7" s="288">
        <f>SUM(N8:N11)</f>
        <v>126984</v>
      </c>
      <c r="O7" s="288">
        <f t="shared" ref="O7" si="9">SUM(O8:O11)</f>
        <v>15238.08</v>
      </c>
      <c r="P7" s="288">
        <f t="shared" ref="P7" si="10">SUM(P8:P11)</f>
        <v>142222.08000000002</v>
      </c>
      <c r="Q7" s="287">
        <f t="shared" si="0"/>
        <v>629080</v>
      </c>
      <c r="R7" s="287">
        <f t="shared" si="1"/>
        <v>75489.600000000006</v>
      </c>
      <c r="S7" s="287">
        <f>Q7+R7</f>
        <v>704569.6</v>
      </c>
    </row>
    <row r="8" spans="1:20" ht="43.15" customHeight="1" x14ac:dyDescent="0.25">
      <c r="A8" s="282" t="str">
        <f>'1. Detailed Budget'!D9</f>
        <v>Consultoría especializada para el diseño de reglamentos asociados a la LOEP</v>
      </c>
      <c r="B8" s="273">
        <f>'1. Detailed Budget'!H9+'1. Detailed Budget'!H10</f>
        <v>39160</v>
      </c>
      <c r="C8" s="273">
        <f>B8*0.12</f>
        <v>4699.2</v>
      </c>
      <c r="D8" s="273">
        <f t="shared" ref="D8:D11" si="11">B8+C8</f>
        <v>43859.199999999997</v>
      </c>
      <c r="E8" s="273"/>
      <c r="F8" s="273"/>
      <c r="G8" s="273"/>
      <c r="H8" s="273">
        <f>B8</f>
        <v>39160</v>
      </c>
      <c r="I8" s="273">
        <f t="shared" ref="I8" si="12">H8*0.12</f>
        <v>4699.2</v>
      </c>
      <c r="J8" s="273">
        <f t="shared" ref="J8" si="13">H8+I8</f>
        <v>43859.199999999997</v>
      </c>
      <c r="K8" s="273"/>
      <c r="L8" s="273">
        <f t="shared" ref="L8:L22" si="14">K8*0.12</f>
        <v>0</v>
      </c>
      <c r="M8" s="273">
        <f t="shared" ref="M8:M52" si="15">K8+L8</f>
        <v>0</v>
      </c>
      <c r="N8" s="273"/>
      <c r="O8" s="273">
        <f t="shared" ref="O8:O19" si="16">N8*0.12</f>
        <v>0</v>
      </c>
      <c r="P8" s="273">
        <f t="shared" ref="P8:P52" si="17">N8+O8</f>
        <v>0</v>
      </c>
      <c r="Q8" s="273">
        <f t="shared" si="0"/>
        <v>39160</v>
      </c>
      <c r="R8" s="273">
        <f t="shared" si="1"/>
        <v>4699.2</v>
      </c>
      <c r="S8" s="273">
        <f>Q8+R8</f>
        <v>43859.199999999997</v>
      </c>
      <c r="T8" s="266">
        <f t="shared" ref="T8:T39" si="18">D8-S8</f>
        <v>0</v>
      </c>
    </row>
    <row r="9" spans="1:20" ht="61.9" customHeight="1" x14ac:dyDescent="0.25">
      <c r="A9" s="282" t="str">
        <f>'1. Detailed Budget'!D11</f>
        <v>Consultoría especializada apoyo de a la implementación de las reformas de la LOEP, incluyendo la definición de sistemas de selección de directores, políticas de dietas, e instrumentos de medición del desempeño de las EE.PP. que incluya capacitación</v>
      </c>
      <c r="B9" s="273">
        <f>'1. Detailed Budget'!H11+'1. Detailed Budget'!H12</f>
        <v>469920</v>
      </c>
      <c r="C9" s="273">
        <f t="shared" ref="C9:C57" si="19">B9*0.12</f>
        <v>56390.400000000001</v>
      </c>
      <c r="D9" s="273">
        <f t="shared" si="11"/>
        <v>526310.40000000002</v>
      </c>
      <c r="E9" s="273"/>
      <c r="F9" s="273"/>
      <c r="G9" s="273"/>
      <c r="H9" s="273">
        <f>$B$9*0.4</f>
        <v>187968</v>
      </c>
      <c r="I9" s="273">
        <f>H9*0.12</f>
        <v>22556.16</v>
      </c>
      <c r="J9" s="273">
        <f t="shared" ref="J9:J57" si="20">H9+I9</f>
        <v>210524.16</v>
      </c>
      <c r="K9" s="273">
        <f>$B$9*0.4</f>
        <v>187968</v>
      </c>
      <c r="L9" s="273">
        <f t="shared" si="14"/>
        <v>22556.16</v>
      </c>
      <c r="M9" s="273">
        <f t="shared" si="15"/>
        <v>210524.16</v>
      </c>
      <c r="N9" s="273">
        <f>$B$9*0.2</f>
        <v>93984</v>
      </c>
      <c r="O9" s="273">
        <f t="shared" si="16"/>
        <v>11278.08</v>
      </c>
      <c r="P9" s="273">
        <f t="shared" si="17"/>
        <v>105262.08</v>
      </c>
      <c r="Q9" s="273">
        <f t="shared" si="0"/>
        <v>469920</v>
      </c>
      <c r="R9" s="273">
        <f t="shared" si="1"/>
        <v>56390.400000000001</v>
      </c>
      <c r="S9" s="273">
        <f t="shared" ref="S9:S11" si="21">Q9+R9</f>
        <v>526310.40000000002</v>
      </c>
      <c r="T9" s="266">
        <f t="shared" si="18"/>
        <v>0</v>
      </c>
    </row>
    <row r="10" spans="1:20" ht="43.15" customHeight="1" x14ac:dyDescent="0.25">
      <c r="A10" s="282" t="str">
        <f>'1. Detailed Budget'!U9</f>
        <v>Socialización y difusión de la nueva LOEP y reglamentos y normativa asociados, que incluya materiales de difusión (150 EP)</v>
      </c>
      <c r="B10" s="273">
        <f>'1. Detailed Budget'!X9</f>
        <v>60000</v>
      </c>
      <c r="C10" s="273">
        <f t="shared" si="19"/>
        <v>7200</v>
      </c>
      <c r="D10" s="273">
        <f t="shared" si="11"/>
        <v>67200</v>
      </c>
      <c r="E10" s="273"/>
      <c r="F10" s="273">
        <f t="shared" ref="F10:F22" si="22">E10*0.12</f>
        <v>0</v>
      </c>
      <c r="G10" s="273">
        <f t="shared" ref="G10:G57" si="23">E10+F10</f>
        <v>0</v>
      </c>
      <c r="H10" s="273">
        <f>$B$10*0.4</f>
        <v>24000</v>
      </c>
      <c r="I10" s="273">
        <f t="shared" ref="I10:I22" si="24">H10*0.12</f>
        <v>2880</v>
      </c>
      <c r="J10" s="273">
        <f t="shared" si="20"/>
        <v>26880</v>
      </c>
      <c r="K10" s="273">
        <f>$B$10*0.3</f>
        <v>18000</v>
      </c>
      <c r="L10" s="273">
        <f t="shared" si="14"/>
        <v>2160</v>
      </c>
      <c r="M10" s="273">
        <f t="shared" si="15"/>
        <v>20160</v>
      </c>
      <c r="N10" s="273">
        <f>$B$10*0.3</f>
        <v>18000</v>
      </c>
      <c r="O10" s="273">
        <f t="shared" si="16"/>
        <v>2160</v>
      </c>
      <c r="P10" s="273">
        <f t="shared" si="17"/>
        <v>20160</v>
      </c>
      <c r="Q10" s="273">
        <f t="shared" si="0"/>
        <v>60000</v>
      </c>
      <c r="R10" s="273">
        <f t="shared" si="1"/>
        <v>7200</v>
      </c>
      <c r="S10" s="273">
        <f t="shared" si="21"/>
        <v>67200</v>
      </c>
      <c r="T10" s="266">
        <f t="shared" si="18"/>
        <v>0</v>
      </c>
    </row>
    <row r="11" spans="1:20" ht="43.15" customHeight="1" x14ac:dyDescent="0.25">
      <c r="A11" s="282" t="str">
        <f>'1. Detailed Budget'!U11</f>
        <v>Capacitación/transferencia de conocimiento sobre lineamientos de gobernanza corporativa de la OCDE y temas específicos de la nueva LOEP, reglamentos y normativa asociados (200 p)</v>
      </c>
      <c r="B11" s="273">
        <f>'1. Detailed Budget'!X11</f>
        <v>60000</v>
      </c>
      <c r="C11" s="273">
        <f t="shared" si="19"/>
        <v>7200</v>
      </c>
      <c r="D11" s="273">
        <f t="shared" si="11"/>
        <v>67200</v>
      </c>
      <c r="E11" s="273"/>
      <c r="F11" s="273"/>
      <c r="G11" s="273"/>
      <c r="H11" s="273">
        <f>$B$11*0.5</f>
        <v>30000</v>
      </c>
      <c r="I11" s="273">
        <f t="shared" si="24"/>
        <v>3600</v>
      </c>
      <c r="J11" s="273">
        <f t="shared" si="20"/>
        <v>33600</v>
      </c>
      <c r="K11" s="273">
        <f>$B$11*0.25</f>
        <v>15000</v>
      </c>
      <c r="L11" s="273">
        <f t="shared" si="14"/>
        <v>1800</v>
      </c>
      <c r="M11" s="273">
        <f t="shared" si="15"/>
        <v>16800</v>
      </c>
      <c r="N11" s="273">
        <f>$B$11*0.25</f>
        <v>15000</v>
      </c>
      <c r="O11" s="273">
        <f t="shared" si="16"/>
        <v>1800</v>
      </c>
      <c r="P11" s="273">
        <f t="shared" si="17"/>
        <v>16800</v>
      </c>
      <c r="Q11" s="273">
        <f t="shared" si="0"/>
        <v>60000</v>
      </c>
      <c r="R11" s="273">
        <f t="shared" si="1"/>
        <v>7200</v>
      </c>
      <c r="S11" s="273">
        <f t="shared" si="21"/>
        <v>67200</v>
      </c>
      <c r="T11" s="266">
        <f t="shared" si="18"/>
        <v>0</v>
      </c>
    </row>
    <row r="12" spans="1:20" x14ac:dyDescent="0.25">
      <c r="A12" s="281" t="str">
        <f>'1. Detailed Budget'!A13</f>
        <v xml:space="preserve">1.2 Régimen de gobernanza fiscal implementado </v>
      </c>
      <c r="B12" s="272">
        <f>SUM(B13:B16)</f>
        <v>958625.6</v>
      </c>
      <c r="C12" s="272">
        <f>SUM(C13:C16)</f>
        <v>115035.07199999999</v>
      </c>
      <c r="D12" s="272">
        <f>B12+C12</f>
        <v>1073660.672</v>
      </c>
      <c r="E12" s="288">
        <f>SUM(E13:E16)</f>
        <v>0</v>
      </c>
      <c r="F12" s="288">
        <f t="shared" ref="F12:G12" si="25">SUM(F13:F16)</f>
        <v>0</v>
      </c>
      <c r="G12" s="288">
        <f t="shared" si="25"/>
        <v>0</v>
      </c>
      <c r="H12" s="288">
        <f t="shared" ref="H12:N12" si="26">SUM(H13:H16)</f>
        <v>610167.36</v>
      </c>
      <c r="I12" s="288">
        <f t="shared" si="26"/>
        <v>73220.083199999994</v>
      </c>
      <c r="J12" s="288">
        <f t="shared" si="26"/>
        <v>683387.44319999998</v>
      </c>
      <c r="K12" s="288">
        <f t="shared" si="26"/>
        <v>240757.12</v>
      </c>
      <c r="L12" s="288">
        <f t="shared" si="26"/>
        <v>28890.854399999997</v>
      </c>
      <c r="M12" s="288">
        <f t="shared" si="26"/>
        <v>269647.97440000001</v>
      </c>
      <c r="N12" s="288">
        <f t="shared" si="26"/>
        <v>107701.12</v>
      </c>
      <c r="O12" s="288">
        <f t="shared" ref="O12" si="27">SUM(O13:O16)</f>
        <v>12924.134399999999</v>
      </c>
      <c r="P12" s="288">
        <f t="shared" ref="P12" si="28">SUM(P13:P16)</f>
        <v>120625.25439999999</v>
      </c>
      <c r="Q12" s="287">
        <f t="shared" si="0"/>
        <v>958625.6</v>
      </c>
      <c r="R12" s="287">
        <f t="shared" si="1"/>
        <v>115035.07199999999</v>
      </c>
      <c r="S12" s="287">
        <f t="shared" ref="S12:S57" si="29">Q12+R12</f>
        <v>1073660.672</v>
      </c>
      <c r="T12" s="266">
        <f t="shared" si="18"/>
        <v>0</v>
      </c>
    </row>
    <row r="13" spans="1:20" ht="35.450000000000003" customHeight="1" x14ac:dyDescent="0.25">
      <c r="A13" s="283" t="str">
        <f>'1. Detailed Budget'!D13</f>
        <v>Consultoría especializada para el diseño del régimen fiscal de las EE.PP. petroleras, que incluya capacitación</v>
      </c>
      <c r="B13" s="273">
        <f>'1. Detailed Budget'!H13+'1. Detailed Budget'!H14</f>
        <v>117480</v>
      </c>
      <c r="C13" s="273">
        <f t="shared" si="19"/>
        <v>14097.6</v>
      </c>
      <c r="D13" s="273">
        <f t="shared" ref="D13:D16" si="30">B13+C13</f>
        <v>131577.60000000001</v>
      </c>
      <c r="E13" s="266"/>
      <c r="F13" s="266"/>
      <c r="G13" s="266"/>
      <c r="H13" s="273">
        <f>B13</f>
        <v>117480</v>
      </c>
      <c r="I13" s="273">
        <f>H13*0.12</f>
        <v>14097.6</v>
      </c>
      <c r="J13" s="273">
        <f>H13+I13</f>
        <v>131577.60000000001</v>
      </c>
      <c r="K13" s="266"/>
      <c r="L13" s="266"/>
      <c r="M13" s="266"/>
      <c r="N13" s="273"/>
      <c r="O13" s="273">
        <f t="shared" si="16"/>
        <v>0</v>
      </c>
      <c r="P13" s="273">
        <f t="shared" si="17"/>
        <v>0</v>
      </c>
      <c r="Q13" s="273">
        <f t="shared" si="0"/>
        <v>117480</v>
      </c>
      <c r="R13" s="273">
        <f t="shared" si="1"/>
        <v>14097.6</v>
      </c>
      <c r="S13" s="273">
        <f t="shared" si="29"/>
        <v>131577.60000000001</v>
      </c>
      <c r="T13" s="266">
        <f t="shared" si="18"/>
        <v>0</v>
      </c>
    </row>
    <row r="14" spans="1:20" ht="48" customHeight="1" x14ac:dyDescent="0.25">
      <c r="A14" s="283" t="str">
        <f>'1. Detailed Budget'!J15</f>
        <v>Consultoría especializada para el diseño institucional de la función recaudadora del SRI sobre las EE.PP, que incluya capacitación en función recaudadora sobre EE.PP. a funcionarios públicos del SRI</v>
      </c>
      <c r="B14" s="273">
        <f>'1. Detailed Budget'!N15</f>
        <v>488505.59999999998</v>
      </c>
      <c r="C14" s="273">
        <f t="shared" si="19"/>
        <v>58620.671999999999</v>
      </c>
      <c r="D14" s="273">
        <f t="shared" si="30"/>
        <v>547126.272</v>
      </c>
      <c r="E14" s="273"/>
      <c r="F14" s="273"/>
      <c r="G14" s="273"/>
      <c r="H14" s="273">
        <f>$B$14*0.6</f>
        <v>293103.35999999999</v>
      </c>
      <c r="I14" s="273">
        <f t="shared" si="24"/>
        <v>35172.403200000001</v>
      </c>
      <c r="J14" s="273">
        <f t="shared" si="20"/>
        <v>328275.76319999999</v>
      </c>
      <c r="K14" s="273">
        <f>$B$14*0.2</f>
        <v>97701.119999999995</v>
      </c>
      <c r="L14" s="273">
        <f t="shared" si="14"/>
        <v>11724.134399999999</v>
      </c>
      <c r="M14" s="273">
        <f t="shared" si="15"/>
        <v>109425.25439999999</v>
      </c>
      <c r="N14" s="273">
        <f>$B$14*0.2</f>
        <v>97701.119999999995</v>
      </c>
      <c r="O14" s="273">
        <f t="shared" si="16"/>
        <v>11724.134399999999</v>
      </c>
      <c r="P14" s="273">
        <f t="shared" si="17"/>
        <v>109425.25439999999</v>
      </c>
      <c r="Q14" s="273">
        <f t="shared" si="0"/>
        <v>488505.59999999998</v>
      </c>
      <c r="R14" s="273">
        <f t="shared" si="1"/>
        <v>58620.671999999991</v>
      </c>
      <c r="S14" s="273">
        <f t="shared" si="29"/>
        <v>547126.272</v>
      </c>
      <c r="T14" s="266">
        <f t="shared" si="18"/>
        <v>0</v>
      </c>
    </row>
    <row r="15" spans="1:20" ht="35.450000000000003" customHeight="1" x14ac:dyDescent="0.25">
      <c r="A15" s="283" t="str">
        <f>'1. Detailed Budget'!J16</f>
        <v>Consultoría especializada para el diseño institucional de las funciones y responsabilidades tributarias dentro de las EE.PP., que incluye capacitación para enfrentar responsabilidades tributarias a direcciones relevantes de EE.PP</v>
      </c>
      <c r="B15" s="273">
        <f>'1. Detailed Budget'!N16</f>
        <v>332640</v>
      </c>
      <c r="C15" s="273">
        <f t="shared" si="19"/>
        <v>39916.799999999996</v>
      </c>
      <c r="D15" s="273">
        <f t="shared" si="30"/>
        <v>372556.79999999999</v>
      </c>
      <c r="E15" s="273"/>
      <c r="F15" s="273"/>
      <c r="G15" s="273"/>
      <c r="H15" s="273">
        <f>$B$15*0.6</f>
        <v>199584</v>
      </c>
      <c r="I15" s="273">
        <f t="shared" si="24"/>
        <v>23950.079999999998</v>
      </c>
      <c r="J15" s="273">
        <f t="shared" si="20"/>
        <v>223534.07999999999</v>
      </c>
      <c r="K15" s="273">
        <f>$B$15*0.4</f>
        <v>133056</v>
      </c>
      <c r="L15" s="273">
        <f t="shared" si="14"/>
        <v>15966.72</v>
      </c>
      <c r="M15" s="273">
        <f t="shared" si="15"/>
        <v>149022.72</v>
      </c>
      <c r="N15" s="273"/>
      <c r="O15" s="273">
        <f t="shared" si="16"/>
        <v>0</v>
      </c>
      <c r="P15" s="273">
        <f t="shared" si="17"/>
        <v>0</v>
      </c>
      <c r="Q15" s="273">
        <f t="shared" si="0"/>
        <v>332640</v>
      </c>
      <c r="R15" s="273">
        <f t="shared" si="1"/>
        <v>39916.799999999996</v>
      </c>
      <c r="S15" s="273">
        <f t="shared" si="29"/>
        <v>372556.79999999999</v>
      </c>
      <c r="T15" s="266">
        <f t="shared" si="18"/>
        <v>0</v>
      </c>
    </row>
    <row r="16" spans="1:20" ht="28.9" customHeight="1" x14ac:dyDescent="0.25">
      <c r="A16" s="283" t="str">
        <f>'1. Detailed Budget'!U13</f>
        <v>Capacitación especifica a la empresa Petrolera sobre el régimen fiscal de la EP</v>
      </c>
      <c r="B16" s="273">
        <f>'1. Detailed Budget'!X13</f>
        <v>20000</v>
      </c>
      <c r="C16" s="273">
        <f t="shared" si="19"/>
        <v>2400</v>
      </c>
      <c r="D16" s="273">
        <f t="shared" si="30"/>
        <v>22400</v>
      </c>
      <c r="E16" s="273"/>
      <c r="F16" s="273"/>
      <c r="G16" s="273"/>
      <c r="H16" s="273"/>
      <c r="I16" s="273"/>
      <c r="J16" s="273"/>
      <c r="K16" s="273">
        <f>$B$16*0.5</f>
        <v>10000</v>
      </c>
      <c r="L16" s="273">
        <f t="shared" si="14"/>
        <v>1200</v>
      </c>
      <c r="M16" s="273">
        <f t="shared" si="15"/>
        <v>11200</v>
      </c>
      <c r="N16" s="273">
        <f>$B$16*0.5</f>
        <v>10000</v>
      </c>
      <c r="O16" s="273">
        <f t="shared" si="16"/>
        <v>1200</v>
      </c>
      <c r="P16" s="273">
        <f t="shared" si="17"/>
        <v>11200</v>
      </c>
      <c r="Q16" s="273">
        <f t="shared" si="0"/>
        <v>20000</v>
      </c>
      <c r="R16" s="273">
        <f t="shared" si="1"/>
        <v>2400</v>
      </c>
      <c r="S16" s="273">
        <f t="shared" si="29"/>
        <v>22400</v>
      </c>
      <c r="T16" s="266">
        <f t="shared" si="18"/>
        <v>0</v>
      </c>
    </row>
    <row r="17" spans="1:20" ht="30" x14ac:dyDescent="0.25">
      <c r="A17" s="281" t="str">
        <f>'1. Detailed Budget'!A17</f>
        <v>1.3 Mecanismos de transparencia y rendición de cuentas implementados</v>
      </c>
      <c r="B17" s="272">
        <f>SUM(B18:B22)</f>
        <v>1334720</v>
      </c>
      <c r="C17" s="272">
        <f>SUM(C18:C22)</f>
        <v>160166.40000000002</v>
      </c>
      <c r="D17" s="272">
        <f>B17+C17</f>
        <v>1494886.3999999999</v>
      </c>
      <c r="E17" s="288">
        <f>SUM(E18:E22)</f>
        <v>0</v>
      </c>
      <c r="F17" s="288">
        <f t="shared" ref="F17:G17" si="31">SUM(F18:F22)</f>
        <v>0</v>
      </c>
      <c r="G17" s="288">
        <f t="shared" si="31"/>
        <v>0</v>
      </c>
      <c r="H17" s="288">
        <f>SUM(H18:H22)</f>
        <v>549040</v>
      </c>
      <c r="I17" s="288">
        <f t="shared" ref="I17" si="32">SUM(I18:I22)</f>
        <v>65884.800000000003</v>
      </c>
      <c r="J17" s="288">
        <f t="shared" ref="J17" si="33">SUM(J18:J22)</f>
        <v>614924.80000000016</v>
      </c>
      <c r="K17" s="288">
        <f>SUM(K18:K22)</f>
        <v>772480</v>
      </c>
      <c r="L17" s="288">
        <f t="shared" ref="L17" si="34">SUM(L18:L22)</f>
        <v>92697.600000000006</v>
      </c>
      <c r="M17" s="288">
        <f t="shared" ref="M17" si="35">SUM(M18:M22)</f>
        <v>865177.60000000009</v>
      </c>
      <c r="N17" s="288">
        <f>SUM(N18:N22)</f>
        <v>13200</v>
      </c>
      <c r="O17" s="288">
        <f t="shared" ref="O17" si="36">SUM(O18:O22)</f>
        <v>1584</v>
      </c>
      <c r="P17" s="288">
        <f t="shared" ref="P17" si="37">SUM(P18:P22)</f>
        <v>14784</v>
      </c>
      <c r="Q17" s="287">
        <f t="shared" si="0"/>
        <v>1334720</v>
      </c>
      <c r="R17" s="287">
        <f t="shared" si="1"/>
        <v>160166.40000000002</v>
      </c>
      <c r="S17" s="287">
        <f t="shared" si="29"/>
        <v>1494886.3999999999</v>
      </c>
      <c r="T17" s="266">
        <f t="shared" si="18"/>
        <v>0</v>
      </c>
    </row>
    <row r="18" spans="1:20" ht="28.9" customHeight="1" x14ac:dyDescent="0.25">
      <c r="A18" s="283" t="str">
        <f>'1. Detailed Budget'!D22</f>
        <v>Consultoría para la elaboración de un informe con los criterios para la precalificación de auditoras externas</v>
      </c>
      <c r="B18" s="273">
        <f>'1. Detailed Budget'!H22</f>
        <v>6160</v>
      </c>
      <c r="C18" s="273">
        <f>B18*0.12</f>
        <v>739.19999999999993</v>
      </c>
      <c r="D18" s="273">
        <f t="shared" ref="D18:D22" si="38">B18+C18</f>
        <v>6899.2</v>
      </c>
      <c r="E18" s="273"/>
      <c r="F18" s="273">
        <f t="shared" si="22"/>
        <v>0</v>
      </c>
      <c r="G18" s="273">
        <f t="shared" si="23"/>
        <v>0</v>
      </c>
      <c r="H18" s="273">
        <f>B18</f>
        <v>6160</v>
      </c>
      <c r="I18" s="273">
        <f t="shared" si="24"/>
        <v>739.19999999999993</v>
      </c>
      <c r="J18" s="273">
        <f t="shared" si="20"/>
        <v>6899.2</v>
      </c>
      <c r="K18" s="273"/>
      <c r="L18" s="273">
        <f t="shared" si="14"/>
        <v>0</v>
      </c>
      <c r="M18" s="273">
        <f t="shared" si="15"/>
        <v>0</v>
      </c>
      <c r="N18" s="273"/>
      <c r="O18" s="273">
        <f t="shared" si="16"/>
        <v>0</v>
      </c>
      <c r="P18" s="273">
        <f t="shared" si="17"/>
        <v>0</v>
      </c>
      <c r="Q18" s="273">
        <f t="shared" si="0"/>
        <v>6160</v>
      </c>
      <c r="R18" s="273">
        <f t="shared" si="1"/>
        <v>739.19999999999993</v>
      </c>
      <c r="S18" s="273">
        <f t="shared" si="29"/>
        <v>6899.2</v>
      </c>
      <c r="T18" s="266">
        <f t="shared" si="18"/>
        <v>0</v>
      </c>
    </row>
    <row r="19" spans="1:20" ht="28.9" customHeight="1" x14ac:dyDescent="0.25">
      <c r="A19" s="283" t="str">
        <f>'1. Detailed Budget'!J17</f>
        <v>Consultoría especializada de apoyo para apoyo a la implementación de las medidas Anticorrupción (obtención del certificado ISO-37001 de las EE.PP.) para PAM y PEC</v>
      </c>
      <c r="B19" s="273">
        <f>SUM('1. Detailed Budget'!N17:N21)</f>
        <v>1150000</v>
      </c>
      <c r="C19" s="273">
        <f t="shared" si="19"/>
        <v>138000</v>
      </c>
      <c r="D19" s="273">
        <f t="shared" si="38"/>
        <v>1288000</v>
      </c>
      <c r="E19" s="273"/>
      <c r="F19" s="273">
        <f t="shared" si="22"/>
        <v>0</v>
      </c>
      <c r="G19" s="273">
        <f t="shared" si="23"/>
        <v>0</v>
      </c>
      <c r="H19" s="273">
        <f>$B$19*0.4</f>
        <v>460000</v>
      </c>
      <c r="I19" s="273">
        <f t="shared" si="24"/>
        <v>55200</v>
      </c>
      <c r="J19" s="273">
        <f t="shared" si="20"/>
        <v>515200</v>
      </c>
      <c r="K19" s="273">
        <f>$B$19*0.6</f>
        <v>690000</v>
      </c>
      <c r="L19" s="273">
        <f t="shared" si="14"/>
        <v>82800</v>
      </c>
      <c r="M19" s="273">
        <f t="shared" si="15"/>
        <v>772800</v>
      </c>
      <c r="N19" s="273"/>
      <c r="O19" s="273">
        <f t="shared" si="16"/>
        <v>0</v>
      </c>
      <c r="P19" s="273">
        <f t="shared" si="17"/>
        <v>0</v>
      </c>
      <c r="Q19" s="273">
        <f t="shared" si="0"/>
        <v>1150000</v>
      </c>
      <c r="R19" s="273">
        <f t="shared" si="1"/>
        <v>138000</v>
      </c>
      <c r="S19" s="273">
        <f t="shared" si="29"/>
        <v>1288000</v>
      </c>
      <c r="T19" s="266">
        <f t="shared" si="18"/>
        <v>0</v>
      </c>
    </row>
    <row r="20" spans="1:20" ht="28.9" customHeight="1" x14ac:dyDescent="0.25">
      <c r="A20" s="283" t="str">
        <f>'1. Detailed Budget'!U17</f>
        <v>Socialización de acciones anticorrupción con los actores relevantes</v>
      </c>
      <c r="B20" s="273">
        <f>'1. Detailed Budget'!X17</f>
        <v>40000</v>
      </c>
      <c r="C20" s="273">
        <f t="shared" si="19"/>
        <v>4800</v>
      </c>
      <c r="D20" s="273">
        <f t="shared" si="38"/>
        <v>44800</v>
      </c>
      <c r="E20" s="273"/>
      <c r="F20" s="273"/>
      <c r="G20" s="273"/>
      <c r="H20" s="273">
        <f>$B$20*0.34</f>
        <v>13600.000000000002</v>
      </c>
      <c r="I20" s="273">
        <f>H20*0.12</f>
        <v>1632.0000000000002</v>
      </c>
      <c r="J20" s="273">
        <f t="shared" si="20"/>
        <v>15232.000000000002</v>
      </c>
      <c r="K20" s="273">
        <f>$B$20*0.33</f>
        <v>13200</v>
      </c>
      <c r="L20" s="273">
        <f>K20*0.12</f>
        <v>1584</v>
      </c>
      <c r="M20" s="273">
        <f t="shared" si="15"/>
        <v>14784</v>
      </c>
      <c r="N20" s="273">
        <f>$B$20*0.33</f>
        <v>13200</v>
      </c>
      <c r="O20" s="273">
        <f>N20*0.12</f>
        <v>1584</v>
      </c>
      <c r="P20" s="273">
        <f t="shared" si="17"/>
        <v>14784</v>
      </c>
      <c r="Q20" s="273">
        <f t="shared" si="0"/>
        <v>40000</v>
      </c>
      <c r="R20" s="273">
        <f t="shared" si="1"/>
        <v>4800</v>
      </c>
      <c r="S20" s="273">
        <f t="shared" si="29"/>
        <v>44800</v>
      </c>
      <c r="T20" s="266">
        <f t="shared" si="18"/>
        <v>0</v>
      </c>
    </row>
    <row r="21" spans="1:20" ht="20.45" customHeight="1" x14ac:dyDescent="0.25">
      <c r="A21" s="283" t="str">
        <f>'1. Detailed Budget'!U23</f>
        <v xml:space="preserve">Capacitación para la implementación de NIIF </v>
      </c>
      <c r="B21" s="273">
        <f>'1. Detailed Budget'!H23+'1. Detailed Budget'!X23</f>
        <v>69280</v>
      </c>
      <c r="C21" s="273">
        <f t="shared" si="19"/>
        <v>8313.6</v>
      </c>
      <c r="D21" s="273">
        <f t="shared" si="38"/>
        <v>77593.600000000006</v>
      </c>
      <c r="E21" s="273"/>
      <c r="F21" s="273">
        <f t="shared" si="22"/>
        <v>0</v>
      </c>
      <c r="G21" s="273">
        <f t="shared" si="23"/>
        <v>0</v>
      </c>
      <c r="H21" s="273">
        <f>$B$21*0.5</f>
        <v>34640</v>
      </c>
      <c r="I21" s="273">
        <f t="shared" si="24"/>
        <v>4156.8</v>
      </c>
      <c r="J21" s="273">
        <f t="shared" si="20"/>
        <v>38796.800000000003</v>
      </c>
      <c r="K21" s="273">
        <f>$B$21*0.5</f>
        <v>34640</v>
      </c>
      <c r="L21" s="273">
        <f t="shared" si="14"/>
        <v>4156.8</v>
      </c>
      <c r="M21" s="273">
        <f t="shared" si="15"/>
        <v>38796.800000000003</v>
      </c>
      <c r="N21" s="273"/>
      <c r="O21" s="273"/>
      <c r="P21" s="273"/>
      <c r="Q21" s="273">
        <f t="shared" si="0"/>
        <v>69280</v>
      </c>
      <c r="R21" s="273">
        <f t="shared" si="1"/>
        <v>8313.6</v>
      </c>
      <c r="S21" s="273">
        <f t="shared" si="29"/>
        <v>77593.600000000006</v>
      </c>
      <c r="T21" s="266">
        <f t="shared" si="18"/>
        <v>0</v>
      </c>
    </row>
    <row r="22" spans="1:20" ht="20.45" customHeight="1" x14ac:dyDescent="0.25">
      <c r="A22" s="283" t="str">
        <f>'1. Detailed Budget'!U24</f>
        <v>Capacitación para el reporte de EEFF</v>
      </c>
      <c r="B22" s="273">
        <f>'1. Detailed Budget'!H24+'1. Detailed Budget'!X24</f>
        <v>69280</v>
      </c>
      <c r="C22" s="273">
        <f t="shared" si="19"/>
        <v>8313.6</v>
      </c>
      <c r="D22" s="273">
        <f t="shared" si="38"/>
        <v>77593.600000000006</v>
      </c>
      <c r="E22" s="273"/>
      <c r="F22" s="273">
        <f t="shared" si="22"/>
        <v>0</v>
      </c>
      <c r="G22" s="273">
        <f t="shared" si="23"/>
        <v>0</v>
      </c>
      <c r="H22" s="273">
        <f>$B$22*0.5</f>
        <v>34640</v>
      </c>
      <c r="I22" s="273">
        <f t="shared" si="24"/>
        <v>4156.8</v>
      </c>
      <c r="J22" s="273">
        <f t="shared" si="20"/>
        <v>38796.800000000003</v>
      </c>
      <c r="K22" s="273">
        <f>$B$22*0.5</f>
        <v>34640</v>
      </c>
      <c r="L22" s="273">
        <f t="shared" si="14"/>
        <v>4156.8</v>
      </c>
      <c r="M22" s="273">
        <f t="shared" si="15"/>
        <v>38796.800000000003</v>
      </c>
      <c r="N22" s="273"/>
      <c r="O22" s="273"/>
      <c r="P22" s="273"/>
      <c r="Q22" s="273">
        <f t="shared" si="0"/>
        <v>69280</v>
      </c>
      <c r="R22" s="273">
        <f t="shared" si="1"/>
        <v>8313.6</v>
      </c>
      <c r="S22" s="273">
        <f t="shared" si="29"/>
        <v>77593.600000000006</v>
      </c>
      <c r="T22" s="266">
        <f t="shared" si="18"/>
        <v>0</v>
      </c>
    </row>
    <row r="23" spans="1:20" x14ac:dyDescent="0.25">
      <c r="A23" s="280" t="str">
        <f>'1. Detailed Budget'!D25</f>
        <v>Subcomponente 2. Rediseño de la función propietaria y de gestión</v>
      </c>
      <c r="B23" s="275">
        <f>B24+B30+B36</f>
        <v>1187520</v>
      </c>
      <c r="C23" s="275">
        <f>C24+C30+C36</f>
        <v>142502.39999999999</v>
      </c>
      <c r="D23" s="272">
        <f>B23+C23</f>
        <v>1330022.3999999999</v>
      </c>
      <c r="E23" s="289">
        <f>E24+E30+E36</f>
        <v>58384</v>
      </c>
      <c r="F23" s="289">
        <f>F24+F30+F36</f>
        <v>7006.08</v>
      </c>
      <c r="G23" s="288">
        <f>E23+F23</f>
        <v>65390.080000000002</v>
      </c>
      <c r="H23" s="289">
        <f>H24+H30+H36</f>
        <v>756572</v>
      </c>
      <c r="I23" s="289">
        <f>I24+I30+I36</f>
        <v>90788.64</v>
      </c>
      <c r="J23" s="288">
        <f>H23+I23</f>
        <v>847360.64</v>
      </c>
      <c r="K23" s="289">
        <f>K24+K30+K36</f>
        <v>236432</v>
      </c>
      <c r="L23" s="289">
        <f>L24+L30+L36</f>
        <v>28371.84</v>
      </c>
      <c r="M23" s="288">
        <f>K23+L23</f>
        <v>264803.84000000003</v>
      </c>
      <c r="N23" s="289">
        <f>N24+N30+N36</f>
        <v>136132</v>
      </c>
      <c r="O23" s="289">
        <f>O24+O30+O36</f>
        <v>16335.84</v>
      </c>
      <c r="P23" s="288">
        <f>N23+O23</f>
        <v>152467.84</v>
      </c>
      <c r="Q23" s="287">
        <f t="shared" si="0"/>
        <v>1187520</v>
      </c>
      <c r="R23" s="287">
        <f t="shared" si="1"/>
        <v>142502.39999999999</v>
      </c>
      <c r="S23" s="287">
        <f t="shared" si="29"/>
        <v>1330022.3999999999</v>
      </c>
      <c r="T23" s="266">
        <f t="shared" si="18"/>
        <v>0</v>
      </c>
    </row>
    <row r="24" spans="1:20" ht="14.45" customHeight="1" x14ac:dyDescent="0.25">
      <c r="A24" s="281" t="str">
        <f>'1. Detailed Budget'!A26</f>
        <v>1.4 Nueva entidad de gestión propietaria de las EE.PP. que sustituiría a EMCO implementada</v>
      </c>
      <c r="B24" s="272">
        <f>SUM(B25:B29)</f>
        <v>401420</v>
      </c>
      <c r="C24" s="272">
        <f>SUM(C25:C29)</f>
        <v>48170.400000000001</v>
      </c>
      <c r="D24" s="272">
        <f>B24+C24</f>
        <v>449590.4</v>
      </c>
      <c r="E24" s="288">
        <f>SUM(E25:E29)</f>
        <v>58384</v>
      </c>
      <c r="F24" s="288">
        <f>SUM(F25:F29)</f>
        <v>7006.08</v>
      </c>
      <c r="G24" s="288">
        <f>E24+F24</f>
        <v>65390.080000000002</v>
      </c>
      <c r="H24" s="288">
        <f>SUM(H25:H29)</f>
        <v>317036</v>
      </c>
      <c r="I24" s="288">
        <f>SUM(I25:I29)</f>
        <v>38044.32</v>
      </c>
      <c r="J24" s="288">
        <f>H24+I24</f>
        <v>355080.32</v>
      </c>
      <c r="K24" s="288">
        <f>SUM(K25:K29)</f>
        <v>26000</v>
      </c>
      <c r="L24" s="288">
        <f>SUM(L25:L29)</f>
        <v>3120</v>
      </c>
      <c r="M24" s="288">
        <f>K24+L24</f>
        <v>29120</v>
      </c>
      <c r="N24" s="288">
        <f>SUM(N25:N29)</f>
        <v>0</v>
      </c>
      <c r="O24" s="288">
        <f>SUM(O25:O29)</f>
        <v>0</v>
      </c>
      <c r="P24" s="288">
        <f>N24+O24</f>
        <v>0</v>
      </c>
      <c r="Q24" s="287">
        <f t="shared" si="0"/>
        <v>401420</v>
      </c>
      <c r="R24" s="287">
        <f t="shared" si="1"/>
        <v>48170.400000000001</v>
      </c>
      <c r="S24" s="287">
        <f t="shared" si="29"/>
        <v>449590.4</v>
      </c>
      <c r="T24" s="266">
        <f t="shared" si="18"/>
        <v>0</v>
      </c>
    </row>
    <row r="25" spans="1:20" ht="60.6" customHeight="1" x14ac:dyDescent="0.25">
      <c r="A25" s="283" t="str">
        <f>'1. Detailed Budget'!D26</f>
        <v>Consultoría especializada para seguimiento de la implementación del diseño de la nueva entidad de gestión propietaria de las EE.PP. que sustituiría a EMCO, que incluya la elaboración del estatuto orgánico administrativo, que incluya capacitación.</v>
      </c>
      <c r="B25" s="276">
        <f>'1. Detailed Budget'!H26+'1. Detailed Budget'!H27</f>
        <v>291920</v>
      </c>
      <c r="C25" s="276">
        <f t="shared" si="19"/>
        <v>35030.400000000001</v>
      </c>
      <c r="D25" s="273">
        <f t="shared" ref="D25:D29" si="39">B25+C25</f>
        <v>326950.40000000002</v>
      </c>
      <c r="E25" s="290">
        <f>$B$25*0.2</f>
        <v>58384</v>
      </c>
      <c r="F25" s="290">
        <f t="shared" ref="F25:F38" si="40">E25*0.12</f>
        <v>7006.08</v>
      </c>
      <c r="G25" s="290">
        <f t="shared" si="23"/>
        <v>65390.080000000002</v>
      </c>
      <c r="H25" s="290">
        <f>$B$25*0.8</f>
        <v>233536</v>
      </c>
      <c r="I25" s="290">
        <f t="shared" ref="I25:I38" si="41">H25*0.12</f>
        <v>28024.32</v>
      </c>
      <c r="J25" s="290">
        <f t="shared" si="20"/>
        <v>261560.32000000001</v>
      </c>
      <c r="K25" s="290"/>
      <c r="L25" s="290">
        <f t="shared" ref="L25:L38" si="42">K25*0.12</f>
        <v>0</v>
      </c>
      <c r="M25" s="290">
        <f t="shared" si="15"/>
        <v>0</v>
      </c>
      <c r="N25" s="290"/>
      <c r="O25" s="290">
        <f t="shared" ref="O25:O38" si="43">N25*0.12</f>
        <v>0</v>
      </c>
      <c r="P25" s="290">
        <f t="shared" si="17"/>
        <v>0</v>
      </c>
      <c r="Q25" s="273">
        <f t="shared" si="0"/>
        <v>291920</v>
      </c>
      <c r="R25" s="273">
        <f t="shared" si="1"/>
        <v>35030.400000000001</v>
      </c>
      <c r="S25" s="290">
        <f t="shared" si="29"/>
        <v>326950.40000000002</v>
      </c>
      <c r="T25" s="266">
        <f t="shared" si="18"/>
        <v>0</v>
      </c>
    </row>
    <row r="26" spans="1:20" ht="14.45" customHeight="1" x14ac:dyDescent="0.25">
      <c r="A26" s="283" t="str">
        <f>'1. Detailed Budget'!U26</f>
        <v>Socialización de la nueva entidad que sustituye a EMCO</v>
      </c>
      <c r="B26" s="276">
        <f>'1. Detailed Budget'!X26</f>
        <v>20000</v>
      </c>
      <c r="C26" s="276">
        <f t="shared" si="19"/>
        <v>2400</v>
      </c>
      <c r="D26" s="273">
        <f t="shared" si="39"/>
        <v>22400</v>
      </c>
      <c r="E26" s="290"/>
      <c r="F26" s="290"/>
      <c r="G26" s="290"/>
      <c r="H26" s="290">
        <f>$B$26*0.6</f>
        <v>12000</v>
      </c>
      <c r="I26" s="290">
        <f t="shared" si="41"/>
        <v>1440</v>
      </c>
      <c r="J26" s="290">
        <f t="shared" si="20"/>
        <v>13440</v>
      </c>
      <c r="K26" s="290">
        <f>$B$26*0.4</f>
        <v>8000</v>
      </c>
      <c r="L26" s="290">
        <f t="shared" si="42"/>
        <v>960</v>
      </c>
      <c r="M26" s="290">
        <f t="shared" si="15"/>
        <v>8960</v>
      </c>
      <c r="N26" s="290"/>
      <c r="O26" s="290">
        <f t="shared" si="43"/>
        <v>0</v>
      </c>
      <c r="P26" s="290">
        <f t="shared" si="17"/>
        <v>0</v>
      </c>
      <c r="Q26" s="273">
        <f t="shared" si="0"/>
        <v>20000</v>
      </c>
      <c r="R26" s="273">
        <f t="shared" si="1"/>
        <v>2400</v>
      </c>
      <c r="S26" s="290">
        <f t="shared" si="29"/>
        <v>22400</v>
      </c>
      <c r="T26" s="266">
        <f t="shared" si="18"/>
        <v>0</v>
      </c>
    </row>
    <row r="27" spans="1:20" ht="14.45" customHeight="1" x14ac:dyDescent="0.25">
      <c r="A27" s="283" t="str">
        <f>'1. Detailed Budget'!U27</f>
        <v>Capacitación al personal de la nueva entidad propietaria de EE.PP.</v>
      </c>
      <c r="B27" s="276">
        <f>'1. Detailed Budget'!X27</f>
        <v>20000</v>
      </c>
      <c r="C27" s="276">
        <f t="shared" si="19"/>
        <v>2400</v>
      </c>
      <c r="D27" s="273">
        <f t="shared" si="39"/>
        <v>22400</v>
      </c>
      <c r="E27" s="290"/>
      <c r="F27" s="290"/>
      <c r="G27" s="290"/>
      <c r="H27" s="290">
        <f>$B$27*0.6</f>
        <v>12000</v>
      </c>
      <c r="I27" s="290">
        <f t="shared" si="41"/>
        <v>1440</v>
      </c>
      <c r="J27" s="290">
        <f t="shared" si="20"/>
        <v>13440</v>
      </c>
      <c r="K27" s="290">
        <f>$B$27*0.4</f>
        <v>8000</v>
      </c>
      <c r="L27" s="290">
        <f t="shared" si="42"/>
        <v>960</v>
      </c>
      <c r="M27" s="290">
        <f t="shared" si="15"/>
        <v>8960</v>
      </c>
      <c r="N27" s="290"/>
      <c r="O27" s="290"/>
      <c r="P27" s="290"/>
      <c r="Q27" s="273">
        <f t="shared" si="0"/>
        <v>20000</v>
      </c>
      <c r="R27" s="273">
        <f t="shared" si="1"/>
        <v>2400</v>
      </c>
      <c r="S27" s="290">
        <f t="shared" si="29"/>
        <v>22400</v>
      </c>
      <c r="T27" s="266">
        <f t="shared" si="18"/>
        <v>0</v>
      </c>
    </row>
    <row r="28" spans="1:20" ht="45" x14ac:dyDescent="0.25">
      <c r="A28" s="283" t="str">
        <f>'1. Detailed Budget'!D28</f>
        <v>Consultoría especializada para el diseño y la implementación de contrato de gestión del desempeño entre entidad propietaria y EE.PP., que incluya que incluya capacitación.</v>
      </c>
      <c r="B28" s="276">
        <f>'1. Detailed Budget'!H28</f>
        <v>49500</v>
      </c>
      <c r="C28" s="276">
        <f t="shared" si="19"/>
        <v>5940</v>
      </c>
      <c r="D28" s="273">
        <f t="shared" si="39"/>
        <v>55440</v>
      </c>
      <c r="E28" s="290"/>
      <c r="F28" s="290">
        <f t="shared" si="40"/>
        <v>0</v>
      </c>
      <c r="G28" s="290">
        <f t="shared" si="23"/>
        <v>0</v>
      </c>
      <c r="H28" s="290">
        <f>$B$28*1</f>
        <v>49500</v>
      </c>
      <c r="I28" s="290">
        <f t="shared" si="41"/>
        <v>5940</v>
      </c>
      <c r="J28" s="290">
        <f t="shared" si="20"/>
        <v>55440</v>
      </c>
      <c r="K28" s="290"/>
      <c r="L28" s="290">
        <f t="shared" si="42"/>
        <v>0</v>
      </c>
      <c r="M28" s="290">
        <f t="shared" si="15"/>
        <v>0</v>
      </c>
      <c r="N28" s="290"/>
      <c r="O28" s="290">
        <f t="shared" si="43"/>
        <v>0</v>
      </c>
      <c r="P28" s="290">
        <f t="shared" si="17"/>
        <v>0</v>
      </c>
      <c r="Q28" s="273">
        <f t="shared" si="0"/>
        <v>49500</v>
      </c>
      <c r="R28" s="273">
        <f t="shared" si="1"/>
        <v>5940</v>
      </c>
      <c r="S28" s="290">
        <f t="shared" si="29"/>
        <v>55440</v>
      </c>
      <c r="T28" s="266">
        <f t="shared" si="18"/>
        <v>0</v>
      </c>
    </row>
    <row r="29" spans="1:20" ht="14.45" customHeight="1" x14ac:dyDescent="0.25">
      <c r="A29" s="283" t="str">
        <f>'1. Detailed Budget'!U28</f>
        <v>Capacitación/transferencia conocimiento sobre contrato de gestión del desempeño de EE.PP.</v>
      </c>
      <c r="B29" s="276">
        <f>'1. Detailed Budget'!X28</f>
        <v>20000</v>
      </c>
      <c r="C29" s="276">
        <f t="shared" si="19"/>
        <v>2400</v>
      </c>
      <c r="D29" s="273">
        <f t="shared" si="39"/>
        <v>22400</v>
      </c>
      <c r="E29" s="290"/>
      <c r="F29" s="290">
        <f t="shared" si="40"/>
        <v>0</v>
      </c>
      <c r="G29" s="290">
        <f t="shared" si="23"/>
        <v>0</v>
      </c>
      <c r="H29" s="290">
        <f>$B$29*0.5</f>
        <v>10000</v>
      </c>
      <c r="I29" s="290">
        <f t="shared" si="41"/>
        <v>1200</v>
      </c>
      <c r="J29" s="290">
        <f t="shared" si="20"/>
        <v>11200</v>
      </c>
      <c r="K29" s="290">
        <f>$B$29*0.5</f>
        <v>10000</v>
      </c>
      <c r="L29" s="290">
        <f t="shared" si="42"/>
        <v>1200</v>
      </c>
      <c r="M29" s="290">
        <f t="shared" si="15"/>
        <v>11200</v>
      </c>
      <c r="N29" s="290"/>
      <c r="O29" s="290">
        <f t="shared" si="43"/>
        <v>0</v>
      </c>
      <c r="P29" s="290">
        <f t="shared" si="17"/>
        <v>0</v>
      </c>
      <c r="Q29" s="273">
        <f t="shared" si="0"/>
        <v>20000</v>
      </c>
      <c r="R29" s="273">
        <f t="shared" si="1"/>
        <v>2400</v>
      </c>
      <c r="S29" s="290">
        <f t="shared" si="29"/>
        <v>22400</v>
      </c>
      <c r="T29" s="266">
        <f t="shared" si="18"/>
        <v>0</v>
      </c>
    </row>
    <row r="30" spans="1:20" ht="42" customHeight="1" x14ac:dyDescent="0.25">
      <c r="A30" s="281" t="str">
        <f>'1. Detailed Budget'!A29</f>
        <v>1.5 DNEP fortalecida, incluyendo el desarrollo de instrumentos de gestión (estudios de costes de producción) para asistir la formulación presupuestaria</v>
      </c>
      <c r="B30" s="272">
        <f>SUM(B31:B35)</f>
        <v>461180</v>
      </c>
      <c r="C30" s="272">
        <f>SUM(C31:C35)</f>
        <v>55341.599999999999</v>
      </c>
      <c r="D30" s="272">
        <f>B30+C30</f>
        <v>516521.6</v>
      </c>
      <c r="E30" s="288">
        <f>SUM(E31:E35)</f>
        <v>0</v>
      </c>
      <c r="F30" s="288">
        <f t="shared" ref="F30" si="44">SUM(F31:F35)</f>
        <v>0</v>
      </c>
      <c r="G30" s="288">
        <f t="shared" ref="G30" si="45">SUM(G31:G35)</f>
        <v>0</v>
      </c>
      <c r="H30" s="288">
        <f t="shared" ref="H30" si="46">SUM(H31:H35)</f>
        <v>359160</v>
      </c>
      <c r="I30" s="288">
        <f t="shared" ref="I30" si="47">SUM(I31:I35)</f>
        <v>43099.200000000004</v>
      </c>
      <c r="J30" s="288">
        <f t="shared" ref="J30" si="48">SUM(J31:J35)</f>
        <v>402259.20000000001</v>
      </c>
      <c r="K30" s="288">
        <f t="shared" ref="K30" si="49">SUM(K31:K35)</f>
        <v>88160</v>
      </c>
      <c r="L30" s="288">
        <f t="shared" ref="L30" si="50">SUM(L31:L35)</f>
        <v>10579.2</v>
      </c>
      <c r="M30" s="288">
        <f t="shared" ref="M30" si="51">SUM(M31:M35)</f>
        <v>98739.200000000012</v>
      </c>
      <c r="N30" s="288">
        <f t="shared" ref="N30" si="52">SUM(N31:N35)</f>
        <v>13860</v>
      </c>
      <c r="O30" s="288">
        <f t="shared" ref="O30" si="53">SUM(O31:O35)</f>
        <v>1663.2</v>
      </c>
      <c r="P30" s="288">
        <f t="shared" ref="P30" si="54">SUM(P31:P35)</f>
        <v>15523.2</v>
      </c>
      <c r="Q30" s="287">
        <f t="shared" si="0"/>
        <v>461180</v>
      </c>
      <c r="R30" s="287">
        <f t="shared" si="1"/>
        <v>55341.600000000006</v>
      </c>
      <c r="S30" s="287">
        <f t="shared" si="29"/>
        <v>516521.6</v>
      </c>
      <c r="T30" s="266">
        <f t="shared" si="18"/>
        <v>0</v>
      </c>
    </row>
    <row r="31" spans="1:20" ht="56.25" customHeight="1" x14ac:dyDescent="0.25">
      <c r="A31" s="283" t="str">
        <f>'1. Detailed Budget'!D29</f>
        <v xml:space="preserve">Consultoría especializada para el desarrollo de instrumentos de gestión (estudios de costes de producción) para asistir la formulación presupuestaria </v>
      </c>
      <c r="B31" s="276">
        <f>'1. Detailed Budget'!H29</f>
        <v>218000</v>
      </c>
      <c r="C31" s="276">
        <f t="shared" si="19"/>
        <v>26160</v>
      </c>
      <c r="D31" s="273">
        <f t="shared" ref="D31:D35" si="55">B31+C31</f>
        <v>244160</v>
      </c>
      <c r="E31" s="290"/>
      <c r="F31" s="290">
        <f t="shared" si="40"/>
        <v>0</v>
      </c>
      <c r="G31" s="290">
        <f t="shared" si="23"/>
        <v>0</v>
      </c>
      <c r="H31" s="290">
        <f>$B$31*1</f>
        <v>218000</v>
      </c>
      <c r="I31" s="290">
        <f t="shared" si="41"/>
        <v>26160</v>
      </c>
      <c r="J31" s="290">
        <f t="shared" si="20"/>
        <v>244160</v>
      </c>
      <c r="K31" s="290"/>
      <c r="L31" s="290">
        <f t="shared" si="42"/>
        <v>0</v>
      </c>
      <c r="M31" s="290">
        <f t="shared" si="15"/>
        <v>0</v>
      </c>
      <c r="N31" s="290"/>
      <c r="O31" s="290">
        <f t="shared" si="43"/>
        <v>0</v>
      </c>
      <c r="P31" s="290">
        <f t="shared" si="17"/>
        <v>0</v>
      </c>
      <c r="Q31" s="273">
        <f t="shared" si="0"/>
        <v>218000</v>
      </c>
      <c r="R31" s="273">
        <f t="shared" si="1"/>
        <v>26160</v>
      </c>
      <c r="S31" s="290">
        <f t="shared" si="29"/>
        <v>244160</v>
      </c>
      <c r="T31" s="266">
        <f t="shared" si="18"/>
        <v>0</v>
      </c>
    </row>
    <row r="32" spans="1:20" ht="60" customHeight="1" x14ac:dyDescent="0.25">
      <c r="A32" s="283" t="str">
        <f>'1. Detailed Budget'!D30</f>
        <v>Consultoría especializada para definir sistemas de certificación de capacidad de pago y limites de endeudamiento.</v>
      </c>
      <c r="B32" s="276">
        <f>'1. Detailed Budget'!H30</f>
        <v>53000</v>
      </c>
      <c r="C32" s="276">
        <f t="shared" si="19"/>
        <v>6360</v>
      </c>
      <c r="D32" s="273">
        <f t="shared" si="55"/>
        <v>59360</v>
      </c>
      <c r="E32" s="290"/>
      <c r="F32" s="290">
        <f t="shared" si="40"/>
        <v>0</v>
      </c>
      <c r="G32" s="290">
        <f t="shared" si="23"/>
        <v>0</v>
      </c>
      <c r="H32" s="290">
        <f>$B$32*1</f>
        <v>53000</v>
      </c>
      <c r="I32" s="290">
        <f t="shared" si="41"/>
        <v>6360</v>
      </c>
      <c r="J32" s="290">
        <f t="shared" si="20"/>
        <v>59360</v>
      </c>
      <c r="K32" s="290"/>
      <c r="L32" s="290"/>
      <c r="M32" s="290"/>
      <c r="N32" s="290"/>
      <c r="O32" s="290"/>
      <c r="P32" s="290"/>
      <c r="Q32" s="273">
        <f t="shared" si="0"/>
        <v>53000</v>
      </c>
      <c r="R32" s="273">
        <f t="shared" si="1"/>
        <v>6360</v>
      </c>
      <c r="S32" s="290">
        <f t="shared" si="29"/>
        <v>59360</v>
      </c>
      <c r="T32" s="266">
        <f t="shared" si="18"/>
        <v>0</v>
      </c>
    </row>
    <row r="33" spans="1:20" ht="71.25" customHeight="1" x14ac:dyDescent="0.25">
      <c r="A33" s="283" t="str">
        <f>'1. Detailed Budget'!J30</f>
        <v>Consultoría de desarrollo de herramientas informática de apoyo a la gestión (información de la áreas funcionales de las EP, y reportería para dar seguimiento a convenios). Basado en software libre. APROBACIÓN MINTEL (TDRS)</v>
      </c>
      <c r="B33" s="276">
        <f>'1. Detailed Budget'!N30</f>
        <v>120880</v>
      </c>
      <c r="C33" s="276">
        <f t="shared" si="19"/>
        <v>14505.6</v>
      </c>
      <c r="D33" s="273">
        <f t="shared" si="55"/>
        <v>135385.60000000001</v>
      </c>
      <c r="E33" s="290"/>
      <c r="F33" s="290">
        <f t="shared" si="40"/>
        <v>0</v>
      </c>
      <c r="G33" s="290">
        <f t="shared" si="23"/>
        <v>0</v>
      </c>
      <c r="H33" s="290">
        <f>$B$33*0.5</f>
        <v>60440</v>
      </c>
      <c r="I33" s="290">
        <f t="shared" si="41"/>
        <v>7252.8</v>
      </c>
      <c r="J33" s="290">
        <f t="shared" si="20"/>
        <v>67692.800000000003</v>
      </c>
      <c r="K33" s="290">
        <f>$B$33*0.5</f>
        <v>60440</v>
      </c>
      <c r="L33" s="290">
        <f t="shared" si="42"/>
        <v>7252.8</v>
      </c>
      <c r="M33" s="290">
        <f t="shared" si="15"/>
        <v>67692.800000000003</v>
      </c>
      <c r="N33" s="290"/>
      <c r="O33" s="290"/>
      <c r="P33" s="290"/>
      <c r="Q33" s="273">
        <f t="shared" si="0"/>
        <v>120880</v>
      </c>
      <c r="R33" s="273">
        <f t="shared" si="1"/>
        <v>14505.6</v>
      </c>
      <c r="S33" s="290">
        <f t="shared" si="29"/>
        <v>135385.60000000001</v>
      </c>
      <c r="T33" s="266">
        <f t="shared" si="18"/>
        <v>0</v>
      </c>
    </row>
    <row r="34" spans="1:20" ht="28.15" customHeight="1" x14ac:dyDescent="0.25">
      <c r="A34" s="283" t="str">
        <f>'1. Detailed Budget'!J29</f>
        <v>Consultoría para la capacitación en sectores estratégicos (energía, telecom, hidrocarburos)</v>
      </c>
      <c r="B34" s="276">
        <f>'1. Detailed Budget'!N29</f>
        <v>69300</v>
      </c>
      <c r="C34" s="276">
        <f t="shared" si="19"/>
        <v>8316</v>
      </c>
      <c r="D34" s="273">
        <f t="shared" si="55"/>
        <v>77616</v>
      </c>
      <c r="E34" s="290"/>
      <c r="F34" s="290">
        <f t="shared" si="40"/>
        <v>0</v>
      </c>
      <c r="G34" s="290">
        <f t="shared" si="23"/>
        <v>0</v>
      </c>
      <c r="H34" s="290">
        <f>$B$34*0.4</f>
        <v>27720</v>
      </c>
      <c r="I34" s="290">
        <f t="shared" si="41"/>
        <v>3326.4</v>
      </c>
      <c r="J34" s="290">
        <f t="shared" si="20"/>
        <v>31046.400000000001</v>
      </c>
      <c r="K34" s="290">
        <f>$B$34*0.4</f>
        <v>27720</v>
      </c>
      <c r="L34" s="290">
        <f t="shared" si="42"/>
        <v>3326.4</v>
      </c>
      <c r="M34" s="290">
        <f t="shared" si="15"/>
        <v>31046.400000000001</v>
      </c>
      <c r="N34" s="290">
        <f>$B$34*0.2</f>
        <v>13860</v>
      </c>
      <c r="O34" s="290">
        <f t="shared" si="43"/>
        <v>1663.2</v>
      </c>
      <c r="P34" s="290">
        <f t="shared" si="17"/>
        <v>15523.2</v>
      </c>
      <c r="Q34" s="273">
        <f t="shared" si="0"/>
        <v>69300</v>
      </c>
      <c r="R34" s="273">
        <f t="shared" si="1"/>
        <v>8316</v>
      </c>
      <c r="S34" s="290">
        <f t="shared" si="29"/>
        <v>77616</v>
      </c>
      <c r="T34" s="266">
        <f t="shared" si="18"/>
        <v>0</v>
      </c>
    </row>
    <row r="35" spans="1:20" ht="30" customHeight="1" x14ac:dyDescent="0.25">
      <c r="A35" s="283" t="str">
        <f>'1. Detailed Budget'!U29</f>
        <v xml:space="preserve">Visitas técnicas a Sistema de EEPP de un país de la región para intercambio de experiencias para el fortalecimiento de la DNEP </v>
      </c>
      <c r="B35" s="276">
        <f>'1. Detailed Budget'!X29</f>
        <v>0</v>
      </c>
      <c r="C35" s="276">
        <f t="shared" si="19"/>
        <v>0</v>
      </c>
      <c r="D35" s="273">
        <f t="shared" si="55"/>
        <v>0</v>
      </c>
      <c r="E35" s="290"/>
      <c r="F35" s="290">
        <f t="shared" si="40"/>
        <v>0</v>
      </c>
      <c r="G35" s="290">
        <f t="shared" si="23"/>
        <v>0</v>
      </c>
      <c r="H35" s="290">
        <f>$B$35*0.5</f>
        <v>0</v>
      </c>
      <c r="I35" s="290">
        <f t="shared" si="41"/>
        <v>0</v>
      </c>
      <c r="J35" s="290">
        <f t="shared" si="20"/>
        <v>0</v>
      </c>
      <c r="K35" s="290">
        <f>$B$35*0.5</f>
        <v>0</v>
      </c>
      <c r="L35" s="290">
        <f t="shared" si="42"/>
        <v>0</v>
      </c>
      <c r="M35" s="290">
        <f t="shared" si="15"/>
        <v>0</v>
      </c>
      <c r="N35" s="290"/>
      <c r="O35" s="290">
        <f t="shared" si="43"/>
        <v>0</v>
      </c>
      <c r="P35" s="290">
        <f t="shared" si="17"/>
        <v>0</v>
      </c>
      <c r="Q35" s="273">
        <f t="shared" si="0"/>
        <v>0</v>
      </c>
      <c r="R35" s="273">
        <f t="shared" si="1"/>
        <v>0</v>
      </c>
      <c r="S35" s="290">
        <f t="shared" si="29"/>
        <v>0</v>
      </c>
      <c r="T35" s="266">
        <f t="shared" si="18"/>
        <v>0</v>
      </c>
    </row>
    <row r="36" spans="1:20" ht="42" customHeight="1" x14ac:dyDescent="0.25">
      <c r="A36" s="281" t="str">
        <f>'1. Detailed Budget'!A31</f>
        <v xml:space="preserve">1.6 Apoyo a los GADs en la adopción de las reformas de la LOEP en sus EE.PP. implementado </v>
      </c>
      <c r="B36" s="272">
        <f>SUM(B37:B38)</f>
        <v>324920</v>
      </c>
      <c r="C36" s="272">
        <f>SUM(C37:C38)</f>
        <v>38990.400000000001</v>
      </c>
      <c r="D36" s="272">
        <f>B36+C36</f>
        <v>363910.40000000002</v>
      </c>
      <c r="E36" s="288">
        <f t="shared" ref="E36:G36" si="56">SUM(E37:E38)</f>
        <v>0</v>
      </c>
      <c r="F36" s="288">
        <f t="shared" si="56"/>
        <v>0</v>
      </c>
      <c r="G36" s="288">
        <f t="shared" si="56"/>
        <v>0</v>
      </c>
      <c r="H36" s="288">
        <f t="shared" ref="H36" si="57">SUM(H37:H38)</f>
        <v>80376</v>
      </c>
      <c r="I36" s="288">
        <f t="shared" ref="I36" si="58">SUM(I37:I38)</f>
        <v>9645.119999999999</v>
      </c>
      <c r="J36" s="288">
        <f t="shared" ref="J36" si="59">SUM(J37:J38)</f>
        <v>90021.12000000001</v>
      </c>
      <c r="K36" s="288">
        <f t="shared" ref="K36" si="60">SUM(K37:K38)</f>
        <v>122272</v>
      </c>
      <c r="L36" s="288">
        <f t="shared" ref="L36" si="61">SUM(L37:L38)</f>
        <v>14672.64</v>
      </c>
      <c r="M36" s="288">
        <f t="shared" ref="M36" si="62">SUM(M37:M38)</f>
        <v>136944.64000000001</v>
      </c>
      <c r="N36" s="288">
        <f t="shared" ref="N36" si="63">SUM(N37:N38)</f>
        <v>122272</v>
      </c>
      <c r="O36" s="288">
        <f t="shared" ref="O36" si="64">SUM(O37:O38)</f>
        <v>14672.64</v>
      </c>
      <c r="P36" s="288">
        <f t="shared" ref="P36" si="65">SUM(P37:P38)</f>
        <v>136944.64000000001</v>
      </c>
      <c r="Q36" s="287">
        <f t="shared" si="0"/>
        <v>324920</v>
      </c>
      <c r="R36" s="287">
        <f t="shared" si="1"/>
        <v>38990.399999999994</v>
      </c>
      <c r="S36" s="287">
        <f t="shared" si="29"/>
        <v>363910.40000000002</v>
      </c>
      <c r="T36" s="266">
        <f t="shared" si="18"/>
        <v>0</v>
      </c>
    </row>
    <row r="37" spans="1:20" ht="30.6" customHeight="1" x14ac:dyDescent="0.25">
      <c r="A37" s="283" t="str">
        <f>'1. Detailed Budget'!D31</f>
        <v>Apoyo al proceso de implementación del nuevo modelo de gestión de EEPP</v>
      </c>
      <c r="B37" s="276">
        <f>'1. Detailed Budget'!H31</f>
        <v>305680</v>
      </c>
      <c r="C37" s="276">
        <f t="shared" si="19"/>
        <v>36681.599999999999</v>
      </c>
      <c r="D37" s="273">
        <f t="shared" ref="D37:D38" si="66">B37+C37</f>
        <v>342361.59999999998</v>
      </c>
      <c r="E37" s="290"/>
      <c r="F37" s="290">
        <f t="shared" si="40"/>
        <v>0</v>
      </c>
      <c r="G37" s="290">
        <f t="shared" si="23"/>
        <v>0</v>
      </c>
      <c r="H37" s="290">
        <f>$B$37*0.2</f>
        <v>61136</v>
      </c>
      <c r="I37" s="290">
        <f t="shared" si="41"/>
        <v>7336.32</v>
      </c>
      <c r="J37" s="290">
        <f t="shared" si="20"/>
        <v>68472.320000000007</v>
      </c>
      <c r="K37" s="290">
        <f>$B$37*0.4</f>
        <v>122272</v>
      </c>
      <c r="L37" s="290">
        <f t="shared" si="42"/>
        <v>14672.64</v>
      </c>
      <c r="M37" s="290">
        <f t="shared" si="15"/>
        <v>136944.64000000001</v>
      </c>
      <c r="N37" s="290">
        <f>$B$37*0.4</f>
        <v>122272</v>
      </c>
      <c r="O37" s="290">
        <f t="shared" si="43"/>
        <v>14672.64</v>
      </c>
      <c r="P37" s="290">
        <f t="shared" si="17"/>
        <v>136944.64000000001</v>
      </c>
      <c r="Q37" s="273">
        <f t="shared" si="0"/>
        <v>305680</v>
      </c>
      <c r="R37" s="273">
        <f t="shared" si="1"/>
        <v>36681.599999999999</v>
      </c>
      <c r="S37" s="290">
        <f t="shared" si="29"/>
        <v>342361.59999999998</v>
      </c>
      <c r="T37" s="266">
        <f t="shared" si="18"/>
        <v>0</v>
      </c>
    </row>
    <row r="38" spans="1:20" ht="30" customHeight="1" x14ac:dyDescent="0.25">
      <c r="A38" s="283" t="str">
        <f>'1. Detailed Budget'!D32</f>
        <v>Consultoría para el análisis de sostenibilidad financiera de EEPP de los GADs</v>
      </c>
      <c r="B38" s="276">
        <f>'1. Detailed Budget'!H32</f>
        <v>19240</v>
      </c>
      <c r="C38" s="276">
        <f t="shared" si="19"/>
        <v>2308.7999999999997</v>
      </c>
      <c r="D38" s="273">
        <f t="shared" si="66"/>
        <v>21548.799999999999</v>
      </c>
      <c r="E38" s="290"/>
      <c r="F38" s="290">
        <f t="shared" si="40"/>
        <v>0</v>
      </c>
      <c r="G38" s="290">
        <f t="shared" si="23"/>
        <v>0</v>
      </c>
      <c r="H38" s="290">
        <f>$B$38*1</f>
        <v>19240</v>
      </c>
      <c r="I38" s="290">
        <f t="shared" si="41"/>
        <v>2308.7999999999997</v>
      </c>
      <c r="J38" s="290">
        <f t="shared" si="20"/>
        <v>21548.799999999999</v>
      </c>
      <c r="K38" s="290"/>
      <c r="L38" s="290">
        <f t="shared" si="42"/>
        <v>0</v>
      </c>
      <c r="M38" s="290">
        <f t="shared" si="15"/>
        <v>0</v>
      </c>
      <c r="N38" s="290"/>
      <c r="O38" s="290">
        <f t="shared" si="43"/>
        <v>0</v>
      </c>
      <c r="P38" s="290">
        <f t="shared" si="17"/>
        <v>0</v>
      </c>
      <c r="Q38" s="273">
        <f t="shared" si="0"/>
        <v>19240</v>
      </c>
      <c r="R38" s="273">
        <f t="shared" si="1"/>
        <v>2308.7999999999997</v>
      </c>
      <c r="S38" s="290">
        <f t="shared" si="29"/>
        <v>21548.799999999999</v>
      </c>
      <c r="T38" s="266">
        <f t="shared" si="18"/>
        <v>0</v>
      </c>
    </row>
    <row r="39" spans="1:20" x14ac:dyDescent="0.25">
      <c r="A39" s="280" t="str">
        <f>'1. Detailed Budget'!D33</f>
        <v>Componente 2. Optimización de la cartera de EE.PP.</v>
      </c>
      <c r="B39" s="265">
        <f>B40+B46+B48+B51+B56</f>
        <v>67816399.99999997</v>
      </c>
      <c r="C39" s="265">
        <f>C40+C46+C48+C51+C56</f>
        <v>2977968</v>
      </c>
      <c r="D39" s="267">
        <f>B39+C39</f>
        <v>70794367.99999997</v>
      </c>
      <c r="E39" s="293">
        <f>E40+E46+E48+E51+E56</f>
        <v>2560880</v>
      </c>
      <c r="F39" s="287">
        <f>F40+F46+F48+F51+F56</f>
        <v>307305.59999999998</v>
      </c>
      <c r="G39" s="291">
        <f>E39+F39</f>
        <v>2868185.6</v>
      </c>
      <c r="H39" s="287">
        <f>H40+H46+H48+H51+H56</f>
        <v>55169599.99999997</v>
      </c>
      <c r="I39" s="287">
        <f>I40+I46+I48+I51+I56</f>
        <v>1460352</v>
      </c>
      <c r="J39" s="291">
        <f>H39+I39</f>
        <v>56629951.99999997</v>
      </c>
      <c r="K39" s="287">
        <f>K40+K46+K48+K51+K56</f>
        <v>8919600</v>
      </c>
      <c r="L39" s="287">
        <f>L40+L46+L48+L51+L56</f>
        <v>1070352</v>
      </c>
      <c r="M39" s="291">
        <f>K39+L39</f>
        <v>9989952</v>
      </c>
      <c r="N39" s="287">
        <f>N40+N46+N48+N51+N56</f>
        <v>1166320</v>
      </c>
      <c r="O39" s="287">
        <f>O40+O46+O48+O51+O56</f>
        <v>139958.39999999999</v>
      </c>
      <c r="P39" s="291">
        <f>N39+O39</f>
        <v>1306278.3999999999</v>
      </c>
      <c r="Q39" s="287">
        <f t="shared" si="0"/>
        <v>67816399.99999997</v>
      </c>
      <c r="R39" s="287">
        <f t="shared" si="1"/>
        <v>2977968</v>
      </c>
      <c r="S39" s="287">
        <f t="shared" si="29"/>
        <v>70794367.99999997</v>
      </c>
      <c r="T39" s="266">
        <f t="shared" si="18"/>
        <v>0</v>
      </c>
    </row>
    <row r="40" spans="1:20" ht="45" x14ac:dyDescent="0.25">
      <c r="A40" s="281" t="str">
        <f>'1. Detailed Budget'!A35</f>
        <v>2.1 Estrategia de fusión de Petroamazonas y Petroecuador, incluyendo definición de gobernanza corporativa y régimen fiscal diseñada e implementado</v>
      </c>
      <c r="B40" s="272">
        <f>SUM(B41:B45)</f>
        <v>20162000</v>
      </c>
      <c r="C40" s="272">
        <f>SUM(C41:C45)</f>
        <v>2419440</v>
      </c>
      <c r="D40" s="272">
        <f>B40+C40</f>
        <v>22581440</v>
      </c>
      <c r="E40" s="288">
        <f>SUM(E41:E45)</f>
        <v>2200000</v>
      </c>
      <c r="F40" s="288">
        <f>SUM(F41:F45)</f>
        <v>264000</v>
      </c>
      <c r="G40" s="288">
        <f>E40+F40</f>
        <v>2464000</v>
      </c>
      <c r="H40" s="288">
        <f>SUM(H41:H45)</f>
        <v>9681000</v>
      </c>
      <c r="I40" s="288">
        <f>SUM(I41:I45)</f>
        <v>1161720</v>
      </c>
      <c r="J40" s="288">
        <f>H40+I40</f>
        <v>10842720</v>
      </c>
      <c r="K40" s="288">
        <f>SUM(K41:K45)</f>
        <v>7281000</v>
      </c>
      <c r="L40" s="288">
        <f>SUM(L41:L45)</f>
        <v>873720</v>
      </c>
      <c r="M40" s="288">
        <f>K40+L40</f>
        <v>8154720</v>
      </c>
      <c r="N40" s="288">
        <f>SUM(N41:N45)</f>
        <v>1000000</v>
      </c>
      <c r="O40" s="288">
        <f>SUM(O41:O45)</f>
        <v>120000</v>
      </c>
      <c r="P40" s="288">
        <f>N40+O40</f>
        <v>1120000</v>
      </c>
      <c r="Q40" s="288">
        <f>SUM(Q41:Q45)</f>
        <v>20162000</v>
      </c>
      <c r="R40" s="288">
        <f>SUM(R41:R45)</f>
        <v>2419440</v>
      </c>
      <c r="S40" s="288">
        <f>Q40+R40</f>
        <v>22581440</v>
      </c>
      <c r="T40" s="266">
        <f t="shared" ref="T40:T64" si="67">D40-S40</f>
        <v>0</v>
      </c>
    </row>
    <row r="41" spans="1:20" ht="46.9" customHeight="1" x14ac:dyDescent="0.25">
      <c r="A41" s="283" t="str">
        <f>'1. Detailed Budget'!J35</f>
        <v xml:space="preserve">Consultoría especializada para diseño de la estrategia de fusión de Petroamazonas y Petroecuador, incluyendo definición de gobernanza corporativa y régimen fiscal </v>
      </c>
      <c r="B41" s="276">
        <f>'1. Detailed Budget'!N35</f>
        <v>10000000</v>
      </c>
      <c r="C41" s="276">
        <f t="shared" si="19"/>
        <v>1200000</v>
      </c>
      <c r="D41" s="273">
        <f t="shared" ref="D41:D42" si="68">B41+C41</f>
        <v>11200000</v>
      </c>
      <c r="E41" s="290">
        <f>$B$41*0.2</f>
        <v>2000000</v>
      </c>
      <c r="F41" s="290">
        <f t="shared" ref="F41:F62" si="69">E41*0.12</f>
        <v>240000</v>
      </c>
      <c r="G41" s="290">
        <f t="shared" si="23"/>
        <v>2240000</v>
      </c>
      <c r="H41" s="290">
        <f>$B$41*0.6</f>
        <v>6000000</v>
      </c>
      <c r="I41" s="290">
        <f t="shared" ref="I41:I57" si="70">H41*0.12</f>
        <v>720000</v>
      </c>
      <c r="J41" s="290">
        <f t="shared" si="20"/>
        <v>6720000</v>
      </c>
      <c r="K41" s="290">
        <f>$B$41*0.2</f>
        <v>2000000</v>
      </c>
      <c r="L41" s="290">
        <f t="shared" ref="L41:L45" si="71">K41*0.12</f>
        <v>240000</v>
      </c>
      <c r="M41" s="290">
        <f t="shared" ref="M41" si="72">K41+L41</f>
        <v>2240000</v>
      </c>
      <c r="N41" s="290"/>
      <c r="O41" s="290">
        <f t="shared" ref="O41:O57" si="73">N41*0.12</f>
        <v>0</v>
      </c>
      <c r="P41" s="290">
        <f t="shared" si="17"/>
        <v>0</v>
      </c>
      <c r="Q41" s="273">
        <f t="shared" ref="Q41:Q58" si="74">E41+H41+K41+N41</f>
        <v>10000000</v>
      </c>
      <c r="R41" s="273">
        <f t="shared" ref="R41:R58" si="75">F41+I41+L41+O41</f>
        <v>1200000</v>
      </c>
      <c r="S41" s="290">
        <f t="shared" si="29"/>
        <v>11200000</v>
      </c>
      <c r="T41" s="266">
        <f t="shared" si="67"/>
        <v>0</v>
      </c>
    </row>
    <row r="42" spans="1:20" ht="45" x14ac:dyDescent="0.25">
      <c r="A42" s="283" t="str">
        <f>'1. Detailed Budget'!J36</f>
        <v xml:space="preserve">Consultoría especializada para implementación de la estrategia de fusión de Petroamazonas y Petroecuador, incluyendo definición de gobernanza corporativa y régimen fiscal </v>
      </c>
      <c r="B42" s="276">
        <f>'1. Detailed Budget'!N36</f>
        <v>5000000</v>
      </c>
      <c r="C42" s="276">
        <f t="shared" si="19"/>
        <v>600000</v>
      </c>
      <c r="D42" s="273">
        <f t="shared" si="68"/>
        <v>5600000</v>
      </c>
      <c r="E42" s="290"/>
      <c r="F42" s="290">
        <f t="shared" si="69"/>
        <v>0</v>
      </c>
      <c r="G42" s="290">
        <f t="shared" si="23"/>
        <v>0</v>
      </c>
      <c r="H42" s="290">
        <f>$B$42*0.4</f>
        <v>2000000</v>
      </c>
      <c r="I42" s="290">
        <f t="shared" si="70"/>
        <v>240000</v>
      </c>
      <c r="J42" s="290">
        <f t="shared" si="20"/>
        <v>2240000</v>
      </c>
      <c r="K42" s="290">
        <f>$B$42*0.4</f>
        <v>2000000</v>
      </c>
      <c r="L42" s="290">
        <f t="shared" ref="L42:L57" si="76">K42*0.12</f>
        <v>240000</v>
      </c>
      <c r="M42" s="290">
        <f t="shared" si="15"/>
        <v>2240000</v>
      </c>
      <c r="N42" s="290">
        <f>$B$42*0.2</f>
        <v>1000000</v>
      </c>
      <c r="O42" s="290">
        <f t="shared" si="73"/>
        <v>120000</v>
      </c>
      <c r="P42" s="290">
        <f t="shared" si="17"/>
        <v>1120000</v>
      </c>
      <c r="Q42" s="273">
        <f t="shared" si="74"/>
        <v>5000000</v>
      </c>
      <c r="R42" s="273">
        <f t="shared" si="75"/>
        <v>600000</v>
      </c>
      <c r="S42" s="290">
        <f t="shared" si="29"/>
        <v>5600000</v>
      </c>
      <c r="T42" s="266">
        <f t="shared" si="67"/>
        <v>0</v>
      </c>
    </row>
    <row r="43" spans="1:20" ht="31.9" customHeight="1" x14ac:dyDescent="0.25">
      <c r="A43" s="283" t="str">
        <f>'1. Detailed Budget'!J37</f>
        <v>Consultoría especializada para implementación del Sistema informático de gestión (SAP)</v>
      </c>
      <c r="B43" s="276">
        <f>'1. Detailed Budget'!N37</f>
        <v>4000000</v>
      </c>
      <c r="C43" s="276">
        <f t="shared" si="19"/>
        <v>480000</v>
      </c>
      <c r="D43" s="273">
        <f t="shared" ref="D43:D44" si="77">B43+C43</f>
        <v>4480000</v>
      </c>
      <c r="E43" s="290"/>
      <c r="F43" s="290"/>
      <c r="G43" s="290"/>
      <c r="H43" s="290">
        <f>$B$43*0.3</f>
        <v>1200000</v>
      </c>
      <c r="I43" s="290">
        <f t="shared" si="70"/>
        <v>144000</v>
      </c>
      <c r="J43" s="290">
        <f t="shared" ref="J43:J45" si="78">H43+I43</f>
        <v>1344000</v>
      </c>
      <c r="K43" s="290">
        <f>$B$43*0.7</f>
        <v>2800000</v>
      </c>
      <c r="L43" s="290">
        <f t="shared" si="71"/>
        <v>336000</v>
      </c>
      <c r="M43" s="290">
        <f t="shared" si="15"/>
        <v>3136000</v>
      </c>
      <c r="N43" s="290"/>
      <c r="O43" s="290">
        <f t="shared" si="73"/>
        <v>0</v>
      </c>
      <c r="P43" s="290">
        <f t="shared" ref="P43" si="79">N43+O43</f>
        <v>0</v>
      </c>
      <c r="Q43" s="273">
        <f t="shared" si="74"/>
        <v>4000000</v>
      </c>
      <c r="R43" s="273">
        <f t="shared" si="75"/>
        <v>480000</v>
      </c>
      <c r="S43" s="290">
        <f t="shared" ref="S43:S44" si="80">Q43+R43</f>
        <v>4480000</v>
      </c>
      <c r="T43" s="266">
        <f t="shared" si="67"/>
        <v>0</v>
      </c>
    </row>
    <row r="44" spans="1:20" x14ac:dyDescent="0.25">
      <c r="A44" s="283" t="str">
        <f>'1. Detailed Budget'!J38</f>
        <v>Asesoría legal para la fusión</v>
      </c>
      <c r="B44" s="276">
        <f>'1. Detailed Budget'!N38</f>
        <v>1000000</v>
      </c>
      <c r="C44" s="276">
        <f t="shared" si="19"/>
        <v>120000</v>
      </c>
      <c r="D44" s="273">
        <f t="shared" si="77"/>
        <v>1120000</v>
      </c>
      <c r="E44" s="290">
        <f>$B$44*0.2</f>
        <v>200000</v>
      </c>
      <c r="F44" s="290">
        <f t="shared" si="69"/>
        <v>24000</v>
      </c>
      <c r="G44" s="290">
        <f t="shared" ref="G44" si="81">E44+F44</f>
        <v>224000</v>
      </c>
      <c r="H44" s="290">
        <f>$B$44*0.4</f>
        <v>400000</v>
      </c>
      <c r="I44" s="290">
        <f t="shared" si="70"/>
        <v>48000</v>
      </c>
      <c r="J44" s="290">
        <f t="shared" si="78"/>
        <v>448000</v>
      </c>
      <c r="K44" s="290">
        <f>$B$44*0.4</f>
        <v>400000</v>
      </c>
      <c r="L44" s="290">
        <f t="shared" si="71"/>
        <v>48000</v>
      </c>
      <c r="M44" s="290">
        <f t="shared" si="15"/>
        <v>448000</v>
      </c>
      <c r="N44" s="290"/>
      <c r="O44" s="290"/>
      <c r="P44" s="290"/>
      <c r="Q44" s="273">
        <f t="shared" si="74"/>
        <v>1000000</v>
      </c>
      <c r="R44" s="273">
        <f t="shared" si="75"/>
        <v>120000</v>
      </c>
      <c r="S44" s="290">
        <f t="shared" si="80"/>
        <v>1120000</v>
      </c>
      <c r="T44" s="266">
        <f t="shared" si="67"/>
        <v>0</v>
      </c>
    </row>
    <row r="45" spans="1:20" ht="45" x14ac:dyDescent="0.25">
      <c r="A45" s="283" t="str">
        <f>'1. Detailed Budget'!D35</f>
        <v xml:space="preserve">Consultoría especializada en temas técnicos de la cadena de valor (exploración y producción petrolera) para mejorar la eficiencia en la fusión. </v>
      </c>
      <c r="B45" s="276">
        <f>'1. Detailed Budget'!H35</f>
        <v>162000</v>
      </c>
      <c r="C45" s="276">
        <f t="shared" si="19"/>
        <v>19440</v>
      </c>
      <c r="D45" s="273">
        <f t="shared" ref="D45" si="82">B45+C45</f>
        <v>181440</v>
      </c>
      <c r="E45" s="290"/>
      <c r="F45" s="290"/>
      <c r="G45" s="290"/>
      <c r="H45" s="290">
        <f>$B$45*0.5</f>
        <v>81000</v>
      </c>
      <c r="I45" s="290">
        <f t="shared" si="70"/>
        <v>9720</v>
      </c>
      <c r="J45" s="290">
        <f t="shared" si="78"/>
        <v>90720</v>
      </c>
      <c r="K45" s="290">
        <f>$B$45*0.5</f>
        <v>81000</v>
      </c>
      <c r="L45" s="290">
        <f t="shared" si="71"/>
        <v>9720</v>
      </c>
      <c r="M45" s="290">
        <f t="shared" si="15"/>
        <v>90720</v>
      </c>
      <c r="N45" s="290"/>
      <c r="O45" s="290"/>
      <c r="P45" s="290"/>
      <c r="Q45" s="273">
        <f t="shared" si="74"/>
        <v>162000</v>
      </c>
      <c r="R45" s="273">
        <f t="shared" si="75"/>
        <v>19440</v>
      </c>
      <c r="S45" s="290">
        <f t="shared" ref="S45" si="83">Q45+R45</f>
        <v>181440</v>
      </c>
      <c r="T45" s="266">
        <f t="shared" si="67"/>
        <v>0</v>
      </c>
    </row>
    <row r="46" spans="1:20" ht="20.25" customHeight="1" x14ac:dyDescent="0.25">
      <c r="A46" s="281" t="str">
        <f>'1. Detailed Budget'!A39</f>
        <v>2.2 Optimización de la Corporación Eléctrica del Ecuador (CELEC), y la Corporación Nacional de Electricidad (CNEL) diseñada.</v>
      </c>
      <c r="B46" s="272">
        <f>B47</f>
        <v>3000000</v>
      </c>
      <c r="C46" s="272">
        <f>C47</f>
        <v>360000</v>
      </c>
      <c r="D46" s="272">
        <f>B46+C46</f>
        <v>3360000</v>
      </c>
      <c r="E46" s="288">
        <f t="shared" ref="E46:G46" si="84">E47</f>
        <v>0</v>
      </c>
      <c r="F46" s="288">
        <f t="shared" si="84"/>
        <v>0</v>
      </c>
      <c r="G46" s="288">
        <f t="shared" si="84"/>
        <v>0</v>
      </c>
      <c r="H46" s="288">
        <f t="shared" ref="H46" si="85">H47</f>
        <v>1500000</v>
      </c>
      <c r="I46" s="288">
        <f t="shared" ref="I46" si="86">I47</f>
        <v>180000</v>
      </c>
      <c r="J46" s="288">
        <f t="shared" ref="J46" si="87">J47</f>
        <v>1680000</v>
      </c>
      <c r="K46" s="288">
        <f t="shared" ref="K46" si="88">K47</f>
        <v>1500000</v>
      </c>
      <c r="L46" s="288">
        <f t="shared" ref="L46" si="89">L47</f>
        <v>180000</v>
      </c>
      <c r="M46" s="288">
        <f t="shared" ref="M46" si="90">M47</f>
        <v>1680000</v>
      </c>
      <c r="N46" s="288">
        <f t="shared" ref="N46" si="91">N47</f>
        <v>0</v>
      </c>
      <c r="O46" s="288">
        <f t="shared" ref="O46" si="92">O47</f>
        <v>0</v>
      </c>
      <c r="P46" s="288">
        <f t="shared" ref="P46" si="93">P47</f>
        <v>0</v>
      </c>
      <c r="Q46" s="287">
        <f t="shared" si="74"/>
        <v>3000000</v>
      </c>
      <c r="R46" s="287">
        <f t="shared" si="75"/>
        <v>360000</v>
      </c>
      <c r="S46" s="287">
        <f t="shared" si="29"/>
        <v>3360000</v>
      </c>
      <c r="T46" s="266">
        <f t="shared" si="67"/>
        <v>0</v>
      </c>
    </row>
    <row r="47" spans="1:20" ht="90" x14ac:dyDescent="0.25">
      <c r="A47" s="283" t="str">
        <f>'1. Detailed Budget'!J39</f>
        <v>Consultoría especializada para la optimización del funcionamiento de CELEC y CNEL, que incluya: a) diagnostico institucional de ambas entidades y propuesta coordinada de gestión del sector eléctrico; b) implementación de las reformas a la LOEP; c) estudios de costes de producción, incluyendo estimación de valor de activos y costes operativos</v>
      </c>
      <c r="B47" s="276">
        <f>'1. Detailed Budget'!N39</f>
        <v>3000000</v>
      </c>
      <c r="C47" s="276">
        <f t="shared" si="19"/>
        <v>360000</v>
      </c>
      <c r="D47" s="273">
        <f t="shared" ref="D47" si="94">B47+C47</f>
        <v>3360000</v>
      </c>
      <c r="E47" s="290"/>
      <c r="F47" s="290">
        <f t="shared" si="69"/>
        <v>0</v>
      </c>
      <c r="G47" s="290">
        <f t="shared" si="23"/>
        <v>0</v>
      </c>
      <c r="H47" s="290">
        <f>$B$47*0.5</f>
        <v>1500000</v>
      </c>
      <c r="I47" s="290">
        <f t="shared" si="70"/>
        <v>180000</v>
      </c>
      <c r="J47" s="290">
        <f t="shared" si="20"/>
        <v>1680000</v>
      </c>
      <c r="K47" s="290">
        <f>$B$47*0.5</f>
        <v>1500000</v>
      </c>
      <c r="L47" s="290">
        <f t="shared" si="76"/>
        <v>180000</v>
      </c>
      <c r="M47" s="290">
        <f t="shared" si="15"/>
        <v>1680000</v>
      </c>
      <c r="N47" s="290"/>
      <c r="O47" s="290">
        <f t="shared" si="73"/>
        <v>0</v>
      </c>
      <c r="P47" s="290">
        <f t="shared" si="17"/>
        <v>0</v>
      </c>
      <c r="Q47" s="273">
        <f t="shared" si="74"/>
        <v>3000000</v>
      </c>
      <c r="R47" s="273">
        <f t="shared" si="75"/>
        <v>360000</v>
      </c>
      <c r="S47" s="290">
        <f t="shared" si="29"/>
        <v>3360000</v>
      </c>
      <c r="T47" s="266">
        <f t="shared" si="67"/>
        <v>0</v>
      </c>
    </row>
    <row r="48" spans="1:20" ht="60" x14ac:dyDescent="0.25">
      <c r="A48" s="281" t="str">
        <f>'1. Detailed Budget'!A40</f>
        <v>2.3 Evaluación de pertinencia de propiedad estatal, análisis de mercado, y estrategia de puesta en valor (liquidación, restructuración, alianza estratégica con inversores privados o desinversión) para las empresa Tame elaborada</v>
      </c>
      <c r="B48" s="272">
        <f>SUM(B49:B50)</f>
        <v>1100000</v>
      </c>
      <c r="C48" s="272">
        <f>SUM(C49:C50)</f>
        <v>132000</v>
      </c>
      <c r="D48" s="272">
        <f>B48+C48</f>
        <v>1232000</v>
      </c>
      <c r="E48" s="288">
        <f t="shared" ref="E48:G48" si="95">SUM(E49:E50)</f>
        <v>250000</v>
      </c>
      <c r="F48" s="288">
        <f t="shared" si="95"/>
        <v>30000</v>
      </c>
      <c r="G48" s="288">
        <f t="shared" si="95"/>
        <v>280000</v>
      </c>
      <c r="H48" s="288">
        <f t="shared" ref="H48" si="96">SUM(H49:H50)</f>
        <v>850000</v>
      </c>
      <c r="I48" s="288">
        <f t="shared" ref="I48" si="97">SUM(I49:I50)</f>
        <v>102000</v>
      </c>
      <c r="J48" s="288">
        <f t="shared" ref="J48" si="98">SUM(J49:J50)</f>
        <v>952000</v>
      </c>
      <c r="K48" s="288">
        <f t="shared" ref="K48" si="99">SUM(K49:K50)</f>
        <v>0</v>
      </c>
      <c r="L48" s="288">
        <f t="shared" ref="L48" si="100">SUM(L49:L50)</f>
        <v>0</v>
      </c>
      <c r="M48" s="288">
        <f t="shared" ref="M48" si="101">SUM(M49:M50)</f>
        <v>0</v>
      </c>
      <c r="N48" s="288">
        <f t="shared" ref="N48" si="102">SUM(N49:N50)</f>
        <v>0</v>
      </c>
      <c r="O48" s="288">
        <f t="shared" ref="O48" si="103">SUM(O49:O50)</f>
        <v>0</v>
      </c>
      <c r="P48" s="288">
        <f t="shared" ref="P48" si="104">SUM(P49:P50)</f>
        <v>0</v>
      </c>
      <c r="Q48" s="287">
        <f t="shared" si="74"/>
        <v>1100000</v>
      </c>
      <c r="R48" s="287">
        <f t="shared" si="75"/>
        <v>132000</v>
      </c>
      <c r="S48" s="287">
        <f t="shared" si="29"/>
        <v>1232000</v>
      </c>
      <c r="T48" s="266">
        <f t="shared" si="67"/>
        <v>0</v>
      </c>
    </row>
    <row r="49" spans="1:25" ht="45" x14ac:dyDescent="0.25">
      <c r="A49" s="283" t="str">
        <f>'1. Detailed Budget'!J40</f>
        <v xml:space="preserve">Consultoría especializada para diseño de la estrategia de gobernanza corporativa y régimen fiscal de TAME (valoración patrimonial). </v>
      </c>
      <c r="B49" s="276">
        <f>'1. Detailed Budget'!N40</f>
        <v>1000000</v>
      </c>
      <c r="C49" s="276">
        <f t="shared" si="19"/>
        <v>120000</v>
      </c>
      <c r="D49" s="273">
        <f t="shared" ref="D49:D50" si="105">B49+C49</f>
        <v>1120000</v>
      </c>
      <c r="E49" s="290">
        <f>$B$49*0.2</f>
        <v>200000</v>
      </c>
      <c r="F49" s="290">
        <f t="shared" ref="F49" si="106">E49*0.12</f>
        <v>24000</v>
      </c>
      <c r="G49" s="290">
        <f t="shared" ref="G49" si="107">E49+F49</f>
        <v>224000</v>
      </c>
      <c r="H49" s="290">
        <f>$B$49*0.8</f>
        <v>800000</v>
      </c>
      <c r="I49" s="290">
        <f t="shared" si="70"/>
        <v>96000</v>
      </c>
      <c r="J49" s="290">
        <f t="shared" si="20"/>
        <v>896000</v>
      </c>
      <c r="K49" s="290"/>
      <c r="L49" s="290">
        <f t="shared" si="76"/>
        <v>0</v>
      </c>
      <c r="M49" s="290">
        <f t="shared" si="15"/>
        <v>0</v>
      </c>
      <c r="N49" s="290"/>
      <c r="O49" s="290">
        <f t="shared" si="73"/>
        <v>0</v>
      </c>
      <c r="P49" s="290">
        <f t="shared" si="17"/>
        <v>0</v>
      </c>
      <c r="Q49" s="273">
        <f t="shared" si="74"/>
        <v>1000000</v>
      </c>
      <c r="R49" s="273">
        <f t="shared" si="75"/>
        <v>120000</v>
      </c>
      <c r="S49" s="290">
        <f t="shared" si="29"/>
        <v>1120000</v>
      </c>
      <c r="T49" s="266">
        <f t="shared" si="67"/>
        <v>0</v>
      </c>
    </row>
    <row r="50" spans="1:25" ht="17.45" customHeight="1" x14ac:dyDescent="0.25">
      <c r="A50" s="283" t="str">
        <f>'1. Detailed Budget'!J41</f>
        <v>Acompañamiento para implementación NIIF 2017-2018</v>
      </c>
      <c r="B50" s="276">
        <f>'1. Detailed Budget'!N41</f>
        <v>100000</v>
      </c>
      <c r="C50" s="276">
        <f t="shared" si="19"/>
        <v>12000</v>
      </c>
      <c r="D50" s="273">
        <f t="shared" si="105"/>
        <v>112000</v>
      </c>
      <c r="E50" s="290">
        <f>$B$50*0.5</f>
        <v>50000</v>
      </c>
      <c r="F50" s="290">
        <f t="shared" si="69"/>
        <v>6000</v>
      </c>
      <c r="G50" s="290">
        <f t="shared" si="23"/>
        <v>56000</v>
      </c>
      <c r="H50" s="290">
        <f>$B$50*0.5</f>
        <v>50000</v>
      </c>
      <c r="I50" s="290">
        <f t="shared" si="70"/>
        <v>6000</v>
      </c>
      <c r="J50" s="290">
        <f t="shared" si="20"/>
        <v>56000</v>
      </c>
      <c r="K50" s="290"/>
      <c r="L50" s="290">
        <f t="shared" si="76"/>
        <v>0</v>
      </c>
      <c r="M50" s="290">
        <f t="shared" si="15"/>
        <v>0</v>
      </c>
      <c r="N50" s="290"/>
      <c r="O50" s="290">
        <f t="shared" si="73"/>
        <v>0</v>
      </c>
      <c r="P50" s="290">
        <f t="shared" si="17"/>
        <v>0</v>
      </c>
      <c r="Q50" s="273">
        <f t="shared" si="74"/>
        <v>100000</v>
      </c>
      <c r="R50" s="273">
        <f t="shared" si="75"/>
        <v>12000</v>
      </c>
      <c r="S50" s="290">
        <f t="shared" si="29"/>
        <v>112000</v>
      </c>
      <c r="T50" s="266">
        <f t="shared" si="67"/>
        <v>0</v>
      </c>
    </row>
    <row r="51" spans="1:25" ht="27.6" customHeight="1" x14ac:dyDescent="0.25">
      <c r="A51" s="281" t="str">
        <f>'1. Detailed Budget'!A43</f>
        <v xml:space="preserve">2.4 Personal con beneficios por desvinculación devengados en Petroamazonas, Petroecuador, CNEL, CELEC, Tame y EMCO </v>
      </c>
      <c r="B51" s="272">
        <f>SUM(B52:B55)</f>
        <v>42999999.99999997</v>
      </c>
      <c r="C51" s="272">
        <f t="shared" ref="C51" si="108">C52</f>
        <v>0</v>
      </c>
      <c r="D51" s="272">
        <f>SUM(D52:D55)</f>
        <v>42999999.99999997</v>
      </c>
      <c r="E51" s="288">
        <f>SUM(E52:E53)</f>
        <v>0</v>
      </c>
      <c r="F51" s="288">
        <f>SUM(F52:F53)</f>
        <v>0</v>
      </c>
      <c r="G51" s="288">
        <f>SUM(G52:G53)</f>
        <v>0</v>
      </c>
      <c r="H51" s="272">
        <f>SUM(H52:H55)</f>
        <v>42999999.99999997</v>
      </c>
      <c r="I51" s="288"/>
      <c r="J51" s="272">
        <f>SUM(J52:J55)</f>
        <v>42999999.99999997</v>
      </c>
      <c r="K51" s="288">
        <f t="shared" ref="K51:P51" si="109">SUM(K52:K53)</f>
        <v>0</v>
      </c>
      <c r="L51" s="288">
        <f t="shared" si="109"/>
        <v>0</v>
      </c>
      <c r="M51" s="288">
        <f t="shared" si="109"/>
        <v>0</v>
      </c>
      <c r="N51" s="288">
        <f t="shared" si="109"/>
        <v>0</v>
      </c>
      <c r="O51" s="288">
        <f t="shared" si="109"/>
        <v>0</v>
      </c>
      <c r="P51" s="288">
        <f t="shared" si="109"/>
        <v>0</v>
      </c>
      <c r="Q51" s="287">
        <f t="shared" si="74"/>
        <v>42999999.99999997</v>
      </c>
      <c r="R51" s="287">
        <f t="shared" si="75"/>
        <v>0</v>
      </c>
      <c r="S51" s="287">
        <f t="shared" si="29"/>
        <v>42999999.99999997</v>
      </c>
      <c r="T51" s="266">
        <f t="shared" si="67"/>
        <v>0</v>
      </c>
    </row>
    <row r="52" spans="1:25" ht="18" customHeight="1" x14ac:dyDescent="0.25">
      <c r="A52" s="286" t="s">
        <v>264</v>
      </c>
      <c r="B52" s="276">
        <f>'1. Detailed Budget'!AC43</f>
        <v>35727272.727272704</v>
      </c>
      <c r="C52" s="276"/>
      <c r="D52" s="273">
        <f t="shared" ref="D52" si="110">B52+C52</f>
        <v>35727272.727272704</v>
      </c>
      <c r="E52" s="290"/>
      <c r="F52" s="290">
        <f t="shared" si="69"/>
        <v>0</v>
      </c>
      <c r="G52" s="290">
        <f t="shared" si="23"/>
        <v>0</v>
      </c>
      <c r="H52" s="290">
        <f>B52</f>
        <v>35727272.727272704</v>
      </c>
      <c r="I52" s="290"/>
      <c r="J52" s="290">
        <f t="shared" si="20"/>
        <v>35727272.727272704</v>
      </c>
      <c r="K52" s="290"/>
      <c r="L52" s="290">
        <f t="shared" si="76"/>
        <v>0</v>
      </c>
      <c r="M52" s="290">
        <f t="shared" si="15"/>
        <v>0</v>
      </c>
      <c r="N52" s="290"/>
      <c r="O52" s="290">
        <f t="shared" si="73"/>
        <v>0</v>
      </c>
      <c r="P52" s="290">
        <f t="shared" si="17"/>
        <v>0</v>
      </c>
      <c r="Q52" s="273">
        <f t="shared" si="74"/>
        <v>35727272.727272704</v>
      </c>
      <c r="R52" s="273">
        <f t="shared" si="75"/>
        <v>0</v>
      </c>
      <c r="S52" s="290">
        <f t="shared" si="29"/>
        <v>35727272.727272704</v>
      </c>
      <c r="T52" s="266">
        <f t="shared" si="67"/>
        <v>0</v>
      </c>
    </row>
    <row r="53" spans="1:25" ht="18" customHeight="1" x14ac:dyDescent="0.25">
      <c r="A53" s="283" t="s">
        <v>182</v>
      </c>
      <c r="B53" s="276">
        <f>'1. Detailed Budget'!AC45</f>
        <v>909090.90909090906</v>
      </c>
      <c r="C53" s="276"/>
      <c r="D53" s="273">
        <f t="shared" ref="D53" si="111">B53+C53</f>
        <v>909090.90909090906</v>
      </c>
      <c r="E53" s="290"/>
      <c r="F53" s="290">
        <f t="shared" ref="F53" si="112">E53*0.12</f>
        <v>0</v>
      </c>
      <c r="G53" s="290">
        <f t="shared" ref="G53" si="113">E53+F53</f>
        <v>0</v>
      </c>
      <c r="H53" s="290">
        <f>B53</f>
        <v>909090.90909090906</v>
      </c>
      <c r="I53" s="290"/>
      <c r="J53" s="290">
        <f t="shared" ref="J53" si="114">H53+I53</f>
        <v>909090.90909090906</v>
      </c>
      <c r="K53" s="290"/>
      <c r="L53" s="290">
        <f t="shared" ref="L53" si="115">K53*0.12</f>
        <v>0</v>
      </c>
      <c r="M53" s="290">
        <f t="shared" ref="M53" si="116">K53+L53</f>
        <v>0</v>
      </c>
      <c r="N53" s="290"/>
      <c r="O53" s="290">
        <f t="shared" ref="O53" si="117">N53*0.12</f>
        <v>0</v>
      </c>
      <c r="P53" s="290">
        <f t="shared" ref="P53" si="118">N53+O53</f>
        <v>0</v>
      </c>
      <c r="Q53" s="273">
        <f t="shared" si="74"/>
        <v>909090.90909090906</v>
      </c>
      <c r="R53" s="273">
        <f t="shared" si="75"/>
        <v>0</v>
      </c>
      <c r="S53" s="290">
        <f t="shared" ref="S53" si="119">Q53+R53</f>
        <v>909090.90909090906</v>
      </c>
      <c r="T53" s="266">
        <f t="shared" si="67"/>
        <v>0</v>
      </c>
    </row>
    <row r="54" spans="1:25" ht="18" customHeight="1" x14ac:dyDescent="0.25">
      <c r="A54" s="286" t="s">
        <v>265</v>
      </c>
      <c r="B54" s="276">
        <f>'1. Detailed Budget'!AC46</f>
        <v>5454545.4545454541</v>
      </c>
      <c r="C54" s="276"/>
      <c r="D54" s="273">
        <f t="shared" ref="D54" si="120">B54+C54</f>
        <v>5454545.4545454541</v>
      </c>
      <c r="E54" s="290"/>
      <c r="F54" s="290">
        <f t="shared" ref="F54" si="121">E54*0.12</f>
        <v>0</v>
      </c>
      <c r="G54" s="290">
        <f t="shared" ref="G54" si="122">E54+F54</f>
        <v>0</v>
      </c>
      <c r="H54" s="290">
        <f>B54</f>
        <v>5454545.4545454541</v>
      </c>
      <c r="I54" s="290"/>
      <c r="J54" s="290">
        <f t="shared" ref="J54" si="123">H54+I54</f>
        <v>5454545.4545454541</v>
      </c>
      <c r="K54" s="290"/>
      <c r="L54" s="290">
        <f t="shared" ref="L54" si="124">K54*0.12</f>
        <v>0</v>
      </c>
      <c r="M54" s="290">
        <f t="shared" ref="M54" si="125">K54+L54</f>
        <v>0</v>
      </c>
      <c r="N54" s="290"/>
      <c r="O54" s="290">
        <f t="shared" ref="O54" si="126">N54*0.12</f>
        <v>0</v>
      </c>
      <c r="P54" s="290">
        <f t="shared" ref="P54" si="127">N54+O54</f>
        <v>0</v>
      </c>
      <c r="Q54" s="273">
        <f t="shared" si="74"/>
        <v>5454545.4545454541</v>
      </c>
      <c r="R54" s="273">
        <f t="shared" si="75"/>
        <v>0</v>
      </c>
      <c r="S54" s="290">
        <f t="shared" ref="S54" si="128">Q54+R54</f>
        <v>5454545.4545454541</v>
      </c>
      <c r="T54" s="266">
        <f t="shared" si="67"/>
        <v>0</v>
      </c>
    </row>
    <row r="55" spans="1:25" ht="18" customHeight="1" x14ac:dyDescent="0.25">
      <c r="A55" s="286" t="s">
        <v>265</v>
      </c>
      <c r="B55" s="276">
        <f>'1. Detailed Budget'!AC48</f>
        <v>909090.90909090906</v>
      </c>
      <c r="C55" s="276"/>
      <c r="D55" s="273">
        <f t="shared" ref="D55" si="129">B55+C55</f>
        <v>909090.90909090906</v>
      </c>
      <c r="E55" s="290"/>
      <c r="F55" s="290">
        <f t="shared" ref="F55" si="130">E55*0.12</f>
        <v>0</v>
      </c>
      <c r="G55" s="290">
        <f t="shared" ref="G55" si="131">E55+F55</f>
        <v>0</v>
      </c>
      <c r="H55" s="290">
        <f>B55</f>
        <v>909090.90909090906</v>
      </c>
      <c r="I55" s="290"/>
      <c r="J55" s="290">
        <f t="shared" ref="J55" si="132">H55+I55</f>
        <v>909090.90909090906</v>
      </c>
      <c r="K55" s="290"/>
      <c r="L55" s="290">
        <f t="shared" ref="L55" si="133">K55*0.12</f>
        <v>0</v>
      </c>
      <c r="M55" s="290">
        <f t="shared" ref="M55" si="134">K55+L55</f>
        <v>0</v>
      </c>
      <c r="N55" s="290"/>
      <c r="O55" s="290">
        <f t="shared" ref="O55" si="135">N55*0.12</f>
        <v>0</v>
      </c>
      <c r="P55" s="290">
        <f t="shared" ref="P55" si="136">N55+O55</f>
        <v>0</v>
      </c>
      <c r="Q55" s="273">
        <f t="shared" si="74"/>
        <v>909090.90909090906</v>
      </c>
      <c r="R55" s="273">
        <f t="shared" si="75"/>
        <v>0</v>
      </c>
      <c r="S55" s="290">
        <f t="shared" ref="S55" si="137">Q55+R55</f>
        <v>909090.90909090906</v>
      </c>
      <c r="T55" s="266">
        <f t="shared" si="67"/>
        <v>0</v>
      </c>
    </row>
    <row r="56" spans="1:25" ht="45" x14ac:dyDescent="0.25">
      <c r="A56" s="281" t="str">
        <f>'1. Detailed Budget'!A49</f>
        <v>2.5 Estrategia de comunicación (pública e interna) que facilite la comprensión de los objetivos de la reforma y las estrategias diseñadas para que beneficie al ciudadano implementada</v>
      </c>
      <c r="B56" s="272">
        <f>SUM(B57:B57)</f>
        <v>554400</v>
      </c>
      <c r="C56" s="272">
        <f>SUM(C57:C57)</f>
        <v>66528</v>
      </c>
      <c r="D56" s="272">
        <f>B56+C56</f>
        <v>620928</v>
      </c>
      <c r="E56" s="292">
        <f t="shared" ref="E56:P56" si="138">SUM(E57:E57)</f>
        <v>110880</v>
      </c>
      <c r="F56" s="288">
        <f t="shared" si="138"/>
        <v>13305.6</v>
      </c>
      <c r="G56" s="288">
        <f t="shared" si="138"/>
        <v>124185.60000000001</v>
      </c>
      <c r="H56" s="288">
        <f t="shared" si="138"/>
        <v>138600</v>
      </c>
      <c r="I56" s="288">
        <f t="shared" si="138"/>
        <v>16632</v>
      </c>
      <c r="J56" s="288">
        <f t="shared" si="138"/>
        <v>155232</v>
      </c>
      <c r="K56" s="288">
        <f t="shared" si="138"/>
        <v>138600</v>
      </c>
      <c r="L56" s="288">
        <f t="shared" si="138"/>
        <v>16632</v>
      </c>
      <c r="M56" s="288">
        <f t="shared" si="138"/>
        <v>155232</v>
      </c>
      <c r="N56" s="288">
        <f t="shared" si="138"/>
        <v>166320</v>
      </c>
      <c r="O56" s="288">
        <f t="shared" si="138"/>
        <v>19958.399999999998</v>
      </c>
      <c r="P56" s="288">
        <f t="shared" si="138"/>
        <v>186278.39999999999</v>
      </c>
      <c r="Q56" s="287">
        <f t="shared" si="74"/>
        <v>554400</v>
      </c>
      <c r="R56" s="287">
        <f t="shared" si="75"/>
        <v>66528</v>
      </c>
      <c r="S56" s="287">
        <f t="shared" si="29"/>
        <v>620928</v>
      </c>
      <c r="T56" s="266">
        <f t="shared" si="67"/>
        <v>0</v>
      </c>
    </row>
    <row r="57" spans="1:25" ht="60" x14ac:dyDescent="0.25">
      <c r="A57" s="283" t="str">
        <f>'1. Detailed Budget'!J49</f>
        <v>Consultoría especializada para la implementación de la estrategia de comunicación (pública e interna) que facilite la comprensión de los objetivos de la reforma y las estrategias diseñadas para que beneficie al ciudadano, que incluya eventos de socialización</v>
      </c>
      <c r="B57" s="276">
        <f>'1. Detailed Budget'!N49</f>
        <v>554400</v>
      </c>
      <c r="C57" s="276">
        <f t="shared" si="19"/>
        <v>66528</v>
      </c>
      <c r="D57" s="273">
        <f t="shared" ref="D57" si="139">B57+C57</f>
        <v>620928</v>
      </c>
      <c r="E57" s="290">
        <f>$B$57*0.2</f>
        <v>110880</v>
      </c>
      <c r="F57" s="290">
        <f t="shared" si="69"/>
        <v>13305.6</v>
      </c>
      <c r="G57" s="290">
        <f t="shared" si="23"/>
        <v>124185.60000000001</v>
      </c>
      <c r="H57" s="290">
        <f>$B$57*0.25</f>
        <v>138600</v>
      </c>
      <c r="I57" s="290">
        <f t="shared" si="70"/>
        <v>16632</v>
      </c>
      <c r="J57" s="290">
        <f t="shared" si="20"/>
        <v>155232</v>
      </c>
      <c r="K57" s="290">
        <f>$B$57*0.25</f>
        <v>138600</v>
      </c>
      <c r="L57" s="290">
        <f t="shared" si="76"/>
        <v>16632</v>
      </c>
      <c r="M57" s="290">
        <f>K57+L57</f>
        <v>155232</v>
      </c>
      <c r="N57" s="290">
        <f>$B$57*0.3</f>
        <v>166320</v>
      </c>
      <c r="O57" s="290">
        <f t="shared" si="73"/>
        <v>19958.399999999998</v>
      </c>
      <c r="P57" s="290">
        <f>N57+O57</f>
        <v>186278.39999999999</v>
      </c>
      <c r="Q57" s="273">
        <f t="shared" si="74"/>
        <v>554400</v>
      </c>
      <c r="R57" s="273">
        <f t="shared" si="75"/>
        <v>66528</v>
      </c>
      <c r="S57" s="290">
        <f t="shared" si="29"/>
        <v>620928</v>
      </c>
      <c r="T57" s="266">
        <f t="shared" si="67"/>
        <v>0</v>
      </c>
      <c r="Y57" s="269"/>
    </row>
    <row r="58" spans="1:25" x14ac:dyDescent="0.25">
      <c r="A58" s="284" t="s">
        <v>119</v>
      </c>
      <c r="B58" s="277"/>
      <c r="C58" s="277"/>
      <c r="D58" s="277"/>
      <c r="E58" s="293">
        <f>SUM(E59:E63)</f>
        <v>151810</v>
      </c>
      <c r="F58" s="287">
        <f>SUM(F59:F63)</f>
        <v>18217.199999999997</v>
      </c>
      <c r="G58" s="287">
        <f>E58+F58</f>
        <v>170027.2</v>
      </c>
      <c r="H58" s="287">
        <f>SUM(H59:H63)</f>
        <v>831846.32000001078</v>
      </c>
      <c r="I58" s="287">
        <f>SUM(I59:I63)</f>
        <v>99821.55840000129</v>
      </c>
      <c r="J58" s="287">
        <f>H58+I58</f>
        <v>931667.87840001204</v>
      </c>
      <c r="K58" s="287">
        <f>SUM(K59:K63)</f>
        <v>981846.32000001078</v>
      </c>
      <c r="L58" s="287">
        <f>SUM(L59:L63)</f>
        <v>117821.55840000129</v>
      </c>
      <c r="M58" s="287">
        <f>K58+L58</f>
        <v>1099667.8784000122</v>
      </c>
      <c r="N58" s="287">
        <f>SUM(N59:N63)</f>
        <v>1108151.7600000144</v>
      </c>
      <c r="O58" s="287">
        <f>SUM(O59:O63)</f>
        <v>132978.21120000174</v>
      </c>
      <c r="P58" s="287">
        <f t="shared" ref="P58:P62" si="140">N58+O58</f>
        <v>1241129.9712000161</v>
      </c>
      <c r="Q58" s="287">
        <f t="shared" si="74"/>
        <v>3073654.4000000358</v>
      </c>
      <c r="R58" s="287">
        <f t="shared" si="75"/>
        <v>368838.52800000436</v>
      </c>
      <c r="S58" s="287">
        <f>G58+J58+M58+P58</f>
        <v>3442492.9280000404</v>
      </c>
      <c r="T58" s="266">
        <f t="shared" si="67"/>
        <v>-3442492.9280000404</v>
      </c>
      <c r="Y58" s="269"/>
    </row>
    <row r="59" spans="1:25" x14ac:dyDescent="0.25">
      <c r="A59" s="283" t="s">
        <v>114</v>
      </c>
      <c r="B59" s="274"/>
      <c r="C59" s="274"/>
      <c r="D59" s="274"/>
      <c r="E59" s="266">
        <f>(SUM('1. Detailed Budget'!B51:B59)/40)*4</f>
        <v>120560</v>
      </c>
      <c r="F59" s="266">
        <f t="shared" si="69"/>
        <v>14467.199999999999</v>
      </c>
      <c r="G59" s="266">
        <f>E59+F59</f>
        <v>135027.20000000001</v>
      </c>
      <c r="H59" s="266">
        <f>(SUM('1. Detailed Budget'!B51:B59)/40)*12</f>
        <v>361680</v>
      </c>
      <c r="I59" s="266">
        <f t="shared" ref="I59:I62" si="141">H59*0.12</f>
        <v>43401.599999999999</v>
      </c>
      <c r="J59" s="266">
        <f>H59+I59</f>
        <v>405081.59999999998</v>
      </c>
      <c r="K59" s="266">
        <f>(SUM('1. Detailed Budget'!B51:B59)/40)*12</f>
        <v>361680</v>
      </c>
      <c r="L59" s="266">
        <f t="shared" ref="L59:L63" si="142">K59*0.12</f>
        <v>43401.599999999999</v>
      </c>
      <c r="M59" s="266">
        <f t="shared" ref="M59:M61" si="143">K59+L59</f>
        <v>405081.59999999998</v>
      </c>
      <c r="N59" s="266">
        <f>(SUM('1. Detailed Budget'!B51:B59)/40)*12</f>
        <v>361680</v>
      </c>
      <c r="O59" s="266">
        <f t="shared" ref="O59:O62" si="144">N59*0.12</f>
        <v>43401.599999999999</v>
      </c>
      <c r="P59" s="266">
        <f>N59+O59</f>
        <v>405081.59999999998</v>
      </c>
      <c r="Q59" s="266">
        <f>E59+H59+K59+N59</f>
        <v>1205600</v>
      </c>
      <c r="R59" s="266">
        <f t="shared" ref="R59:R63" si="145">Q59*0.12</f>
        <v>144672</v>
      </c>
      <c r="S59" s="266">
        <f t="shared" ref="S59:S63" si="146">Q59+R59</f>
        <v>1350272</v>
      </c>
      <c r="T59" s="266">
        <f t="shared" si="67"/>
        <v>-1350272</v>
      </c>
      <c r="U59" s="268"/>
      <c r="Y59" s="269"/>
    </row>
    <row r="60" spans="1:25" x14ac:dyDescent="0.25">
      <c r="A60" s="283" t="s">
        <v>115</v>
      </c>
      <c r="B60" s="274"/>
      <c r="C60" s="274"/>
      <c r="D60" s="274"/>
      <c r="E60" s="294"/>
      <c r="F60" s="266">
        <f t="shared" si="69"/>
        <v>0</v>
      </c>
      <c r="G60" s="266"/>
      <c r="H60" s="294">
        <f>'1. Detailed Budget'!B66*0.3</f>
        <v>438916.32000001078</v>
      </c>
      <c r="I60" s="294">
        <f t="shared" si="141"/>
        <v>52669.958400001291</v>
      </c>
      <c r="J60" s="294">
        <f t="shared" ref="J60" si="147">H60+I60</f>
        <v>491586.27840001206</v>
      </c>
      <c r="K60" s="294">
        <f>'1. Detailed Budget'!B66*0.3</f>
        <v>438916.32000001078</v>
      </c>
      <c r="L60" s="294">
        <f t="shared" si="142"/>
        <v>52669.958400001291</v>
      </c>
      <c r="M60" s="294">
        <f t="shared" si="143"/>
        <v>491586.27840001206</v>
      </c>
      <c r="N60" s="294">
        <f>'1. Detailed Budget'!B66*0.4</f>
        <v>585221.76000001444</v>
      </c>
      <c r="O60" s="294">
        <f t="shared" si="144"/>
        <v>70226.611200001731</v>
      </c>
      <c r="P60" s="294">
        <f t="shared" si="140"/>
        <v>655448.37120001623</v>
      </c>
      <c r="Q60" s="294">
        <f>E60+H60+K60+N60</f>
        <v>1463054.400000036</v>
      </c>
      <c r="R60" s="294">
        <f>Q60*0.12</f>
        <v>175566.5280000043</v>
      </c>
      <c r="S60" s="294">
        <f t="shared" si="146"/>
        <v>1638620.9280000404</v>
      </c>
      <c r="T60" s="266">
        <f t="shared" si="67"/>
        <v>-1638620.9280000404</v>
      </c>
      <c r="U60" s="268"/>
      <c r="Y60" s="269"/>
    </row>
    <row r="61" spans="1:25" x14ac:dyDescent="0.25">
      <c r="A61" s="283" t="s">
        <v>117</v>
      </c>
      <c r="B61" s="274"/>
      <c r="C61" s="274"/>
      <c r="D61" s="274"/>
      <c r="E61" s="266"/>
      <c r="F61" s="266">
        <f t="shared" si="69"/>
        <v>0</v>
      </c>
      <c r="G61" s="266"/>
      <c r="H61" s="266"/>
      <c r="I61" s="266">
        <f t="shared" si="141"/>
        <v>0</v>
      </c>
      <c r="J61" s="266">
        <f t="shared" ref="J61:J62" si="148">H61+I61</f>
        <v>0</v>
      </c>
      <c r="K61" s="266">
        <v>100000</v>
      </c>
      <c r="L61" s="266">
        <f t="shared" si="142"/>
        <v>12000</v>
      </c>
      <c r="M61" s="266">
        <f t="shared" si="143"/>
        <v>112000</v>
      </c>
      <c r="N61" s="266">
        <v>130000</v>
      </c>
      <c r="O61" s="266">
        <f t="shared" si="144"/>
        <v>15600</v>
      </c>
      <c r="P61" s="266">
        <f t="shared" si="140"/>
        <v>145600</v>
      </c>
      <c r="Q61" s="266">
        <f>E61+H61+K61+N61</f>
        <v>230000</v>
      </c>
      <c r="R61" s="266">
        <f t="shared" si="145"/>
        <v>27600</v>
      </c>
      <c r="S61" s="266">
        <f t="shared" si="146"/>
        <v>257600</v>
      </c>
      <c r="T61" s="266">
        <f t="shared" si="67"/>
        <v>-257600</v>
      </c>
      <c r="U61" s="268"/>
      <c r="Y61" s="269"/>
    </row>
    <row r="62" spans="1:25" x14ac:dyDescent="0.25">
      <c r="A62" s="283" t="s">
        <v>118</v>
      </c>
      <c r="B62" s="274"/>
      <c r="C62" s="274"/>
      <c r="D62" s="274"/>
      <c r="E62" s="266">
        <f>'1. Detailed Budget'!B63/4</f>
        <v>31250</v>
      </c>
      <c r="F62" s="266">
        <f t="shared" si="69"/>
        <v>3750</v>
      </c>
      <c r="G62" s="266">
        <f>E62+F62</f>
        <v>35000</v>
      </c>
      <c r="H62" s="266">
        <f>'1. Detailed Budget'!B63/4</f>
        <v>31250</v>
      </c>
      <c r="I62" s="266">
        <f t="shared" si="141"/>
        <v>3750</v>
      </c>
      <c r="J62" s="266">
        <f t="shared" si="148"/>
        <v>35000</v>
      </c>
      <c r="K62" s="266">
        <f>'1. Detailed Budget'!B63/4</f>
        <v>31250</v>
      </c>
      <c r="L62" s="266">
        <f t="shared" si="142"/>
        <v>3750</v>
      </c>
      <c r="M62" s="287">
        <f>K62+L62</f>
        <v>35000</v>
      </c>
      <c r="N62" s="266">
        <f>'1. Detailed Budget'!B63/4</f>
        <v>31250</v>
      </c>
      <c r="O62" s="266">
        <f t="shared" si="144"/>
        <v>3750</v>
      </c>
      <c r="P62" s="266">
        <f t="shared" si="140"/>
        <v>35000</v>
      </c>
      <c r="Q62" s="266">
        <f>E62+H62+K62+N62</f>
        <v>125000</v>
      </c>
      <c r="R62" s="266">
        <f t="shared" si="145"/>
        <v>15000</v>
      </c>
      <c r="S62" s="266">
        <f t="shared" si="146"/>
        <v>140000</v>
      </c>
      <c r="T62" s="266">
        <f t="shared" si="67"/>
        <v>-140000</v>
      </c>
      <c r="U62" s="268"/>
      <c r="Y62" s="269"/>
    </row>
    <row r="63" spans="1:25" x14ac:dyDescent="0.25">
      <c r="A63" s="285" t="s">
        <v>194</v>
      </c>
      <c r="B63" s="274"/>
      <c r="C63" s="274"/>
      <c r="D63" s="274"/>
      <c r="E63" s="266"/>
      <c r="F63" s="266"/>
      <c r="G63" s="266"/>
      <c r="H63" s="266"/>
      <c r="I63" s="266"/>
      <c r="J63" s="266"/>
      <c r="K63" s="266">
        <f>'1. Detailed Budget'!B64</f>
        <v>50000</v>
      </c>
      <c r="L63" s="266">
        <f t="shared" si="142"/>
        <v>6000</v>
      </c>
      <c r="M63" s="287">
        <f>K63+L63</f>
        <v>56000</v>
      </c>
      <c r="N63" s="266"/>
      <c r="O63" s="266"/>
      <c r="P63" s="266"/>
      <c r="Q63" s="266">
        <f>E63+H63+K63+N63</f>
        <v>50000</v>
      </c>
      <c r="R63" s="266">
        <f t="shared" si="145"/>
        <v>6000</v>
      </c>
      <c r="S63" s="266">
        <f t="shared" si="146"/>
        <v>56000</v>
      </c>
      <c r="T63" s="266">
        <f t="shared" si="67"/>
        <v>-56000</v>
      </c>
      <c r="U63" s="268"/>
      <c r="Y63" s="269"/>
    </row>
    <row r="64" spans="1:25" x14ac:dyDescent="0.25">
      <c r="A64" s="280" t="s">
        <v>116</v>
      </c>
      <c r="B64" s="271"/>
      <c r="C64" s="271"/>
      <c r="D64" s="271"/>
      <c r="E64" s="265">
        <v>0</v>
      </c>
      <c r="F64" s="265"/>
      <c r="G64" s="265"/>
      <c r="H64" s="265">
        <v>0</v>
      </c>
      <c r="I64" s="265"/>
      <c r="J64" s="265"/>
      <c r="K64" s="265">
        <v>0</v>
      </c>
      <c r="L64" s="265"/>
      <c r="M64" s="265"/>
      <c r="N64" s="265">
        <v>0</v>
      </c>
      <c r="O64" s="265"/>
      <c r="P64" s="265"/>
      <c r="Q64" s="265">
        <v>0</v>
      </c>
      <c r="R64" s="265">
        <v>0</v>
      </c>
      <c r="S64" s="265"/>
      <c r="T64" s="266">
        <f t="shared" si="67"/>
        <v>0</v>
      </c>
      <c r="Y64" s="269"/>
    </row>
    <row r="65" spans="5:25" x14ac:dyDescent="0.25">
      <c r="E65" s="268"/>
      <c r="F65" s="268"/>
      <c r="G65" s="268"/>
      <c r="H65" s="268"/>
      <c r="I65" s="268"/>
      <c r="J65" s="268"/>
      <c r="K65" s="268"/>
      <c r="L65" s="268"/>
      <c r="M65" s="268"/>
      <c r="N65" s="268"/>
      <c r="O65" s="268"/>
      <c r="P65" s="268"/>
      <c r="Q65" s="268"/>
      <c r="R65" s="268"/>
      <c r="S65" s="268"/>
      <c r="Y65" s="269"/>
    </row>
    <row r="66" spans="5:25" x14ac:dyDescent="0.25">
      <c r="Y66" s="269"/>
    </row>
    <row r="67" spans="5:25" x14ac:dyDescent="0.25">
      <c r="Y67" s="269"/>
    </row>
    <row r="68" spans="5:25" x14ac:dyDescent="0.25"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69"/>
      <c r="P68" s="269"/>
      <c r="Q68" s="269"/>
      <c r="R68" s="269"/>
      <c r="S68" s="269"/>
      <c r="Y68" s="269"/>
    </row>
    <row r="69" spans="5:25" x14ac:dyDescent="0.25">
      <c r="E69" s="269"/>
      <c r="F69" s="269"/>
      <c r="G69" s="269"/>
      <c r="H69" s="269"/>
      <c r="I69" s="269"/>
      <c r="J69" s="269"/>
      <c r="K69" s="269"/>
      <c r="L69" s="269"/>
      <c r="M69" s="269"/>
      <c r="N69" s="269"/>
      <c r="O69" s="269"/>
      <c r="P69" s="269"/>
      <c r="Q69" s="269"/>
      <c r="R69" s="269"/>
      <c r="S69" s="269"/>
      <c r="Y69" s="269"/>
    </row>
    <row r="70" spans="5:25" x14ac:dyDescent="0.25">
      <c r="E70" s="269"/>
      <c r="F70" s="269"/>
      <c r="G70" s="269"/>
      <c r="H70" s="269"/>
      <c r="I70" s="269"/>
      <c r="J70" s="269"/>
      <c r="K70" s="269"/>
      <c r="L70" s="269"/>
      <c r="M70" s="269"/>
      <c r="N70" s="269"/>
      <c r="O70" s="269"/>
      <c r="P70" s="269"/>
      <c r="Q70" s="269"/>
      <c r="R70" s="269"/>
      <c r="S70" s="269"/>
      <c r="Y70" s="269"/>
    </row>
    <row r="71" spans="5:25" x14ac:dyDescent="0.25">
      <c r="Y71" s="269"/>
    </row>
    <row r="72" spans="5:25" x14ac:dyDescent="0.25">
      <c r="E72" s="266"/>
      <c r="Y72" s="269"/>
    </row>
    <row r="73" spans="5:25" x14ac:dyDescent="0.25">
      <c r="Y73" s="269"/>
    </row>
  </sheetData>
  <mergeCells count="4">
    <mergeCell ref="E2:F2"/>
    <mergeCell ref="H2:J2"/>
    <mergeCell ref="K2:M2"/>
    <mergeCell ref="N2:P2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0B4BC-74CB-4C6F-B41D-CB452EE2EB30}">
  <dimension ref="A1:U397"/>
  <sheetViews>
    <sheetView zoomScale="80" zoomScaleNormal="80" zoomScalePageLayoutView="115" workbookViewId="0">
      <selection activeCell="B11" sqref="B11"/>
    </sheetView>
  </sheetViews>
  <sheetFormatPr defaultColWidth="8.75" defaultRowHeight="15.75" x14ac:dyDescent="0.25"/>
  <cols>
    <col min="1" max="1" width="19.25" style="214" customWidth="1"/>
    <col min="2" max="3" width="7.25" style="214" customWidth="1"/>
    <col min="4" max="4" width="8.375" style="214" customWidth="1"/>
    <col min="5" max="5" width="7.25" style="214" customWidth="1"/>
    <col min="6" max="6" width="7.875" style="214" customWidth="1"/>
    <col min="7" max="8" width="7.25" style="214" customWidth="1"/>
    <col min="9" max="9" width="6.75" style="255" customWidth="1"/>
    <col min="10" max="10" width="6" style="255" customWidth="1"/>
    <col min="11" max="11" width="7.25" style="255" customWidth="1"/>
    <col min="12" max="12" width="6" style="255" customWidth="1"/>
    <col min="13" max="13" width="7.75" style="214" customWidth="1"/>
    <col min="14" max="14" width="5.75" style="214" customWidth="1"/>
    <col min="15" max="15" width="16.25" style="214" customWidth="1"/>
    <col min="16" max="16" width="11.25" style="214" customWidth="1"/>
    <col min="17" max="17" width="11" style="214" customWidth="1"/>
    <col min="18" max="18" width="10.75" style="214" customWidth="1"/>
    <col min="19" max="19" width="11.875" customWidth="1"/>
    <col min="20" max="20" width="12.25" customWidth="1"/>
  </cols>
  <sheetData>
    <row r="1" spans="1:16" ht="16.5" thickBot="1" x14ac:dyDescent="0.3">
      <c r="A1" s="319" t="s">
        <v>236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</row>
    <row r="2" spans="1:16" ht="12" customHeight="1" x14ac:dyDescent="0.25">
      <c r="A2" s="321" t="s">
        <v>19</v>
      </c>
      <c r="B2" s="323" t="s">
        <v>20</v>
      </c>
      <c r="C2" s="324"/>
      <c r="D2" s="324"/>
      <c r="E2" s="324"/>
      <c r="F2" s="324"/>
      <c r="G2" s="324"/>
      <c r="H2" s="324"/>
      <c r="I2" s="321" t="s">
        <v>237</v>
      </c>
      <c r="J2" s="321" t="s">
        <v>238</v>
      </c>
      <c r="K2" s="321" t="s">
        <v>239</v>
      </c>
      <c r="L2" s="321" t="s">
        <v>240</v>
      </c>
      <c r="M2" s="321" t="s">
        <v>8</v>
      </c>
      <c r="N2" s="321" t="s">
        <v>241</v>
      </c>
    </row>
    <row r="3" spans="1:16" ht="10.15" customHeight="1" thickBot="1" x14ac:dyDescent="0.3">
      <c r="A3" s="322"/>
      <c r="B3" s="215" t="s">
        <v>42</v>
      </c>
      <c r="C3" s="216" t="s">
        <v>242</v>
      </c>
      <c r="D3" s="216" t="s">
        <v>144</v>
      </c>
      <c r="E3" s="216" t="s">
        <v>196</v>
      </c>
      <c r="F3" s="216" t="s">
        <v>243</v>
      </c>
      <c r="G3" s="216" t="s">
        <v>244</v>
      </c>
      <c r="H3" s="216" t="s">
        <v>245</v>
      </c>
      <c r="I3" s="325"/>
      <c r="J3" s="326"/>
      <c r="K3" s="326"/>
      <c r="L3" s="326"/>
      <c r="M3" s="326"/>
      <c r="N3" s="326"/>
    </row>
    <row r="4" spans="1:16" ht="16.5" thickBot="1" x14ac:dyDescent="0.3">
      <c r="A4" s="217" t="s">
        <v>246</v>
      </c>
      <c r="B4" s="218">
        <f>B5+B8</f>
        <v>4262925.5999999996</v>
      </c>
      <c r="C4" s="218">
        <f t="shared" ref="C4:L4" si="0">C5+C8</f>
        <v>1310510.9090909092</v>
      </c>
      <c r="D4" s="218">
        <f t="shared" si="0"/>
        <v>23162000</v>
      </c>
      <c r="E4" s="218">
        <f t="shared" si="0"/>
        <v>1100000</v>
      </c>
      <c r="F4" s="218">
        <f t="shared" si="0"/>
        <v>35727272.727272704</v>
      </c>
      <c r="G4" s="218">
        <f t="shared" si="0"/>
        <v>5454545.4545454541</v>
      </c>
      <c r="H4" s="218">
        <f t="shared" si="0"/>
        <v>909090.90909090906</v>
      </c>
      <c r="I4" s="218">
        <f t="shared" si="0"/>
        <v>511551.07199999999</v>
      </c>
      <c r="J4" s="218">
        <f t="shared" si="0"/>
        <v>48170.400000000001</v>
      </c>
      <c r="K4" s="218">
        <f t="shared" si="0"/>
        <v>2779440</v>
      </c>
      <c r="L4" s="218">
        <f t="shared" si="0"/>
        <v>132000</v>
      </c>
      <c r="M4" s="218">
        <f>SUM(B4:L4)</f>
        <v>75397507.071999982</v>
      </c>
      <c r="N4" s="219">
        <f t="shared" ref="N4:N23" si="1">M4/$M$24*100</f>
        <v>95.633570613901512</v>
      </c>
      <c r="O4" s="220"/>
      <c r="P4" s="221"/>
    </row>
    <row r="5" spans="1:16" ht="41.45" customHeight="1" thickBot="1" x14ac:dyDescent="0.3">
      <c r="A5" s="222" t="str">
        <f>'1. Detailed Budget'!D7</f>
        <v>Componente 1. Rediseño del Marco de Gobernanza Corporativa y Fiscal de las EE.PP.</v>
      </c>
      <c r="B5" s="218">
        <f>SUM(B6:B7)</f>
        <v>3708525.6</v>
      </c>
      <c r="C5" s="218">
        <f>SUM(C6:C7)</f>
        <v>401420</v>
      </c>
      <c r="D5" s="218">
        <f t="shared" ref="D5:H5" si="2">SUM(D6:D7)</f>
        <v>0</v>
      </c>
      <c r="E5" s="218">
        <f t="shared" si="2"/>
        <v>0</v>
      </c>
      <c r="F5" s="218">
        <f t="shared" si="2"/>
        <v>0</v>
      </c>
      <c r="G5" s="218">
        <f t="shared" si="2"/>
        <v>0</v>
      </c>
      <c r="H5" s="218">
        <f t="shared" si="2"/>
        <v>0</v>
      </c>
      <c r="I5" s="218">
        <f>SUM(I6:I7)</f>
        <v>445023.07199999999</v>
      </c>
      <c r="J5" s="218">
        <f t="shared" ref="J5" si="3">SUM(J6:J7)</f>
        <v>48170.400000000001</v>
      </c>
      <c r="K5" s="218">
        <f>SUM(K6:K7)</f>
        <v>0</v>
      </c>
      <c r="L5" s="218">
        <f t="shared" ref="L5" si="4">SUM(L6:L7)</f>
        <v>0</v>
      </c>
      <c r="M5" s="218">
        <f t="shared" ref="M5:M25" si="5">SUM(B5:L5)</f>
        <v>4603139.0720000006</v>
      </c>
      <c r="N5" s="219">
        <f t="shared" si="1"/>
        <v>5.8385832978183654</v>
      </c>
    </row>
    <row r="6" spans="1:16" ht="41.45" customHeight="1" thickBot="1" x14ac:dyDescent="0.3">
      <c r="A6" s="222" t="str">
        <f>'1. Detailed Budget'!D8</f>
        <v>Subcomponente I. Marco normativo</v>
      </c>
      <c r="B6" s="218">
        <f>'1. Detailed Budget'!B8</f>
        <v>2922425.6</v>
      </c>
      <c r="C6" s="218"/>
      <c r="D6" s="218"/>
      <c r="E6" s="218"/>
      <c r="F6" s="218"/>
      <c r="G6" s="218"/>
      <c r="H6" s="218"/>
      <c r="I6" s="218">
        <f>'1. Detailed Budget'!C8</f>
        <v>350691.07199999999</v>
      </c>
      <c r="J6" s="218"/>
      <c r="K6" s="218"/>
      <c r="L6" s="218"/>
      <c r="M6" s="218">
        <f t="shared" si="5"/>
        <v>3273116.6720000003</v>
      </c>
      <c r="N6" s="219">
        <f t="shared" si="1"/>
        <v>4.1515939523084713</v>
      </c>
    </row>
    <row r="7" spans="1:16" ht="43.15" customHeight="1" thickBot="1" x14ac:dyDescent="0.3">
      <c r="A7" s="222" t="str">
        <f>'1. Detailed Budget'!D25</f>
        <v>Subcomponente 2. Rediseño de la función propietaria y de gestión</v>
      </c>
      <c r="B7" s="218">
        <f>'1. Detailed Budget'!B25-C7</f>
        <v>786100</v>
      </c>
      <c r="C7" s="218">
        <f>'1. Detailed Budget'!B26+'1. Detailed Budget'!B27+'1. Detailed Budget'!B28</f>
        <v>401420</v>
      </c>
      <c r="D7" s="218"/>
      <c r="E7" s="218"/>
      <c r="F7" s="218"/>
      <c r="G7" s="218"/>
      <c r="H7" s="218"/>
      <c r="I7" s="218">
        <f>'1. Detailed Budget'!C25-J7</f>
        <v>94332</v>
      </c>
      <c r="J7" s="218">
        <f>'1. Detailed Budget'!C26+'1. Detailed Budget'!C27+'1. Detailed Budget'!C28</f>
        <v>48170.400000000001</v>
      </c>
      <c r="K7" s="218"/>
      <c r="L7" s="218"/>
      <c r="M7" s="218">
        <f t="shared" si="5"/>
        <v>1330022.3999999999</v>
      </c>
      <c r="N7" s="219">
        <f t="shared" si="1"/>
        <v>1.6869893455098928</v>
      </c>
    </row>
    <row r="8" spans="1:16" ht="40.9" customHeight="1" thickBot="1" x14ac:dyDescent="0.3">
      <c r="A8" s="222" t="str">
        <f>'1. Detailed Budget'!D33</f>
        <v>Componente 2. Optimización de la cartera de EE.PP.</v>
      </c>
      <c r="B8" s="218">
        <f>'1. Detailed Budget'!N49</f>
        <v>554400</v>
      </c>
      <c r="C8" s="218">
        <f>+'1. Detailed Budget'!AC48</f>
        <v>909090.90909090906</v>
      </c>
      <c r="D8" s="218">
        <f>'1. Detailed Budget'!H35+'1. Detailed Budget'!N35+'1. Detailed Budget'!N36+'1. Detailed Budget'!N37+'1. Detailed Budget'!N38+'1. Detailed Budget'!N39</f>
        <v>23162000</v>
      </c>
      <c r="E8" s="218">
        <f>'[1]1. Detailed Budget'!N40+'[1]1. Detailed Budget'!N41</f>
        <v>1100000</v>
      </c>
      <c r="F8" s="223">
        <f>'1. Detailed Budget'!AC43</f>
        <v>35727272.727272704</v>
      </c>
      <c r="G8" s="218">
        <f>+'1. Detailed Budget'!AC46</f>
        <v>5454545.4545454541</v>
      </c>
      <c r="H8" s="218">
        <f>+'1. Detailed Budget'!AC45</f>
        <v>909090.90909090906</v>
      </c>
      <c r="I8" s="218">
        <f>B8*0.12</f>
        <v>66528</v>
      </c>
      <c r="J8" s="218"/>
      <c r="K8" s="218">
        <f>'1. Detailed Budget'!O35+'1. Detailed Budget'!O36+'1. Detailed Budget'!O39+'1. Detailed Budget'!O37+'1. Detailed Budget'!O38+'1. Detailed Budget'!I35</f>
        <v>2779440</v>
      </c>
      <c r="L8" s="218">
        <f>'1. Detailed Budget'!O40+'1. Detailed Budget'!O41</f>
        <v>132000</v>
      </c>
      <c r="M8" s="218">
        <f>SUM(B8:L8)</f>
        <v>70794367.99999997</v>
      </c>
      <c r="N8" s="219">
        <f t="shared" si="1"/>
        <v>89.794987316083137</v>
      </c>
    </row>
    <row r="9" spans="1:16" ht="40.9" customHeight="1" thickBot="1" x14ac:dyDescent="0.3">
      <c r="A9" s="222" t="str">
        <f>'1. Detailed Budget'!D34</f>
        <v>Rediseño de EEPP</v>
      </c>
      <c r="B9" s="218"/>
      <c r="C9" s="218">
        <f>+'1. Detailed Budget'!AC49</f>
        <v>0</v>
      </c>
      <c r="D9" s="218">
        <f>D8</f>
        <v>23162000</v>
      </c>
      <c r="E9" s="218">
        <f>E8</f>
        <v>1100000</v>
      </c>
      <c r="F9" s="223">
        <f>'1. Detailed Budget'!AC44</f>
        <v>0</v>
      </c>
      <c r="G9" s="218">
        <f>+'1. Detailed Budget'!AC47</f>
        <v>0</v>
      </c>
      <c r="H9" s="218"/>
      <c r="I9" s="218">
        <f>B9*0.12</f>
        <v>0</v>
      </c>
      <c r="J9" s="218"/>
      <c r="K9" s="218">
        <f>K8</f>
        <v>2779440</v>
      </c>
      <c r="L9" s="218">
        <f>L8</f>
        <v>132000</v>
      </c>
      <c r="M9" s="218">
        <f>SUM(B9:L9)</f>
        <v>27173440</v>
      </c>
      <c r="N9" s="219">
        <f t="shared" si="1"/>
        <v>34.466565195332308</v>
      </c>
    </row>
    <row r="10" spans="1:16" ht="40.9" customHeight="1" thickBot="1" x14ac:dyDescent="0.3">
      <c r="A10" s="222" t="str">
        <f>'1. Detailed Budget'!D42</f>
        <v>Mejora de la gestión y optimización del TH</v>
      </c>
      <c r="B10" s="218">
        <f>'1. Detailed Budget'!B49</f>
        <v>554400</v>
      </c>
      <c r="C10" s="218">
        <f>'1. Detailed Budget'!B48</f>
        <v>909090.90909090906</v>
      </c>
      <c r="D10" s="218"/>
      <c r="E10" s="218">
        <f>'[1]1. Detailed Budget'!N42+'[1]1. Detailed Budget'!N43</f>
        <v>0</v>
      </c>
      <c r="F10" s="223">
        <f>'1. Detailed Budget'!B43</f>
        <v>35727272.727272704</v>
      </c>
      <c r="G10" s="218">
        <f>'1. Detailed Budget'!B46</f>
        <v>5454545.4545454541</v>
      </c>
      <c r="H10" s="218">
        <f>'1. Detailed Budget'!B45</f>
        <v>909090.90909090906</v>
      </c>
      <c r="I10" s="218">
        <f>B10*0.12</f>
        <v>66528</v>
      </c>
      <c r="J10" s="218"/>
      <c r="K10" s="218"/>
      <c r="L10" s="218">
        <f>'1. Detailed Budget'!O42+'1. Detailed Budget'!O43</f>
        <v>0</v>
      </c>
      <c r="M10" s="218">
        <f>SUM(B10:L10)</f>
        <v>43620927.99999997</v>
      </c>
      <c r="N10" s="219">
        <f t="shared" si="1"/>
        <v>55.32842212075083</v>
      </c>
    </row>
    <row r="11" spans="1:16" ht="16.5" thickBot="1" x14ac:dyDescent="0.3">
      <c r="A11" s="217" t="s">
        <v>247</v>
      </c>
      <c r="B11" s="218">
        <f>SUM(B12:B22)</f>
        <v>1610600</v>
      </c>
      <c r="C11" s="218"/>
      <c r="D11" s="218"/>
      <c r="E11" s="218"/>
      <c r="F11" s="218"/>
      <c r="G11" s="218"/>
      <c r="H11" s="218"/>
      <c r="I11" s="218">
        <f>SUM(I12:I22)</f>
        <v>193272</v>
      </c>
      <c r="J11" s="218"/>
      <c r="K11" s="218"/>
      <c r="L11" s="218"/>
      <c r="M11" s="218">
        <f>SUM(B11:L11)</f>
        <v>1803872</v>
      </c>
      <c r="N11" s="219">
        <f t="shared" si="1"/>
        <v>2.2880162354134947</v>
      </c>
    </row>
    <row r="12" spans="1:16" ht="16.5" thickBot="1" x14ac:dyDescent="0.3">
      <c r="A12" s="224" t="str">
        <f>'[1]1. Detailed Budget'!A50</f>
        <v>Coordinador Operativo</v>
      </c>
      <c r="B12" s="218">
        <f>'1. Detailed Budget'!B51</f>
        <v>220000</v>
      </c>
      <c r="C12" s="218"/>
      <c r="D12" s="218"/>
      <c r="E12" s="218"/>
      <c r="F12" s="218"/>
      <c r="G12" s="218"/>
      <c r="H12" s="218"/>
      <c r="I12" s="218">
        <f>'1. Detailed Budget'!C51</f>
        <v>26400</v>
      </c>
      <c r="J12" s="218"/>
      <c r="K12" s="218"/>
      <c r="L12" s="218"/>
      <c r="M12" s="218">
        <f t="shared" si="5"/>
        <v>246400</v>
      </c>
      <c r="N12" s="219">
        <f t="shared" si="1"/>
        <v>0.31253170979198364</v>
      </c>
    </row>
    <row r="13" spans="1:16" ht="16.5" thickBot="1" x14ac:dyDescent="0.3">
      <c r="A13" s="224" t="str">
        <f>'[1]1. Detailed Budget'!A51</f>
        <v xml:space="preserve">Experto financiero </v>
      </c>
      <c r="B13" s="218">
        <f>'1. Detailed Budget'!B52</f>
        <v>123200</v>
      </c>
      <c r="C13" s="218"/>
      <c r="D13" s="218"/>
      <c r="E13" s="218"/>
      <c r="F13" s="218"/>
      <c r="G13" s="218"/>
      <c r="H13" s="218"/>
      <c r="I13" s="218">
        <f>'1. Detailed Budget'!C52</f>
        <v>14784</v>
      </c>
      <c r="J13" s="218"/>
      <c r="K13" s="218"/>
      <c r="L13" s="218"/>
      <c r="M13" s="218">
        <f t="shared" si="5"/>
        <v>137984</v>
      </c>
      <c r="N13" s="219">
        <f t="shared" si="1"/>
        <v>0.17501775748351084</v>
      </c>
    </row>
    <row r="14" spans="1:16" ht="16.5" thickBot="1" x14ac:dyDescent="0.3">
      <c r="A14" s="224" t="str">
        <f>'[1]1. Detailed Budget'!A52</f>
        <v xml:space="preserve">Experto Adquisiciones </v>
      </c>
      <c r="B14" s="218">
        <f>'1. Detailed Budget'!B53</f>
        <v>123200</v>
      </c>
      <c r="C14" s="218"/>
      <c r="D14" s="218"/>
      <c r="E14" s="218"/>
      <c r="F14" s="218"/>
      <c r="G14" s="218"/>
      <c r="H14" s="218"/>
      <c r="I14" s="218">
        <f>'1. Detailed Budget'!C53</f>
        <v>14784</v>
      </c>
      <c r="J14" s="218"/>
      <c r="K14" s="218"/>
      <c r="L14" s="218"/>
      <c r="M14" s="218">
        <f t="shared" si="5"/>
        <v>137984</v>
      </c>
      <c r="N14" s="219">
        <f t="shared" si="1"/>
        <v>0.17501775748351084</v>
      </c>
    </row>
    <row r="15" spans="1:16" ht="16.5" thickBot="1" x14ac:dyDescent="0.3">
      <c r="A15" s="224" t="str">
        <f>'[1]1. Detailed Budget'!A53</f>
        <v xml:space="preserve">Monitoreo y Planificación </v>
      </c>
      <c r="B15" s="218">
        <f>'1. Detailed Budget'!B54</f>
        <v>123200</v>
      </c>
      <c r="C15" s="218"/>
      <c r="D15" s="218"/>
      <c r="E15" s="218"/>
      <c r="F15" s="218"/>
      <c r="G15" s="218"/>
      <c r="H15" s="218"/>
      <c r="I15" s="218">
        <f>'1. Detailed Budget'!C54</f>
        <v>14784</v>
      </c>
      <c r="J15" s="218"/>
      <c r="K15" s="218"/>
      <c r="L15" s="218"/>
      <c r="M15" s="218">
        <f t="shared" si="5"/>
        <v>137984</v>
      </c>
      <c r="N15" s="219">
        <f t="shared" si="1"/>
        <v>0.17501775748351084</v>
      </c>
    </row>
    <row r="16" spans="1:16" ht="16.5" thickBot="1" x14ac:dyDescent="0.3">
      <c r="A16" s="224" t="str">
        <f>'[1]1. Detailed Budget'!A54</f>
        <v xml:space="preserve">Apoyo ejecución </v>
      </c>
      <c r="B16" s="218">
        <f>'1. Detailed Budget'!B55</f>
        <v>123200</v>
      </c>
      <c r="C16" s="218"/>
      <c r="D16" s="218"/>
      <c r="E16" s="218"/>
      <c r="F16" s="218"/>
      <c r="G16" s="218"/>
      <c r="H16" s="218"/>
      <c r="I16" s="218">
        <f>'1. Detailed Budget'!C55</f>
        <v>14784</v>
      </c>
      <c r="J16" s="218"/>
      <c r="K16" s="218"/>
      <c r="L16" s="218"/>
      <c r="M16" s="218">
        <f t="shared" si="5"/>
        <v>137984</v>
      </c>
      <c r="N16" s="219">
        <f t="shared" si="1"/>
        <v>0.17501775748351084</v>
      </c>
    </row>
    <row r="17" spans="1:19" ht="16.5" thickBot="1" x14ac:dyDescent="0.3">
      <c r="A17" s="224" t="str">
        <f>'[1]1. Detailed Budget'!A55</f>
        <v xml:space="preserve">Experto Legal </v>
      </c>
      <c r="B17" s="218">
        <f>'1. Detailed Budget'!B56</f>
        <v>123200</v>
      </c>
      <c r="C17" s="218"/>
      <c r="D17" s="218"/>
      <c r="E17" s="218"/>
      <c r="F17" s="218"/>
      <c r="G17" s="218"/>
      <c r="H17" s="218"/>
      <c r="I17" s="218">
        <f>'1. Detailed Budget'!C56</f>
        <v>14784</v>
      </c>
      <c r="J17" s="218"/>
      <c r="K17" s="218"/>
      <c r="L17" s="218"/>
      <c r="M17" s="218">
        <f t="shared" si="5"/>
        <v>137984</v>
      </c>
      <c r="N17" s="219">
        <f t="shared" si="1"/>
        <v>0.17501775748351084</v>
      </c>
    </row>
    <row r="18" spans="1:19" ht="16.5" thickBot="1" x14ac:dyDescent="0.3">
      <c r="A18" s="224" t="str">
        <f>'[1]1. Detailed Budget'!A56</f>
        <v>Experto hidrocarburos</v>
      </c>
      <c r="B18" s="218">
        <f>'1. Detailed Budget'!B57</f>
        <v>123200</v>
      </c>
      <c r="C18" s="218"/>
      <c r="D18" s="218"/>
      <c r="E18" s="218"/>
      <c r="F18" s="218"/>
      <c r="G18" s="218"/>
      <c r="H18" s="218"/>
      <c r="I18" s="218">
        <f>'1. Detailed Budget'!C57</f>
        <v>14784</v>
      </c>
      <c r="J18" s="218"/>
      <c r="K18" s="218"/>
      <c r="L18" s="218"/>
      <c r="M18" s="218">
        <f t="shared" si="5"/>
        <v>137984</v>
      </c>
      <c r="N18" s="219">
        <f t="shared" si="1"/>
        <v>0.17501775748351084</v>
      </c>
    </row>
    <row r="19" spans="1:19" ht="16.5" thickBot="1" x14ac:dyDescent="0.3">
      <c r="A19" s="224" t="str">
        <f>'[1]1. Detailed Budget'!A57</f>
        <v>Experto Energía</v>
      </c>
      <c r="B19" s="218">
        <f>'1. Detailed Budget'!B58</f>
        <v>123200</v>
      </c>
      <c r="C19" s="218"/>
      <c r="D19" s="218"/>
      <c r="E19" s="218"/>
      <c r="F19" s="218"/>
      <c r="G19" s="218"/>
      <c r="H19" s="218"/>
      <c r="I19" s="218">
        <f>'1. Detailed Budget'!C58</f>
        <v>14784</v>
      </c>
      <c r="J19" s="218"/>
      <c r="K19" s="218"/>
      <c r="L19" s="218"/>
      <c r="M19" s="218">
        <f t="shared" si="5"/>
        <v>137984</v>
      </c>
      <c r="N19" s="219">
        <f t="shared" si="1"/>
        <v>0.17501775748351084</v>
      </c>
    </row>
    <row r="20" spans="1:19" ht="16.5" thickBot="1" x14ac:dyDescent="0.3">
      <c r="A20" s="224" t="str">
        <f>'[1]1. Detailed Budget'!A58</f>
        <v>Experto Telecom.</v>
      </c>
      <c r="B20" s="218">
        <f>'1. Detailed Budget'!B59</f>
        <v>123200</v>
      </c>
      <c r="C20" s="218"/>
      <c r="D20" s="218"/>
      <c r="E20" s="218"/>
      <c r="F20" s="218"/>
      <c r="G20" s="218"/>
      <c r="H20" s="218"/>
      <c r="I20" s="218">
        <f>'1. Detailed Budget'!C59</f>
        <v>14784</v>
      </c>
      <c r="J20" s="218"/>
      <c r="K20" s="218"/>
      <c r="L20" s="218"/>
      <c r="M20" s="218">
        <f t="shared" si="5"/>
        <v>137984</v>
      </c>
      <c r="N20" s="219">
        <f t="shared" si="1"/>
        <v>0.17501775748351084</v>
      </c>
    </row>
    <row r="21" spans="1:19" ht="16.5" thickBot="1" x14ac:dyDescent="0.3">
      <c r="A21" s="224" t="s">
        <v>15</v>
      </c>
      <c r="B21" s="218">
        <f>'1. Detailed Budget'!B60+'1. Detailed Budget'!B61+'1. Detailed Budget'!B62</f>
        <v>230000</v>
      </c>
      <c r="C21" s="218"/>
      <c r="D21" s="218"/>
      <c r="E21" s="218"/>
      <c r="F21" s="218"/>
      <c r="G21" s="218"/>
      <c r="H21" s="218"/>
      <c r="I21" s="218">
        <f>'1. Detailed Budget'!C60+'1. Detailed Budget'!C61+'1. Detailed Budget'!C62</f>
        <v>27600</v>
      </c>
      <c r="J21" s="218"/>
      <c r="K21" s="218"/>
      <c r="L21" s="218"/>
      <c r="M21" s="218">
        <f t="shared" si="5"/>
        <v>257600</v>
      </c>
      <c r="N21" s="219">
        <f t="shared" si="1"/>
        <v>0.32673769660071017</v>
      </c>
    </row>
    <row r="22" spans="1:19" ht="16.5" thickBot="1" x14ac:dyDescent="0.3">
      <c r="A22" s="224" t="s">
        <v>248</v>
      </c>
      <c r="B22" s="218">
        <f>'1. Detailed Budget'!B63+'1. Detailed Budget'!B64</f>
        <v>175000</v>
      </c>
      <c r="C22" s="218"/>
      <c r="D22" s="218"/>
      <c r="E22" s="218"/>
      <c r="F22" s="218"/>
      <c r="G22" s="218"/>
      <c r="H22" s="218"/>
      <c r="I22" s="218">
        <f>'1. Detailed Budget'!C63+'1. Detailed Budget'!C64</f>
        <v>21000</v>
      </c>
      <c r="J22" s="218"/>
      <c r="K22" s="218"/>
      <c r="L22" s="218"/>
      <c r="M22" s="218">
        <f t="shared" si="5"/>
        <v>196000</v>
      </c>
      <c r="N22" s="219">
        <f t="shared" si="1"/>
        <v>0.24860476915271429</v>
      </c>
    </row>
    <row r="23" spans="1:19" ht="16.5" thickBot="1" x14ac:dyDescent="0.3">
      <c r="A23" s="217" t="s">
        <v>249</v>
      </c>
      <c r="B23" s="218">
        <f>'1. Detailed Budget'!B66</f>
        <v>1463054.400000036</v>
      </c>
      <c r="C23" s="218"/>
      <c r="D23" s="218"/>
      <c r="E23" s="218"/>
      <c r="F23" s="218"/>
      <c r="G23" s="218"/>
      <c r="H23" s="218"/>
      <c r="I23" s="218">
        <f>'1. Detailed Budget'!C66</f>
        <v>175566.5280000043</v>
      </c>
      <c r="J23" s="218"/>
      <c r="K23" s="218"/>
      <c r="L23" s="218"/>
      <c r="M23" s="218">
        <f>SUM(B23:L23)</f>
        <v>1638620.9280000404</v>
      </c>
      <c r="N23" s="219">
        <f t="shared" si="1"/>
        <v>2.0784131506849821</v>
      </c>
    </row>
    <row r="24" spans="1:19" ht="16.5" thickBot="1" x14ac:dyDescent="0.3">
      <c r="A24" s="225" t="s">
        <v>8</v>
      </c>
      <c r="B24" s="226">
        <f>B23+B11+B4</f>
        <v>7336580.0000000354</v>
      </c>
      <c r="C24" s="226">
        <f t="shared" ref="C24:L24" si="6">C23+C11+C4</f>
        <v>1310510.9090909092</v>
      </c>
      <c r="D24" s="226">
        <f t="shared" si="6"/>
        <v>23162000</v>
      </c>
      <c r="E24" s="226">
        <f t="shared" si="6"/>
        <v>1100000</v>
      </c>
      <c r="F24" s="226">
        <f t="shared" si="6"/>
        <v>35727272.727272704</v>
      </c>
      <c r="G24" s="226">
        <f t="shared" si="6"/>
        <v>5454545.4545454541</v>
      </c>
      <c r="H24" s="226">
        <f t="shared" si="6"/>
        <v>909090.90909090906</v>
      </c>
      <c r="I24" s="226">
        <f t="shared" si="6"/>
        <v>880389.60000000428</v>
      </c>
      <c r="J24" s="226">
        <f t="shared" si="6"/>
        <v>48170.400000000001</v>
      </c>
      <c r="K24" s="226">
        <f t="shared" si="6"/>
        <v>2779440</v>
      </c>
      <c r="L24" s="226">
        <f t="shared" si="6"/>
        <v>132000</v>
      </c>
      <c r="M24" s="226">
        <f>SUM(B24:L24)</f>
        <v>78840000.00000003</v>
      </c>
      <c r="N24" s="227">
        <f>N4+N11+N23</f>
        <v>99.999999999999986</v>
      </c>
    </row>
    <row r="25" spans="1:19" ht="16.5" thickBot="1" x14ac:dyDescent="0.3">
      <c r="A25" s="225" t="s">
        <v>241</v>
      </c>
      <c r="B25" s="228">
        <f t="shared" ref="B25:L25" si="7">B24/$M$24*100</f>
        <v>9.3056570268899446</v>
      </c>
      <c r="C25" s="228">
        <f t="shared" si="7"/>
        <v>1.6622411327890774</v>
      </c>
      <c r="D25" s="228">
        <f t="shared" si="7"/>
        <v>29.378488077118202</v>
      </c>
      <c r="E25" s="228">
        <f t="shared" si="7"/>
        <v>1.3952308472856412</v>
      </c>
      <c r="F25" s="228">
        <f t="shared" si="7"/>
        <v>45.316175453161705</v>
      </c>
      <c r="G25" s="228">
        <f t="shared" si="7"/>
        <v>6.918500069184998</v>
      </c>
      <c r="H25" s="228">
        <f t="shared" si="7"/>
        <v>1.1530833448641662</v>
      </c>
      <c r="I25" s="228">
        <f t="shared" si="7"/>
        <v>1.1166788432267933</v>
      </c>
      <c r="J25" s="228">
        <f t="shared" si="7"/>
        <v>6.1098934550989317E-2</v>
      </c>
      <c r="K25" s="228">
        <f t="shared" si="7"/>
        <v>3.5254185692541844</v>
      </c>
      <c r="L25" s="228">
        <f t="shared" si="7"/>
        <v>0.16742770167427695</v>
      </c>
      <c r="M25" s="229">
        <f t="shared" si="5"/>
        <v>99.999999999999972</v>
      </c>
      <c r="N25" s="228">
        <f>M25/$M$24*100</f>
        <v>1.2683916793505826E-4</v>
      </c>
      <c r="P25" s="221"/>
    </row>
    <row r="26" spans="1:19" x14ac:dyDescent="0.25">
      <c r="A26" s="315"/>
      <c r="B26" s="315"/>
      <c r="C26" s="315"/>
      <c r="D26" s="315"/>
      <c r="E26" s="315"/>
      <c r="F26" s="315"/>
      <c r="G26" s="315"/>
      <c r="H26" s="315"/>
      <c r="I26" s="315"/>
      <c r="J26" s="315"/>
      <c r="K26" s="315"/>
      <c r="L26" s="315"/>
      <c r="M26" s="315"/>
      <c r="N26" s="315"/>
    </row>
    <row r="27" spans="1:19" x14ac:dyDescent="0.25">
      <c r="A27" s="230" t="s">
        <v>250</v>
      </c>
      <c r="I27" s="214"/>
      <c r="J27" s="214"/>
      <c r="K27" s="214"/>
      <c r="L27" s="214"/>
    </row>
    <row r="28" spans="1:19" ht="16.5" thickBot="1" x14ac:dyDescent="0.3">
      <c r="I28" s="214"/>
      <c r="J28" s="214"/>
      <c r="K28" s="214"/>
      <c r="L28" s="214"/>
    </row>
    <row r="29" spans="1:19" ht="16.5" hidden="1" thickBot="1" x14ac:dyDescent="0.3">
      <c r="A29"/>
      <c r="I29" s="214"/>
      <c r="J29" s="316" t="s">
        <v>251</v>
      </c>
      <c r="K29" s="316"/>
      <c r="L29" s="316"/>
      <c r="M29" s="317"/>
      <c r="N29" s="317"/>
      <c r="O29" s="317"/>
      <c r="P29" s="317"/>
      <c r="Q29" s="318"/>
      <c r="R29" s="318"/>
      <c r="S29" s="318"/>
    </row>
    <row r="30" spans="1:19" ht="16.5" hidden="1" thickBot="1" x14ac:dyDescent="0.3">
      <c r="A30"/>
      <c r="I30" s="231" t="s">
        <v>252</v>
      </c>
      <c r="J30" s="232" t="s">
        <v>252</v>
      </c>
      <c r="K30" s="232"/>
      <c r="L30" s="232"/>
      <c r="M30" s="232" t="s">
        <v>253</v>
      </c>
      <c r="N30" s="232" t="s">
        <v>254</v>
      </c>
      <c r="O30" s="232" t="s">
        <v>255</v>
      </c>
      <c r="P30" s="232" t="s">
        <v>256</v>
      </c>
      <c r="Q30" s="232" t="s">
        <v>257</v>
      </c>
      <c r="R30" s="233" t="s">
        <v>8</v>
      </c>
      <c r="S30" s="234" t="s">
        <v>241</v>
      </c>
    </row>
    <row r="31" spans="1:19" ht="16.5" hidden="1" thickBot="1" x14ac:dyDescent="0.3">
      <c r="A31"/>
      <c r="I31" s="235" t="s">
        <v>258</v>
      </c>
      <c r="J31" s="236" t="s">
        <v>258</v>
      </c>
      <c r="K31" s="236"/>
      <c r="L31" s="236"/>
      <c r="M31" s="236">
        <v>2919778.2</v>
      </c>
      <c r="N31" s="236">
        <v>10641069.200000001</v>
      </c>
      <c r="O31" s="236">
        <v>8855881.4000000004</v>
      </c>
      <c r="P31" s="236">
        <v>8685036.5999999996</v>
      </c>
      <c r="Q31" s="236">
        <v>8685036.5999999996</v>
      </c>
      <c r="R31" s="237">
        <f>SUM(M31:Q31)</f>
        <v>39786802.000000007</v>
      </c>
      <c r="S31" s="238">
        <f>R31/R33*100</f>
        <v>76.629176565330141</v>
      </c>
    </row>
    <row r="32" spans="1:19" ht="16.5" hidden="1" thickBot="1" x14ac:dyDescent="0.3">
      <c r="A32"/>
      <c r="I32" s="235" t="s">
        <v>259</v>
      </c>
      <c r="J32" s="236" t="s">
        <v>259</v>
      </c>
      <c r="K32" s="236"/>
      <c r="L32" s="236"/>
      <c r="M32" s="236">
        <v>350373.38400000002</v>
      </c>
      <c r="N32" s="236">
        <v>3116928.3040000005</v>
      </c>
      <c r="O32" s="236">
        <v>2902705.7680000002</v>
      </c>
      <c r="P32" s="236">
        <v>2882204.3920000005</v>
      </c>
      <c r="Q32" s="236">
        <v>2882204.3920000005</v>
      </c>
      <c r="R32" s="237">
        <f>SUM(M32:Q32)</f>
        <v>12134416.240000002</v>
      </c>
      <c r="S32" s="238">
        <f>R32/R33*100</f>
        <v>23.370823434669859</v>
      </c>
    </row>
    <row r="33" spans="1:21" ht="16.5" hidden="1" thickBot="1" x14ac:dyDescent="0.3">
      <c r="A33"/>
      <c r="I33" s="239" t="s">
        <v>8</v>
      </c>
      <c r="J33" s="240" t="s">
        <v>8</v>
      </c>
      <c r="K33" s="240"/>
      <c r="L33" s="240"/>
      <c r="M33" s="240">
        <f t="shared" ref="M33:R33" si="8">M31+M32</f>
        <v>3270151.5840000003</v>
      </c>
      <c r="N33" s="240">
        <f t="shared" si="8"/>
        <v>13757997.504000001</v>
      </c>
      <c r="O33" s="240">
        <f t="shared" si="8"/>
        <v>11758587.168000001</v>
      </c>
      <c r="P33" s="240">
        <f t="shared" si="8"/>
        <v>11567240.992000001</v>
      </c>
      <c r="Q33" s="240">
        <f t="shared" si="8"/>
        <v>11567240.992000001</v>
      </c>
      <c r="R33" s="240">
        <f t="shared" si="8"/>
        <v>51921218.24000001</v>
      </c>
      <c r="S33" s="241">
        <f>SUM(S31:S32)</f>
        <v>100</v>
      </c>
    </row>
    <row r="34" spans="1:21" ht="16.5" hidden="1" thickBot="1" x14ac:dyDescent="0.3">
      <c r="A34"/>
      <c r="I34" s="242" t="s">
        <v>241</v>
      </c>
      <c r="J34" s="243" t="s">
        <v>241</v>
      </c>
      <c r="K34" s="243"/>
      <c r="L34" s="243"/>
      <c r="M34" s="243" t="e">
        <f>#REF!</f>
        <v>#REF!</v>
      </c>
      <c r="N34" s="243" t="e">
        <f>#REF!</f>
        <v>#REF!</v>
      </c>
      <c r="O34" s="243" t="e">
        <f>#REF!</f>
        <v>#REF!</v>
      </c>
      <c r="P34" s="243" t="e">
        <f>#REF!</f>
        <v>#REF!</v>
      </c>
      <c r="Q34" s="243" t="e">
        <f>#REF!</f>
        <v>#REF!</v>
      </c>
      <c r="R34" s="243" t="e">
        <f>SUM(M34:Q34)</f>
        <v>#REF!</v>
      </c>
      <c r="S34" s="244"/>
    </row>
    <row r="35" spans="1:21" ht="16.5" thickBot="1" x14ac:dyDescent="0.3">
      <c r="I35" s="214"/>
      <c r="J35" s="214"/>
      <c r="K35" s="214"/>
      <c r="L35" s="214"/>
      <c r="O35" s="245" t="s">
        <v>260</v>
      </c>
      <c r="P35" s="246">
        <v>2019</v>
      </c>
      <c r="Q35" s="246">
        <v>2020</v>
      </c>
      <c r="R35" s="246">
        <v>2021</v>
      </c>
      <c r="S35" s="246">
        <v>2022</v>
      </c>
      <c r="T35" s="247" t="s">
        <v>8</v>
      </c>
    </row>
    <row r="36" spans="1:21" ht="16.5" thickBot="1" x14ac:dyDescent="0.3">
      <c r="I36" s="214"/>
      <c r="J36" s="214"/>
      <c r="K36" s="214"/>
      <c r="L36" s="214"/>
      <c r="O36" s="248" t="s">
        <v>20</v>
      </c>
      <c r="P36" s="249">
        <f>'2. Pluriannual Plan PEP'!E4</f>
        <v>2771074</v>
      </c>
      <c r="Q36" s="249">
        <f>'2. Pluriannual Plan PEP'!H4</f>
        <v>58198353.679999977</v>
      </c>
      <c r="R36" s="249">
        <f>'2. Pluriannual Plan PEP'!K4</f>
        <v>11372083.440000013</v>
      </c>
      <c r="S36" s="249">
        <f>'2. Pluriannual Plan PEP'!N4</f>
        <v>2658488.8800000148</v>
      </c>
      <c r="T36" s="249">
        <f>SUM(P36:S36)</f>
        <v>75000000</v>
      </c>
      <c r="U36" s="250">
        <f>T36/T38</f>
        <v>0.95129375951293738</v>
      </c>
    </row>
    <row r="37" spans="1:21" ht="16.5" thickBot="1" x14ac:dyDescent="0.3">
      <c r="I37" s="214"/>
      <c r="J37" s="214"/>
      <c r="K37" s="214"/>
      <c r="L37" s="214"/>
      <c r="O37" s="248" t="s">
        <v>259</v>
      </c>
      <c r="P37" s="249">
        <f>'2. Pluriannual Plan PEP'!F4</f>
        <v>332528.88</v>
      </c>
      <c r="Q37" s="249">
        <f>'2. Pluriannual Plan PEP'!I4</f>
        <v>1823802.4416000014</v>
      </c>
      <c r="R37" s="249">
        <f>'2. Pluriannual Plan PEP'!L4</f>
        <v>1364650.0128000013</v>
      </c>
      <c r="S37" s="249">
        <f>'2. Pluriannual Plan PEP'!O4</f>
        <v>319018.6656000017</v>
      </c>
      <c r="T37" s="249">
        <f>SUM(P37:S37)</f>
        <v>3840000.0000000047</v>
      </c>
      <c r="U37" s="250">
        <f>T37/T38</f>
        <v>4.8706240487062458E-2</v>
      </c>
    </row>
    <row r="38" spans="1:21" ht="16.5" thickBot="1" x14ac:dyDescent="0.3">
      <c r="I38" s="214"/>
      <c r="J38" s="214"/>
      <c r="K38" s="214"/>
      <c r="L38" s="214"/>
      <c r="O38" s="251" t="s">
        <v>8</v>
      </c>
      <c r="P38" s="252">
        <f>SUM(P36:P37)</f>
        <v>3103602.88</v>
      </c>
      <c r="Q38" s="252">
        <f t="shared" ref="Q38:S38" si="9">SUM(Q36:Q37)</f>
        <v>60022156.12159998</v>
      </c>
      <c r="R38" s="252">
        <f t="shared" si="9"/>
        <v>12736733.452800013</v>
      </c>
      <c r="S38" s="252">
        <f t="shared" si="9"/>
        <v>2977507.5456000166</v>
      </c>
      <c r="T38" s="252">
        <f>SUM(P38:S38)</f>
        <v>78840000.000000015</v>
      </c>
    </row>
    <row r="39" spans="1:21" ht="16.5" thickBot="1" x14ac:dyDescent="0.3">
      <c r="I39" s="214"/>
      <c r="J39" s="214"/>
      <c r="K39" s="214"/>
      <c r="L39" s="214"/>
      <c r="O39" s="251" t="s">
        <v>241</v>
      </c>
      <c r="P39" s="253">
        <f>P38/$T$38</f>
        <v>3.9365840690005066E-2</v>
      </c>
      <c r="Q39" s="253">
        <f>Q38/$T$38</f>
        <v>0.76131603401319092</v>
      </c>
      <c r="R39" s="253">
        <f>R38/$T$38</f>
        <v>0.1615516673363776</v>
      </c>
      <c r="S39" s="253">
        <f>S38/$T$38</f>
        <v>3.7766457960426381E-2</v>
      </c>
      <c r="T39" s="254">
        <f>SUM(P39:S39)</f>
        <v>1</v>
      </c>
    </row>
    <row r="40" spans="1:21" x14ac:dyDescent="0.25">
      <c r="I40" s="214"/>
      <c r="J40" s="214"/>
      <c r="K40" s="214"/>
      <c r="L40" s="214"/>
    </row>
    <row r="41" spans="1:21" x14ac:dyDescent="0.25">
      <c r="I41" s="214"/>
      <c r="J41" s="214"/>
      <c r="K41" s="214"/>
      <c r="L41" s="214"/>
    </row>
    <row r="42" spans="1:21" x14ac:dyDescent="0.25">
      <c r="I42" s="214"/>
      <c r="J42" s="214"/>
      <c r="K42" s="214"/>
      <c r="L42" s="214"/>
    </row>
    <row r="43" spans="1:21" x14ac:dyDescent="0.25">
      <c r="I43" s="214"/>
      <c r="J43" s="214"/>
      <c r="K43" s="214"/>
      <c r="L43" s="214"/>
    </row>
    <row r="44" spans="1:21" x14ac:dyDescent="0.25">
      <c r="I44" s="214"/>
      <c r="J44" s="214"/>
      <c r="K44" s="214"/>
      <c r="L44" s="214"/>
    </row>
    <row r="45" spans="1:21" x14ac:dyDescent="0.25">
      <c r="I45" s="214"/>
      <c r="J45" s="214"/>
      <c r="K45" s="214"/>
      <c r="L45" s="214"/>
    </row>
    <row r="46" spans="1:21" x14ac:dyDescent="0.25">
      <c r="I46" s="214"/>
      <c r="J46" s="214"/>
      <c r="K46" s="214"/>
      <c r="L46" s="214"/>
    </row>
    <row r="47" spans="1:21" x14ac:dyDescent="0.25">
      <c r="I47" s="214"/>
      <c r="J47" s="214"/>
      <c r="K47" s="214"/>
      <c r="L47" s="214"/>
    </row>
    <row r="48" spans="1:21" x14ac:dyDescent="0.25">
      <c r="I48" s="214"/>
      <c r="J48" s="214"/>
      <c r="K48" s="214"/>
      <c r="L48" s="214"/>
    </row>
    <row r="49" spans="9:12" x14ac:dyDescent="0.25">
      <c r="I49" s="214"/>
      <c r="J49" s="214"/>
      <c r="K49" s="214"/>
      <c r="L49" s="214"/>
    </row>
    <row r="50" spans="9:12" x14ac:dyDescent="0.25">
      <c r="I50" s="214"/>
      <c r="J50" s="214"/>
      <c r="K50" s="214"/>
      <c r="L50" s="214"/>
    </row>
    <row r="51" spans="9:12" x14ac:dyDescent="0.25">
      <c r="I51" s="214"/>
      <c r="J51" s="214"/>
      <c r="K51" s="214"/>
      <c r="L51" s="214"/>
    </row>
    <row r="52" spans="9:12" x14ac:dyDescent="0.25">
      <c r="I52" s="214"/>
      <c r="J52" s="214"/>
      <c r="K52" s="214"/>
      <c r="L52" s="214"/>
    </row>
    <row r="53" spans="9:12" x14ac:dyDescent="0.25">
      <c r="I53" s="214"/>
      <c r="J53" s="214"/>
      <c r="K53" s="214"/>
      <c r="L53" s="214"/>
    </row>
    <row r="54" spans="9:12" x14ac:dyDescent="0.25">
      <c r="I54" s="214"/>
      <c r="J54" s="214"/>
      <c r="K54" s="214"/>
      <c r="L54" s="214"/>
    </row>
    <row r="55" spans="9:12" x14ac:dyDescent="0.25">
      <c r="I55" s="214"/>
      <c r="J55" s="214"/>
      <c r="K55" s="214"/>
      <c r="L55" s="214"/>
    </row>
    <row r="56" spans="9:12" x14ac:dyDescent="0.25">
      <c r="I56" s="214"/>
      <c r="J56" s="214"/>
      <c r="K56" s="214"/>
      <c r="L56" s="214"/>
    </row>
    <row r="57" spans="9:12" x14ac:dyDescent="0.25">
      <c r="I57" s="214"/>
      <c r="J57" s="214"/>
      <c r="K57" s="214"/>
      <c r="L57" s="214"/>
    </row>
    <row r="58" spans="9:12" x14ac:dyDescent="0.25">
      <c r="I58" s="214"/>
      <c r="J58" s="214"/>
      <c r="K58" s="214"/>
      <c r="L58" s="214"/>
    </row>
    <row r="59" spans="9:12" x14ac:dyDescent="0.25">
      <c r="I59" s="214"/>
      <c r="J59" s="214"/>
      <c r="K59" s="214"/>
      <c r="L59" s="214"/>
    </row>
    <row r="60" spans="9:12" x14ac:dyDescent="0.25">
      <c r="I60" s="214"/>
      <c r="J60" s="214"/>
      <c r="K60" s="214"/>
      <c r="L60" s="214"/>
    </row>
    <row r="61" spans="9:12" x14ac:dyDescent="0.25">
      <c r="I61" s="214"/>
      <c r="J61" s="214"/>
      <c r="K61" s="214"/>
      <c r="L61" s="214"/>
    </row>
    <row r="62" spans="9:12" x14ac:dyDescent="0.25">
      <c r="I62" s="214"/>
      <c r="J62" s="214"/>
      <c r="K62" s="214"/>
      <c r="L62" s="214"/>
    </row>
    <row r="63" spans="9:12" x14ac:dyDescent="0.25">
      <c r="I63" s="214"/>
      <c r="J63" s="214"/>
      <c r="K63" s="214"/>
      <c r="L63" s="214"/>
    </row>
    <row r="64" spans="9:12" x14ac:dyDescent="0.25">
      <c r="I64" s="214"/>
      <c r="J64" s="214"/>
      <c r="K64" s="214"/>
      <c r="L64" s="214"/>
    </row>
    <row r="65" spans="9:12" x14ac:dyDescent="0.25">
      <c r="I65" s="214"/>
      <c r="J65" s="214"/>
      <c r="K65" s="214"/>
      <c r="L65" s="214"/>
    </row>
    <row r="66" spans="9:12" x14ac:dyDescent="0.25">
      <c r="I66" s="214"/>
      <c r="J66" s="214"/>
      <c r="K66" s="214"/>
      <c r="L66" s="214"/>
    </row>
    <row r="67" spans="9:12" x14ac:dyDescent="0.25">
      <c r="I67" s="214"/>
      <c r="J67" s="214"/>
      <c r="K67" s="214"/>
      <c r="L67" s="214"/>
    </row>
    <row r="68" spans="9:12" x14ac:dyDescent="0.25">
      <c r="I68" s="214"/>
      <c r="J68" s="214"/>
      <c r="K68" s="214"/>
      <c r="L68" s="214"/>
    </row>
    <row r="69" spans="9:12" x14ac:dyDescent="0.25">
      <c r="I69" s="214"/>
      <c r="J69" s="214"/>
      <c r="K69" s="214"/>
      <c r="L69" s="214"/>
    </row>
    <row r="70" spans="9:12" x14ac:dyDescent="0.25">
      <c r="I70" s="214"/>
      <c r="J70" s="214"/>
      <c r="K70" s="214"/>
      <c r="L70" s="214"/>
    </row>
    <row r="71" spans="9:12" x14ac:dyDescent="0.25">
      <c r="I71" s="214"/>
      <c r="J71" s="214"/>
      <c r="K71" s="214"/>
      <c r="L71" s="214"/>
    </row>
    <row r="72" spans="9:12" x14ac:dyDescent="0.25">
      <c r="I72" s="214"/>
      <c r="J72" s="214"/>
      <c r="K72" s="214"/>
      <c r="L72" s="214"/>
    </row>
    <row r="73" spans="9:12" x14ac:dyDescent="0.25">
      <c r="I73" s="214"/>
      <c r="J73" s="214"/>
      <c r="K73" s="214"/>
      <c r="L73" s="214"/>
    </row>
    <row r="74" spans="9:12" x14ac:dyDescent="0.25">
      <c r="I74" s="214"/>
      <c r="J74" s="214"/>
      <c r="K74" s="214"/>
      <c r="L74" s="214"/>
    </row>
    <row r="75" spans="9:12" x14ac:dyDescent="0.25">
      <c r="I75" s="214"/>
      <c r="J75" s="214"/>
      <c r="K75" s="214"/>
      <c r="L75" s="214"/>
    </row>
    <row r="76" spans="9:12" x14ac:dyDescent="0.25">
      <c r="I76" s="214"/>
      <c r="J76" s="214"/>
      <c r="K76" s="214"/>
      <c r="L76" s="214"/>
    </row>
    <row r="77" spans="9:12" x14ac:dyDescent="0.25">
      <c r="I77" s="214"/>
      <c r="J77" s="214"/>
      <c r="K77" s="214"/>
      <c r="L77" s="214"/>
    </row>
    <row r="78" spans="9:12" x14ac:dyDescent="0.25">
      <c r="I78" s="214"/>
      <c r="J78" s="214"/>
      <c r="K78" s="214"/>
      <c r="L78" s="214"/>
    </row>
    <row r="79" spans="9:12" x14ac:dyDescent="0.25">
      <c r="I79" s="214"/>
      <c r="J79" s="214"/>
      <c r="K79" s="214"/>
      <c r="L79" s="214"/>
    </row>
    <row r="80" spans="9:12" x14ac:dyDescent="0.25">
      <c r="I80" s="214"/>
      <c r="J80" s="214"/>
      <c r="K80" s="214"/>
      <c r="L80" s="214"/>
    </row>
    <row r="81" spans="9:12" x14ac:dyDescent="0.25">
      <c r="I81" s="214"/>
      <c r="J81" s="214"/>
      <c r="K81" s="214"/>
      <c r="L81" s="214"/>
    </row>
    <row r="82" spans="9:12" x14ac:dyDescent="0.25">
      <c r="I82" s="214"/>
      <c r="J82" s="214"/>
      <c r="K82" s="214"/>
      <c r="L82" s="214"/>
    </row>
    <row r="83" spans="9:12" x14ac:dyDescent="0.25">
      <c r="I83" s="214"/>
      <c r="J83" s="214"/>
      <c r="K83" s="214"/>
      <c r="L83" s="214"/>
    </row>
    <row r="84" spans="9:12" x14ac:dyDescent="0.25">
      <c r="I84" s="214"/>
      <c r="J84" s="214"/>
      <c r="K84" s="214"/>
      <c r="L84" s="214"/>
    </row>
    <row r="85" spans="9:12" x14ac:dyDescent="0.25">
      <c r="I85" s="214"/>
      <c r="J85" s="214"/>
      <c r="K85" s="214"/>
      <c r="L85" s="214"/>
    </row>
    <row r="86" spans="9:12" x14ac:dyDescent="0.25">
      <c r="I86" s="214"/>
      <c r="J86" s="214"/>
      <c r="K86" s="214"/>
      <c r="L86" s="214"/>
    </row>
    <row r="87" spans="9:12" x14ac:dyDescent="0.25">
      <c r="I87" s="214"/>
      <c r="J87" s="214"/>
      <c r="K87" s="214"/>
      <c r="L87" s="214"/>
    </row>
    <row r="88" spans="9:12" x14ac:dyDescent="0.25">
      <c r="I88" s="214"/>
      <c r="J88" s="214"/>
      <c r="K88" s="214"/>
      <c r="L88" s="214"/>
    </row>
    <row r="89" spans="9:12" x14ac:dyDescent="0.25">
      <c r="I89" s="214"/>
      <c r="J89" s="214"/>
      <c r="K89" s="214"/>
      <c r="L89" s="214"/>
    </row>
    <row r="90" spans="9:12" x14ac:dyDescent="0.25">
      <c r="I90" s="214"/>
      <c r="J90" s="214"/>
      <c r="K90" s="214"/>
      <c r="L90" s="214"/>
    </row>
    <row r="91" spans="9:12" x14ac:dyDescent="0.25">
      <c r="I91" s="214"/>
      <c r="J91" s="214"/>
      <c r="K91" s="214"/>
      <c r="L91" s="214"/>
    </row>
    <row r="92" spans="9:12" x14ac:dyDescent="0.25">
      <c r="I92" s="214"/>
      <c r="J92" s="214"/>
      <c r="K92" s="214"/>
      <c r="L92" s="214"/>
    </row>
    <row r="93" spans="9:12" x14ac:dyDescent="0.25">
      <c r="I93" s="214"/>
      <c r="J93" s="214"/>
      <c r="K93" s="214"/>
      <c r="L93" s="214"/>
    </row>
    <row r="94" spans="9:12" x14ac:dyDescent="0.25">
      <c r="I94" s="214"/>
      <c r="J94" s="214"/>
      <c r="K94" s="214"/>
      <c r="L94" s="214"/>
    </row>
    <row r="95" spans="9:12" x14ac:dyDescent="0.25">
      <c r="I95" s="214"/>
      <c r="J95" s="214"/>
      <c r="K95" s="214"/>
      <c r="L95" s="214"/>
    </row>
    <row r="96" spans="9:12" x14ac:dyDescent="0.25">
      <c r="I96" s="214"/>
      <c r="J96" s="214"/>
      <c r="K96" s="214"/>
      <c r="L96" s="214"/>
    </row>
    <row r="97" spans="9:12" x14ac:dyDescent="0.25">
      <c r="I97" s="214"/>
      <c r="J97" s="214"/>
      <c r="K97" s="214"/>
      <c r="L97" s="214"/>
    </row>
    <row r="98" spans="9:12" x14ac:dyDescent="0.25">
      <c r="I98" s="214"/>
      <c r="J98" s="214"/>
      <c r="K98" s="214"/>
      <c r="L98" s="214"/>
    </row>
    <row r="99" spans="9:12" x14ac:dyDescent="0.25">
      <c r="I99" s="214"/>
      <c r="J99" s="214"/>
      <c r="K99" s="214"/>
      <c r="L99" s="214"/>
    </row>
    <row r="100" spans="9:12" x14ac:dyDescent="0.25">
      <c r="I100" s="214"/>
      <c r="J100" s="214"/>
      <c r="K100" s="214"/>
      <c r="L100" s="214"/>
    </row>
    <row r="101" spans="9:12" x14ac:dyDescent="0.25">
      <c r="I101" s="214"/>
      <c r="J101" s="214"/>
      <c r="K101" s="214"/>
      <c r="L101" s="214"/>
    </row>
    <row r="102" spans="9:12" x14ac:dyDescent="0.25">
      <c r="I102" s="214"/>
      <c r="J102" s="214"/>
      <c r="K102" s="214"/>
      <c r="L102" s="214"/>
    </row>
    <row r="103" spans="9:12" x14ac:dyDescent="0.25">
      <c r="I103" s="214"/>
      <c r="J103" s="214"/>
      <c r="K103" s="214"/>
      <c r="L103" s="214"/>
    </row>
    <row r="104" spans="9:12" x14ac:dyDescent="0.25">
      <c r="I104" s="214"/>
      <c r="J104" s="214"/>
      <c r="K104" s="214"/>
      <c r="L104" s="214"/>
    </row>
    <row r="105" spans="9:12" x14ac:dyDescent="0.25">
      <c r="I105" s="214"/>
      <c r="J105" s="214"/>
      <c r="K105" s="214"/>
      <c r="L105" s="214"/>
    </row>
    <row r="106" spans="9:12" x14ac:dyDescent="0.25">
      <c r="I106" s="214"/>
      <c r="J106" s="214"/>
      <c r="K106" s="214"/>
      <c r="L106" s="214"/>
    </row>
    <row r="107" spans="9:12" x14ac:dyDescent="0.25">
      <c r="I107" s="214"/>
      <c r="J107" s="214"/>
      <c r="K107" s="214"/>
      <c r="L107" s="214"/>
    </row>
    <row r="108" spans="9:12" x14ac:dyDescent="0.25">
      <c r="I108" s="214"/>
      <c r="J108" s="214"/>
      <c r="K108" s="214"/>
      <c r="L108" s="214"/>
    </row>
    <row r="109" spans="9:12" x14ac:dyDescent="0.25">
      <c r="I109" s="214"/>
      <c r="J109" s="214"/>
      <c r="K109" s="214"/>
      <c r="L109" s="214"/>
    </row>
    <row r="110" spans="9:12" x14ac:dyDescent="0.25">
      <c r="I110" s="214"/>
      <c r="J110" s="214"/>
      <c r="K110" s="214"/>
      <c r="L110" s="214"/>
    </row>
    <row r="111" spans="9:12" x14ac:dyDescent="0.25">
      <c r="I111" s="214"/>
      <c r="J111" s="214"/>
      <c r="K111" s="214"/>
      <c r="L111" s="214"/>
    </row>
    <row r="112" spans="9:12" x14ac:dyDescent="0.25">
      <c r="I112" s="214"/>
      <c r="J112" s="214"/>
      <c r="K112" s="214"/>
      <c r="L112" s="214"/>
    </row>
    <row r="113" spans="9:12" x14ac:dyDescent="0.25">
      <c r="I113" s="214"/>
      <c r="J113" s="214"/>
      <c r="K113" s="214"/>
      <c r="L113" s="214"/>
    </row>
    <row r="114" spans="9:12" x14ac:dyDescent="0.25">
      <c r="I114" s="214"/>
      <c r="J114" s="214"/>
      <c r="K114" s="214"/>
      <c r="L114" s="214"/>
    </row>
    <row r="115" spans="9:12" x14ac:dyDescent="0.25">
      <c r="I115" s="214"/>
      <c r="J115" s="214"/>
      <c r="K115" s="214"/>
      <c r="L115" s="214"/>
    </row>
    <row r="116" spans="9:12" x14ac:dyDescent="0.25">
      <c r="I116" s="214"/>
      <c r="J116" s="214"/>
      <c r="K116" s="214"/>
      <c r="L116" s="214"/>
    </row>
    <row r="117" spans="9:12" x14ac:dyDescent="0.25">
      <c r="I117" s="214"/>
      <c r="J117" s="214"/>
      <c r="K117" s="214"/>
      <c r="L117" s="214"/>
    </row>
    <row r="118" spans="9:12" x14ac:dyDescent="0.25">
      <c r="I118" s="214"/>
      <c r="J118" s="214"/>
      <c r="K118" s="214"/>
      <c r="L118" s="214"/>
    </row>
    <row r="119" spans="9:12" x14ac:dyDescent="0.25">
      <c r="I119" s="214"/>
      <c r="J119" s="214"/>
      <c r="K119" s="214"/>
      <c r="L119" s="214"/>
    </row>
    <row r="120" spans="9:12" x14ac:dyDescent="0.25">
      <c r="I120" s="214"/>
      <c r="J120" s="214"/>
      <c r="K120" s="214"/>
      <c r="L120" s="214"/>
    </row>
    <row r="121" spans="9:12" x14ac:dyDescent="0.25">
      <c r="I121" s="214"/>
      <c r="J121" s="214"/>
      <c r="K121" s="214"/>
      <c r="L121" s="214"/>
    </row>
    <row r="122" spans="9:12" x14ac:dyDescent="0.25">
      <c r="I122" s="214"/>
      <c r="J122" s="214"/>
      <c r="K122" s="214"/>
      <c r="L122" s="214"/>
    </row>
    <row r="123" spans="9:12" x14ac:dyDescent="0.25">
      <c r="I123" s="214"/>
      <c r="J123" s="214"/>
      <c r="K123" s="214"/>
      <c r="L123" s="214"/>
    </row>
    <row r="124" spans="9:12" x14ac:dyDescent="0.25">
      <c r="I124" s="214"/>
      <c r="J124" s="214"/>
      <c r="K124" s="214"/>
      <c r="L124" s="214"/>
    </row>
    <row r="125" spans="9:12" x14ac:dyDescent="0.25">
      <c r="I125" s="214"/>
      <c r="J125" s="214"/>
      <c r="K125" s="214"/>
      <c r="L125" s="214"/>
    </row>
    <row r="126" spans="9:12" x14ac:dyDescent="0.25">
      <c r="I126" s="214"/>
      <c r="J126" s="214"/>
      <c r="K126" s="214"/>
      <c r="L126" s="214"/>
    </row>
    <row r="127" spans="9:12" x14ac:dyDescent="0.25">
      <c r="I127" s="214"/>
      <c r="J127" s="214"/>
      <c r="K127" s="214"/>
      <c r="L127" s="214"/>
    </row>
    <row r="128" spans="9:12" x14ac:dyDescent="0.25">
      <c r="I128" s="214"/>
      <c r="J128" s="214"/>
      <c r="K128" s="214"/>
      <c r="L128" s="214"/>
    </row>
    <row r="129" spans="9:12" x14ac:dyDescent="0.25">
      <c r="I129" s="214"/>
      <c r="J129" s="214"/>
      <c r="K129" s="214"/>
      <c r="L129" s="214"/>
    </row>
    <row r="130" spans="9:12" x14ac:dyDescent="0.25">
      <c r="I130" s="214"/>
      <c r="J130" s="214"/>
      <c r="K130" s="214"/>
      <c r="L130" s="214"/>
    </row>
    <row r="131" spans="9:12" x14ac:dyDescent="0.25">
      <c r="I131" s="214"/>
      <c r="J131" s="214"/>
      <c r="K131" s="214"/>
      <c r="L131" s="214"/>
    </row>
    <row r="132" spans="9:12" x14ac:dyDescent="0.25">
      <c r="I132" s="214"/>
      <c r="J132" s="214"/>
      <c r="K132" s="214"/>
      <c r="L132" s="214"/>
    </row>
    <row r="133" spans="9:12" x14ac:dyDescent="0.25">
      <c r="I133" s="214"/>
      <c r="J133" s="214"/>
      <c r="K133" s="214"/>
      <c r="L133" s="214"/>
    </row>
    <row r="134" spans="9:12" x14ac:dyDescent="0.25">
      <c r="I134" s="214"/>
      <c r="J134" s="214"/>
      <c r="K134" s="214"/>
      <c r="L134" s="214"/>
    </row>
    <row r="135" spans="9:12" x14ac:dyDescent="0.25">
      <c r="I135" s="214"/>
      <c r="J135" s="214"/>
      <c r="K135" s="214"/>
      <c r="L135" s="214"/>
    </row>
    <row r="136" spans="9:12" x14ac:dyDescent="0.25">
      <c r="I136" s="214"/>
      <c r="J136" s="214"/>
      <c r="K136" s="214"/>
      <c r="L136" s="214"/>
    </row>
    <row r="137" spans="9:12" x14ac:dyDescent="0.25">
      <c r="I137" s="214"/>
      <c r="J137" s="214"/>
      <c r="K137" s="214"/>
      <c r="L137" s="214"/>
    </row>
    <row r="138" spans="9:12" x14ac:dyDescent="0.25">
      <c r="I138" s="214"/>
      <c r="J138" s="214"/>
      <c r="K138" s="214"/>
      <c r="L138" s="214"/>
    </row>
    <row r="139" spans="9:12" x14ac:dyDescent="0.25">
      <c r="I139" s="214"/>
      <c r="J139" s="214"/>
      <c r="K139" s="214"/>
      <c r="L139" s="214"/>
    </row>
    <row r="140" spans="9:12" x14ac:dyDescent="0.25">
      <c r="I140" s="214"/>
      <c r="J140" s="214"/>
      <c r="K140" s="214"/>
      <c r="L140" s="214"/>
    </row>
    <row r="141" spans="9:12" x14ac:dyDescent="0.25">
      <c r="I141" s="214"/>
      <c r="J141" s="214"/>
      <c r="K141" s="214"/>
      <c r="L141" s="214"/>
    </row>
    <row r="142" spans="9:12" x14ac:dyDescent="0.25">
      <c r="I142" s="214"/>
      <c r="J142" s="214"/>
      <c r="K142" s="214"/>
      <c r="L142" s="214"/>
    </row>
    <row r="143" spans="9:12" x14ac:dyDescent="0.25">
      <c r="I143" s="214"/>
      <c r="J143" s="214"/>
      <c r="K143" s="214"/>
      <c r="L143" s="214"/>
    </row>
    <row r="144" spans="9:12" x14ac:dyDescent="0.25">
      <c r="I144" s="214"/>
      <c r="J144" s="214"/>
      <c r="K144" s="214"/>
      <c r="L144" s="214"/>
    </row>
    <row r="145" spans="9:12" x14ac:dyDescent="0.25">
      <c r="I145" s="214"/>
      <c r="J145" s="214"/>
      <c r="K145" s="214"/>
      <c r="L145" s="214"/>
    </row>
    <row r="146" spans="9:12" x14ac:dyDescent="0.25">
      <c r="I146" s="214"/>
      <c r="J146" s="214"/>
      <c r="K146" s="214"/>
      <c r="L146" s="214"/>
    </row>
    <row r="147" spans="9:12" x14ac:dyDescent="0.25">
      <c r="I147" s="214"/>
      <c r="J147" s="214"/>
      <c r="K147" s="214"/>
      <c r="L147" s="214"/>
    </row>
    <row r="148" spans="9:12" x14ac:dyDescent="0.25">
      <c r="I148" s="214"/>
      <c r="J148" s="214"/>
      <c r="K148" s="214"/>
      <c r="L148" s="214"/>
    </row>
    <row r="149" spans="9:12" x14ac:dyDescent="0.25">
      <c r="I149" s="214"/>
      <c r="J149" s="214"/>
      <c r="K149" s="214"/>
      <c r="L149" s="214"/>
    </row>
    <row r="150" spans="9:12" x14ac:dyDescent="0.25">
      <c r="I150" s="214"/>
      <c r="J150" s="214"/>
      <c r="K150" s="214"/>
      <c r="L150" s="214"/>
    </row>
    <row r="151" spans="9:12" x14ac:dyDescent="0.25">
      <c r="I151" s="214"/>
      <c r="J151" s="214"/>
      <c r="K151" s="214"/>
      <c r="L151" s="214"/>
    </row>
    <row r="152" spans="9:12" x14ac:dyDescent="0.25">
      <c r="I152" s="214"/>
      <c r="J152" s="214"/>
      <c r="K152" s="214"/>
      <c r="L152" s="214"/>
    </row>
    <row r="153" spans="9:12" x14ac:dyDescent="0.25">
      <c r="I153" s="214"/>
      <c r="J153" s="214"/>
      <c r="K153" s="214"/>
      <c r="L153" s="214"/>
    </row>
    <row r="154" spans="9:12" x14ac:dyDescent="0.25">
      <c r="I154" s="214"/>
      <c r="J154" s="214"/>
      <c r="K154" s="214"/>
      <c r="L154" s="214"/>
    </row>
    <row r="155" spans="9:12" x14ac:dyDescent="0.25">
      <c r="I155" s="214"/>
      <c r="J155" s="214"/>
      <c r="K155" s="214"/>
      <c r="L155" s="214"/>
    </row>
    <row r="156" spans="9:12" x14ac:dyDescent="0.25">
      <c r="I156" s="214"/>
      <c r="J156" s="214"/>
      <c r="K156" s="214"/>
      <c r="L156" s="214"/>
    </row>
    <row r="157" spans="9:12" x14ac:dyDescent="0.25">
      <c r="I157" s="214"/>
      <c r="J157" s="214"/>
      <c r="K157" s="214"/>
      <c r="L157" s="214"/>
    </row>
    <row r="158" spans="9:12" x14ac:dyDescent="0.25">
      <c r="I158" s="214"/>
      <c r="J158" s="214"/>
      <c r="K158" s="214"/>
      <c r="L158" s="214"/>
    </row>
    <row r="159" spans="9:12" x14ac:dyDescent="0.25">
      <c r="I159" s="214"/>
      <c r="J159" s="214"/>
      <c r="K159" s="214"/>
      <c r="L159" s="214"/>
    </row>
    <row r="160" spans="9:12" x14ac:dyDescent="0.25">
      <c r="I160" s="214"/>
      <c r="J160" s="214"/>
      <c r="K160" s="214"/>
      <c r="L160" s="214"/>
    </row>
    <row r="161" spans="9:12" x14ac:dyDescent="0.25">
      <c r="I161" s="214"/>
      <c r="J161" s="214"/>
      <c r="K161" s="214"/>
      <c r="L161" s="214"/>
    </row>
    <row r="162" spans="9:12" x14ac:dyDescent="0.25">
      <c r="I162" s="214"/>
      <c r="J162" s="214"/>
      <c r="K162" s="214"/>
      <c r="L162" s="214"/>
    </row>
    <row r="163" spans="9:12" x14ac:dyDescent="0.25">
      <c r="I163" s="214"/>
      <c r="J163" s="214"/>
      <c r="K163" s="214"/>
      <c r="L163" s="214"/>
    </row>
    <row r="164" spans="9:12" x14ac:dyDescent="0.25">
      <c r="I164" s="214"/>
      <c r="J164" s="214"/>
      <c r="K164" s="214"/>
      <c r="L164" s="214"/>
    </row>
    <row r="165" spans="9:12" x14ac:dyDescent="0.25">
      <c r="I165" s="214"/>
      <c r="J165" s="214"/>
      <c r="K165" s="214"/>
      <c r="L165" s="214"/>
    </row>
    <row r="166" spans="9:12" x14ac:dyDescent="0.25">
      <c r="I166" s="214"/>
      <c r="J166" s="214"/>
      <c r="K166" s="214"/>
      <c r="L166" s="214"/>
    </row>
    <row r="167" spans="9:12" x14ac:dyDescent="0.25">
      <c r="I167" s="214"/>
      <c r="J167" s="214"/>
      <c r="K167" s="214"/>
      <c r="L167" s="214"/>
    </row>
    <row r="168" spans="9:12" x14ac:dyDescent="0.25">
      <c r="I168" s="214"/>
      <c r="J168" s="214"/>
      <c r="K168" s="214"/>
      <c r="L168" s="214"/>
    </row>
    <row r="169" spans="9:12" x14ac:dyDescent="0.25">
      <c r="I169" s="214"/>
      <c r="J169" s="214"/>
      <c r="K169" s="214"/>
      <c r="L169" s="214"/>
    </row>
    <row r="170" spans="9:12" x14ac:dyDescent="0.25">
      <c r="I170" s="214"/>
      <c r="J170" s="214"/>
      <c r="K170" s="214"/>
      <c r="L170" s="214"/>
    </row>
    <row r="171" spans="9:12" x14ac:dyDescent="0.25">
      <c r="I171" s="214"/>
      <c r="J171" s="214"/>
      <c r="K171" s="214"/>
      <c r="L171" s="214"/>
    </row>
    <row r="172" spans="9:12" x14ac:dyDescent="0.25">
      <c r="I172" s="214"/>
      <c r="J172" s="214"/>
      <c r="K172" s="214"/>
      <c r="L172" s="214"/>
    </row>
    <row r="173" spans="9:12" x14ac:dyDescent="0.25">
      <c r="I173" s="214"/>
      <c r="J173" s="214"/>
      <c r="K173" s="214"/>
      <c r="L173" s="214"/>
    </row>
    <row r="174" spans="9:12" x14ac:dyDescent="0.25">
      <c r="I174" s="214"/>
      <c r="J174" s="214"/>
      <c r="K174" s="214"/>
      <c r="L174" s="214"/>
    </row>
    <row r="175" spans="9:12" x14ac:dyDescent="0.25">
      <c r="I175" s="214"/>
      <c r="J175" s="214"/>
      <c r="K175" s="214"/>
      <c r="L175" s="214"/>
    </row>
    <row r="176" spans="9:12" x14ac:dyDescent="0.25">
      <c r="I176" s="214"/>
      <c r="J176" s="214"/>
      <c r="K176" s="214"/>
      <c r="L176" s="214"/>
    </row>
    <row r="177" spans="9:12" x14ac:dyDescent="0.25">
      <c r="I177" s="214"/>
      <c r="J177" s="214"/>
      <c r="K177" s="214"/>
      <c r="L177" s="214"/>
    </row>
    <row r="178" spans="9:12" x14ac:dyDescent="0.25">
      <c r="I178" s="214"/>
      <c r="J178" s="214"/>
      <c r="K178" s="214"/>
      <c r="L178" s="214"/>
    </row>
    <row r="179" spans="9:12" x14ac:dyDescent="0.25">
      <c r="I179" s="214"/>
      <c r="J179" s="214"/>
      <c r="K179" s="214"/>
      <c r="L179" s="214"/>
    </row>
    <row r="180" spans="9:12" x14ac:dyDescent="0.25">
      <c r="I180" s="214"/>
      <c r="J180" s="214"/>
      <c r="K180" s="214"/>
      <c r="L180" s="214"/>
    </row>
    <row r="181" spans="9:12" x14ac:dyDescent="0.25">
      <c r="I181" s="214"/>
      <c r="J181" s="214"/>
      <c r="K181" s="214"/>
      <c r="L181" s="214"/>
    </row>
    <row r="182" spans="9:12" x14ac:dyDescent="0.25">
      <c r="I182" s="214"/>
      <c r="J182" s="214"/>
      <c r="K182" s="214"/>
      <c r="L182" s="214"/>
    </row>
    <row r="183" spans="9:12" x14ac:dyDescent="0.25">
      <c r="I183" s="214"/>
      <c r="J183" s="214"/>
      <c r="K183" s="214"/>
      <c r="L183" s="214"/>
    </row>
    <row r="184" spans="9:12" x14ac:dyDescent="0.25">
      <c r="I184" s="214"/>
      <c r="J184" s="214"/>
      <c r="K184" s="214"/>
      <c r="L184" s="214"/>
    </row>
    <row r="185" spans="9:12" x14ac:dyDescent="0.25">
      <c r="I185" s="214"/>
      <c r="J185" s="214"/>
      <c r="K185" s="214"/>
      <c r="L185" s="214"/>
    </row>
    <row r="186" spans="9:12" x14ac:dyDescent="0.25">
      <c r="I186" s="214"/>
      <c r="J186" s="214"/>
      <c r="K186" s="214"/>
      <c r="L186" s="214"/>
    </row>
    <row r="187" spans="9:12" x14ac:dyDescent="0.25">
      <c r="I187" s="214"/>
      <c r="J187" s="214"/>
      <c r="K187" s="214"/>
      <c r="L187" s="214"/>
    </row>
    <row r="188" spans="9:12" x14ac:dyDescent="0.25">
      <c r="I188" s="214"/>
      <c r="J188" s="214"/>
      <c r="K188" s="214"/>
      <c r="L188" s="214"/>
    </row>
    <row r="189" spans="9:12" x14ac:dyDescent="0.25">
      <c r="I189" s="214"/>
      <c r="J189" s="214"/>
      <c r="K189" s="214"/>
      <c r="L189" s="214"/>
    </row>
    <row r="190" spans="9:12" x14ac:dyDescent="0.25">
      <c r="I190" s="214"/>
      <c r="J190" s="214"/>
      <c r="K190" s="214"/>
      <c r="L190" s="214"/>
    </row>
    <row r="191" spans="9:12" x14ac:dyDescent="0.25">
      <c r="I191" s="214"/>
      <c r="J191" s="214"/>
      <c r="K191" s="214"/>
      <c r="L191" s="214"/>
    </row>
    <row r="192" spans="9:12" x14ac:dyDescent="0.25">
      <c r="I192" s="214"/>
      <c r="J192" s="214"/>
      <c r="K192" s="214"/>
      <c r="L192" s="214"/>
    </row>
    <row r="193" spans="9:12" x14ac:dyDescent="0.25">
      <c r="I193" s="214"/>
      <c r="J193" s="214"/>
      <c r="K193" s="214"/>
      <c r="L193" s="214"/>
    </row>
    <row r="194" spans="9:12" x14ac:dyDescent="0.25">
      <c r="I194" s="214"/>
      <c r="J194" s="214"/>
      <c r="K194" s="214"/>
      <c r="L194" s="214"/>
    </row>
    <row r="195" spans="9:12" x14ac:dyDescent="0.25">
      <c r="I195" s="214"/>
      <c r="J195" s="214"/>
      <c r="K195" s="214"/>
      <c r="L195" s="214"/>
    </row>
    <row r="196" spans="9:12" x14ac:dyDescent="0.25">
      <c r="I196" s="214"/>
      <c r="J196" s="214"/>
      <c r="K196" s="214"/>
      <c r="L196" s="214"/>
    </row>
    <row r="197" spans="9:12" x14ac:dyDescent="0.25">
      <c r="I197" s="214"/>
      <c r="J197" s="214"/>
      <c r="K197" s="214"/>
      <c r="L197" s="214"/>
    </row>
    <row r="198" spans="9:12" x14ac:dyDescent="0.25">
      <c r="I198" s="214"/>
      <c r="J198" s="214"/>
      <c r="K198" s="214"/>
      <c r="L198" s="214"/>
    </row>
    <row r="199" spans="9:12" x14ac:dyDescent="0.25">
      <c r="I199" s="214"/>
      <c r="J199" s="214"/>
      <c r="K199" s="214"/>
      <c r="L199" s="214"/>
    </row>
    <row r="200" spans="9:12" x14ac:dyDescent="0.25">
      <c r="I200" s="214"/>
      <c r="J200" s="214"/>
      <c r="K200" s="214"/>
      <c r="L200" s="214"/>
    </row>
    <row r="201" spans="9:12" x14ac:dyDescent="0.25">
      <c r="I201" s="214"/>
      <c r="J201" s="214"/>
      <c r="K201" s="214"/>
      <c r="L201" s="214"/>
    </row>
    <row r="202" spans="9:12" x14ac:dyDescent="0.25">
      <c r="I202" s="214"/>
      <c r="J202" s="214"/>
      <c r="K202" s="214"/>
      <c r="L202" s="214"/>
    </row>
    <row r="203" spans="9:12" x14ac:dyDescent="0.25">
      <c r="I203" s="214"/>
      <c r="J203" s="214"/>
      <c r="K203" s="214"/>
      <c r="L203" s="214"/>
    </row>
    <row r="204" spans="9:12" x14ac:dyDescent="0.25">
      <c r="I204" s="214"/>
      <c r="J204" s="214"/>
      <c r="K204" s="214"/>
      <c r="L204" s="214"/>
    </row>
    <row r="205" spans="9:12" x14ac:dyDescent="0.25">
      <c r="I205" s="214"/>
      <c r="J205" s="214"/>
      <c r="K205" s="214"/>
      <c r="L205" s="214"/>
    </row>
    <row r="206" spans="9:12" x14ac:dyDescent="0.25">
      <c r="I206" s="214"/>
      <c r="J206" s="214"/>
      <c r="K206" s="214"/>
      <c r="L206" s="214"/>
    </row>
    <row r="207" spans="9:12" x14ac:dyDescent="0.25">
      <c r="I207" s="214"/>
      <c r="J207" s="214"/>
      <c r="K207" s="214"/>
      <c r="L207" s="214"/>
    </row>
    <row r="208" spans="9:12" x14ac:dyDescent="0.25">
      <c r="I208" s="214"/>
      <c r="J208" s="214"/>
      <c r="K208" s="214"/>
      <c r="L208" s="214"/>
    </row>
    <row r="209" spans="9:12" x14ac:dyDescent="0.25">
      <c r="I209" s="214"/>
      <c r="J209" s="214"/>
      <c r="K209" s="214"/>
      <c r="L209" s="214"/>
    </row>
    <row r="210" spans="9:12" x14ac:dyDescent="0.25">
      <c r="I210" s="214"/>
      <c r="J210" s="214"/>
      <c r="K210" s="214"/>
      <c r="L210" s="214"/>
    </row>
    <row r="211" spans="9:12" x14ac:dyDescent="0.25">
      <c r="I211" s="214"/>
      <c r="J211" s="214"/>
      <c r="K211" s="214"/>
      <c r="L211" s="214"/>
    </row>
    <row r="212" spans="9:12" x14ac:dyDescent="0.25">
      <c r="I212" s="214"/>
      <c r="J212" s="214"/>
      <c r="K212" s="214"/>
      <c r="L212" s="214"/>
    </row>
    <row r="213" spans="9:12" x14ac:dyDescent="0.25">
      <c r="I213" s="214"/>
      <c r="J213" s="214"/>
      <c r="K213" s="214"/>
      <c r="L213" s="214"/>
    </row>
    <row r="214" spans="9:12" x14ac:dyDescent="0.25">
      <c r="I214" s="214"/>
      <c r="J214" s="214"/>
      <c r="K214" s="214"/>
      <c r="L214" s="214"/>
    </row>
    <row r="215" spans="9:12" x14ac:dyDescent="0.25">
      <c r="I215" s="214"/>
      <c r="J215" s="214"/>
      <c r="K215" s="214"/>
      <c r="L215" s="214"/>
    </row>
    <row r="216" spans="9:12" x14ac:dyDescent="0.25">
      <c r="I216" s="214"/>
      <c r="J216" s="214"/>
      <c r="K216" s="214"/>
      <c r="L216" s="214"/>
    </row>
    <row r="217" spans="9:12" x14ac:dyDescent="0.25">
      <c r="I217" s="214"/>
      <c r="J217" s="214"/>
      <c r="K217" s="214"/>
      <c r="L217" s="214"/>
    </row>
    <row r="218" spans="9:12" x14ac:dyDescent="0.25">
      <c r="I218" s="214"/>
      <c r="J218" s="214"/>
      <c r="K218" s="214"/>
      <c r="L218" s="214"/>
    </row>
    <row r="219" spans="9:12" x14ac:dyDescent="0.25">
      <c r="I219" s="214"/>
      <c r="J219" s="214"/>
      <c r="K219" s="214"/>
      <c r="L219" s="214"/>
    </row>
    <row r="220" spans="9:12" x14ac:dyDescent="0.25">
      <c r="I220" s="214"/>
      <c r="J220" s="214"/>
      <c r="K220" s="214"/>
      <c r="L220" s="214"/>
    </row>
    <row r="221" spans="9:12" x14ac:dyDescent="0.25">
      <c r="I221" s="214"/>
      <c r="J221" s="214"/>
      <c r="K221" s="214"/>
      <c r="L221" s="214"/>
    </row>
    <row r="222" spans="9:12" x14ac:dyDescent="0.25">
      <c r="I222" s="214"/>
      <c r="J222" s="214"/>
      <c r="K222" s="214"/>
      <c r="L222" s="214"/>
    </row>
    <row r="223" spans="9:12" x14ac:dyDescent="0.25">
      <c r="I223" s="214"/>
      <c r="J223" s="214"/>
      <c r="K223" s="214"/>
      <c r="L223" s="214"/>
    </row>
    <row r="224" spans="9:12" x14ac:dyDescent="0.25">
      <c r="I224" s="214"/>
      <c r="J224" s="214"/>
      <c r="K224" s="214"/>
      <c r="L224" s="214"/>
    </row>
    <row r="225" spans="9:12" x14ac:dyDescent="0.25">
      <c r="I225" s="214"/>
      <c r="J225" s="214"/>
      <c r="K225" s="214"/>
      <c r="L225" s="214"/>
    </row>
    <row r="226" spans="9:12" x14ac:dyDescent="0.25">
      <c r="I226" s="214"/>
      <c r="J226" s="214"/>
      <c r="K226" s="214"/>
      <c r="L226" s="214"/>
    </row>
    <row r="227" spans="9:12" x14ac:dyDescent="0.25">
      <c r="I227" s="214"/>
      <c r="J227" s="214"/>
      <c r="K227" s="214"/>
      <c r="L227" s="214"/>
    </row>
    <row r="228" spans="9:12" x14ac:dyDescent="0.25">
      <c r="I228" s="214"/>
      <c r="J228" s="214"/>
      <c r="K228" s="214"/>
      <c r="L228" s="214"/>
    </row>
    <row r="229" spans="9:12" x14ac:dyDescent="0.25">
      <c r="I229" s="214"/>
      <c r="J229" s="214"/>
      <c r="K229" s="214"/>
      <c r="L229" s="214"/>
    </row>
    <row r="230" spans="9:12" x14ac:dyDescent="0.25">
      <c r="I230" s="214"/>
      <c r="J230" s="214"/>
      <c r="K230" s="214"/>
      <c r="L230" s="214"/>
    </row>
    <row r="231" spans="9:12" x14ac:dyDescent="0.25">
      <c r="I231" s="214"/>
      <c r="J231" s="214"/>
      <c r="K231" s="214"/>
      <c r="L231" s="214"/>
    </row>
    <row r="232" spans="9:12" x14ac:dyDescent="0.25">
      <c r="I232" s="214"/>
      <c r="J232" s="214"/>
      <c r="K232" s="214"/>
      <c r="L232" s="214"/>
    </row>
    <row r="233" spans="9:12" x14ac:dyDescent="0.25">
      <c r="I233" s="214"/>
      <c r="J233" s="214"/>
      <c r="K233" s="214"/>
      <c r="L233" s="214"/>
    </row>
    <row r="234" spans="9:12" x14ac:dyDescent="0.25">
      <c r="I234" s="214"/>
      <c r="J234" s="214"/>
      <c r="K234" s="214"/>
      <c r="L234" s="214"/>
    </row>
    <row r="235" spans="9:12" x14ac:dyDescent="0.25">
      <c r="I235" s="214"/>
      <c r="J235" s="214"/>
      <c r="K235" s="214"/>
      <c r="L235" s="214"/>
    </row>
    <row r="236" spans="9:12" x14ac:dyDescent="0.25">
      <c r="I236" s="214"/>
      <c r="J236" s="214"/>
      <c r="K236" s="214"/>
      <c r="L236" s="214"/>
    </row>
    <row r="237" spans="9:12" x14ac:dyDescent="0.25">
      <c r="I237" s="214"/>
      <c r="J237" s="214"/>
      <c r="K237" s="214"/>
      <c r="L237" s="214"/>
    </row>
    <row r="238" spans="9:12" x14ac:dyDescent="0.25">
      <c r="I238" s="214"/>
      <c r="J238" s="214"/>
      <c r="K238" s="214"/>
      <c r="L238" s="214"/>
    </row>
    <row r="239" spans="9:12" x14ac:dyDescent="0.25">
      <c r="I239" s="214"/>
      <c r="J239" s="214"/>
      <c r="K239" s="214"/>
      <c r="L239" s="214"/>
    </row>
    <row r="240" spans="9:12" x14ac:dyDescent="0.25">
      <c r="I240" s="214"/>
      <c r="J240" s="214"/>
      <c r="K240" s="214"/>
      <c r="L240" s="214"/>
    </row>
    <row r="241" spans="9:12" x14ac:dyDescent="0.25">
      <c r="I241" s="214"/>
      <c r="J241" s="214"/>
      <c r="K241" s="214"/>
      <c r="L241" s="214"/>
    </row>
    <row r="242" spans="9:12" x14ac:dyDescent="0.25">
      <c r="I242" s="214"/>
      <c r="J242" s="214"/>
      <c r="K242" s="214"/>
      <c r="L242" s="214"/>
    </row>
    <row r="243" spans="9:12" x14ac:dyDescent="0.25">
      <c r="I243" s="214"/>
      <c r="J243" s="214"/>
      <c r="K243" s="214"/>
      <c r="L243" s="214"/>
    </row>
    <row r="244" spans="9:12" x14ac:dyDescent="0.25">
      <c r="I244" s="214"/>
      <c r="J244" s="214"/>
      <c r="K244" s="214"/>
      <c r="L244" s="214"/>
    </row>
    <row r="245" spans="9:12" x14ac:dyDescent="0.25">
      <c r="I245" s="214"/>
      <c r="J245" s="214"/>
      <c r="K245" s="214"/>
      <c r="L245" s="214"/>
    </row>
    <row r="246" spans="9:12" x14ac:dyDescent="0.25">
      <c r="I246" s="214"/>
      <c r="J246" s="214"/>
      <c r="K246" s="214"/>
      <c r="L246" s="214"/>
    </row>
    <row r="247" spans="9:12" x14ac:dyDescent="0.25">
      <c r="I247" s="214"/>
      <c r="J247" s="214"/>
      <c r="K247" s="214"/>
      <c r="L247" s="214"/>
    </row>
    <row r="248" spans="9:12" x14ac:dyDescent="0.25">
      <c r="I248" s="214"/>
      <c r="J248" s="214"/>
      <c r="K248" s="214"/>
      <c r="L248" s="214"/>
    </row>
    <row r="249" spans="9:12" x14ac:dyDescent="0.25">
      <c r="I249" s="214"/>
      <c r="J249" s="214"/>
      <c r="K249" s="214"/>
      <c r="L249" s="214"/>
    </row>
    <row r="250" spans="9:12" x14ac:dyDescent="0.25">
      <c r="I250" s="214"/>
      <c r="J250" s="214"/>
      <c r="K250" s="214"/>
      <c r="L250" s="214"/>
    </row>
    <row r="251" spans="9:12" x14ac:dyDescent="0.25">
      <c r="I251" s="214"/>
      <c r="J251" s="214"/>
      <c r="K251" s="214"/>
      <c r="L251" s="214"/>
    </row>
    <row r="252" spans="9:12" x14ac:dyDescent="0.25">
      <c r="I252" s="214"/>
      <c r="J252" s="214"/>
      <c r="K252" s="214"/>
      <c r="L252" s="214"/>
    </row>
    <row r="253" spans="9:12" x14ac:dyDescent="0.25">
      <c r="I253" s="214"/>
      <c r="J253" s="214"/>
      <c r="K253" s="214"/>
      <c r="L253" s="214"/>
    </row>
    <row r="254" spans="9:12" x14ac:dyDescent="0.25">
      <c r="I254" s="214"/>
      <c r="J254" s="214"/>
      <c r="K254" s="214"/>
      <c r="L254" s="214"/>
    </row>
    <row r="255" spans="9:12" x14ac:dyDescent="0.25">
      <c r="I255" s="214"/>
      <c r="J255" s="214"/>
      <c r="K255" s="214"/>
      <c r="L255" s="214"/>
    </row>
    <row r="256" spans="9:12" x14ac:dyDescent="0.25">
      <c r="I256" s="214"/>
      <c r="J256" s="214"/>
      <c r="K256" s="214"/>
      <c r="L256" s="214"/>
    </row>
    <row r="257" spans="9:12" x14ac:dyDescent="0.25">
      <c r="I257" s="214"/>
      <c r="J257" s="214"/>
      <c r="K257" s="214"/>
      <c r="L257" s="214"/>
    </row>
    <row r="258" spans="9:12" x14ac:dyDescent="0.25">
      <c r="I258" s="214"/>
      <c r="J258" s="214"/>
      <c r="K258" s="214"/>
      <c r="L258" s="214"/>
    </row>
    <row r="259" spans="9:12" x14ac:dyDescent="0.25">
      <c r="I259" s="214"/>
      <c r="J259" s="214"/>
      <c r="K259" s="214"/>
      <c r="L259" s="214"/>
    </row>
    <row r="260" spans="9:12" x14ac:dyDescent="0.25">
      <c r="I260" s="214"/>
      <c r="J260" s="214"/>
      <c r="K260" s="214"/>
      <c r="L260" s="214"/>
    </row>
    <row r="261" spans="9:12" x14ac:dyDescent="0.25">
      <c r="I261" s="214"/>
      <c r="J261" s="214"/>
      <c r="K261" s="214"/>
      <c r="L261" s="214"/>
    </row>
    <row r="262" spans="9:12" x14ac:dyDescent="0.25">
      <c r="I262" s="214"/>
      <c r="J262" s="214"/>
      <c r="K262" s="214"/>
      <c r="L262" s="214"/>
    </row>
    <row r="263" spans="9:12" x14ac:dyDescent="0.25">
      <c r="I263" s="214"/>
      <c r="J263" s="214"/>
      <c r="K263" s="214"/>
      <c r="L263" s="214"/>
    </row>
    <row r="264" spans="9:12" x14ac:dyDescent="0.25">
      <c r="I264" s="214"/>
      <c r="J264" s="214"/>
      <c r="K264" s="214"/>
      <c r="L264" s="214"/>
    </row>
    <row r="265" spans="9:12" x14ac:dyDescent="0.25">
      <c r="I265" s="214"/>
      <c r="J265" s="214"/>
      <c r="K265" s="214"/>
      <c r="L265" s="214"/>
    </row>
    <row r="266" spans="9:12" x14ac:dyDescent="0.25">
      <c r="I266" s="214"/>
      <c r="J266" s="214"/>
      <c r="K266" s="214"/>
      <c r="L266" s="214"/>
    </row>
    <row r="267" spans="9:12" x14ac:dyDescent="0.25">
      <c r="I267" s="214"/>
      <c r="J267" s="214"/>
      <c r="K267" s="214"/>
      <c r="L267" s="214"/>
    </row>
    <row r="268" spans="9:12" x14ac:dyDescent="0.25">
      <c r="I268" s="214"/>
      <c r="J268" s="214"/>
      <c r="K268" s="214"/>
      <c r="L268" s="214"/>
    </row>
    <row r="269" spans="9:12" x14ac:dyDescent="0.25">
      <c r="I269" s="214"/>
      <c r="J269" s="214"/>
      <c r="K269" s="214"/>
      <c r="L269" s="214"/>
    </row>
    <row r="270" spans="9:12" x14ac:dyDescent="0.25">
      <c r="I270" s="214"/>
      <c r="J270" s="214"/>
      <c r="K270" s="214"/>
      <c r="L270" s="214"/>
    </row>
    <row r="271" spans="9:12" x14ac:dyDescent="0.25">
      <c r="I271" s="214"/>
      <c r="J271" s="214"/>
      <c r="K271" s="214"/>
      <c r="L271" s="214"/>
    </row>
    <row r="272" spans="9:12" x14ac:dyDescent="0.25">
      <c r="I272" s="214"/>
      <c r="J272" s="214"/>
      <c r="K272" s="214"/>
      <c r="L272" s="214"/>
    </row>
    <row r="273" spans="9:12" x14ac:dyDescent="0.25">
      <c r="I273" s="214"/>
      <c r="J273" s="214"/>
      <c r="K273" s="214"/>
      <c r="L273" s="214"/>
    </row>
    <row r="274" spans="9:12" x14ac:dyDescent="0.25">
      <c r="I274" s="214"/>
      <c r="J274" s="214"/>
      <c r="K274" s="214"/>
      <c r="L274" s="214"/>
    </row>
    <row r="275" spans="9:12" x14ac:dyDescent="0.25">
      <c r="I275" s="214"/>
      <c r="J275" s="214"/>
      <c r="K275" s="214"/>
      <c r="L275" s="214"/>
    </row>
    <row r="276" spans="9:12" x14ac:dyDescent="0.25">
      <c r="I276" s="214"/>
      <c r="J276" s="214"/>
      <c r="K276" s="214"/>
      <c r="L276" s="214"/>
    </row>
    <row r="277" spans="9:12" x14ac:dyDescent="0.25">
      <c r="I277" s="214"/>
      <c r="J277" s="214"/>
      <c r="K277" s="214"/>
      <c r="L277" s="214"/>
    </row>
    <row r="278" spans="9:12" x14ac:dyDescent="0.25">
      <c r="I278" s="214"/>
      <c r="J278" s="214"/>
      <c r="K278" s="214"/>
      <c r="L278" s="214"/>
    </row>
    <row r="279" spans="9:12" x14ac:dyDescent="0.25">
      <c r="I279" s="214"/>
      <c r="J279" s="214"/>
      <c r="K279" s="214"/>
      <c r="L279" s="214"/>
    </row>
    <row r="280" spans="9:12" x14ac:dyDescent="0.25">
      <c r="I280" s="214"/>
      <c r="J280" s="214"/>
      <c r="K280" s="214"/>
      <c r="L280" s="214"/>
    </row>
    <row r="281" spans="9:12" x14ac:dyDescent="0.25">
      <c r="I281" s="214"/>
      <c r="J281" s="214"/>
      <c r="K281" s="214"/>
      <c r="L281" s="214"/>
    </row>
    <row r="282" spans="9:12" x14ac:dyDescent="0.25">
      <c r="I282" s="214"/>
      <c r="J282" s="214"/>
      <c r="K282" s="214"/>
      <c r="L282" s="214"/>
    </row>
    <row r="283" spans="9:12" x14ac:dyDescent="0.25">
      <c r="I283" s="214"/>
      <c r="J283" s="214"/>
      <c r="K283" s="214"/>
      <c r="L283" s="214"/>
    </row>
    <row r="284" spans="9:12" x14ac:dyDescent="0.25">
      <c r="I284" s="214"/>
      <c r="J284" s="214"/>
      <c r="K284" s="214"/>
      <c r="L284" s="214"/>
    </row>
    <row r="285" spans="9:12" x14ac:dyDescent="0.25">
      <c r="I285" s="214"/>
      <c r="J285" s="214"/>
      <c r="K285" s="214"/>
      <c r="L285" s="214"/>
    </row>
    <row r="286" spans="9:12" x14ac:dyDescent="0.25">
      <c r="I286" s="214"/>
      <c r="J286" s="214"/>
      <c r="K286" s="214"/>
      <c r="L286" s="214"/>
    </row>
    <row r="287" spans="9:12" x14ac:dyDescent="0.25">
      <c r="I287" s="214"/>
      <c r="J287" s="214"/>
      <c r="K287" s="214"/>
      <c r="L287" s="214"/>
    </row>
    <row r="288" spans="9:12" x14ac:dyDescent="0.25">
      <c r="I288" s="214"/>
      <c r="J288" s="214"/>
      <c r="K288" s="214"/>
      <c r="L288" s="214"/>
    </row>
    <row r="289" spans="9:12" x14ac:dyDescent="0.25">
      <c r="I289" s="214"/>
      <c r="J289" s="214"/>
      <c r="K289" s="214"/>
      <c r="L289" s="214"/>
    </row>
    <row r="290" spans="9:12" x14ac:dyDescent="0.25">
      <c r="I290" s="214"/>
      <c r="J290" s="214"/>
      <c r="K290" s="214"/>
      <c r="L290" s="214"/>
    </row>
    <row r="291" spans="9:12" x14ac:dyDescent="0.25">
      <c r="I291" s="214"/>
      <c r="J291" s="214"/>
      <c r="K291" s="214"/>
      <c r="L291" s="214"/>
    </row>
    <row r="292" spans="9:12" x14ac:dyDescent="0.25">
      <c r="I292" s="214"/>
      <c r="J292" s="214"/>
      <c r="K292" s="214"/>
      <c r="L292" s="214"/>
    </row>
    <row r="293" spans="9:12" x14ac:dyDescent="0.25">
      <c r="I293" s="214"/>
      <c r="J293" s="214"/>
      <c r="K293" s="214"/>
      <c r="L293" s="214"/>
    </row>
    <row r="294" spans="9:12" x14ac:dyDescent="0.25">
      <c r="I294" s="214"/>
      <c r="J294" s="214"/>
      <c r="K294" s="214"/>
      <c r="L294" s="214"/>
    </row>
    <row r="295" spans="9:12" x14ac:dyDescent="0.25">
      <c r="I295" s="214"/>
      <c r="J295" s="214"/>
      <c r="K295" s="214"/>
      <c r="L295" s="214"/>
    </row>
    <row r="296" spans="9:12" x14ac:dyDescent="0.25">
      <c r="I296" s="214"/>
      <c r="J296" s="214"/>
      <c r="K296" s="214"/>
      <c r="L296" s="214"/>
    </row>
    <row r="297" spans="9:12" x14ac:dyDescent="0.25">
      <c r="I297" s="214"/>
      <c r="J297" s="214"/>
      <c r="K297" s="214"/>
      <c r="L297" s="214"/>
    </row>
    <row r="298" spans="9:12" x14ac:dyDescent="0.25">
      <c r="I298" s="214"/>
      <c r="J298" s="214"/>
      <c r="K298" s="214"/>
      <c r="L298" s="214"/>
    </row>
    <row r="299" spans="9:12" x14ac:dyDescent="0.25">
      <c r="I299" s="214"/>
      <c r="J299" s="214"/>
      <c r="K299" s="214"/>
      <c r="L299" s="214"/>
    </row>
    <row r="300" spans="9:12" x14ac:dyDescent="0.25">
      <c r="I300" s="214"/>
      <c r="J300" s="214"/>
      <c r="K300" s="214"/>
      <c r="L300" s="214"/>
    </row>
    <row r="301" spans="9:12" x14ac:dyDescent="0.25">
      <c r="I301" s="214"/>
      <c r="J301" s="214"/>
      <c r="K301" s="214"/>
      <c r="L301" s="214"/>
    </row>
    <row r="302" spans="9:12" x14ac:dyDescent="0.25">
      <c r="I302" s="214"/>
      <c r="J302" s="214"/>
      <c r="K302" s="214"/>
      <c r="L302" s="214"/>
    </row>
    <row r="303" spans="9:12" x14ac:dyDescent="0.25">
      <c r="I303" s="214"/>
      <c r="J303" s="214"/>
      <c r="K303" s="214"/>
      <c r="L303" s="214"/>
    </row>
    <row r="304" spans="9:12" x14ac:dyDescent="0.25">
      <c r="I304" s="214"/>
      <c r="J304" s="214"/>
      <c r="K304" s="214"/>
      <c r="L304" s="214"/>
    </row>
    <row r="305" spans="9:12" x14ac:dyDescent="0.25">
      <c r="I305" s="214"/>
      <c r="J305" s="214"/>
      <c r="K305" s="214"/>
      <c r="L305" s="214"/>
    </row>
    <row r="306" spans="9:12" x14ac:dyDescent="0.25">
      <c r="I306" s="214"/>
      <c r="J306" s="214"/>
      <c r="K306" s="214"/>
      <c r="L306" s="214"/>
    </row>
    <row r="307" spans="9:12" x14ac:dyDescent="0.25">
      <c r="I307" s="214"/>
      <c r="J307" s="214"/>
      <c r="K307" s="214"/>
      <c r="L307" s="214"/>
    </row>
    <row r="308" spans="9:12" x14ac:dyDescent="0.25">
      <c r="I308" s="214"/>
      <c r="J308" s="214"/>
      <c r="K308" s="214"/>
      <c r="L308" s="214"/>
    </row>
    <row r="309" spans="9:12" x14ac:dyDescent="0.25">
      <c r="I309" s="214"/>
      <c r="J309" s="214"/>
      <c r="K309" s="214"/>
      <c r="L309" s="214"/>
    </row>
    <row r="310" spans="9:12" x14ac:dyDescent="0.25">
      <c r="I310" s="214"/>
      <c r="J310" s="214"/>
      <c r="K310" s="214"/>
      <c r="L310" s="214"/>
    </row>
    <row r="311" spans="9:12" x14ac:dyDescent="0.25">
      <c r="I311" s="214"/>
      <c r="J311" s="214"/>
      <c r="K311" s="214"/>
      <c r="L311" s="214"/>
    </row>
    <row r="312" spans="9:12" x14ac:dyDescent="0.25">
      <c r="I312" s="214"/>
      <c r="J312" s="214"/>
      <c r="K312" s="214"/>
      <c r="L312" s="214"/>
    </row>
    <row r="313" spans="9:12" x14ac:dyDescent="0.25">
      <c r="I313" s="214"/>
      <c r="J313" s="214"/>
      <c r="K313" s="214"/>
      <c r="L313" s="214"/>
    </row>
    <row r="314" spans="9:12" x14ac:dyDescent="0.25">
      <c r="I314" s="214"/>
      <c r="J314" s="214"/>
      <c r="K314" s="214"/>
      <c r="L314" s="214"/>
    </row>
    <row r="315" spans="9:12" x14ac:dyDescent="0.25">
      <c r="I315" s="214"/>
      <c r="J315" s="214"/>
      <c r="K315" s="214"/>
      <c r="L315" s="214"/>
    </row>
    <row r="316" spans="9:12" x14ac:dyDescent="0.25">
      <c r="I316" s="214"/>
      <c r="J316" s="214"/>
      <c r="K316" s="214"/>
      <c r="L316" s="214"/>
    </row>
    <row r="317" spans="9:12" x14ac:dyDescent="0.25">
      <c r="I317" s="214"/>
      <c r="J317" s="214"/>
      <c r="K317" s="214"/>
      <c r="L317" s="214"/>
    </row>
    <row r="318" spans="9:12" x14ac:dyDescent="0.25">
      <c r="I318" s="214"/>
      <c r="J318" s="214"/>
      <c r="K318" s="214"/>
      <c r="L318" s="214"/>
    </row>
    <row r="319" spans="9:12" x14ac:dyDescent="0.25">
      <c r="I319" s="214"/>
      <c r="J319" s="214"/>
      <c r="K319" s="214"/>
      <c r="L319" s="214"/>
    </row>
    <row r="320" spans="9:12" x14ac:dyDescent="0.25">
      <c r="I320" s="214"/>
      <c r="J320" s="214"/>
      <c r="K320" s="214"/>
      <c r="L320" s="214"/>
    </row>
    <row r="321" spans="9:12" x14ac:dyDescent="0.25">
      <c r="I321" s="214"/>
      <c r="J321" s="214"/>
      <c r="K321" s="214"/>
      <c r="L321" s="214"/>
    </row>
    <row r="322" spans="9:12" x14ac:dyDescent="0.25">
      <c r="I322" s="214"/>
      <c r="J322" s="214"/>
      <c r="K322" s="214"/>
      <c r="L322" s="214"/>
    </row>
    <row r="323" spans="9:12" x14ac:dyDescent="0.25">
      <c r="I323" s="214"/>
      <c r="J323" s="214"/>
      <c r="K323" s="214"/>
      <c r="L323" s="214"/>
    </row>
    <row r="324" spans="9:12" x14ac:dyDescent="0.25">
      <c r="I324" s="214"/>
      <c r="J324" s="214"/>
      <c r="K324" s="214"/>
      <c r="L324" s="214"/>
    </row>
    <row r="325" spans="9:12" x14ac:dyDescent="0.25">
      <c r="I325" s="214"/>
      <c r="J325" s="214"/>
      <c r="K325" s="214"/>
      <c r="L325" s="214"/>
    </row>
    <row r="326" spans="9:12" x14ac:dyDescent="0.25">
      <c r="I326" s="214"/>
      <c r="J326" s="214"/>
      <c r="K326" s="214"/>
      <c r="L326" s="214"/>
    </row>
    <row r="327" spans="9:12" x14ac:dyDescent="0.25">
      <c r="I327" s="214"/>
      <c r="J327" s="214"/>
      <c r="K327" s="214"/>
      <c r="L327" s="214"/>
    </row>
    <row r="328" spans="9:12" x14ac:dyDescent="0.25">
      <c r="I328" s="214"/>
      <c r="J328" s="214"/>
      <c r="K328" s="214"/>
      <c r="L328" s="214"/>
    </row>
    <row r="329" spans="9:12" x14ac:dyDescent="0.25">
      <c r="I329" s="214"/>
      <c r="J329" s="214"/>
      <c r="K329" s="214"/>
      <c r="L329" s="214"/>
    </row>
    <row r="330" spans="9:12" x14ac:dyDescent="0.25">
      <c r="I330" s="214"/>
      <c r="J330" s="214"/>
      <c r="K330" s="214"/>
      <c r="L330" s="214"/>
    </row>
    <row r="331" spans="9:12" x14ac:dyDescent="0.25">
      <c r="I331" s="214"/>
      <c r="J331" s="214"/>
      <c r="K331" s="214"/>
      <c r="L331" s="214"/>
    </row>
    <row r="332" spans="9:12" x14ac:dyDescent="0.25">
      <c r="I332" s="214"/>
      <c r="J332" s="214"/>
      <c r="K332" s="214"/>
      <c r="L332" s="214"/>
    </row>
    <row r="333" spans="9:12" x14ac:dyDescent="0.25">
      <c r="I333" s="214"/>
      <c r="J333" s="214"/>
      <c r="K333" s="214"/>
      <c r="L333" s="214"/>
    </row>
    <row r="334" spans="9:12" x14ac:dyDescent="0.25">
      <c r="I334" s="214"/>
      <c r="J334" s="214"/>
      <c r="K334" s="214"/>
      <c r="L334" s="214"/>
    </row>
    <row r="335" spans="9:12" x14ac:dyDescent="0.25">
      <c r="I335" s="214"/>
      <c r="J335" s="214"/>
      <c r="K335" s="214"/>
      <c r="L335" s="214"/>
    </row>
    <row r="336" spans="9:12" x14ac:dyDescent="0.25">
      <c r="I336" s="214"/>
      <c r="J336" s="214"/>
      <c r="K336" s="214"/>
      <c r="L336" s="214"/>
    </row>
    <row r="337" spans="9:12" x14ac:dyDescent="0.25">
      <c r="I337" s="214"/>
      <c r="J337" s="214"/>
      <c r="K337" s="214"/>
      <c r="L337" s="214"/>
    </row>
    <row r="338" spans="9:12" x14ac:dyDescent="0.25">
      <c r="I338" s="214"/>
      <c r="J338" s="214"/>
      <c r="K338" s="214"/>
      <c r="L338" s="214"/>
    </row>
    <row r="339" spans="9:12" x14ac:dyDescent="0.25">
      <c r="I339" s="214"/>
      <c r="J339" s="214"/>
      <c r="K339" s="214"/>
      <c r="L339" s="214"/>
    </row>
    <row r="340" spans="9:12" x14ac:dyDescent="0.25">
      <c r="I340" s="214"/>
      <c r="J340" s="214"/>
      <c r="K340" s="214"/>
      <c r="L340" s="214"/>
    </row>
    <row r="341" spans="9:12" x14ac:dyDescent="0.25">
      <c r="I341" s="214"/>
      <c r="J341" s="214"/>
      <c r="K341" s="214"/>
      <c r="L341" s="214"/>
    </row>
    <row r="342" spans="9:12" x14ac:dyDescent="0.25">
      <c r="I342" s="214"/>
      <c r="J342" s="214"/>
      <c r="K342" s="214"/>
      <c r="L342" s="214"/>
    </row>
    <row r="343" spans="9:12" x14ac:dyDescent="0.25">
      <c r="I343" s="214"/>
      <c r="J343" s="214"/>
      <c r="K343" s="214"/>
      <c r="L343" s="214"/>
    </row>
    <row r="344" spans="9:12" x14ac:dyDescent="0.25">
      <c r="I344" s="214"/>
      <c r="J344" s="214"/>
      <c r="K344" s="214"/>
      <c r="L344" s="214"/>
    </row>
    <row r="345" spans="9:12" x14ac:dyDescent="0.25">
      <c r="I345" s="214"/>
      <c r="J345" s="214"/>
      <c r="K345" s="214"/>
      <c r="L345" s="214"/>
    </row>
    <row r="346" spans="9:12" x14ac:dyDescent="0.25">
      <c r="I346" s="214"/>
      <c r="J346" s="214"/>
      <c r="K346" s="214"/>
      <c r="L346" s="214"/>
    </row>
    <row r="347" spans="9:12" x14ac:dyDescent="0.25">
      <c r="I347" s="214"/>
      <c r="J347" s="214"/>
      <c r="K347" s="214"/>
      <c r="L347" s="214"/>
    </row>
    <row r="348" spans="9:12" x14ac:dyDescent="0.25">
      <c r="I348" s="214"/>
      <c r="J348" s="214"/>
      <c r="K348" s="214"/>
      <c r="L348" s="214"/>
    </row>
    <row r="349" spans="9:12" x14ac:dyDescent="0.25">
      <c r="I349" s="214"/>
      <c r="J349" s="214"/>
      <c r="K349" s="214"/>
      <c r="L349" s="214"/>
    </row>
    <row r="350" spans="9:12" x14ac:dyDescent="0.25">
      <c r="I350" s="214"/>
      <c r="J350" s="214"/>
      <c r="K350" s="214"/>
      <c r="L350" s="214"/>
    </row>
    <row r="351" spans="9:12" x14ac:dyDescent="0.25">
      <c r="I351" s="214"/>
      <c r="J351" s="214"/>
      <c r="K351" s="214"/>
      <c r="L351" s="214"/>
    </row>
    <row r="352" spans="9:12" x14ac:dyDescent="0.25">
      <c r="I352" s="214"/>
      <c r="J352" s="214"/>
      <c r="K352" s="214"/>
      <c r="L352" s="214"/>
    </row>
    <row r="353" spans="9:12" x14ac:dyDescent="0.25">
      <c r="I353" s="214"/>
      <c r="J353" s="214"/>
      <c r="K353" s="214"/>
      <c r="L353" s="214"/>
    </row>
    <row r="354" spans="9:12" x14ac:dyDescent="0.25">
      <c r="I354" s="214"/>
      <c r="J354" s="214"/>
      <c r="K354" s="214"/>
      <c r="L354" s="214"/>
    </row>
    <row r="355" spans="9:12" x14ac:dyDescent="0.25">
      <c r="I355" s="214"/>
      <c r="J355" s="214"/>
      <c r="K355" s="214"/>
      <c r="L355" s="214"/>
    </row>
    <row r="356" spans="9:12" x14ac:dyDescent="0.25">
      <c r="I356" s="214"/>
      <c r="J356" s="214"/>
      <c r="K356" s="214"/>
      <c r="L356" s="214"/>
    </row>
    <row r="357" spans="9:12" x14ac:dyDescent="0.25">
      <c r="I357" s="214"/>
      <c r="J357" s="214"/>
      <c r="K357" s="214"/>
      <c r="L357" s="214"/>
    </row>
    <row r="358" spans="9:12" x14ac:dyDescent="0.25">
      <c r="I358" s="214"/>
      <c r="J358" s="214"/>
      <c r="K358" s="214"/>
      <c r="L358" s="214"/>
    </row>
    <row r="359" spans="9:12" x14ac:dyDescent="0.25">
      <c r="I359" s="214"/>
      <c r="J359" s="214"/>
      <c r="K359" s="214"/>
      <c r="L359" s="214"/>
    </row>
    <row r="360" spans="9:12" x14ac:dyDescent="0.25">
      <c r="I360" s="214"/>
      <c r="J360" s="214"/>
      <c r="K360" s="214"/>
      <c r="L360" s="214"/>
    </row>
    <row r="361" spans="9:12" x14ac:dyDescent="0.25">
      <c r="I361" s="214"/>
      <c r="J361" s="214"/>
      <c r="K361" s="214"/>
      <c r="L361" s="214"/>
    </row>
    <row r="362" spans="9:12" x14ac:dyDescent="0.25">
      <c r="I362" s="214"/>
      <c r="J362" s="214"/>
      <c r="K362" s="214"/>
      <c r="L362" s="214"/>
    </row>
    <row r="363" spans="9:12" x14ac:dyDescent="0.25">
      <c r="I363" s="214"/>
      <c r="J363" s="214"/>
      <c r="K363" s="214"/>
      <c r="L363" s="214"/>
    </row>
    <row r="364" spans="9:12" x14ac:dyDescent="0.25">
      <c r="I364" s="214"/>
      <c r="J364" s="214"/>
      <c r="K364" s="214"/>
      <c r="L364" s="214"/>
    </row>
    <row r="365" spans="9:12" x14ac:dyDescent="0.25">
      <c r="I365" s="214"/>
      <c r="J365" s="214"/>
      <c r="K365" s="214"/>
      <c r="L365" s="214"/>
    </row>
    <row r="366" spans="9:12" x14ac:dyDescent="0.25">
      <c r="I366" s="214"/>
      <c r="J366" s="214"/>
      <c r="K366" s="214"/>
      <c r="L366" s="214"/>
    </row>
    <row r="367" spans="9:12" x14ac:dyDescent="0.25">
      <c r="I367" s="214"/>
      <c r="J367" s="214"/>
      <c r="K367" s="214"/>
      <c r="L367" s="214"/>
    </row>
    <row r="368" spans="9:12" x14ac:dyDescent="0.25">
      <c r="I368" s="214"/>
      <c r="J368" s="214"/>
      <c r="K368" s="214"/>
      <c r="L368" s="214"/>
    </row>
    <row r="369" spans="9:12" x14ac:dyDescent="0.25">
      <c r="I369" s="214"/>
      <c r="J369" s="214"/>
      <c r="K369" s="214"/>
      <c r="L369" s="214"/>
    </row>
    <row r="370" spans="9:12" x14ac:dyDescent="0.25">
      <c r="I370" s="214"/>
      <c r="J370" s="214"/>
      <c r="K370" s="214"/>
      <c r="L370" s="214"/>
    </row>
    <row r="371" spans="9:12" x14ac:dyDescent="0.25">
      <c r="I371" s="214"/>
      <c r="J371" s="214"/>
      <c r="K371" s="214"/>
      <c r="L371" s="214"/>
    </row>
    <row r="372" spans="9:12" x14ac:dyDescent="0.25">
      <c r="I372" s="214"/>
      <c r="J372" s="214"/>
      <c r="K372" s="214"/>
      <c r="L372" s="214"/>
    </row>
    <row r="373" spans="9:12" x14ac:dyDescent="0.25">
      <c r="I373" s="214"/>
      <c r="J373" s="214"/>
      <c r="K373" s="214"/>
      <c r="L373" s="214"/>
    </row>
    <row r="374" spans="9:12" x14ac:dyDescent="0.25">
      <c r="I374" s="214"/>
      <c r="J374" s="214"/>
      <c r="K374" s="214"/>
      <c r="L374" s="214"/>
    </row>
    <row r="375" spans="9:12" x14ac:dyDescent="0.25">
      <c r="I375" s="214"/>
      <c r="J375" s="214"/>
      <c r="K375" s="214"/>
      <c r="L375" s="214"/>
    </row>
    <row r="376" spans="9:12" x14ac:dyDescent="0.25">
      <c r="I376" s="214"/>
      <c r="J376" s="214"/>
      <c r="K376" s="214"/>
      <c r="L376" s="214"/>
    </row>
    <row r="377" spans="9:12" x14ac:dyDescent="0.25">
      <c r="I377" s="214"/>
      <c r="J377" s="214"/>
      <c r="K377" s="214"/>
      <c r="L377" s="214"/>
    </row>
    <row r="378" spans="9:12" x14ac:dyDescent="0.25">
      <c r="I378" s="214"/>
      <c r="J378" s="214"/>
      <c r="K378" s="214"/>
      <c r="L378" s="214"/>
    </row>
    <row r="379" spans="9:12" x14ac:dyDescent="0.25">
      <c r="I379" s="214"/>
      <c r="J379" s="214"/>
      <c r="K379" s="214"/>
      <c r="L379" s="214"/>
    </row>
    <row r="380" spans="9:12" x14ac:dyDescent="0.25">
      <c r="I380" s="214"/>
      <c r="J380" s="214"/>
      <c r="K380" s="214"/>
      <c r="L380" s="214"/>
    </row>
    <row r="381" spans="9:12" x14ac:dyDescent="0.25">
      <c r="I381" s="214"/>
      <c r="J381" s="214"/>
      <c r="K381" s="214"/>
      <c r="L381" s="214"/>
    </row>
    <row r="382" spans="9:12" x14ac:dyDescent="0.25">
      <c r="I382" s="214"/>
      <c r="J382" s="214"/>
      <c r="K382" s="214"/>
      <c r="L382" s="214"/>
    </row>
    <row r="383" spans="9:12" x14ac:dyDescent="0.25">
      <c r="I383" s="214"/>
      <c r="J383" s="214"/>
      <c r="K383" s="214"/>
      <c r="L383" s="214"/>
    </row>
    <row r="384" spans="9:12" x14ac:dyDescent="0.25">
      <c r="I384" s="214"/>
      <c r="J384" s="214"/>
      <c r="K384" s="214"/>
      <c r="L384" s="214"/>
    </row>
    <row r="385" spans="9:12" x14ac:dyDescent="0.25">
      <c r="I385" s="214"/>
      <c r="J385" s="214"/>
      <c r="K385" s="214"/>
      <c r="L385" s="214"/>
    </row>
    <row r="386" spans="9:12" x14ac:dyDescent="0.25">
      <c r="I386" s="214"/>
      <c r="J386" s="214"/>
      <c r="K386" s="214"/>
      <c r="L386" s="214"/>
    </row>
    <row r="387" spans="9:12" x14ac:dyDescent="0.25">
      <c r="I387" s="214"/>
      <c r="J387" s="214"/>
      <c r="K387" s="214"/>
      <c r="L387" s="214"/>
    </row>
    <row r="388" spans="9:12" x14ac:dyDescent="0.25">
      <c r="I388" s="214"/>
      <c r="J388" s="214"/>
      <c r="K388" s="214"/>
      <c r="L388" s="214"/>
    </row>
    <row r="389" spans="9:12" x14ac:dyDescent="0.25">
      <c r="I389" s="214"/>
      <c r="J389" s="214"/>
      <c r="K389" s="214"/>
      <c r="L389" s="214"/>
    </row>
    <row r="390" spans="9:12" x14ac:dyDescent="0.25">
      <c r="I390" s="214"/>
      <c r="J390" s="214"/>
      <c r="K390" s="214"/>
      <c r="L390" s="214"/>
    </row>
    <row r="391" spans="9:12" x14ac:dyDescent="0.25">
      <c r="I391" s="214"/>
      <c r="J391" s="214"/>
      <c r="K391" s="214"/>
      <c r="L391" s="214"/>
    </row>
    <row r="392" spans="9:12" x14ac:dyDescent="0.25">
      <c r="I392" s="214"/>
      <c r="J392" s="214"/>
      <c r="K392" s="214"/>
      <c r="L392" s="214"/>
    </row>
    <row r="393" spans="9:12" x14ac:dyDescent="0.25">
      <c r="I393" s="214"/>
      <c r="J393" s="214"/>
      <c r="K393" s="214"/>
      <c r="L393" s="214"/>
    </row>
    <row r="394" spans="9:12" x14ac:dyDescent="0.25">
      <c r="I394" s="214"/>
      <c r="J394" s="214"/>
      <c r="K394" s="214"/>
      <c r="L394" s="214"/>
    </row>
    <row r="395" spans="9:12" x14ac:dyDescent="0.25">
      <c r="I395" s="214"/>
      <c r="J395" s="214"/>
      <c r="K395" s="214"/>
      <c r="L395" s="214"/>
    </row>
    <row r="396" spans="9:12" x14ac:dyDescent="0.25">
      <c r="I396" s="214"/>
      <c r="J396" s="214"/>
      <c r="K396" s="214"/>
      <c r="L396" s="214"/>
    </row>
    <row r="397" spans="9:12" x14ac:dyDescent="0.25">
      <c r="I397" s="214"/>
      <c r="J397" s="214"/>
      <c r="K397" s="214"/>
      <c r="L397" s="214"/>
    </row>
  </sheetData>
  <mergeCells count="11">
    <mergeCell ref="A26:N26"/>
    <mergeCell ref="J29:S29"/>
    <mergeCell ref="A1:N1"/>
    <mergeCell ref="A2:A3"/>
    <mergeCell ref="B2:H2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zoomScale="130" zoomScaleNormal="130" workbookViewId="0">
      <selection activeCell="F18" sqref="F18"/>
    </sheetView>
  </sheetViews>
  <sheetFormatPr defaultColWidth="9" defaultRowHeight="15" x14ac:dyDescent="0.25"/>
  <cols>
    <col min="1" max="1" width="24.25" style="3" customWidth="1"/>
    <col min="2" max="2" width="15.25" style="3" customWidth="1"/>
    <col min="3" max="3" width="14.5" style="3" customWidth="1"/>
    <col min="4" max="4" width="12.25" style="3" customWidth="1"/>
    <col min="5" max="16384" width="9" style="3"/>
  </cols>
  <sheetData>
    <row r="1" spans="1:7" ht="30" x14ac:dyDescent="0.25">
      <c r="A1" s="32" t="s">
        <v>19</v>
      </c>
      <c r="B1" s="33" t="s">
        <v>23</v>
      </c>
      <c r="C1" s="33" t="s">
        <v>24</v>
      </c>
      <c r="D1" s="33" t="s">
        <v>25</v>
      </c>
      <c r="E1" s="34"/>
    </row>
    <row r="2" spans="1:7" x14ac:dyDescent="0.25">
      <c r="A2" s="108" t="s">
        <v>26</v>
      </c>
      <c r="B2" s="109">
        <f>454*22</f>
        <v>9988</v>
      </c>
      <c r="C2" s="109">
        <f>625*22</f>
        <v>13750</v>
      </c>
      <c r="D2" s="109">
        <f>C2*1.2</f>
        <v>16500</v>
      </c>
      <c r="E2" s="34"/>
      <c r="G2" s="35"/>
    </row>
    <row r="3" spans="1:7" x14ac:dyDescent="0.25">
      <c r="A3" s="108" t="s">
        <v>27</v>
      </c>
      <c r="B3" s="109">
        <f>140*22</f>
        <v>3080</v>
      </c>
      <c r="C3" s="109"/>
      <c r="D3" s="109">
        <f>C3*1.25</f>
        <v>0</v>
      </c>
      <c r="E3" s="34"/>
      <c r="G3" s="35"/>
    </row>
    <row r="4" spans="1:7" x14ac:dyDescent="0.25">
      <c r="A4" s="108" t="s">
        <v>28</v>
      </c>
      <c r="B4" s="109">
        <f>600*22</f>
        <v>13200</v>
      </c>
      <c r="C4" s="109">
        <f>771*22</f>
        <v>16962</v>
      </c>
      <c r="D4" s="109">
        <f>C4*1.2</f>
        <v>20354.399999999998</v>
      </c>
      <c r="E4" s="34"/>
      <c r="G4" s="35"/>
    </row>
    <row r="5" spans="1:7" x14ac:dyDescent="0.25">
      <c r="A5" s="108" t="s">
        <v>29</v>
      </c>
      <c r="B5" s="109">
        <f>454*22</f>
        <v>9988</v>
      </c>
      <c r="C5" s="109">
        <f>625*22</f>
        <v>13750</v>
      </c>
      <c r="D5" s="109">
        <f>C5*1.2</f>
        <v>16500</v>
      </c>
      <c r="E5" s="34"/>
    </row>
    <row r="6" spans="1:7" ht="28.9" customHeight="1" x14ac:dyDescent="0.25">
      <c r="A6" s="108" t="s">
        <v>30</v>
      </c>
      <c r="B6" s="109">
        <v>3500</v>
      </c>
      <c r="C6" s="109"/>
      <c r="D6" s="109"/>
      <c r="E6" s="34"/>
    </row>
    <row r="7" spans="1:7" x14ac:dyDescent="0.25">
      <c r="A7" s="110" t="s">
        <v>31</v>
      </c>
      <c r="B7" s="109">
        <v>1500</v>
      </c>
      <c r="C7" s="109"/>
      <c r="D7" s="108"/>
      <c r="E7" s="34"/>
    </row>
    <row r="8" spans="1:7" ht="19.149999999999999" customHeight="1" x14ac:dyDescent="0.25">
      <c r="A8" s="108" t="s">
        <v>146</v>
      </c>
      <c r="B8" s="109">
        <f>B3*1.25</f>
        <v>3850</v>
      </c>
      <c r="C8" s="109"/>
      <c r="D8" s="109">
        <f>B8*1.2</f>
        <v>4620</v>
      </c>
      <c r="E8" s="34"/>
    </row>
    <row r="9" spans="1:7" x14ac:dyDescent="0.25">
      <c r="A9" s="108" t="s">
        <v>147</v>
      </c>
      <c r="B9" s="109">
        <v>400</v>
      </c>
      <c r="C9" s="109"/>
      <c r="D9" s="108"/>
      <c r="E9" s="34"/>
    </row>
    <row r="10" spans="1:7" x14ac:dyDescent="0.25">
      <c r="A10" s="108"/>
      <c r="B10" s="109"/>
      <c r="C10" s="109"/>
      <c r="D10" s="108"/>
      <c r="E10" s="34"/>
    </row>
    <row r="11" spans="1:7" x14ac:dyDescent="0.25">
      <c r="A11" s="111" t="s">
        <v>148</v>
      </c>
      <c r="B11" s="112">
        <v>50000</v>
      </c>
      <c r="C11" s="112"/>
      <c r="D11" s="112"/>
      <c r="E11" s="34"/>
    </row>
    <row r="12" spans="1:7" x14ac:dyDescent="0.25">
      <c r="A12" s="111" t="s">
        <v>149</v>
      </c>
      <c r="B12" s="112">
        <v>65500</v>
      </c>
      <c r="C12" s="112" t="s">
        <v>150</v>
      </c>
      <c r="D12" s="112"/>
      <c r="E12" s="34"/>
    </row>
    <row r="13" spans="1:7" x14ac:dyDescent="0.25">
      <c r="A13" s="111" t="s">
        <v>151</v>
      </c>
      <c r="B13" s="112">
        <v>300000</v>
      </c>
      <c r="C13" s="112"/>
      <c r="D13" s="112"/>
      <c r="E13" s="34"/>
    </row>
    <row r="14" spans="1:7" x14ac:dyDescent="0.25">
      <c r="A14" s="111" t="s">
        <v>152</v>
      </c>
      <c r="B14" s="112">
        <v>30000</v>
      </c>
      <c r="C14" s="112"/>
      <c r="D14" s="112"/>
      <c r="E14" s="34"/>
    </row>
    <row r="15" spans="1:7" x14ac:dyDescent="0.25">
      <c r="A15" s="111" t="s">
        <v>153</v>
      </c>
      <c r="B15" s="112">
        <v>100000</v>
      </c>
      <c r="C15" s="112"/>
      <c r="D15" s="112"/>
    </row>
    <row r="16" spans="1:7" x14ac:dyDescent="0.25">
      <c r="A16" s="111" t="s">
        <v>154</v>
      </c>
      <c r="B16" s="112">
        <v>60000</v>
      </c>
      <c r="C16" s="112"/>
      <c r="D16" s="112"/>
    </row>
    <row r="17" spans="1:4" x14ac:dyDescent="0.25">
      <c r="A17" s="111" t="s">
        <v>155</v>
      </c>
      <c r="B17" s="112">
        <v>15000</v>
      </c>
      <c r="C17" s="112" t="s">
        <v>156</v>
      </c>
      <c r="D17" s="112"/>
    </row>
    <row r="18" spans="1:4" x14ac:dyDescent="0.25">
      <c r="A18" s="111" t="s">
        <v>157</v>
      </c>
      <c r="B18" s="112">
        <v>1500</v>
      </c>
      <c r="C18" s="112"/>
      <c r="D18" s="112"/>
    </row>
    <row r="19" spans="1:4" x14ac:dyDescent="0.25">
      <c r="A19" s="111" t="s">
        <v>158</v>
      </c>
      <c r="B19" s="112">
        <v>13000</v>
      </c>
      <c r="C19" s="112"/>
      <c r="D19" s="112"/>
    </row>
    <row r="20" spans="1:4" x14ac:dyDescent="0.25">
      <c r="A20" s="111" t="s">
        <v>159</v>
      </c>
      <c r="B20" s="112">
        <v>200000</v>
      </c>
      <c r="C20" s="112"/>
      <c r="D20" s="112"/>
    </row>
    <row r="21" spans="1:4" x14ac:dyDescent="0.25">
      <c r="A21" s="111" t="s">
        <v>160</v>
      </c>
      <c r="B21" s="112">
        <v>200000</v>
      </c>
      <c r="C21" s="112"/>
      <c r="D21" s="112"/>
    </row>
    <row r="22" spans="1:4" x14ac:dyDescent="0.25">
      <c r="A22" s="111" t="s">
        <v>161</v>
      </c>
      <c r="B22" s="112">
        <v>300000</v>
      </c>
      <c r="C22" s="112"/>
      <c r="D22" s="112"/>
    </row>
    <row r="23" spans="1:4" ht="30" x14ac:dyDescent="0.25">
      <c r="A23" s="111" t="s">
        <v>162</v>
      </c>
      <c r="B23" s="112">
        <v>800000</v>
      </c>
      <c r="C23" s="112"/>
      <c r="D23" s="112"/>
    </row>
    <row r="24" spans="1:4" x14ac:dyDescent="0.25">
      <c r="A24" s="111" t="s">
        <v>163</v>
      </c>
      <c r="B24" s="112">
        <v>1000</v>
      </c>
      <c r="C24" s="112"/>
      <c r="D24" s="112"/>
    </row>
    <row r="25" spans="1:4" ht="60" x14ac:dyDescent="0.25">
      <c r="A25" s="111" t="s">
        <v>164</v>
      </c>
      <c r="B25" s="112">
        <v>520000</v>
      </c>
      <c r="C25" s="112"/>
      <c r="D25" s="112"/>
    </row>
    <row r="26" spans="1:4" ht="30" x14ac:dyDescent="0.25">
      <c r="A26" s="111" t="s">
        <v>32</v>
      </c>
      <c r="B26" s="112">
        <v>150000</v>
      </c>
      <c r="C26" s="112"/>
      <c r="D26" s="112"/>
    </row>
    <row r="27" spans="1:4" x14ac:dyDescent="0.25">
      <c r="A27" s="111" t="s">
        <v>33</v>
      </c>
      <c r="B27" s="112">
        <v>2000</v>
      </c>
      <c r="C27" s="108"/>
      <c r="D27" s="108"/>
    </row>
    <row r="28" spans="1:4" x14ac:dyDescent="0.25">
      <c r="A28" s="111" t="s">
        <v>34</v>
      </c>
      <c r="B28" s="112">
        <v>18000</v>
      </c>
      <c r="C28" s="108"/>
      <c r="D28" s="108"/>
    </row>
    <row r="29" spans="1:4" x14ac:dyDescent="0.25">
      <c r="A29" s="111" t="s">
        <v>35</v>
      </c>
      <c r="B29" s="112">
        <v>8000</v>
      </c>
      <c r="C29" s="108"/>
      <c r="D29" s="108"/>
    </row>
    <row r="30" spans="1:4" x14ac:dyDescent="0.25">
      <c r="A30" s="111" t="s">
        <v>36</v>
      </c>
      <c r="B30" s="112">
        <v>7</v>
      </c>
      <c r="C30" s="108"/>
      <c r="D30" s="108"/>
    </row>
    <row r="31" spans="1:4" x14ac:dyDescent="0.25">
      <c r="A31" s="111" t="s">
        <v>37</v>
      </c>
      <c r="B31" s="112">
        <v>2000</v>
      </c>
      <c r="C31" s="108"/>
      <c r="D31" s="108"/>
    </row>
    <row r="32" spans="1:4" x14ac:dyDescent="0.25">
      <c r="A32" s="111" t="s">
        <v>38</v>
      </c>
      <c r="B32" s="112">
        <v>40</v>
      </c>
      <c r="C32" s="108"/>
      <c r="D32" s="108"/>
    </row>
    <row r="33" spans="1:4" x14ac:dyDescent="0.25">
      <c r="A33" s="111" t="s">
        <v>39</v>
      </c>
      <c r="B33" s="112">
        <v>20</v>
      </c>
      <c r="C33" s="108"/>
      <c r="D33" s="108"/>
    </row>
    <row r="34" spans="1:4" x14ac:dyDescent="0.25">
      <c r="A34" s="111" t="s">
        <v>40</v>
      </c>
      <c r="B34" s="112">
        <v>10000</v>
      </c>
      <c r="C34" s="108"/>
      <c r="D34" s="10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48009-C748-4B3F-A54C-79536C13D676}">
  <dimension ref="A2:U106"/>
  <sheetViews>
    <sheetView tabSelected="1" topLeftCell="C1" zoomScale="80" zoomScaleNormal="80" workbookViewId="0">
      <selection activeCell="D6" sqref="D6"/>
    </sheetView>
  </sheetViews>
  <sheetFormatPr defaultColWidth="8.25" defaultRowHeight="14.25" x14ac:dyDescent="0.2"/>
  <cols>
    <col min="1" max="1" width="36.625" style="193" customWidth="1"/>
    <col min="2" max="2" width="8.25" style="48" customWidth="1"/>
    <col min="3" max="3" width="46.375" style="48" customWidth="1"/>
    <col min="4" max="4" width="26" style="48" customWidth="1"/>
    <col min="5" max="5" width="11.625" style="48" customWidth="1"/>
    <col min="6" max="6" width="14" style="48" customWidth="1"/>
    <col min="7" max="8" width="17.375" style="61" customWidth="1"/>
    <col min="9" max="9" width="16.5" style="62" customWidth="1"/>
    <col min="10" max="10" width="14.125" style="62" customWidth="1"/>
    <col min="11" max="11" width="24.75" style="48" customWidth="1"/>
    <col min="12" max="12" width="17.625" style="48" customWidth="1"/>
    <col min="13" max="13" width="14" style="63" customWidth="1"/>
    <col min="14" max="14" width="13.5" style="63" customWidth="1"/>
    <col min="15" max="15" width="31.375" style="48" customWidth="1"/>
    <col min="16" max="17" width="8.25" style="48" customWidth="1"/>
    <col min="18" max="18" width="61.75" style="48" customWidth="1"/>
    <col min="19" max="19" width="51.75" style="48" customWidth="1"/>
    <col min="20" max="21" width="8.25" style="48" customWidth="1"/>
    <col min="22" max="16384" width="8.25" style="48"/>
  </cols>
  <sheetData>
    <row r="2" spans="1:21" ht="16.149999999999999" customHeight="1" thickBot="1" x14ac:dyDescent="0.25">
      <c r="A2" s="43"/>
      <c r="B2" s="43" t="s">
        <v>46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  <c r="Q2" s="45"/>
      <c r="R2" s="46"/>
      <c r="S2" s="45"/>
      <c r="T2" s="45"/>
      <c r="U2" s="45"/>
    </row>
    <row r="3" spans="1:21" ht="15.75" x14ac:dyDescent="0.2">
      <c r="B3" s="329" t="s">
        <v>22</v>
      </c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1"/>
      <c r="P3" s="45"/>
      <c r="Q3" s="45"/>
      <c r="R3" s="47" t="s">
        <v>47</v>
      </c>
      <c r="S3" s="45"/>
      <c r="T3" s="45"/>
      <c r="U3" s="45"/>
    </row>
    <row r="4" spans="1:21" ht="14.45" customHeight="1" x14ac:dyDescent="0.2">
      <c r="A4" s="339"/>
      <c r="B4" s="340" t="s">
        <v>48</v>
      </c>
      <c r="C4" s="328" t="s">
        <v>49</v>
      </c>
      <c r="D4" s="328" t="s">
        <v>105</v>
      </c>
      <c r="E4" s="328" t="s">
        <v>50</v>
      </c>
      <c r="F4" s="328" t="s">
        <v>51</v>
      </c>
      <c r="G4" s="332" t="s">
        <v>52</v>
      </c>
      <c r="H4" s="333"/>
      <c r="I4" s="332"/>
      <c r="J4" s="332"/>
      <c r="K4" s="328" t="s">
        <v>53</v>
      </c>
      <c r="L4" s="328" t="s">
        <v>106</v>
      </c>
      <c r="M4" s="328" t="s">
        <v>54</v>
      </c>
      <c r="N4" s="328"/>
      <c r="O4" s="327" t="s">
        <v>107</v>
      </c>
      <c r="P4" s="45"/>
      <c r="Q4" s="45"/>
      <c r="R4" s="47" t="s">
        <v>55</v>
      </c>
      <c r="S4" s="45"/>
      <c r="T4" s="45"/>
      <c r="U4" s="45"/>
    </row>
    <row r="5" spans="1:21" ht="33" customHeight="1" x14ac:dyDescent="0.2">
      <c r="A5" s="339"/>
      <c r="B5" s="340"/>
      <c r="C5" s="328"/>
      <c r="D5" s="328"/>
      <c r="E5" s="328"/>
      <c r="F5" s="328"/>
      <c r="G5" s="83" t="s">
        <v>56</v>
      </c>
      <c r="H5" s="178"/>
      <c r="I5" s="89" t="s">
        <v>57</v>
      </c>
      <c r="J5" s="89" t="s">
        <v>58</v>
      </c>
      <c r="K5" s="328"/>
      <c r="L5" s="328"/>
      <c r="M5" s="84" t="s">
        <v>59</v>
      </c>
      <c r="N5" s="84" t="s">
        <v>60</v>
      </c>
      <c r="O5" s="327"/>
      <c r="P5" s="45"/>
      <c r="Q5" s="45"/>
      <c r="R5" s="48" t="s">
        <v>61</v>
      </c>
      <c r="S5" s="45"/>
      <c r="T5" s="45"/>
      <c r="U5" s="45"/>
    </row>
    <row r="6" spans="1:21" x14ac:dyDescent="0.2">
      <c r="A6" s="194"/>
      <c r="B6" s="49"/>
      <c r="C6" s="50"/>
      <c r="D6" s="50"/>
      <c r="E6" s="50"/>
      <c r="F6" s="50"/>
      <c r="G6" s="51"/>
      <c r="H6" s="184"/>
      <c r="I6" s="52"/>
      <c r="J6" s="52"/>
      <c r="K6" s="50"/>
      <c r="L6" s="50"/>
      <c r="M6" s="53"/>
      <c r="N6" s="53"/>
      <c r="O6" s="54"/>
      <c r="P6" s="45"/>
      <c r="Q6" s="45"/>
      <c r="R6" s="47" t="s">
        <v>62</v>
      </c>
      <c r="S6" s="45"/>
      <c r="T6" s="45"/>
      <c r="U6" s="45"/>
    </row>
    <row r="7" spans="1:21" ht="15" thickBot="1" x14ac:dyDescent="0.25">
      <c r="A7" s="195"/>
      <c r="B7" s="55"/>
      <c r="C7" s="56"/>
      <c r="D7" s="56"/>
      <c r="E7" s="56"/>
      <c r="F7" s="56"/>
      <c r="G7" s="57"/>
      <c r="H7" s="211"/>
      <c r="I7" s="58"/>
      <c r="J7" s="58"/>
      <c r="K7" s="56"/>
      <c r="L7" s="56"/>
      <c r="M7" s="59"/>
      <c r="N7" s="59"/>
      <c r="O7" s="60"/>
      <c r="P7" s="45"/>
      <c r="Q7" s="45"/>
      <c r="R7" s="47" t="s">
        <v>63</v>
      </c>
      <c r="S7" s="45"/>
      <c r="T7" s="45"/>
      <c r="U7" s="45"/>
    </row>
    <row r="8" spans="1:21" ht="15" thickBot="1" x14ac:dyDescent="0.25">
      <c r="G8" s="61">
        <v>0</v>
      </c>
      <c r="M8" s="53"/>
      <c r="R8" s="47" t="s">
        <v>64</v>
      </c>
    </row>
    <row r="9" spans="1:21" ht="15.75" x14ac:dyDescent="0.2">
      <c r="B9" s="329" t="s">
        <v>21</v>
      </c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330"/>
      <c r="N9" s="330"/>
      <c r="O9" s="331"/>
      <c r="P9" s="45"/>
      <c r="Q9" s="45"/>
      <c r="R9" s="47" t="s">
        <v>65</v>
      </c>
      <c r="S9" s="45"/>
      <c r="T9" s="45"/>
      <c r="U9" s="45"/>
    </row>
    <row r="10" spans="1:21" ht="15" customHeight="1" x14ac:dyDescent="0.2">
      <c r="A10" s="339"/>
      <c r="B10" s="340" t="s">
        <v>48</v>
      </c>
      <c r="C10" s="328" t="s">
        <v>49</v>
      </c>
      <c r="D10" s="328" t="s">
        <v>108</v>
      </c>
      <c r="E10" s="328" t="s">
        <v>50</v>
      </c>
      <c r="F10" s="328" t="s">
        <v>51</v>
      </c>
      <c r="G10" s="332" t="s">
        <v>52</v>
      </c>
      <c r="H10" s="333"/>
      <c r="I10" s="332"/>
      <c r="J10" s="332"/>
      <c r="K10" s="328" t="s">
        <v>53</v>
      </c>
      <c r="L10" s="328" t="s">
        <v>106</v>
      </c>
      <c r="M10" s="328" t="s">
        <v>54</v>
      </c>
      <c r="N10" s="328"/>
      <c r="O10" s="327" t="s">
        <v>107</v>
      </c>
      <c r="P10" s="45"/>
      <c r="Q10" s="45"/>
      <c r="R10" s="47" t="s">
        <v>66</v>
      </c>
      <c r="S10" s="45"/>
      <c r="T10" s="45"/>
      <c r="U10" s="45"/>
    </row>
    <row r="11" spans="1:21" ht="36" customHeight="1" x14ac:dyDescent="0.2">
      <c r="A11" s="339"/>
      <c r="B11" s="340"/>
      <c r="C11" s="328"/>
      <c r="D11" s="328"/>
      <c r="E11" s="328"/>
      <c r="F11" s="328"/>
      <c r="G11" s="83" t="s">
        <v>56</v>
      </c>
      <c r="H11" s="178"/>
      <c r="I11" s="89" t="s">
        <v>57</v>
      </c>
      <c r="J11" s="89" t="s">
        <v>58</v>
      </c>
      <c r="K11" s="328"/>
      <c r="L11" s="328"/>
      <c r="M11" s="84" t="s">
        <v>59</v>
      </c>
      <c r="N11" s="84" t="s">
        <v>60</v>
      </c>
      <c r="O11" s="327"/>
      <c r="P11" s="45"/>
      <c r="Q11" s="45"/>
      <c r="R11" s="46"/>
      <c r="S11" s="45"/>
      <c r="T11" s="45"/>
      <c r="U11" s="45"/>
    </row>
    <row r="12" spans="1:21" ht="78.75" customHeight="1" x14ac:dyDescent="0.2">
      <c r="A12" s="196"/>
      <c r="B12" s="64"/>
      <c r="C12" s="65">
        <f>'1. Detailed Budget'!P35</f>
        <v>0</v>
      </c>
      <c r="D12" s="65" t="s">
        <v>67</v>
      </c>
      <c r="E12" s="65"/>
      <c r="F12" s="65" t="s">
        <v>68</v>
      </c>
      <c r="G12" s="75">
        <f>'1. Detailed Budget'!S35</f>
        <v>0</v>
      </c>
      <c r="H12" s="176"/>
      <c r="I12" s="66">
        <v>1</v>
      </c>
      <c r="J12" s="66">
        <v>0</v>
      </c>
      <c r="K12" s="65" t="s">
        <v>70</v>
      </c>
      <c r="L12" s="65" t="s">
        <v>55</v>
      </c>
      <c r="M12" s="82"/>
      <c r="N12" s="82"/>
      <c r="O12" s="67"/>
      <c r="P12" s="45"/>
      <c r="Q12" s="45"/>
      <c r="R12" s="47"/>
      <c r="S12" s="45"/>
      <c r="T12" s="45"/>
      <c r="U12" s="45"/>
    </row>
    <row r="13" spans="1:21" ht="15" thickBot="1" x14ac:dyDescent="0.25">
      <c r="A13" s="195"/>
      <c r="B13" s="55"/>
      <c r="C13" s="56"/>
      <c r="D13" s="56"/>
      <c r="E13" s="56"/>
      <c r="F13" s="56"/>
      <c r="G13" s="57"/>
      <c r="H13" s="211"/>
      <c r="I13" s="58"/>
      <c r="J13" s="58"/>
      <c r="K13" s="56"/>
      <c r="L13" s="56"/>
      <c r="M13" s="59"/>
      <c r="N13" s="59"/>
      <c r="O13" s="60"/>
      <c r="P13" s="45"/>
      <c r="Q13" s="45"/>
      <c r="R13" s="47" t="s">
        <v>63</v>
      </c>
      <c r="S13" s="45"/>
      <c r="T13" s="45"/>
      <c r="U13" s="45"/>
    </row>
    <row r="14" spans="1:21" ht="15.75" thickBot="1" x14ac:dyDescent="0.3">
      <c r="G14" s="77">
        <v>0</v>
      </c>
      <c r="H14" s="77"/>
      <c r="R14" s="47" t="s">
        <v>103</v>
      </c>
    </row>
    <row r="15" spans="1:21" ht="15.75" x14ac:dyDescent="0.2">
      <c r="B15" s="329" t="s">
        <v>71</v>
      </c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1"/>
      <c r="R15" s="47" t="s">
        <v>102</v>
      </c>
    </row>
    <row r="16" spans="1:21" ht="15" customHeight="1" x14ac:dyDescent="0.2">
      <c r="A16" s="340" t="s">
        <v>72</v>
      </c>
      <c r="B16" s="340" t="s">
        <v>48</v>
      </c>
      <c r="C16" s="328" t="s">
        <v>49</v>
      </c>
      <c r="D16" s="328" t="s">
        <v>108</v>
      </c>
      <c r="E16" s="328" t="s">
        <v>50</v>
      </c>
      <c r="F16" s="328" t="s">
        <v>51</v>
      </c>
      <c r="G16" s="332" t="s">
        <v>52</v>
      </c>
      <c r="H16" s="333"/>
      <c r="I16" s="332"/>
      <c r="J16" s="332"/>
      <c r="K16" s="328" t="s">
        <v>53</v>
      </c>
      <c r="L16" s="328" t="s">
        <v>106</v>
      </c>
      <c r="M16" s="328" t="s">
        <v>54</v>
      </c>
      <c r="N16" s="328"/>
      <c r="O16" s="327" t="s">
        <v>107</v>
      </c>
      <c r="R16" s="47" t="s">
        <v>73</v>
      </c>
    </row>
    <row r="17" spans="1:19" ht="36.75" customHeight="1" x14ac:dyDescent="0.2">
      <c r="A17" s="340"/>
      <c r="B17" s="340"/>
      <c r="C17" s="328"/>
      <c r="D17" s="328"/>
      <c r="E17" s="328"/>
      <c r="F17" s="328"/>
      <c r="G17" s="83" t="s">
        <v>56</v>
      </c>
      <c r="H17" s="83" t="s">
        <v>233</v>
      </c>
      <c r="I17" s="89" t="s">
        <v>57</v>
      </c>
      <c r="J17" s="89" t="s">
        <v>58</v>
      </c>
      <c r="K17" s="328"/>
      <c r="L17" s="328"/>
      <c r="M17" s="84" t="s">
        <v>74</v>
      </c>
      <c r="N17" s="84" t="s">
        <v>60</v>
      </c>
      <c r="O17" s="327"/>
      <c r="R17" s="47" t="s">
        <v>67</v>
      </c>
    </row>
    <row r="18" spans="1:19" ht="36.75" customHeight="1" x14ac:dyDescent="0.2">
      <c r="A18" s="341" t="str">
        <f>'1. Detailed Budget'!A9</f>
        <v>1.1 Marco normativo (LOEP y reglamentos asociados) revisado y propuesta de reforma conforme a mejores estándares internacionales elaborada (incluye Gobernanza corporativa, régimen fiscal y mecanismos de transparencia y rendición de cuentas)</v>
      </c>
      <c r="B18" s="64" t="s">
        <v>42</v>
      </c>
      <c r="C18" s="174" t="str">
        <f>'1. Detailed Budget'!U9</f>
        <v>Socialización y difusión de la nueva LOEP y reglamentos y normativa asociados, que incluya materiales de difusión (150 EP)</v>
      </c>
      <c r="D18" s="50" t="s">
        <v>67</v>
      </c>
      <c r="E18" s="65"/>
      <c r="F18" s="65" t="s">
        <v>68</v>
      </c>
      <c r="G18" s="75">
        <f>'1. Detailed Budget'!X9</f>
        <v>60000</v>
      </c>
      <c r="H18" s="75">
        <f>'1. Detailed Budget'!Y9</f>
        <v>7200</v>
      </c>
      <c r="I18" s="66">
        <v>1</v>
      </c>
      <c r="J18" s="66">
        <v>0</v>
      </c>
      <c r="K18" s="65" t="s">
        <v>69</v>
      </c>
      <c r="L18" s="65" t="s">
        <v>55</v>
      </c>
      <c r="M18" s="104">
        <v>43832</v>
      </c>
      <c r="N18" s="104">
        <v>43914</v>
      </c>
      <c r="O18" s="149"/>
      <c r="R18" s="47"/>
    </row>
    <row r="19" spans="1:19" ht="63.6" customHeight="1" x14ac:dyDescent="0.2">
      <c r="A19" s="342"/>
      <c r="B19" s="64" t="s">
        <v>42</v>
      </c>
      <c r="C19" s="174" t="str">
        <f>'1. Detailed Budget'!U11</f>
        <v>Capacitación/transferencia de conocimiento sobre lineamientos de gobernanza corporativa de la OCDE y temas específicos de la nueva LOEP, reglamentos y normativa asociados (200 p)</v>
      </c>
      <c r="D19" s="258" t="s">
        <v>103</v>
      </c>
      <c r="E19" s="65"/>
      <c r="F19" s="65" t="s">
        <v>68</v>
      </c>
      <c r="G19" s="75">
        <f>'1. Detailed Budget'!X11</f>
        <v>60000</v>
      </c>
      <c r="H19" s="75">
        <f>'1. Detailed Budget'!Y11</f>
        <v>7200</v>
      </c>
      <c r="I19" s="66">
        <v>1</v>
      </c>
      <c r="J19" s="66">
        <v>0</v>
      </c>
      <c r="K19" s="65" t="s">
        <v>69</v>
      </c>
      <c r="L19" s="65" t="s">
        <v>61</v>
      </c>
      <c r="M19" s="104">
        <v>43892</v>
      </c>
      <c r="N19" s="104">
        <v>44036</v>
      </c>
      <c r="O19" s="67"/>
      <c r="R19" s="46"/>
    </row>
    <row r="20" spans="1:19" ht="63.6" customHeight="1" x14ac:dyDescent="0.2">
      <c r="A20" s="197" t="str">
        <f>'1. Detailed Budget'!A13</f>
        <v xml:space="preserve">1.2 Régimen de gobernanza fiscal implementado </v>
      </c>
      <c r="B20" s="64" t="s">
        <v>42</v>
      </c>
      <c r="C20" s="174" t="str">
        <f>'1. Detailed Budget'!U13</f>
        <v>Capacitación especifica a la empresa Petrolera sobre el régimen fiscal de la EP</v>
      </c>
      <c r="D20" s="258" t="s">
        <v>67</v>
      </c>
      <c r="E20" s="65"/>
      <c r="F20" s="65" t="s">
        <v>68</v>
      </c>
      <c r="G20" s="75">
        <f>'1. Detailed Budget'!X13</f>
        <v>20000</v>
      </c>
      <c r="H20" s="75">
        <f>'1. Detailed Budget'!Y13</f>
        <v>2400</v>
      </c>
      <c r="I20" s="66">
        <v>1</v>
      </c>
      <c r="J20" s="66">
        <v>0</v>
      </c>
      <c r="K20" s="65" t="s">
        <v>69</v>
      </c>
      <c r="L20" s="65" t="s">
        <v>61</v>
      </c>
      <c r="M20" s="104">
        <v>44198</v>
      </c>
      <c r="N20" s="104">
        <v>44340</v>
      </c>
      <c r="O20" s="67"/>
      <c r="R20" s="46"/>
    </row>
    <row r="21" spans="1:19" ht="63.6" customHeight="1" x14ac:dyDescent="0.2">
      <c r="A21" s="341" t="str">
        <f>'1. Detailed Budget'!A17</f>
        <v>1.3 Mecanismos de transparencia y rendición de cuentas implementados</v>
      </c>
      <c r="B21" s="64" t="s">
        <v>42</v>
      </c>
      <c r="C21" s="65" t="str">
        <f>'1. Detailed Budget'!U17</f>
        <v>Socialización de acciones anticorrupción con los actores relevantes</v>
      </c>
      <c r="D21" s="258" t="s">
        <v>67</v>
      </c>
      <c r="E21" s="65"/>
      <c r="F21" s="65" t="s">
        <v>68</v>
      </c>
      <c r="G21" s="75">
        <f>'1. Detailed Budget'!X17</f>
        <v>40000</v>
      </c>
      <c r="H21" s="75">
        <f>'1. Detailed Budget'!Y17</f>
        <v>4800</v>
      </c>
      <c r="I21" s="66">
        <v>1</v>
      </c>
      <c r="J21" s="66">
        <v>0</v>
      </c>
      <c r="K21" s="65" t="s">
        <v>69</v>
      </c>
      <c r="L21" s="65" t="s">
        <v>55</v>
      </c>
      <c r="M21" s="104">
        <v>43923</v>
      </c>
      <c r="N21" s="104">
        <v>44006</v>
      </c>
      <c r="O21" s="67"/>
      <c r="R21" s="46"/>
    </row>
    <row r="22" spans="1:19" ht="63.6" customHeight="1" x14ac:dyDescent="0.2">
      <c r="A22" s="343"/>
      <c r="B22" s="64" t="s">
        <v>42</v>
      </c>
      <c r="C22" s="65" t="str">
        <f>'1. Detailed Budget'!U23</f>
        <v xml:space="preserve">Capacitación para la implementación de NIIF </v>
      </c>
      <c r="D22" s="259" t="s">
        <v>67</v>
      </c>
      <c r="E22" s="65"/>
      <c r="F22" s="65" t="s">
        <v>68</v>
      </c>
      <c r="G22" s="65">
        <f>'1. Detailed Budget'!X23</f>
        <v>20000</v>
      </c>
      <c r="H22" s="65">
        <f>'1. Detailed Budget'!Y23</f>
        <v>2400</v>
      </c>
      <c r="I22" s="65">
        <v>1</v>
      </c>
      <c r="J22" s="65">
        <v>0</v>
      </c>
      <c r="K22" s="65" t="s">
        <v>69</v>
      </c>
      <c r="L22" s="65" t="s">
        <v>55</v>
      </c>
      <c r="M22" s="104">
        <v>43832</v>
      </c>
      <c r="N22" s="104">
        <v>43914</v>
      </c>
      <c r="O22" s="67"/>
      <c r="R22" s="46"/>
    </row>
    <row r="23" spans="1:19" ht="63.6" customHeight="1" x14ac:dyDescent="0.2">
      <c r="A23" s="342"/>
      <c r="B23" s="64" t="s">
        <v>42</v>
      </c>
      <c r="C23" s="65" t="str">
        <f>'1. Detailed Budget'!U24</f>
        <v>Capacitación para el reporte de EEFF</v>
      </c>
      <c r="D23" s="259" t="s">
        <v>67</v>
      </c>
      <c r="E23" s="65"/>
      <c r="F23" s="65" t="s">
        <v>68</v>
      </c>
      <c r="G23" s="65">
        <f>'1. Detailed Budget'!X24</f>
        <v>20000</v>
      </c>
      <c r="H23" s="65">
        <f>'1. Detailed Budget'!Y24</f>
        <v>2400</v>
      </c>
      <c r="I23" s="65">
        <v>1</v>
      </c>
      <c r="J23" s="65">
        <v>0</v>
      </c>
      <c r="K23" s="65" t="s">
        <v>75</v>
      </c>
      <c r="L23" s="65" t="s">
        <v>55</v>
      </c>
      <c r="M23" s="104">
        <v>43832</v>
      </c>
      <c r="N23" s="104">
        <v>43914</v>
      </c>
      <c r="O23" s="67"/>
      <c r="R23" s="46"/>
    </row>
    <row r="24" spans="1:19" ht="63.6" customHeight="1" x14ac:dyDescent="0.2">
      <c r="A24" s="341" t="str">
        <f>'1. Detailed Budget'!A26</f>
        <v>1.4 Nueva entidad de gestión propietaria de las EE.PP. que sustituiría a EMCO implementada</v>
      </c>
      <c r="B24" s="64" t="s">
        <v>197</v>
      </c>
      <c r="C24" s="65" t="str">
        <f>'1. Detailed Budget'!U26</f>
        <v>Socialización de la nueva entidad que sustituye a EMCO</v>
      </c>
      <c r="D24" s="259" t="s">
        <v>67</v>
      </c>
      <c r="E24" s="65"/>
      <c r="F24" s="65" t="s">
        <v>68</v>
      </c>
      <c r="G24" s="65">
        <f>'1. Detailed Budget'!X26</f>
        <v>20000</v>
      </c>
      <c r="H24" s="65">
        <f>'1. Detailed Budget'!Y26</f>
        <v>2400</v>
      </c>
      <c r="I24" s="65">
        <v>1</v>
      </c>
      <c r="J24" s="65">
        <v>0</v>
      </c>
      <c r="K24" s="65" t="s">
        <v>69</v>
      </c>
      <c r="L24" s="65" t="s">
        <v>55</v>
      </c>
      <c r="M24" s="104">
        <v>43914</v>
      </c>
      <c r="N24" s="104">
        <v>43975</v>
      </c>
      <c r="O24" s="67"/>
      <c r="R24" s="46"/>
    </row>
    <row r="25" spans="1:19" ht="63.6" customHeight="1" x14ac:dyDescent="0.2">
      <c r="A25" s="343"/>
      <c r="B25" s="64" t="s">
        <v>197</v>
      </c>
      <c r="C25" s="65" t="str">
        <f>'1. Detailed Budget'!U27</f>
        <v>Capacitación al personal de la nueva entidad propietaria de EE.PP.</v>
      </c>
      <c r="D25" s="259" t="s">
        <v>67</v>
      </c>
      <c r="E25" s="65"/>
      <c r="F25" s="65" t="s">
        <v>68</v>
      </c>
      <c r="G25" s="65">
        <f>'1. Detailed Budget'!X27</f>
        <v>20000</v>
      </c>
      <c r="H25" s="65">
        <f>'1. Detailed Budget'!Y27</f>
        <v>2400</v>
      </c>
      <c r="I25" s="65">
        <v>1</v>
      </c>
      <c r="J25" s="65">
        <v>0</v>
      </c>
      <c r="K25" s="65" t="s">
        <v>69</v>
      </c>
      <c r="L25" s="65" t="s">
        <v>55</v>
      </c>
      <c r="M25" s="104">
        <v>43975</v>
      </c>
      <c r="N25" s="104">
        <v>44401</v>
      </c>
      <c r="O25" s="67"/>
      <c r="R25" s="46"/>
    </row>
    <row r="26" spans="1:19" ht="63.6" customHeight="1" x14ac:dyDescent="0.2">
      <c r="A26" s="342"/>
      <c r="B26" s="64" t="s">
        <v>197</v>
      </c>
      <c r="C26" s="65" t="str">
        <f>'1. Detailed Budget'!U28</f>
        <v>Capacitación/transferencia conocimiento sobre contrato de gestión del desempeño de EE.PP.</v>
      </c>
      <c r="D26" s="259" t="s">
        <v>67</v>
      </c>
      <c r="E26" s="65"/>
      <c r="F26" s="65" t="s">
        <v>68</v>
      </c>
      <c r="G26" s="65">
        <f>'1. Detailed Budget'!X28</f>
        <v>20000</v>
      </c>
      <c r="H26" s="65">
        <f>'1. Detailed Budget'!Y28</f>
        <v>2400</v>
      </c>
      <c r="I26" s="65">
        <v>1</v>
      </c>
      <c r="J26" s="65">
        <v>0</v>
      </c>
      <c r="K26" s="65" t="s">
        <v>69</v>
      </c>
      <c r="L26" s="65" t="s">
        <v>55</v>
      </c>
      <c r="M26" s="104">
        <v>43914</v>
      </c>
      <c r="N26" s="104">
        <v>43975</v>
      </c>
      <c r="O26" s="67"/>
      <c r="R26" s="46"/>
    </row>
    <row r="27" spans="1:19" ht="15.75" thickBot="1" x14ac:dyDescent="0.3">
      <c r="G27" s="77">
        <f>SUM(G18:G26)</f>
        <v>280000</v>
      </c>
      <c r="H27" s="77">
        <f>SUM(H18:H26)</f>
        <v>33600</v>
      </c>
      <c r="R27" s="47" t="s">
        <v>109</v>
      </c>
    </row>
    <row r="28" spans="1:19" ht="15.75" customHeight="1" x14ac:dyDescent="0.2">
      <c r="B28" s="329" t="s">
        <v>77</v>
      </c>
      <c r="C28" s="330"/>
      <c r="D28" s="330"/>
      <c r="E28" s="330"/>
      <c r="F28" s="330"/>
      <c r="G28" s="330"/>
      <c r="H28" s="330"/>
      <c r="I28" s="330"/>
      <c r="J28" s="330"/>
      <c r="K28" s="330"/>
      <c r="L28" s="330"/>
      <c r="M28" s="330"/>
      <c r="N28" s="330"/>
      <c r="O28" s="331"/>
      <c r="R28" s="47" t="s">
        <v>78</v>
      </c>
    </row>
    <row r="29" spans="1:19" ht="15" customHeight="1" x14ac:dyDescent="0.2">
      <c r="A29" s="340" t="s">
        <v>72</v>
      </c>
      <c r="B29" s="335" t="s">
        <v>48</v>
      </c>
      <c r="C29" s="328" t="s">
        <v>49</v>
      </c>
      <c r="D29" s="328" t="s">
        <v>79</v>
      </c>
      <c r="E29" s="337" t="s">
        <v>51</v>
      </c>
      <c r="F29" s="338"/>
      <c r="G29" s="332" t="s">
        <v>52</v>
      </c>
      <c r="H29" s="333"/>
      <c r="I29" s="332"/>
      <c r="J29" s="332"/>
      <c r="K29" s="328" t="s">
        <v>53</v>
      </c>
      <c r="L29" s="328" t="s">
        <v>106</v>
      </c>
      <c r="M29" s="328" t="s">
        <v>54</v>
      </c>
      <c r="N29" s="328"/>
      <c r="O29" s="327" t="s">
        <v>107</v>
      </c>
      <c r="R29" s="47" t="s">
        <v>47</v>
      </c>
    </row>
    <row r="30" spans="1:19" ht="38.25" x14ac:dyDescent="0.2">
      <c r="A30" s="340"/>
      <c r="B30" s="336"/>
      <c r="C30" s="328"/>
      <c r="D30" s="328"/>
      <c r="E30" s="90" t="s">
        <v>80</v>
      </c>
      <c r="F30" s="91" t="s">
        <v>81</v>
      </c>
      <c r="G30" s="88" t="s">
        <v>56</v>
      </c>
      <c r="H30" s="83" t="s">
        <v>233</v>
      </c>
      <c r="I30" s="83" t="s">
        <v>57</v>
      </c>
      <c r="J30" s="89" t="s">
        <v>58</v>
      </c>
      <c r="K30" s="328"/>
      <c r="L30" s="328"/>
      <c r="M30" s="84" t="s">
        <v>82</v>
      </c>
      <c r="N30" s="84" t="s">
        <v>60</v>
      </c>
      <c r="O30" s="327"/>
      <c r="R30" s="47" t="s">
        <v>83</v>
      </c>
    </row>
    <row r="31" spans="1:19" ht="55.9" customHeight="1" x14ac:dyDescent="0.2">
      <c r="A31" s="341" t="str">
        <f>'1. Detailed Budget'!A13</f>
        <v xml:space="preserve">1.2 Régimen de gobernanza fiscal implementado </v>
      </c>
      <c r="B31" s="64" t="s">
        <v>42</v>
      </c>
      <c r="C31" s="65" t="str">
        <f>'1. Detailed Budget'!J15</f>
        <v>Consultoría especializada para el diseño institucional de la función recaudadora del SRI sobre las EE.PP, que incluya capacitación en función recaudadora sobre EE.PP. a funcionarios públicos del SRI</v>
      </c>
      <c r="D31" s="65" t="s">
        <v>84</v>
      </c>
      <c r="E31" s="65">
        <v>1</v>
      </c>
      <c r="F31" s="65" t="s">
        <v>68</v>
      </c>
      <c r="G31" s="92">
        <f>'1. Detailed Budget'!N15</f>
        <v>488505.59999999998</v>
      </c>
      <c r="H31" s="92">
        <f>'1. Detailed Budget'!O15</f>
        <v>58620.671999999999</v>
      </c>
      <c r="I31" s="66">
        <v>1</v>
      </c>
      <c r="J31" s="66">
        <v>0</v>
      </c>
      <c r="K31" s="65" t="s">
        <v>69</v>
      </c>
      <c r="L31" s="65" t="s">
        <v>61</v>
      </c>
      <c r="M31" s="104">
        <v>43891</v>
      </c>
      <c r="N31" s="104">
        <v>44042</v>
      </c>
      <c r="O31" s="67"/>
      <c r="S31" s="46"/>
    </row>
    <row r="32" spans="1:19" ht="55.9" customHeight="1" x14ac:dyDescent="0.2">
      <c r="A32" s="342"/>
      <c r="B32" s="64" t="s">
        <v>42</v>
      </c>
      <c r="C32" s="65" t="str">
        <f>'1. Detailed Budget'!J16</f>
        <v>Consultoría especializada para el diseño institucional de las funciones y responsabilidades tributarias dentro de las EE.PP., que incluye capacitación para enfrentar responsabilidades tributarias a direcciones relevantes de EE.PP</v>
      </c>
      <c r="D32" s="65" t="s">
        <v>84</v>
      </c>
      <c r="E32" s="65">
        <v>1</v>
      </c>
      <c r="F32" s="65" t="s">
        <v>68</v>
      </c>
      <c r="G32" s="92">
        <f>'1. Detailed Budget'!N16</f>
        <v>332640</v>
      </c>
      <c r="H32" s="92">
        <f>'1. Detailed Budget'!O16</f>
        <v>39916.799999999996</v>
      </c>
      <c r="I32" s="66">
        <v>1</v>
      </c>
      <c r="J32" s="66">
        <v>0</v>
      </c>
      <c r="K32" s="65" t="s">
        <v>69</v>
      </c>
      <c r="L32" s="65" t="s">
        <v>61</v>
      </c>
      <c r="M32" s="104">
        <v>43891</v>
      </c>
      <c r="N32" s="104">
        <v>44042</v>
      </c>
      <c r="O32" s="177"/>
      <c r="S32" s="46"/>
    </row>
    <row r="33" spans="1:19" ht="52.9" customHeight="1" x14ac:dyDescent="0.2">
      <c r="A33" s="341" t="str">
        <f>'1. Detailed Budget'!A17</f>
        <v>1.3 Mecanismos de transparencia y rendición de cuentas implementados</v>
      </c>
      <c r="B33" s="64" t="s">
        <v>144</v>
      </c>
      <c r="C33" s="65" t="str">
        <f>'1. Detailed Budget'!J17</f>
        <v>Consultoría especializada de apoyo para apoyo a la implementación de las medidas Anticorrupción (obtención del certificado ISO-37001 de las EE.PP.) para PAM y PEC</v>
      </c>
      <c r="D33" s="65" t="s">
        <v>84</v>
      </c>
      <c r="E33" s="65">
        <v>1</v>
      </c>
      <c r="F33" s="65" t="s">
        <v>68</v>
      </c>
      <c r="G33" s="92">
        <f>'1. Detailed Budget'!N17</f>
        <v>250000</v>
      </c>
      <c r="H33" s="92">
        <f>'1. Detailed Budget'!O17</f>
        <v>30000</v>
      </c>
      <c r="I33" s="66">
        <v>1</v>
      </c>
      <c r="J33" s="66">
        <v>0</v>
      </c>
      <c r="K33" s="65" t="s">
        <v>69</v>
      </c>
      <c r="L33" s="65" t="s">
        <v>61</v>
      </c>
      <c r="M33" s="104">
        <v>44198</v>
      </c>
      <c r="N33" s="104">
        <v>44340</v>
      </c>
      <c r="O33" s="177"/>
      <c r="S33" s="46"/>
    </row>
    <row r="34" spans="1:19" ht="52.9" customHeight="1" x14ac:dyDescent="0.2">
      <c r="A34" s="343"/>
      <c r="B34" s="64" t="s">
        <v>144</v>
      </c>
      <c r="C34" s="65" t="str">
        <f>'1. Detailed Budget'!J18</f>
        <v xml:space="preserve">Consultoría especializada de apoyo para apoyo a la implementación de las medidas Anticorrupción (obtención del certificado ISO-37001 de las EE.PP.) para CELEC </v>
      </c>
      <c r="D34" s="65" t="s">
        <v>84</v>
      </c>
      <c r="E34" s="65">
        <v>1</v>
      </c>
      <c r="F34" s="65" t="s">
        <v>68</v>
      </c>
      <c r="G34" s="92">
        <f>'1. Detailed Budget'!N18</f>
        <v>250000</v>
      </c>
      <c r="H34" s="92">
        <f>'1. Detailed Budget'!O18</f>
        <v>30000</v>
      </c>
      <c r="I34" s="66">
        <v>1</v>
      </c>
      <c r="J34" s="66">
        <v>0</v>
      </c>
      <c r="K34" s="65" t="s">
        <v>69</v>
      </c>
      <c r="L34" s="65" t="s">
        <v>61</v>
      </c>
      <c r="M34" s="104">
        <v>44198</v>
      </c>
      <c r="N34" s="104">
        <v>44340</v>
      </c>
      <c r="O34" s="177"/>
      <c r="S34" s="46"/>
    </row>
    <row r="35" spans="1:19" ht="52.9" customHeight="1" x14ac:dyDescent="0.2">
      <c r="A35" s="343"/>
      <c r="B35" s="64" t="s">
        <v>144</v>
      </c>
      <c r="C35" s="65" t="str">
        <f>'1. Detailed Budget'!J19</f>
        <v>Consultoría especializada de apoyo para apoyo a la implementación de las medidas Anticorrupción (obtención del certificado ISO-37001 de las EE.PP.) para CNEL</v>
      </c>
      <c r="D35" s="65" t="s">
        <v>84</v>
      </c>
      <c r="E35" s="65">
        <v>1</v>
      </c>
      <c r="F35" s="65" t="s">
        <v>68</v>
      </c>
      <c r="G35" s="92">
        <f>'1. Detailed Budget'!N19</f>
        <v>200000</v>
      </c>
      <c r="H35" s="92">
        <f>'1. Detailed Budget'!O19</f>
        <v>24000</v>
      </c>
      <c r="I35" s="66">
        <v>1</v>
      </c>
      <c r="J35" s="66">
        <v>0</v>
      </c>
      <c r="K35" s="65" t="s">
        <v>69</v>
      </c>
      <c r="L35" s="65" t="s">
        <v>61</v>
      </c>
      <c r="M35" s="104">
        <v>44198</v>
      </c>
      <c r="N35" s="104">
        <v>44340</v>
      </c>
      <c r="O35" s="177"/>
      <c r="S35" s="46"/>
    </row>
    <row r="36" spans="1:19" ht="52.9" customHeight="1" x14ac:dyDescent="0.2">
      <c r="A36" s="343"/>
      <c r="B36" s="64" t="s">
        <v>195</v>
      </c>
      <c r="C36" s="65" t="str">
        <f>'1. Detailed Budget'!J20</f>
        <v>Consultoría especializada de apoyo para apoyo a la implementación de las medidas Anticorrupción (obtención del certificado ISO-37001 de las EE.PP.) para TAME</v>
      </c>
      <c r="D36" s="65" t="s">
        <v>84</v>
      </c>
      <c r="E36" s="65">
        <v>1</v>
      </c>
      <c r="F36" s="65" t="s">
        <v>68</v>
      </c>
      <c r="G36" s="92">
        <f>'1. Detailed Budget'!N20</f>
        <v>250000</v>
      </c>
      <c r="H36" s="92">
        <f>'1. Detailed Budget'!O20</f>
        <v>30000</v>
      </c>
      <c r="I36" s="66">
        <v>1</v>
      </c>
      <c r="J36" s="66">
        <v>0</v>
      </c>
      <c r="K36" s="65" t="s">
        <v>69</v>
      </c>
      <c r="L36" s="65" t="s">
        <v>61</v>
      </c>
      <c r="M36" s="104">
        <v>43863</v>
      </c>
      <c r="N36" s="104">
        <v>44006</v>
      </c>
      <c r="O36" s="177"/>
      <c r="S36" s="46"/>
    </row>
    <row r="37" spans="1:19" ht="52.9" customHeight="1" x14ac:dyDescent="0.2">
      <c r="A37" s="342"/>
      <c r="B37" s="64" t="s">
        <v>144</v>
      </c>
      <c r="C37" s="65" t="str">
        <f>'1. Detailed Budget'!J21</f>
        <v>Consultoría especializada de apoyo para apoyo a la implementación de las medidas Anticorrupción (obtención del certificado ISO-37001 de las EE.PP.) para FLOPEC</v>
      </c>
      <c r="D37" s="65" t="s">
        <v>84</v>
      </c>
      <c r="E37" s="65">
        <v>1</v>
      </c>
      <c r="F37" s="65" t="s">
        <v>68</v>
      </c>
      <c r="G37" s="92">
        <f>'1. Detailed Budget'!N21</f>
        <v>200000</v>
      </c>
      <c r="H37" s="92">
        <f>'1. Detailed Budget'!O21</f>
        <v>24000</v>
      </c>
      <c r="I37" s="66">
        <v>1</v>
      </c>
      <c r="J37" s="66">
        <v>0</v>
      </c>
      <c r="K37" s="65" t="s">
        <v>69</v>
      </c>
      <c r="L37" s="65" t="s">
        <v>61</v>
      </c>
      <c r="M37" s="104">
        <v>43863</v>
      </c>
      <c r="N37" s="104">
        <v>44006</v>
      </c>
      <c r="O37" s="177"/>
      <c r="S37" s="46"/>
    </row>
    <row r="38" spans="1:19" ht="52.9" customHeight="1" x14ac:dyDescent="0.2">
      <c r="A38" s="344" t="str">
        <f>'1. Detailed Budget'!A29</f>
        <v>1.5 DNEP fortalecida, incluyendo el desarrollo de instrumentos de gestión (estudios de costes de producción) para asistir la formulación presupuestaria</v>
      </c>
      <c r="B38" s="64" t="s">
        <v>232</v>
      </c>
      <c r="C38" s="65" t="str">
        <f>'1. Detailed Budget'!J29</f>
        <v>Consultoría para la capacitación en sectores estratégicos (energía, telecom, hidrocarburos)</v>
      </c>
      <c r="D38" s="65" t="s">
        <v>84</v>
      </c>
      <c r="E38" s="65">
        <v>1</v>
      </c>
      <c r="F38" s="65" t="s">
        <v>68</v>
      </c>
      <c r="G38" s="92">
        <f>'1. Detailed Budget'!N29</f>
        <v>69300</v>
      </c>
      <c r="H38" s="92">
        <f>'1. Detailed Budget'!O29</f>
        <v>8316</v>
      </c>
      <c r="I38" s="66">
        <v>1</v>
      </c>
      <c r="J38" s="66">
        <v>0</v>
      </c>
      <c r="K38" s="65" t="s">
        <v>69</v>
      </c>
      <c r="L38" s="65" t="s">
        <v>55</v>
      </c>
      <c r="M38" s="104">
        <v>43863</v>
      </c>
      <c r="N38" s="104">
        <v>44006</v>
      </c>
      <c r="O38" s="177"/>
      <c r="S38" s="46"/>
    </row>
    <row r="39" spans="1:19" ht="52.9" customHeight="1" x14ac:dyDescent="0.2">
      <c r="A39" s="346"/>
      <c r="B39" s="64" t="s">
        <v>232</v>
      </c>
      <c r="C39" s="65" t="str">
        <f>'1. Detailed Budget'!J30</f>
        <v>Consultoría de desarrollo de herramientas informática de apoyo a la gestión (información de la áreas funcionales de las EP, y reportería para dar seguimiento a convenios). Basado en software libre. APROBACIÓN MINTEL (TDRS)</v>
      </c>
      <c r="D39" s="65" t="s">
        <v>84</v>
      </c>
      <c r="E39" s="65">
        <v>1</v>
      </c>
      <c r="F39" s="65" t="s">
        <v>68</v>
      </c>
      <c r="G39" s="92">
        <f>'1. Detailed Budget'!N30</f>
        <v>120880</v>
      </c>
      <c r="H39" s="92">
        <f>'1. Detailed Budget'!O30</f>
        <v>14505.6</v>
      </c>
      <c r="I39" s="66">
        <v>1</v>
      </c>
      <c r="J39" s="66">
        <v>0</v>
      </c>
      <c r="K39" s="65" t="s">
        <v>69</v>
      </c>
      <c r="L39" s="65" t="s">
        <v>55</v>
      </c>
      <c r="M39" s="104">
        <v>43863</v>
      </c>
      <c r="N39" s="104">
        <v>44006</v>
      </c>
      <c r="O39" s="177"/>
      <c r="S39" s="46"/>
    </row>
    <row r="40" spans="1:19" ht="53.45" customHeight="1" x14ac:dyDescent="0.2">
      <c r="A40" s="344" t="str">
        <f>'1. Detailed Budget'!A35</f>
        <v>2.1 Estrategia de fusión de Petroamazonas y Petroecuador, incluyendo definición de gobernanza corporativa y régimen fiscal diseñada e implementado</v>
      </c>
      <c r="B40" s="64" t="s">
        <v>144</v>
      </c>
      <c r="C40" s="105" t="str">
        <f>'1. Detailed Budget'!J35</f>
        <v xml:space="preserve">Consultoría especializada para diseño de la estrategia de fusión de Petroamazonas y Petroecuador, incluyendo definición de gobernanza corporativa y régimen fiscal </v>
      </c>
      <c r="D40" s="65" t="s">
        <v>84</v>
      </c>
      <c r="E40" s="65">
        <v>1</v>
      </c>
      <c r="F40" s="65" t="s">
        <v>68</v>
      </c>
      <c r="G40" s="92">
        <f>'1. Detailed Budget'!N35</f>
        <v>10000000</v>
      </c>
      <c r="H40" s="92">
        <f>'1. Detailed Budget'!O35</f>
        <v>1200000</v>
      </c>
      <c r="I40" s="66">
        <v>1</v>
      </c>
      <c r="J40" s="66">
        <v>0</v>
      </c>
      <c r="K40" s="65" t="s">
        <v>75</v>
      </c>
      <c r="L40" s="65" t="s">
        <v>61</v>
      </c>
      <c r="M40" s="104">
        <v>43678</v>
      </c>
      <c r="N40" s="104">
        <v>43860</v>
      </c>
      <c r="O40" s="67"/>
      <c r="S40" s="46"/>
    </row>
    <row r="41" spans="1:19" ht="53.45" customHeight="1" x14ac:dyDescent="0.2">
      <c r="A41" s="345"/>
      <c r="B41" s="64" t="s">
        <v>144</v>
      </c>
      <c r="C41" s="105" t="str">
        <f>'1. Detailed Budget'!J36</f>
        <v xml:space="preserve">Consultoría especializada para implementación de la estrategia de fusión de Petroamazonas y Petroecuador, incluyendo definición de gobernanza corporativa y régimen fiscal </v>
      </c>
      <c r="D41" s="50" t="s">
        <v>84</v>
      </c>
      <c r="E41" s="65">
        <v>1</v>
      </c>
      <c r="F41" s="65" t="s">
        <v>68</v>
      </c>
      <c r="G41" s="92">
        <f>'1. Detailed Budget'!N36</f>
        <v>5000000</v>
      </c>
      <c r="H41" s="92">
        <f>'1. Detailed Budget'!O36</f>
        <v>600000</v>
      </c>
      <c r="I41" s="66">
        <v>1</v>
      </c>
      <c r="J41" s="66">
        <v>0</v>
      </c>
      <c r="K41" s="65" t="s">
        <v>75</v>
      </c>
      <c r="L41" s="65" t="s">
        <v>61</v>
      </c>
      <c r="M41" s="104">
        <v>43983</v>
      </c>
      <c r="N41" s="104">
        <v>44165</v>
      </c>
      <c r="O41" s="67"/>
      <c r="S41" s="46"/>
    </row>
    <row r="42" spans="1:19" ht="53.45" customHeight="1" x14ac:dyDescent="0.2">
      <c r="A42" s="345"/>
      <c r="B42" s="64" t="s">
        <v>144</v>
      </c>
      <c r="C42" s="105" t="str">
        <f>'1. Detailed Budget'!J37</f>
        <v>Consultoría especializada para implementación del Sistema informático de gestión (SAP)</v>
      </c>
      <c r="D42" s="50" t="s">
        <v>84</v>
      </c>
      <c r="E42" s="65">
        <v>1</v>
      </c>
      <c r="F42" s="65" t="s">
        <v>68</v>
      </c>
      <c r="G42" s="92">
        <f>'1. Detailed Budget'!N37</f>
        <v>4000000</v>
      </c>
      <c r="H42" s="92">
        <f>'1. Detailed Budget'!O37</f>
        <v>480000</v>
      </c>
      <c r="I42" s="66">
        <v>1</v>
      </c>
      <c r="J42" s="66">
        <v>0</v>
      </c>
      <c r="K42" s="65" t="s">
        <v>75</v>
      </c>
      <c r="L42" s="65" t="s">
        <v>61</v>
      </c>
      <c r="M42" s="104">
        <v>43983</v>
      </c>
      <c r="N42" s="104">
        <v>44165</v>
      </c>
      <c r="O42" s="67"/>
      <c r="S42" s="46"/>
    </row>
    <row r="43" spans="1:19" ht="53.45" customHeight="1" x14ac:dyDescent="0.2">
      <c r="A43" s="346"/>
      <c r="B43" s="64" t="s">
        <v>144</v>
      </c>
      <c r="C43" s="105" t="str">
        <f>'1. Detailed Budget'!J38</f>
        <v>Asesoría legal para la fusión</v>
      </c>
      <c r="D43" s="50" t="s">
        <v>84</v>
      </c>
      <c r="E43" s="65">
        <v>1</v>
      </c>
      <c r="F43" s="65" t="s">
        <v>68</v>
      </c>
      <c r="G43" s="92">
        <f>'1. Detailed Budget'!N38</f>
        <v>1000000</v>
      </c>
      <c r="H43" s="92">
        <f>'1. Detailed Budget'!O38</f>
        <v>120000</v>
      </c>
      <c r="I43" s="66">
        <v>1</v>
      </c>
      <c r="J43" s="66">
        <v>0</v>
      </c>
      <c r="K43" s="65" t="s">
        <v>75</v>
      </c>
      <c r="L43" s="65" t="s">
        <v>61</v>
      </c>
      <c r="M43" s="104">
        <v>43983</v>
      </c>
      <c r="N43" s="104">
        <v>44165</v>
      </c>
      <c r="O43" s="67"/>
      <c r="S43" s="46"/>
    </row>
    <row r="44" spans="1:19" ht="85.9" customHeight="1" x14ac:dyDescent="0.2">
      <c r="A44" s="156" t="str">
        <f>'1. Detailed Budget'!A39</f>
        <v>2.2 Optimización de la Corporación Eléctrica del Ecuador (CELEC), y la Corporación Nacional de Electricidad (CNEL) diseñada.</v>
      </c>
      <c r="B44" s="64" t="s">
        <v>144</v>
      </c>
      <c r="C44" s="105" t="str">
        <f>'1. Detailed Budget'!J39</f>
        <v>Consultoría especializada para la optimización del funcionamiento de CELEC y CNEL, que incluya: a) diagnostico institucional de ambas entidades y propuesta coordinada de gestión del sector eléctrico; b) implementación de las reformas a la LOEP; c) estudios de costes de producción, incluyendo estimación de valor de activos y costes operativos</v>
      </c>
      <c r="D44" s="50" t="s">
        <v>84</v>
      </c>
      <c r="E44" s="65">
        <v>1</v>
      </c>
      <c r="F44" s="65" t="s">
        <v>68</v>
      </c>
      <c r="G44" s="92">
        <f>'1. Detailed Budget'!N39</f>
        <v>3000000</v>
      </c>
      <c r="H44" s="92">
        <f>'1. Detailed Budget'!O39</f>
        <v>360000</v>
      </c>
      <c r="I44" s="66">
        <v>1</v>
      </c>
      <c r="J44" s="66">
        <v>0</v>
      </c>
      <c r="K44" s="65" t="s">
        <v>75</v>
      </c>
      <c r="L44" s="65" t="s">
        <v>61</v>
      </c>
      <c r="M44" s="104">
        <v>43891</v>
      </c>
      <c r="N44" s="104">
        <v>44073</v>
      </c>
      <c r="O44" s="67"/>
      <c r="S44" s="46"/>
    </row>
    <row r="45" spans="1:19" ht="66" customHeight="1" x14ac:dyDescent="0.2">
      <c r="A45" s="341" t="str">
        <f>'1. Detailed Budget'!A40</f>
        <v>2.3 Evaluación de pertinencia de propiedad estatal, análisis de mercado, y estrategia de puesta en valor (liquidación, restructuración, alianza estratégica con inversores privados o desinversión) para las empresa Tame elaborada</v>
      </c>
      <c r="B45" s="64" t="s">
        <v>196</v>
      </c>
      <c r="C45" s="65" t="str">
        <f>'1. Detailed Budget'!J40</f>
        <v xml:space="preserve">Consultoría especializada para diseño de la estrategia de gobernanza corporativa y régimen fiscal de TAME (valoración patrimonial). </v>
      </c>
      <c r="D45" s="50" t="s">
        <v>84</v>
      </c>
      <c r="E45" s="65">
        <v>1</v>
      </c>
      <c r="F45" s="65" t="s">
        <v>68</v>
      </c>
      <c r="G45" s="92">
        <f>'1. Detailed Budget'!N40</f>
        <v>1000000</v>
      </c>
      <c r="H45" s="92">
        <f>'1. Detailed Budget'!O40</f>
        <v>120000</v>
      </c>
      <c r="I45" s="66">
        <v>1</v>
      </c>
      <c r="J45" s="66">
        <v>0</v>
      </c>
      <c r="K45" s="65" t="s">
        <v>75</v>
      </c>
      <c r="L45" s="65" t="s">
        <v>61</v>
      </c>
      <c r="M45" s="104">
        <v>43709</v>
      </c>
      <c r="N45" s="104">
        <v>43860</v>
      </c>
      <c r="O45" s="67"/>
      <c r="R45" s="46"/>
      <c r="S45" s="46"/>
    </row>
    <row r="46" spans="1:19" ht="66" customHeight="1" x14ac:dyDescent="0.2">
      <c r="A46" s="342"/>
      <c r="B46" s="64" t="s">
        <v>196</v>
      </c>
      <c r="C46" s="65" t="str">
        <f>'1. Detailed Budget'!J41</f>
        <v>Acompañamiento para implementación NIIF 2017-2018</v>
      </c>
      <c r="D46" s="50" t="s">
        <v>109</v>
      </c>
      <c r="E46" s="65">
        <v>1</v>
      </c>
      <c r="F46" s="65" t="s">
        <v>68</v>
      </c>
      <c r="G46" s="92">
        <f>'1. Detailed Budget'!N41</f>
        <v>100000</v>
      </c>
      <c r="H46" s="92">
        <f>'1. Detailed Budget'!O41</f>
        <v>12000</v>
      </c>
      <c r="I46" s="66">
        <v>1</v>
      </c>
      <c r="J46" s="66">
        <v>0</v>
      </c>
      <c r="K46" s="65" t="s">
        <v>75</v>
      </c>
      <c r="L46" s="50" t="s">
        <v>55</v>
      </c>
      <c r="M46" s="104">
        <v>43647</v>
      </c>
      <c r="N46" s="104">
        <v>43799</v>
      </c>
      <c r="O46" s="67"/>
      <c r="R46" s="46"/>
      <c r="S46" s="46"/>
    </row>
    <row r="47" spans="1:19" ht="66" customHeight="1" x14ac:dyDescent="0.2">
      <c r="A47" s="197" t="str">
        <f>'1. Detailed Budget'!A49</f>
        <v>2.5 Estrategia de comunicación (pública e interna) que facilite la comprensión de los objetivos de la reforma y las estrategias diseñadas para que beneficie al ciudadano implementada</v>
      </c>
      <c r="B47" s="64" t="s">
        <v>42</v>
      </c>
      <c r="C47" s="65" t="str">
        <f>'1. Detailed Budget'!J49</f>
        <v>Consultoría especializada para la implementación de la estrategia de comunicación (pública e interna) que facilite la comprensión de los objetivos de la reforma y las estrategias diseñadas para que beneficie al ciudadano, que incluya eventos de socialización</v>
      </c>
      <c r="D47" s="50" t="s">
        <v>84</v>
      </c>
      <c r="E47" s="65">
        <v>1</v>
      </c>
      <c r="F47" s="65" t="s">
        <v>68</v>
      </c>
      <c r="G47" s="92">
        <f>'1. Detailed Budget'!N49</f>
        <v>554400</v>
      </c>
      <c r="H47" s="92">
        <f>'1. Detailed Budget'!O49</f>
        <v>66528</v>
      </c>
      <c r="I47" s="66">
        <v>1</v>
      </c>
      <c r="J47" s="66">
        <v>0</v>
      </c>
      <c r="K47" s="65" t="s">
        <v>75</v>
      </c>
      <c r="L47" s="50" t="s">
        <v>61</v>
      </c>
      <c r="M47" s="104">
        <v>43709</v>
      </c>
      <c r="N47" s="104">
        <v>43860</v>
      </c>
      <c r="O47" s="67"/>
      <c r="R47" s="46"/>
      <c r="S47" s="46"/>
    </row>
    <row r="48" spans="1:19" ht="40.15" customHeight="1" x14ac:dyDescent="0.2">
      <c r="A48" s="197" t="s">
        <v>13</v>
      </c>
      <c r="B48" s="64" t="s">
        <v>42</v>
      </c>
      <c r="C48" s="65" t="str">
        <f>'1. Detailed Budget'!A63</f>
        <v>Auditoría</v>
      </c>
      <c r="D48" s="50" t="s">
        <v>109</v>
      </c>
      <c r="E48" s="65">
        <v>1</v>
      </c>
      <c r="F48" s="65" t="s">
        <v>68</v>
      </c>
      <c r="G48" s="92">
        <f>'1. Detailed Budget'!B63</f>
        <v>125000</v>
      </c>
      <c r="H48" s="92">
        <f>'1. Detailed Budget'!C63</f>
        <v>15000</v>
      </c>
      <c r="I48" s="66">
        <v>1</v>
      </c>
      <c r="J48" s="66">
        <v>0</v>
      </c>
      <c r="K48" s="50" t="s">
        <v>45</v>
      </c>
      <c r="L48" s="50" t="s">
        <v>61</v>
      </c>
      <c r="M48" s="104">
        <v>44013</v>
      </c>
      <c r="N48" s="104">
        <v>44134</v>
      </c>
      <c r="O48" s="67"/>
      <c r="R48" s="46"/>
      <c r="S48" s="46"/>
    </row>
    <row r="49" spans="1:19" ht="40.15" customHeight="1" x14ac:dyDescent="0.2">
      <c r="A49" s="197" t="s">
        <v>13</v>
      </c>
      <c r="B49" s="64" t="s">
        <v>42</v>
      </c>
      <c r="C49" s="65" t="str">
        <f>'1. Detailed Budget'!A64</f>
        <v>Auditoría desvinculaciones</v>
      </c>
      <c r="D49" s="50" t="s">
        <v>109</v>
      </c>
      <c r="E49" s="65">
        <v>1</v>
      </c>
      <c r="F49" s="65" t="s">
        <v>68</v>
      </c>
      <c r="G49" s="92">
        <f>'1. Detailed Budget'!B64</f>
        <v>50000</v>
      </c>
      <c r="H49" s="92">
        <f>'1. Detailed Budget'!C64</f>
        <v>6000</v>
      </c>
      <c r="I49" s="66">
        <v>1</v>
      </c>
      <c r="J49" s="66">
        <v>0</v>
      </c>
      <c r="K49" s="50" t="s">
        <v>45</v>
      </c>
      <c r="L49" s="50" t="s">
        <v>55</v>
      </c>
      <c r="M49" s="104">
        <v>43891</v>
      </c>
      <c r="N49" s="104">
        <v>44042</v>
      </c>
      <c r="O49" s="67"/>
      <c r="R49" s="46"/>
      <c r="S49" s="46"/>
    </row>
    <row r="50" spans="1:19" ht="15" x14ac:dyDescent="0.25">
      <c r="A50" s="198"/>
      <c r="B50" s="68"/>
      <c r="C50" s="68"/>
      <c r="D50" s="68"/>
      <c r="E50" s="68"/>
      <c r="F50" s="68"/>
      <c r="G50" s="77">
        <f>SUM(G31:G49)</f>
        <v>26990725.600000001</v>
      </c>
      <c r="H50" s="77">
        <f>SUM(H31:H49)</f>
        <v>3238887.0719999997</v>
      </c>
      <c r="I50" s="69"/>
      <c r="J50" s="69"/>
      <c r="K50" s="68"/>
      <c r="L50" s="68"/>
      <c r="M50" s="85"/>
      <c r="N50" s="85"/>
      <c r="O50" s="68"/>
      <c r="R50" s="46"/>
      <c r="S50" s="46"/>
    </row>
    <row r="51" spans="1:19" ht="15" thickBot="1" x14ac:dyDescent="0.25">
      <c r="R51" s="70" t="s">
        <v>85</v>
      </c>
      <c r="S51" s="70" t="s">
        <v>86</v>
      </c>
    </row>
    <row r="52" spans="1:19" ht="15.75" x14ac:dyDescent="0.2">
      <c r="B52" s="329" t="s">
        <v>87</v>
      </c>
      <c r="C52" s="330"/>
      <c r="D52" s="330"/>
      <c r="E52" s="330"/>
      <c r="F52" s="330"/>
      <c r="G52" s="330"/>
      <c r="H52" s="330"/>
      <c r="I52" s="330"/>
      <c r="J52" s="330"/>
      <c r="K52" s="330"/>
      <c r="L52" s="330"/>
      <c r="M52" s="330"/>
      <c r="N52" s="330"/>
      <c r="O52" s="331"/>
      <c r="R52" s="70" t="s">
        <v>88</v>
      </c>
      <c r="S52" s="70" t="s">
        <v>86</v>
      </c>
    </row>
    <row r="53" spans="1:19" ht="15" customHeight="1" x14ac:dyDescent="0.2">
      <c r="A53" s="339"/>
      <c r="B53" s="340" t="s">
        <v>48</v>
      </c>
      <c r="C53" s="328" t="s">
        <v>49</v>
      </c>
      <c r="D53" s="328" t="s">
        <v>108</v>
      </c>
      <c r="E53" s="328" t="s">
        <v>51</v>
      </c>
      <c r="F53" s="332" t="s">
        <v>52</v>
      </c>
      <c r="G53" s="332"/>
      <c r="H53" s="333"/>
      <c r="I53" s="332"/>
      <c r="J53" s="334" t="s">
        <v>89</v>
      </c>
      <c r="K53" s="328" t="s">
        <v>53</v>
      </c>
      <c r="L53" s="328" t="s">
        <v>106</v>
      </c>
      <c r="M53" s="328" t="s">
        <v>54</v>
      </c>
      <c r="N53" s="328"/>
      <c r="O53" s="327" t="s">
        <v>107</v>
      </c>
      <c r="R53" s="70" t="s">
        <v>90</v>
      </c>
      <c r="S53" s="70" t="s">
        <v>91</v>
      </c>
    </row>
    <row r="54" spans="1:19" ht="38.25" x14ac:dyDescent="0.2">
      <c r="A54" s="339"/>
      <c r="B54" s="340"/>
      <c r="C54" s="328"/>
      <c r="D54" s="328"/>
      <c r="E54" s="328"/>
      <c r="F54" s="88" t="s">
        <v>56</v>
      </c>
      <c r="G54" s="83" t="s">
        <v>233</v>
      </c>
      <c r="H54" s="83" t="s">
        <v>57</v>
      </c>
      <c r="I54" s="89" t="s">
        <v>58</v>
      </c>
      <c r="J54" s="334"/>
      <c r="K54" s="328"/>
      <c r="L54" s="328"/>
      <c r="M54" s="84" t="s">
        <v>92</v>
      </c>
      <c r="N54" s="84" t="s">
        <v>93</v>
      </c>
      <c r="O54" s="327"/>
      <c r="R54" s="70" t="s">
        <v>85</v>
      </c>
      <c r="S54" s="70" t="s">
        <v>91</v>
      </c>
    </row>
    <row r="55" spans="1:19" ht="57" customHeight="1" x14ac:dyDescent="0.2">
      <c r="A55" s="341" t="str">
        <f>'1. Detailed Budget'!A9</f>
        <v>1.1 Marco normativo (LOEP y reglamentos asociados) revisado y propuesta de reforma conforme a mejores estándares internacionales elaborada (incluye Gobernanza corporativa, régimen fiscal y mecanismos de transparencia y rendición de cuentas)</v>
      </c>
      <c r="B55" s="64" t="s">
        <v>42</v>
      </c>
      <c r="C55" s="107" t="str">
        <f>'1. Detailed Budget'!D9</f>
        <v>Consultoría especializada para el diseño de reglamentos asociados a la LOEP</v>
      </c>
      <c r="D55" s="65" t="s">
        <v>94</v>
      </c>
      <c r="E55" s="65" t="s">
        <v>68</v>
      </c>
      <c r="F55" s="107">
        <f>'1. Detailed Budget'!H9</f>
        <v>33000</v>
      </c>
      <c r="G55" s="107">
        <f>'1. Detailed Budget'!I9</f>
        <v>3960</v>
      </c>
      <c r="H55" s="71">
        <v>1</v>
      </c>
      <c r="I55" s="66">
        <v>0</v>
      </c>
      <c r="J55" s="107">
        <f>'1. Detailed Budget'!G9</f>
        <v>1</v>
      </c>
      <c r="K55" s="65" t="s">
        <v>69</v>
      </c>
      <c r="L55" s="65" t="s">
        <v>61</v>
      </c>
      <c r="M55" s="104">
        <v>43922</v>
      </c>
      <c r="N55" s="104">
        <v>44010</v>
      </c>
      <c r="O55" s="67"/>
      <c r="R55" s="70"/>
      <c r="S55" s="70"/>
    </row>
    <row r="56" spans="1:19" ht="57" customHeight="1" x14ac:dyDescent="0.2">
      <c r="A56" s="343"/>
      <c r="B56" s="64" t="s">
        <v>42</v>
      </c>
      <c r="C56" s="106" t="str">
        <f>'1. Detailed Budget'!D10</f>
        <v>Consultoría nacional de apoyo al diseño de reglamentos asociados a la LOEP</v>
      </c>
      <c r="D56" s="203" t="s">
        <v>78</v>
      </c>
      <c r="E56" s="65" t="s">
        <v>68</v>
      </c>
      <c r="F56" s="107">
        <f>'1. Detailed Budget'!H10</f>
        <v>6160</v>
      </c>
      <c r="G56" s="107">
        <f>'1. Detailed Budget'!I10</f>
        <v>739.19999999999993</v>
      </c>
      <c r="H56" s="71">
        <v>1</v>
      </c>
      <c r="I56" s="66">
        <v>0</v>
      </c>
      <c r="J56" s="107">
        <f>'1. Detailed Budget'!G10</f>
        <v>1</v>
      </c>
      <c r="K56" s="65" t="s">
        <v>69</v>
      </c>
      <c r="L56" s="65" t="s">
        <v>55</v>
      </c>
      <c r="M56" s="104">
        <v>43922</v>
      </c>
      <c r="N56" s="104">
        <v>43979</v>
      </c>
      <c r="O56" s="67"/>
      <c r="R56" s="70"/>
      <c r="S56" s="70"/>
    </row>
    <row r="57" spans="1:19" ht="57" customHeight="1" x14ac:dyDescent="0.2">
      <c r="A57" s="343"/>
      <c r="B57" s="64" t="s">
        <v>42</v>
      </c>
      <c r="C57" s="106" t="str">
        <f>'1. Detailed Budget'!D11</f>
        <v>Consultoría especializada apoyo de a la implementación de las reformas de la LOEP, incluyendo la definición de sistemas de selección de directores, políticas de dietas, e instrumentos de medición del desempeño de las EE.PP. que incluya capacitación</v>
      </c>
      <c r="D57" s="203" t="s">
        <v>94</v>
      </c>
      <c r="E57" s="65" t="s">
        <v>68</v>
      </c>
      <c r="F57" s="202">
        <f>'1. Detailed Budget'!H11</f>
        <v>396000</v>
      </c>
      <c r="G57" s="202">
        <f>'1. Detailed Budget'!I11</f>
        <v>47520</v>
      </c>
      <c r="H57" s="71">
        <v>1</v>
      </c>
      <c r="I57" s="66">
        <v>0</v>
      </c>
      <c r="J57" s="107">
        <f>'1. Detailed Budget'!G11</f>
        <v>2</v>
      </c>
      <c r="K57" s="65" t="s">
        <v>69</v>
      </c>
      <c r="L57" s="65" t="s">
        <v>61</v>
      </c>
      <c r="M57" s="104">
        <v>43831</v>
      </c>
      <c r="N57" s="104">
        <v>43918</v>
      </c>
      <c r="O57" s="67"/>
      <c r="R57" s="70"/>
      <c r="S57" s="70"/>
    </row>
    <row r="58" spans="1:19" ht="47.25" customHeight="1" x14ac:dyDescent="0.2">
      <c r="A58" s="342"/>
      <c r="B58" s="64" t="s">
        <v>42</v>
      </c>
      <c r="C58" s="106" t="str">
        <f>'1. Detailed Budget'!D12</f>
        <v>Consultoría nacional de apoyo a la implementación de las reformas de la LOEP</v>
      </c>
      <c r="D58" s="203" t="s">
        <v>94</v>
      </c>
      <c r="E58" s="65" t="s">
        <v>68</v>
      </c>
      <c r="F58" s="107">
        <f>'1. Detailed Budget'!H12</f>
        <v>73920</v>
      </c>
      <c r="G58" s="107">
        <f>'1. Detailed Budget'!I12</f>
        <v>8870.4</v>
      </c>
      <c r="H58" s="71">
        <v>1</v>
      </c>
      <c r="I58" s="66">
        <v>0</v>
      </c>
      <c r="J58" s="107">
        <f>'1. Detailed Budget'!G12</f>
        <v>2</v>
      </c>
      <c r="K58" s="65" t="s">
        <v>69</v>
      </c>
      <c r="L58" s="65" t="s">
        <v>61</v>
      </c>
      <c r="M58" s="104">
        <v>43831</v>
      </c>
      <c r="N58" s="104">
        <v>43918</v>
      </c>
      <c r="O58" s="67"/>
      <c r="R58" s="70"/>
      <c r="S58" s="70"/>
    </row>
    <row r="59" spans="1:19" ht="47.25" customHeight="1" x14ac:dyDescent="0.2">
      <c r="A59" s="341" t="str">
        <f>'1. Detailed Budget'!A13</f>
        <v xml:space="preserve">1.2 Régimen de gobernanza fiscal implementado </v>
      </c>
      <c r="B59" s="64" t="s">
        <v>42</v>
      </c>
      <c r="C59" s="106" t="str">
        <f>'1. Detailed Budget'!D13</f>
        <v>Consultoría especializada para el diseño del régimen fiscal de las EE.PP. petroleras, que incluya capacitación</v>
      </c>
      <c r="D59" s="203" t="s">
        <v>94</v>
      </c>
      <c r="E59" s="65" t="s">
        <v>68</v>
      </c>
      <c r="F59" s="107">
        <f>'1. Detailed Budget'!H13</f>
        <v>99000</v>
      </c>
      <c r="G59" s="107">
        <f>'1. Detailed Budget'!I13</f>
        <v>11880</v>
      </c>
      <c r="H59" s="71">
        <v>1</v>
      </c>
      <c r="I59" s="66">
        <v>0</v>
      </c>
      <c r="J59" s="107">
        <f>'1. Detailed Budget'!G13</f>
        <v>1</v>
      </c>
      <c r="K59" s="65" t="s">
        <v>69</v>
      </c>
      <c r="L59" s="65" t="s">
        <v>61</v>
      </c>
      <c r="M59" s="104">
        <v>43862</v>
      </c>
      <c r="N59" s="104">
        <v>43949</v>
      </c>
      <c r="O59" s="67"/>
      <c r="R59" s="70"/>
      <c r="S59" s="70"/>
    </row>
    <row r="60" spans="1:19" ht="47.25" customHeight="1" x14ac:dyDescent="0.2">
      <c r="A60" s="342"/>
      <c r="B60" s="64" t="s">
        <v>42</v>
      </c>
      <c r="C60" s="106" t="str">
        <f>'1. Detailed Budget'!D14</f>
        <v>Consultoría nacional de apoyo al diseño del régimen fiscal de las EE.PP. petroleras</v>
      </c>
      <c r="D60" s="203" t="s">
        <v>78</v>
      </c>
      <c r="E60" s="65" t="s">
        <v>68</v>
      </c>
      <c r="F60" s="107">
        <f>'1. Detailed Budget'!H14</f>
        <v>18480</v>
      </c>
      <c r="G60" s="107">
        <f>'1. Detailed Budget'!I14</f>
        <v>2217.6</v>
      </c>
      <c r="H60" s="71">
        <v>1</v>
      </c>
      <c r="I60" s="66">
        <v>0</v>
      </c>
      <c r="J60" s="107">
        <f>'1. Detailed Budget'!G14</f>
        <v>1</v>
      </c>
      <c r="K60" s="65" t="s">
        <v>69</v>
      </c>
      <c r="L60" s="65" t="s">
        <v>55</v>
      </c>
      <c r="M60" s="104">
        <v>43862</v>
      </c>
      <c r="N60" s="104">
        <v>43918</v>
      </c>
      <c r="O60" s="67"/>
      <c r="R60" s="70"/>
      <c r="S60" s="70"/>
    </row>
    <row r="61" spans="1:19" ht="47.25" customHeight="1" x14ac:dyDescent="0.2">
      <c r="A61" s="347" t="str">
        <f>'1. Detailed Budget'!A17</f>
        <v>1.3 Mecanismos de transparencia y rendición de cuentas implementados</v>
      </c>
      <c r="B61" s="64" t="s">
        <v>42</v>
      </c>
      <c r="C61" s="106" t="str">
        <f>'1. Detailed Budget'!D22</f>
        <v>Consultoría para la elaboración de un informe con los criterios para la precalificación de auditoras externas</v>
      </c>
      <c r="D61" s="203" t="s">
        <v>78</v>
      </c>
      <c r="E61" s="65" t="s">
        <v>68</v>
      </c>
      <c r="F61" s="107">
        <f>'1. Detailed Budget'!H22</f>
        <v>6160</v>
      </c>
      <c r="G61" s="107">
        <f>'1. Detailed Budget'!I22</f>
        <v>739.19999999999993</v>
      </c>
      <c r="H61" s="71">
        <v>1</v>
      </c>
      <c r="I61" s="66">
        <v>0</v>
      </c>
      <c r="J61" s="107">
        <f>'1. Detailed Budget'!G22</f>
        <v>1</v>
      </c>
      <c r="K61" s="65" t="s">
        <v>69</v>
      </c>
      <c r="L61" s="65" t="s">
        <v>55</v>
      </c>
      <c r="M61" s="104">
        <v>43922</v>
      </c>
      <c r="N61" s="104">
        <v>43979</v>
      </c>
      <c r="O61" s="67"/>
      <c r="R61" s="70"/>
      <c r="S61" s="70"/>
    </row>
    <row r="62" spans="1:19" ht="47.25" customHeight="1" x14ac:dyDescent="0.2">
      <c r="A62" s="348"/>
      <c r="B62" s="64" t="s">
        <v>42</v>
      </c>
      <c r="C62" s="106" t="str">
        <f>'1. Detailed Budget'!D23</f>
        <v xml:space="preserve">Consultoría para la capacitación en implementación de NIIF </v>
      </c>
      <c r="D62" s="203" t="s">
        <v>94</v>
      </c>
      <c r="E62" s="65" t="s">
        <v>68</v>
      </c>
      <c r="F62" s="107">
        <f>'1. Detailed Budget'!H23</f>
        <v>49280</v>
      </c>
      <c r="G62" s="107">
        <f>'1. Detailed Budget'!I23</f>
        <v>5913.5999999999995</v>
      </c>
      <c r="H62" s="71">
        <v>1</v>
      </c>
      <c r="I62" s="66">
        <v>0</v>
      </c>
      <c r="J62" s="107">
        <f>'1. Detailed Budget'!G23</f>
        <v>2</v>
      </c>
      <c r="K62" s="65" t="s">
        <v>69</v>
      </c>
      <c r="L62" s="65" t="s">
        <v>55</v>
      </c>
      <c r="M62" s="104">
        <v>43922</v>
      </c>
      <c r="N62" s="104">
        <v>43979</v>
      </c>
      <c r="O62" s="67"/>
      <c r="R62" s="70"/>
      <c r="S62" s="70"/>
    </row>
    <row r="63" spans="1:19" ht="47.25" customHeight="1" x14ac:dyDescent="0.2">
      <c r="A63" s="349"/>
      <c r="B63" s="64" t="s">
        <v>42</v>
      </c>
      <c r="C63" s="106" t="str">
        <f>'1. Detailed Budget'!D24</f>
        <v>Consultoría para la capacitación en para el reporte de EEFF</v>
      </c>
      <c r="D63" s="203" t="s">
        <v>94</v>
      </c>
      <c r="E63" s="65" t="s">
        <v>68</v>
      </c>
      <c r="F63" s="107">
        <f>'1. Detailed Budget'!H24</f>
        <v>49280</v>
      </c>
      <c r="G63" s="107">
        <f>'1. Detailed Budget'!I24</f>
        <v>5913.5999999999995</v>
      </c>
      <c r="H63" s="71">
        <v>1</v>
      </c>
      <c r="I63" s="66">
        <v>0</v>
      </c>
      <c r="J63" s="107">
        <f>'1. Detailed Budget'!G24</f>
        <v>2</v>
      </c>
      <c r="K63" s="65" t="s">
        <v>69</v>
      </c>
      <c r="L63" s="65" t="s">
        <v>55</v>
      </c>
      <c r="M63" s="104">
        <v>43922</v>
      </c>
      <c r="N63" s="104">
        <v>43979</v>
      </c>
      <c r="O63" s="67"/>
      <c r="R63" s="70"/>
      <c r="S63" s="70"/>
    </row>
    <row r="64" spans="1:19" ht="47.25" customHeight="1" x14ac:dyDescent="0.2">
      <c r="A64" s="341" t="str">
        <f>'1. Detailed Budget'!A26</f>
        <v>1.4 Nueva entidad de gestión propietaria de las EE.PP. que sustituiría a EMCO implementada</v>
      </c>
      <c r="B64" s="182" t="s">
        <v>197</v>
      </c>
      <c r="C64" s="65" t="str">
        <f>'1. Detailed Budget'!D26</f>
        <v>Consultoría especializada para seguimiento de la implementación del diseño de la nueva entidad de gestión propietaria de las EE.PP. que sustituiría a EMCO, que incluya la elaboración del estatuto orgánico administrativo, que incluya capacitación.</v>
      </c>
      <c r="D64" s="203" t="s">
        <v>94</v>
      </c>
      <c r="E64" s="65" t="s">
        <v>68</v>
      </c>
      <c r="F64" s="107">
        <f>'1. Detailed Budget'!H26</f>
        <v>208000</v>
      </c>
      <c r="G64" s="107">
        <f>'1. Detailed Budget'!I26</f>
        <v>24960</v>
      </c>
      <c r="H64" s="71">
        <v>1</v>
      </c>
      <c r="I64" s="66">
        <v>0</v>
      </c>
      <c r="J64" s="107">
        <f>'1. Detailed Budget'!G26</f>
        <v>2</v>
      </c>
      <c r="K64" s="65" t="s">
        <v>69</v>
      </c>
      <c r="L64" s="65" t="s">
        <v>61</v>
      </c>
      <c r="M64" s="104">
        <v>43740</v>
      </c>
      <c r="N64" s="104">
        <v>43823</v>
      </c>
      <c r="O64" s="67"/>
      <c r="R64" s="70"/>
      <c r="S64" s="70"/>
    </row>
    <row r="65" spans="1:19" ht="47.25" customHeight="1" x14ac:dyDescent="0.2">
      <c r="A65" s="343"/>
      <c r="B65" s="182" t="s">
        <v>197</v>
      </c>
      <c r="C65" s="65" t="str">
        <f>'1. Detailed Budget'!D27</f>
        <v>Consultoría nacional de apoyo al seguimiento de la implementación del diseño de la nueva entidad de gestión propietaria de las EE.PP. que sustituiría a EMCO, , que incluya la elaboración del estatuto orgánico administrativo, que incluya capacitación.</v>
      </c>
      <c r="D65" s="203" t="s">
        <v>94</v>
      </c>
      <c r="E65" s="65" t="s">
        <v>68</v>
      </c>
      <c r="F65" s="107">
        <f>'1. Detailed Budget'!H27</f>
        <v>83920</v>
      </c>
      <c r="G65" s="107">
        <f>'1. Detailed Budget'!I27</f>
        <v>10070.4</v>
      </c>
      <c r="H65" s="71">
        <v>1</v>
      </c>
      <c r="I65" s="66">
        <v>0</v>
      </c>
      <c r="J65" s="107">
        <f>'1. Detailed Budget'!G27</f>
        <v>2</v>
      </c>
      <c r="K65" s="65" t="s">
        <v>69</v>
      </c>
      <c r="L65" s="65" t="s">
        <v>61</v>
      </c>
      <c r="M65" s="104">
        <v>43831</v>
      </c>
      <c r="N65" s="104">
        <v>43918</v>
      </c>
      <c r="O65" s="67"/>
      <c r="R65" s="70"/>
      <c r="S65" s="70"/>
    </row>
    <row r="66" spans="1:19" ht="47.25" customHeight="1" x14ac:dyDescent="0.2">
      <c r="A66" s="342"/>
      <c r="B66" s="182" t="s">
        <v>197</v>
      </c>
      <c r="C66" s="65" t="str">
        <f>'1. Detailed Budget'!D28</f>
        <v>Consultoría especializada para el diseño y la implementación de contrato de gestión del desempeño entre entidad propietaria y EE.PP., que incluya que incluya capacitación.</v>
      </c>
      <c r="D66" s="203" t="s">
        <v>78</v>
      </c>
      <c r="E66" s="65" t="s">
        <v>68</v>
      </c>
      <c r="F66" s="107">
        <f>'1. Detailed Budget'!H28</f>
        <v>49500</v>
      </c>
      <c r="G66" s="107">
        <f>'1. Detailed Budget'!I28</f>
        <v>5940</v>
      </c>
      <c r="H66" s="71">
        <v>1</v>
      </c>
      <c r="I66" s="66">
        <v>0</v>
      </c>
      <c r="J66" s="107">
        <f>'1. Detailed Budget'!G28</f>
        <v>1</v>
      </c>
      <c r="K66" s="65" t="s">
        <v>69</v>
      </c>
      <c r="L66" s="65" t="s">
        <v>61</v>
      </c>
      <c r="M66" s="104">
        <v>43922</v>
      </c>
      <c r="N66" s="104">
        <v>43979</v>
      </c>
      <c r="O66" s="67"/>
      <c r="R66" s="70"/>
      <c r="S66" s="70"/>
    </row>
    <row r="67" spans="1:19" ht="69" customHeight="1" x14ac:dyDescent="0.2">
      <c r="A67" s="341" t="str">
        <f>'1. Detailed Budget'!A29</f>
        <v>1.5 DNEP fortalecida, incluyendo el desarrollo de instrumentos de gestión (estudios de costes de producción) para asistir la formulación presupuestaria</v>
      </c>
      <c r="B67" s="64" t="s">
        <v>42</v>
      </c>
      <c r="C67" s="65" t="str">
        <f>'1. Detailed Budget'!D29</f>
        <v xml:space="preserve">Consultoría especializada para el desarrollo de instrumentos de gestión (estudios de costes de producción) para asistir la formulación presupuestaria </v>
      </c>
      <c r="D67" s="203" t="s">
        <v>94</v>
      </c>
      <c r="E67" s="65" t="s">
        <v>68</v>
      </c>
      <c r="F67" s="107">
        <f>'1. Detailed Budget'!H29</f>
        <v>218000</v>
      </c>
      <c r="G67" s="107">
        <f>'1. Detailed Budget'!I29</f>
        <v>26160</v>
      </c>
      <c r="H67" s="71">
        <v>1</v>
      </c>
      <c r="I67" s="66">
        <v>0</v>
      </c>
      <c r="J67" s="107">
        <f>'1. Detailed Budget'!G29</f>
        <v>2</v>
      </c>
      <c r="K67" s="65" t="s">
        <v>69</v>
      </c>
      <c r="L67" s="65" t="s">
        <v>61</v>
      </c>
      <c r="M67" s="104">
        <v>43922</v>
      </c>
      <c r="N67" s="104">
        <v>44010</v>
      </c>
      <c r="O67" s="67"/>
      <c r="R67" s="70"/>
      <c r="S67" s="70"/>
    </row>
    <row r="68" spans="1:19" ht="69" customHeight="1" x14ac:dyDescent="0.2">
      <c r="A68" s="343"/>
      <c r="B68" s="64" t="s">
        <v>42</v>
      </c>
      <c r="C68" s="65" t="str">
        <f>'1. Detailed Budget'!D30</f>
        <v>Consultoría especializada para definir sistemas de certificación de capacidad de pago y limites de endeudamiento.</v>
      </c>
      <c r="D68" s="203" t="s">
        <v>94</v>
      </c>
      <c r="E68" s="65" t="s">
        <v>68</v>
      </c>
      <c r="F68" s="107">
        <f>'1. Detailed Budget'!H30</f>
        <v>53000</v>
      </c>
      <c r="G68" s="107">
        <f>'1. Detailed Budget'!I30</f>
        <v>6360</v>
      </c>
      <c r="H68" s="71">
        <v>1</v>
      </c>
      <c r="I68" s="66">
        <v>0</v>
      </c>
      <c r="J68" s="107">
        <f>'1. Detailed Budget'!G30</f>
        <v>1</v>
      </c>
      <c r="K68" s="65" t="s">
        <v>69</v>
      </c>
      <c r="L68" s="65" t="s">
        <v>61</v>
      </c>
      <c r="M68" s="104">
        <v>43952</v>
      </c>
      <c r="N68" s="104">
        <v>44040</v>
      </c>
      <c r="O68" s="67"/>
      <c r="R68" s="70"/>
      <c r="S68" s="70"/>
    </row>
    <row r="69" spans="1:19" ht="69" customHeight="1" x14ac:dyDescent="0.2">
      <c r="A69" s="341" t="str">
        <f>'1. Detailed Budget'!A31</f>
        <v xml:space="preserve">1.6 Apoyo a los GADs en la adopción de las reformas de la LOEP en sus EE.PP. implementado </v>
      </c>
      <c r="B69" s="64" t="s">
        <v>42</v>
      </c>
      <c r="C69" s="65" t="str">
        <f>'1. Detailed Budget'!D31</f>
        <v>Apoyo al proceso de implementación del nuevo modelo de gestión de EEPP</v>
      </c>
      <c r="D69" s="203" t="s">
        <v>94</v>
      </c>
      <c r="E69" s="65" t="s">
        <v>68</v>
      </c>
      <c r="F69" s="107">
        <f>'1. Detailed Budget'!H31</f>
        <v>305680</v>
      </c>
      <c r="G69" s="107">
        <f>'1. Detailed Budget'!I31</f>
        <v>36681.599999999999</v>
      </c>
      <c r="H69" s="71">
        <v>1</v>
      </c>
      <c r="I69" s="66">
        <v>0</v>
      </c>
      <c r="J69" s="107">
        <f>'1. Detailed Budget'!G31</f>
        <v>4</v>
      </c>
      <c r="K69" s="65" t="s">
        <v>69</v>
      </c>
      <c r="L69" s="65" t="s">
        <v>61</v>
      </c>
      <c r="M69" s="104">
        <v>44075</v>
      </c>
      <c r="N69" s="104">
        <v>44163</v>
      </c>
      <c r="O69" s="67"/>
      <c r="R69" s="70"/>
      <c r="S69" s="70"/>
    </row>
    <row r="70" spans="1:19" ht="69" customHeight="1" x14ac:dyDescent="0.2">
      <c r="A70" s="342"/>
      <c r="B70" s="64" t="s">
        <v>42</v>
      </c>
      <c r="C70" s="65" t="str">
        <f>'1. Detailed Budget'!D32</f>
        <v>Consultoría para el análisis de sostenibilidad financiera de EEPP de los GADs</v>
      </c>
      <c r="D70" s="203" t="s">
        <v>78</v>
      </c>
      <c r="E70" s="65" t="s">
        <v>68</v>
      </c>
      <c r="F70" s="107">
        <f>'1. Detailed Budget'!H32</f>
        <v>19240</v>
      </c>
      <c r="G70" s="107">
        <f>'1. Detailed Budget'!I32</f>
        <v>2308.7999999999997</v>
      </c>
      <c r="H70" s="71">
        <v>1</v>
      </c>
      <c r="I70" s="66">
        <v>0</v>
      </c>
      <c r="J70" s="107">
        <f>'1. Detailed Budget'!G32</f>
        <v>1</v>
      </c>
      <c r="K70" s="65" t="s">
        <v>69</v>
      </c>
      <c r="L70" s="65" t="s">
        <v>61</v>
      </c>
      <c r="M70" s="104">
        <v>43952</v>
      </c>
      <c r="N70" s="104">
        <v>44010</v>
      </c>
      <c r="O70" s="67"/>
      <c r="R70" s="70"/>
      <c r="S70" s="70"/>
    </row>
    <row r="71" spans="1:19" ht="69" customHeight="1" x14ac:dyDescent="0.2">
      <c r="A71" s="179" t="str">
        <f>'1. Detailed Budget'!A35</f>
        <v>2.1 Estrategia de fusión de Petroamazonas y Petroecuador, incluyendo definición de gobernanza corporativa y régimen fiscal diseñada e implementado</v>
      </c>
      <c r="B71" s="64" t="s">
        <v>42</v>
      </c>
      <c r="C71" s="65" t="str">
        <f>'1. Detailed Budget'!D35</f>
        <v xml:space="preserve">Consultoría especializada en temas técnicos de la cadena de valor (exploración y producción petrolera) para mejorar la eficiencia en la fusión. </v>
      </c>
      <c r="D71" s="203" t="s">
        <v>78</v>
      </c>
      <c r="E71" s="65" t="s">
        <v>68</v>
      </c>
      <c r="F71" s="107">
        <f>'1. Detailed Budget'!H35</f>
        <v>162000</v>
      </c>
      <c r="G71" s="107">
        <f>'1. Detailed Budget'!I35</f>
        <v>19440</v>
      </c>
      <c r="H71" s="71">
        <v>1</v>
      </c>
      <c r="I71" s="66">
        <v>0</v>
      </c>
      <c r="J71" s="107">
        <f>'1. Detailed Budget'!G35</f>
        <v>3</v>
      </c>
      <c r="K71" s="65" t="s">
        <v>75</v>
      </c>
      <c r="L71" s="65" t="s">
        <v>61</v>
      </c>
      <c r="M71" s="104">
        <v>43952</v>
      </c>
      <c r="N71" s="104">
        <v>44010</v>
      </c>
      <c r="O71" s="67"/>
      <c r="R71" s="70"/>
      <c r="S71" s="70"/>
    </row>
    <row r="72" spans="1:19" ht="25.5" x14ac:dyDescent="0.2">
      <c r="A72" s="197" t="s">
        <v>104</v>
      </c>
      <c r="B72" s="64" t="s">
        <v>42</v>
      </c>
      <c r="C72" s="50" t="str">
        <f>'1. Detailed Budget'!A51</f>
        <v>Coordinador Operativo</v>
      </c>
      <c r="D72" s="65" t="s">
        <v>94</v>
      </c>
      <c r="E72" s="50" t="s">
        <v>68</v>
      </c>
      <c r="F72" s="92">
        <f>'1. Detailed Budget'!B51</f>
        <v>220000</v>
      </c>
      <c r="G72" s="92">
        <f>'1. Detailed Budget'!C51</f>
        <v>26400</v>
      </c>
      <c r="H72" s="93">
        <v>1</v>
      </c>
      <c r="I72" s="52">
        <v>0</v>
      </c>
      <c r="J72" s="92">
        <f>'1. Detailed Budget'!G51</f>
        <v>1</v>
      </c>
      <c r="K72" s="50" t="s">
        <v>45</v>
      </c>
      <c r="L72" s="50" t="s">
        <v>61</v>
      </c>
      <c r="M72" s="104">
        <v>43739</v>
      </c>
      <c r="N72" s="104">
        <v>43800</v>
      </c>
      <c r="O72" s="54" t="s">
        <v>204</v>
      </c>
      <c r="R72" s="70"/>
      <c r="S72" s="70"/>
    </row>
    <row r="73" spans="1:19" ht="25.5" x14ac:dyDescent="0.2">
      <c r="A73" s="197" t="s">
        <v>104</v>
      </c>
      <c r="B73" s="64" t="s">
        <v>42</v>
      </c>
      <c r="C73" s="50" t="str">
        <f>'1. Detailed Budget'!A52</f>
        <v xml:space="preserve">Experto financiero </v>
      </c>
      <c r="D73" s="65" t="s">
        <v>94</v>
      </c>
      <c r="E73" s="50" t="s">
        <v>68</v>
      </c>
      <c r="F73" s="92">
        <f>'1. Detailed Budget'!B52</f>
        <v>123200</v>
      </c>
      <c r="G73" s="92">
        <f>'1. Detailed Budget'!C52</f>
        <v>14784</v>
      </c>
      <c r="H73" s="93">
        <v>1</v>
      </c>
      <c r="I73" s="52">
        <v>0</v>
      </c>
      <c r="J73" s="92">
        <f>'1. Detailed Budget'!G52</f>
        <v>1</v>
      </c>
      <c r="K73" s="50" t="s">
        <v>45</v>
      </c>
      <c r="L73" s="50" t="s">
        <v>61</v>
      </c>
      <c r="M73" s="104">
        <v>43739</v>
      </c>
      <c r="N73" s="104">
        <v>43800</v>
      </c>
      <c r="O73" s="54" t="s">
        <v>204</v>
      </c>
      <c r="R73" s="70"/>
      <c r="S73" s="70"/>
    </row>
    <row r="74" spans="1:19" ht="25.5" x14ac:dyDescent="0.2">
      <c r="A74" s="197" t="s">
        <v>104</v>
      </c>
      <c r="B74" s="64" t="s">
        <v>42</v>
      </c>
      <c r="C74" s="50" t="str">
        <f>'1. Detailed Budget'!A53</f>
        <v xml:space="preserve">Experto Adquisiciones </v>
      </c>
      <c r="D74" s="65" t="s">
        <v>94</v>
      </c>
      <c r="E74" s="50" t="s">
        <v>68</v>
      </c>
      <c r="F74" s="92">
        <f>'1. Detailed Budget'!B53</f>
        <v>123200</v>
      </c>
      <c r="G74" s="92">
        <f>'1. Detailed Budget'!C53</f>
        <v>14784</v>
      </c>
      <c r="H74" s="93">
        <v>1</v>
      </c>
      <c r="I74" s="52">
        <v>0</v>
      </c>
      <c r="J74" s="92">
        <f>'1. Detailed Budget'!G53</f>
        <v>1</v>
      </c>
      <c r="K74" s="50" t="s">
        <v>45</v>
      </c>
      <c r="L74" s="50" t="s">
        <v>61</v>
      </c>
      <c r="M74" s="104">
        <v>43739</v>
      </c>
      <c r="N74" s="104">
        <v>43800</v>
      </c>
      <c r="O74" s="54" t="s">
        <v>204</v>
      </c>
      <c r="R74" s="70"/>
      <c r="S74" s="70"/>
    </row>
    <row r="75" spans="1:19" ht="25.5" x14ac:dyDescent="0.2">
      <c r="A75" s="197" t="s">
        <v>104</v>
      </c>
      <c r="B75" s="64" t="s">
        <v>42</v>
      </c>
      <c r="C75" s="50" t="str">
        <f>'1. Detailed Budget'!A54</f>
        <v xml:space="preserve">Monitoreo y Planificación </v>
      </c>
      <c r="D75" s="65" t="s">
        <v>94</v>
      </c>
      <c r="E75" s="50" t="s">
        <v>68</v>
      </c>
      <c r="F75" s="92">
        <f>'1. Detailed Budget'!B54</f>
        <v>123200</v>
      </c>
      <c r="G75" s="92">
        <f>'1. Detailed Budget'!C54</f>
        <v>14784</v>
      </c>
      <c r="H75" s="93">
        <v>1</v>
      </c>
      <c r="I75" s="52">
        <v>0</v>
      </c>
      <c r="J75" s="92">
        <f>'1. Detailed Budget'!G54</f>
        <v>1</v>
      </c>
      <c r="K75" s="50" t="s">
        <v>45</v>
      </c>
      <c r="L75" s="50" t="s">
        <v>61</v>
      </c>
      <c r="M75" s="104">
        <v>43739</v>
      </c>
      <c r="N75" s="104">
        <v>43800</v>
      </c>
      <c r="O75" s="54" t="s">
        <v>204</v>
      </c>
      <c r="R75" s="70"/>
      <c r="S75" s="70"/>
    </row>
    <row r="76" spans="1:19" ht="25.5" x14ac:dyDescent="0.2">
      <c r="A76" s="197" t="s">
        <v>104</v>
      </c>
      <c r="B76" s="64" t="s">
        <v>42</v>
      </c>
      <c r="C76" s="50" t="str">
        <f>'1. Detailed Budget'!A55</f>
        <v xml:space="preserve">Apoyo ejecución </v>
      </c>
      <c r="D76" s="65" t="s">
        <v>94</v>
      </c>
      <c r="E76" s="50" t="s">
        <v>68</v>
      </c>
      <c r="F76" s="92">
        <f>'1. Detailed Budget'!B55</f>
        <v>123200</v>
      </c>
      <c r="G76" s="92">
        <f>'1. Detailed Budget'!C55</f>
        <v>14784</v>
      </c>
      <c r="H76" s="93">
        <v>1</v>
      </c>
      <c r="I76" s="52">
        <v>0</v>
      </c>
      <c r="J76" s="92">
        <f>'1. Detailed Budget'!G55</f>
        <v>1</v>
      </c>
      <c r="K76" s="50" t="s">
        <v>45</v>
      </c>
      <c r="L76" s="50" t="s">
        <v>61</v>
      </c>
      <c r="M76" s="104">
        <v>43739</v>
      </c>
      <c r="N76" s="104">
        <v>43800</v>
      </c>
      <c r="O76" s="54" t="s">
        <v>204</v>
      </c>
      <c r="R76" s="70"/>
      <c r="S76" s="70"/>
    </row>
    <row r="77" spans="1:19" ht="25.5" x14ac:dyDescent="0.2">
      <c r="A77" s="197" t="s">
        <v>104</v>
      </c>
      <c r="B77" s="64" t="s">
        <v>42</v>
      </c>
      <c r="C77" s="50" t="str">
        <f>'1. Detailed Budget'!A56</f>
        <v xml:space="preserve">Experto Legal </v>
      </c>
      <c r="D77" s="50" t="s">
        <v>94</v>
      </c>
      <c r="E77" s="50" t="s">
        <v>68</v>
      </c>
      <c r="F77" s="92">
        <f>'1. Detailed Budget'!B56</f>
        <v>123200</v>
      </c>
      <c r="G77" s="92">
        <f>'1. Detailed Budget'!C56</f>
        <v>14784</v>
      </c>
      <c r="H77" s="93">
        <v>1</v>
      </c>
      <c r="I77" s="52">
        <v>0</v>
      </c>
      <c r="J77" s="92">
        <f>'1. Detailed Budget'!G56</f>
        <v>1</v>
      </c>
      <c r="K77" s="50" t="s">
        <v>45</v>
      </c>
      <c r="L77" s="50" t="s">
        <v>61</v>
      </c>
      <c r="M77" s="104">
        <v>43739</v>
      </c>
      <c r="N77" s="104">
        <v>43800</v>
      </c>
      <c r="O77" s="54" t="s">
        <v>204</v>
      </c>
      <c r="R77" s="70"/>
      <c r="S77" s="70"/>
    </row>
    <row r="78" spans="1:19" ht="25.5" x14ac:dyDescent="0.2">
      <c r="A78" s="197" t="s">
        <v>104</v>
      </c>
      <c r="B78" s="64" t="s">
        <v>42</v>
      </c>
      <c r="C78" s="50" t="str">
        <f>'1. Detailed Budget'!A57</f>
        <v>Experto hidrocarburos</v>
      </c>
      <c r="D78" s="65" t="s">
        <v>94</v>
      </c>
      <c r="E78" s="50" t="s">
        <v>68</v>
      </c>
      <c r="F78" s="92">
        <f>'1. Detailed Budget'!B57</f>
        <v>123200</v>
      </c>
      <c r="G78" s="92">
        <f>'1. Detailed Budget'!C57</f>
        <v>14784</v>
      </c>
      <c r="H78" s="93">
        <v>1</v>
      </c>
      <c r="I78" s="52">
        <v>0</v>
      </c>
      <c r="J78" s="92">
        <f>'1. Detailed Budget'!G57</f>
        <v>1</v>
      </c>
      <c r="K78" s="50" t="s">
        <v>45</v>
      </c>
      <c r="L78" s="50" t="s">
        <v>61</v>
      </c>
      <c r="M78" s="104">
        <v>43831</v>
      </c>
      <c r="N78" s="104">
        <v>43918</v>
      </c>
      <c r="O78" s="54" t="s">
        <v>204</v>
      </c>
      <c r="R78" s="70"/>
      <c r="S78" s="70"/>
    </row>
    <row r="79" spans="1:19" ht="25.5" x14ac:dyDescent="0.2">
      <c r="A79" s="197" t="s">
        <v>104</v>
      </c>
      <c r="B79" s="64" t="s">
        <v>42</v>
      </c>
      <c r="C79" s="50" t="str">
        <f>'1. Detailed Budget'!A58</f>
        <v>Experto Energía</v>
      </c>
      <c r="D79" s="50" t="s">
        <v>94</v>
      </c>
      <c r="E79" s="50" t="s">
        <v>68</v>
      </c>
      <c r="F79" s="92">
        <f>'1. Detailed Budget'!B58</f>
        <v>123200</v>
      </c>
      <c r="G79" s="92">
        <f>'1. Detailed Budget'!C58</f>
        <v>14784</v>
      </c>
      <c r="H79" s="93">
        <v>1</v>
      </c>
      <c r="I79" s="52">
        <v>0</v>
      </c>
      <c r="J79" s="92">
        <f>'1. Detailed Budget'!G58</f>
        <v>1</v>
      </c>
      <c r="K79" s="50" t="s">
        <v>45</v>
      </c>
      <c r="L79" s="50" t="s">
        <v>61</v>
      </c>
      <c r="M79" s="104">
        <v>43831</v>
      </c>
      <c r="N79" s="104">
        <v>43918</v>
      </c>
      <c r="O79" s="54" t="s">
        <v>204</v>
      </c>
      <c r="R79" s="70"/>
      <c r="S79" s="70"/>
    </row>
    <row r="80" spans="1:19" ht="25.5" x14ac:dyDescent="0.2">
      <c r="A80" s="197" t="s">
        <v>104</v>
      </c>
      <c r="B80" s="64" t="s">
        <v>42</v>
      </c>
      <c r="C80" s="50" t="str">
        <f>'1. Detailed Budget'!A59</f>
        <v>Experto Telecom.</v>
      </c>
      <c r="D80" s="50" t="s">
        <v>94</v>
      </c>
      <c r="E80" s="50" t="s">
        <v>68</v>
      </c>
      <c r="F80" s="92">
        <f>'1. Detailed Budget'!B59</f>
        <v>123200</v>
      </c>
      <c r="G80" s="92">
        <f>'1. Detailed Budget'!C59</f>
        <v>14784</v>
      </c>
      <c r="H80" s="93">
        <v>1</v>
      </c>
      <c r="I80" s="52">
        <v>0</v>
      </c>
      <c r="J80" s="92">
        <f>'1. Detailed Budget'!G59</f>
        <v>1</v>
      </c>
      <c r="K80" s="50" t="s">
        <v>45</v>
      </c>
      <c r="L80" s="50" t="s">
        <v>61</v>
      </c>
      <c r="M80" s="104">
        <v>43831</v>
      </c>
      <c r="N80" s="104">
        <v>43918</v>
      </c>
      <c r="O80" s="54" t="s">
        <v>204</v>
      </c>
      <c r="R80" s="70"/>
      <c r="S80" s="70"/>
    </row>
    <row r="81" spans="1:21" ht="25.5" x14ac:dyDescent="0.2">
      <c r="A81" s="197" t="s">
        <v>104</v>
      </c>
      <c r="B81" s="64" t="s">
        <v>42</v>
      </c>
      <c r="C81" s="50" t="s">
        <v>200</v>
      </c>
      <c r="D81" s="50" t="s">
        <v>94</v>
      </c>
      <c r="E81" s="50" t="s">
        <v>68</v>
      </c>
      <c r="F81" s="92">
        <f>'1. Detailed Budget'!B60</f>
        <v>100000</v>
      </c>
      <c r="G81" s="92">
        <f>'1. Detailed Budget'!C60</f>
        <v>12000</v>
      </c>
      <c r="H81" s="93">
        <v>1</v>
      </c>
      <c r="I81" s="52">
        <v>0</v>
      </c>
      <c r="J81" s="92">
        <f>'1. Detailed Budget'!G60</f>
        <v>1</v>
      </c>
      <c r="K81" s="50" t="s">
        <v>45</v>
      </c>
      <c r="L81" s="50" t="s">
        <v>55</v>
      </c>
      <c r="M81" s="104">
        <v>44561</v>
      </c>
      <c r="N81" s="104">
        <v>44591</v>
      </c>
      <c r="O81" s="54"/>
      <c r="R81" s="70"/>
      <c r="S81" s="70"/>
    </row>
    <row r="82" spans="1:21" ht="25.5" x14ac:dyDescent="0.2">
      <c r="A82" s="197" t="s">
        <v>104</v>
      </c>
      <c r="B82" s="64" t="s">
        <v>42</v>
      </c>
      <c r="C82" s="50" t="s">
        <v>201</v>
      </c>
      <c r="D82" s="50" t="s">
        <v>94</v>
      </c>
      <c r="E82" s="50" t="s">
        <v>68</v>
      </c>
      <c r="F82" s="92">
        <f>'1. Detailed Budget'!B61</f>
        <v>100000</v>
      </c>
      <c r="G82" s="92">
        <f>'1. Detailed Budget'!C61</f>
        <v>12000</v>
      </c>
      <c r="H82" s="93">
        <v>1</v>
      </c>
      <c r="I82" s="52">
        <v>0</v>
      </c>
      <c r="J82" s="92">
        <f>'1. Detailed Budget'!G61</f>
        <v>1</v>
      </c>
      <c r="K82" s="50" t="s">
        <v>45</v>
      </c>
      <c r="L82" s="50" t="s">
        <v>55</v>
      </c>
      <c r="M82" s="104">
        <v>44713</v>
      </c>
      <c r="N82" s="104">
        <v>44770</v>
      </c>
      <c r="O82" s="54"/>
      <c r="R82" s="70"/>
      <c r="S82" s="70"/>
    </row>
    <row r="83" spans="1:21" ht="25.5" x14ac:dyDescent="0.2">
      <c r="A83" s="197" t="s">
        <v>104</v>
      </c>
      <c r="B83" s="64" t="s">
        <v>42</v>
      </c>
      <c r="C83" s="50" t="s">
        <v>202</v>
      </c>
      <c r="D83" s="50" t="s">
        <v>94</v>
      </c>
      <c r="E83" s="50" t="s">
        <v>68</v>
      </c>
      <c r="F83" s="92">
        <f>'1. Detailed Budget'!B62</f>
        <v>30000</v>
      </c>
      <c r="G83" s="92">
        <f>'1. Detailed Budget'!C62</f>
        <v>3600</v>
      </c>
      <c r="H83" s="93">
        <v>1</v>
      </c>
      <c r="I83" s="52">
        <v>0</v>
      </c>
      <c r="J83" s="92">
        <f>'1. Detailed Budget'!G62</f>
        <v>1</v>
      </c>
      <c r="K83" s="50" t="s">
        <v>45</v>
      </c>
      <c r="L83" s="50" t="s">
        <v>55</v>
      </c>
      <c r="M83" s="104">
        <v>44713</v>
      </c>
      <c r="N83" s="104">
        <v>44770</v>
      </c>
      <c r="O83" s="54"/>
      <c r="R83" s="70"/>
      <c r="S83" s="70"/>
    </row>
    <row r="84" spans="1:21" ht="15" thickBot="1" x14ac:dyDescent="0.25">
      <c r="F84" s="76">
        <f>SUM(F55:F83)</f>
        <v>3266220</v>
      </c>
      <c r="G84" s="76">
        <f>SUM(G55:G83)</f>
        <v>391946.4</v>
      </c>
      <c r="R84" s="70" t="s">
        <v>95</v>
      </c>
      <c r="S84" s="70" t="s">
        <v>96</v>
      </c>
    </row>
    <row r="85" spans="1:21" ht="15.75" x14ac:dyDescent="0.2">
      <c r="B85" s="329" t="s">
        <v>198</v>
      </c>
      <c r="C85" s="330"/>
      <c r="D85" s="330"/>
      <c r="E85" s="330"/>
      <c r="F85" s="330"/>
      <c r="G85" s="330"/>
      <c r="H85" s="330"/>
      <c r="I85" s="330"/>
      <c r="J85" s="330"/>
      <c r="K85" s="330"/>
      <c r="L85" s="330"/>
      <c r="M85" s="330"/>
      <c r="N85" s="330"/>
      <c r="O85" s="331"/>
      <c r="P85" s="45"/>
      <c r="Q85" s="45"/>
      <c r="R85" s="47" t="s">
        <v>47</v>
      </c>
      <c r="S85" s="45"/>
      <c r="T85" s="45"/>
      <c r="U85" s="45"/>
    </row>
    <row r="86" spans="1:21" ht="14.45" customHeight="1" x14ac:dyDescent="0.2">
      <c r="A86" s="339"/>
      <c r="B86" s="340" t="s">
        <v>48</v>
      </c>
      <c r="C86" s="328" t="s">
        <v>49</v>
      </c>
      <c r="D86" s="328" t="s">
        <v>105</v>
      </c>
      <c r="E86" s="328" t="s">
        <v>50</v>
      </c>
      <c r="F86" s="328" t="s">
        <v>51</v>
      </c>
      <c r="G86" s="332" t="s">
        <v>52</v>
      </c>
      <c r="H86" s="333"/>
      <c r="I86" s="332"/>
      <c r="J86" s="332"/>
      <c r="K86" s="328" t="s">
        <v>53</v>
      </c>
      <c r="L86" s="328" t="s">
        <v>106</v>
      </c>
      <c r="M86" s="328" t="s">
        <v>54</v>
      </c>
      <c r="N86" s="328"/>
      <c r="O86" s="327" t="s">
        <v>107</v>
      </c>
      <c r="P86" s="45"/>
      <c r="Q86" s="45"/>
      <c r="R86" s="47" t="s">
        <v>55</v>
      </c>
      <c r="S86" s="45"/>
      <c r="T86" s="45"/>
      <c r="U86" s="45"/>
    </row>
    <row r="87" spans="1:21" ht="33" customHeight="1" x14ac:dyDescent="0.2">
      <c r="A87" s="339"/>
      <c r="B87" s="340"/>
      <c r="C87" s="328"/>
      <c r="D87" s="328"/>
      <c r="E87" s="328"/>
      <c r="F87" s="328"/>
      <c r="G87" s="83" t="s">
        <v>56</v>
      </c>
      <c r="H87" s="178"/>
      <c r="I87" s="157" t="s">
        <v>57</v>
      </c>
      <c r="J87" s="157" t="s">
        <v>58</v>
      </c>
      <c r="K87" s="328"/>
      <c r="L87" s="328"/>
      <c r="M87" s="84" t="s">
        <v>59</v>
      </c>
      <c r="N87" s="84" t="s">
        <v>60</v>
      </c>
      <c r="O87" s="327"/>
      <c r="P87" s="45"/>
      <c r="Q87" s="45"/>
      <c r="R87" s="48" t="s">
        <v>61</v>
      </c>
      <c r="S87" s="45"/>
      <c r="T87" s="45"/>
      <c r="U87" s="45"/>
    </row>
    <row r="88" spans="1:21" ht="32.450000000000003" customHeight="1" x14ac:dyDescent="0.2">
      <c r="A88" s="199"/>
      <c r="B88" s="183"/>
      <c r="C88" s="175" t="str">
        <f>'1. Detailed Budget'!Z43</f>
        <v>Personal con beneficios por desvinculación devengados en PAM</v>
      </c>
      <c r="D88" s="175"/>
      <c r="E88" s="175"/>
      <c r="F88" s="175"/>
      <c r="G88" s="191">
        <f>'1. Detailed Budget'!AC43</f>
        <v>35727272.727272704</v>
      </c>
      <c r="H88" s="191"/>
      <c r="I88" s="180"/>
      <c r="J88" s="180"/>
      <c r="K88" s="175"/>
      <c r="L88" s="175"/>
      <c r="M88" s="185"/>
      <c r="N88" s="185"/>
      <c r="O88" s="181"/>
      <c r="P88" s="45"/>
      <c r="Q88" s="45"/>
      <c r="R88" s="47"/>
      <c r="S88" s="45"/>
      <c r="T88" s="45"/>
      <c r="U88" s="45"/>
    </row>
    <row r="89" spans="1:21" ht="32.450000000000003" customHeight="1" x14ac:dyDescent="0.2">
      <c r="A89" s="199"/>
      <c r="B89" s="183"/>
      <c r="C89" s="175" t="str">
        <f>'1. Detailed Budget'!Z44</f>
        <v>Personal con beneficios por desvinculación devengados en PEC</v>
      </c>
      <c r="D89" s="175"/>
      <c r="E89" s="175"/>
      <c r="F89" s="175"/>
      <c r="G89" s="175">
        <f>'1. Detailed Budget'!AD44</f>
        <v>0</v>
      </c>
      <c r="H89" s="175"/>
      <c r="I89" s="180"/>
      <c r="J89" s="180"/>
      <c r="K89" s="175"/>
      <c r="L89" s="175"/>
      <c r="M89" s="185"/>
      <c r="N89" s="185"/>
      <c r="O89" s="181"/>
      <c r="P89" s="45"/>
      <c r="Q89" s="45"/>
      <c r="R89" s="47"/>
      <c r="S89" s="45"/>
      <c r="T89" s="45"/>
      <c r="U89" s="45"/>
    </row>
    <row r="90" spans="1:21" ht="32.450000000000003" customHeight="1" x14ac:dyDescent="0.2">
      <c r="A90" s="199"/>
      <c r="B90" s="183"/>
      <c r="C90" s="175" t="str">
        <f>'1. Detailed Budget'!Z45</f>
        <v>Personal con beneficios por desvinculación devengados en TAME</v>
      </c>
      <c r="D90" s="175"/>
      <c r="E90" s="175"/>
      <c r="F90" s="175"/>
      <c r="G90" s="191">
        <f>'1. Detailed Budget'!AC45</f>
        <v>909090.90909090906</v>
      </c>
      <c r="H90" s="191"/>
      <c r="I90" s="180"/>
      <c r="J90" s="180"/>
      <c r="K90" s="175"/>
      <c r="L90" s="175"/>
      <c r="M90" s="185"/>
      <c r="N90" s="185"/>
      <c r="O90" s="181"/>
      <c r="P90" s="45"/>
      <c r="Q90" s="45"/>
      <c r="R90" s="47"/>
      <c r="S90" s="45"/>
      <c r="T90" s="45"/>
      <c r="U90" s="45"/>
    </row>
    <row r="91" spans="1:21" ht="32.450000000000003" customHeight="1" x14ac:dyDescent="0.2">
      <c r="A91" s="194"/>
      <c r="B91" s="49"/>
      <c r="C91" s="175" t="str">
        <f>'1. Detailed Budget'!Z46</f>
        <v>Personal con beneficios por desvinculación devengados en CNEL</v>
      </c>
      <c r="D91" s="50"/>
      <c r="E91" s="50"/>
      <c r="F91" s="50"/>
      <c r="G91" s="191">
        <f>'1. Detailed Budget'!AC46</f>
        <v>5454545.4545454541</v>
      </c>
      <c r="H91" s="191"/>
      <c r="I91" s="52"/>
      <c r="J91" s="52"/>
      <c r="K91" s="50"/>
      <c r="L91" s="50"/>
      <c r="M91" s="53"/>
      <c r="N91" s="53"/>
      <c r="O91" s="54"/>
      <c r="P91" s="45"/>
      <c r="Q91" s="45"/>
      <c r="R91" s="47" t="s">
        <v>62</v>
      </c>
      <c r="S91" s="45"/>
      <c r="T91" s="45"/>
      <c r="U91" s="45"/>
    </row>
    <row r="92" spans="1:21" ht="32.450000000000003" customHeight="1" x14ac:dyDescent="0.2">
      <c r="A92" s="200"/>
      <c r="B92" s="186"/>
      <c r="C92" s="175" t="str">
        <f>'1. Detailed Budget'!Z47</f>
        <v>Personal con beneficios por desvinculación devengados en CELEC</v>
      </c>
      <c r="D92" s="187"/>
      <c r="E92" s="187"/>
      <c r="F92" s="187"/>
      <c r="G92" s="191">
        <f>'1. Detailed Budget'!AC47</f>
        <v>0</v>
      </c>
      <c r="H92" s="212"/>
      <c r="I92" s="188"/>
      <c r="J92" s="188"/>
      <c r="K92" s="187"/>
      <c r="L92" s="187"/>
      <c r="M92" s="189"/>
      <c r="N92" s="189"/>
      <c r="O92" s="190"/>
      <c r="P92" s="45"/>
      <c r="Q92" s="45"/>
      <c r="R92" s="47"/>
      <c r="S92" s="45"/>
      <c r="T92" s="45"/>
      <c r="U92" s="45"/>
    </row>
    <row r="93" spans="1:21" ht="32.450000000000003" customHeight="1" x14ac:dyDescent="0.2">
      <c r="A93" s="201"/>
      <c r="B93" s="183"/>
      <c r="C93" s="175" t="str">
        <f>'1. Detailed Budget'!Z48</f>
        <v>Personal con beneficios por desvinculación devengados en EMCO</v>
      </c>
      <c r="D93" s="175"/>
      <c r="E93" s="175"/>
      <c r="F93" s="175"/>
      <c r="G93" s="191">
        <f>'1. Detailed Budget'!AC48</f>
        <v>909090.90909090906</v>
      </c>
      <c r="H93" s="191"/>
      <c r="I93" s="180"/>
      <c r="J93" s="180"/>
      <c r="K93" s="175"/>
      <c r="L93" s="175"/>
      <c r="M93" s="185"/>
      <c r="N93" s="185"/>
      <c r="O93" s="175"/>
      <c r="P93" s="45"/>
      <c r="Q93" s="45"/>
      <c r="R93" s="47"/>
      <c r="S93" s="45"/>
      <c r="T93" s="45"/>
      <c r="U93" s="45"/>
    </row>
    <row r="94" spans="1:21" x14ac:dyDescent="0.2">
      <c r="A94" s="198"/>
      <c r="B94" s="68"/>
      <c r="C94" s="68"/>
      <c r="D94" s="68"/>
      <c r="E94" s="68"/>
      <c r="F94" s="68"/>
      <c r="G94" s="192">
        <f>SUM(G88:G93)</f>
        <v>42999999.99999997</v>
      </c>
      <c r="H94" s="213"/>
      <c r="I94" s="72"/>
      <c r="J94" s="69"/>
      <c r="K94" s="69"/>
      <c r="L94" s="68"/>
      <c r="M94" s="85"/>
      <c r="N94" s="85"/>
      <c r="O94" s="68"/>
      <c r="R94" s="70"/>
      <c r="S94" s="70"/>
    </row>
    <row r="95" spans="1:21" x14ac:dyDescent="0.2">
      <c r="R95" s="46"/>
      <c r="S95" s="70" t="s">
        <v>91</v>
      </c>
    </row>
    <row r="96" spans="1:21" ht="15" x14ac:dyDescent="0.25">
      <c r="B96" s="86" t="s">
        <v>145</v>
      </c>
      <c r="G96" s="61">
        <f>'1. Detailed Budget'!B66</f>
        <v>1463054.400000036</v>
      </c>
      <c r="H96" s="61">
        <f>'1. Detailed Budget'!C66</f>
        <v>175566.5280000043</v>
      </c>
      <c r="R96" s="70" t="s">
        <v>98</v>
      </c>
      <c r="S96" s="70" t="s">
        <v>96</v>
      </c>
    </row>
    <row r="97" spans="2:19" ht="15" x14ac:dyDescent="0.25">
      <c r="B97" s="86"/>
      <c r="G97" s="256" t="s">
        <v>261</v>
      </c>
      <c r="H97" s="256" t="s">
        <v>262</v>
      </c>
      <c r="R97" s="70"/>
      <c r="S97" s="70"/>
    </row>
    <row r="98" spans="2:19" ht="15" x14ac:dyDescent="0.25">
      <c r="B98" s="86" t="s">
        <v>8</v>
      </c>
      <c r="C98" s="86"/>
      <c r="D98" s="86"/>
      <c r="E98" s="86"/>
      <c r="F98" s="86"/>
      <c r="G98" s="257">
        <f>+G27+G50+F84+G94+G96</f>
        <v>75000000</v>
      </c>
      <c r="H98" s="257">
        <f>+H27+H50+G84+H94+H96</f>
        <v>3840000.0000000037</v>
      </c>
      <c r="I98" s="87"/>
      <c r="J98" s="87"/>
    </row>
    <row r="99" spans="2:19" x14ac:dyDescent="0.2">
      <c r="R99" s="70" t="s">
        <v>99</v>
      </c>
      <c r="S99" s="46"/>
    </row>
    <row r="100" spans="2:19" x14ac:dyDescent="0.2">
      <c r="R100" s="70" t="s">
        <v>97</v>
      </c>
      <c r="S100" s="46"/>
    </row>
    <row r="103" spans="2:19" x14ac:dyDescent="0.2">
      <c r="R103" s="47" t="s">
        <v>76</v>
      </c>
      <c r="S103" s="46"/>
    </row>
    <row r="104" spans="2:19" x14ac:dyDescent="0.2">
      <c r="R104" s="47" t="s">
        <v>78</v>
      </c>
      <c r="S104" s="46"/>
    </row>
    <row r="105" spans="2:19" x14ac:dyDescent="0.2">
      <c r="R105" s="47" t="s">
        <v>94</v>
      </c>
      <c r="S105" s="46"/>
    </row>
    <row r="106" spans="2:19" x14ac:dyDescent="0.2">
      <c r="R106" s="47" t="s">
        <v>47</v>
      </c>
    </row>
  </sheetData>
  <autoFilter ref="K1:K106" xr:uid="{820CDC7F-1BC4-4582-980E-5D1422DF53A7}"/>
  <mergeCells count="85">
    <mergeCell ref="B85:O85"/>
    <mergeCell ref="A86:A87"/>
    <mergeCell ref="B86:B87"/>
    <mergeCell ref="C86:C87"/>
    <mergeCell ref="D86:D87"/>
    <mergeCell ref="E86:E87"/>
    <mergeCell ref="F86:F87"/>
    <mergeCell ref="G86:J86"/>
    <mergeCell ref="K86:K87"/>
    <mergeCell ref="L86:L87"/>
    <mergeCell ref="M86:N86"/>
    <mergeCell ref="O86:O87"/>
    <mergeCell ref="A55:A58"/>
    <mergeCell ref="A59:A60"/>
    <mergeCell ref="A64:A66"/>
    <mergeCell ref="A67:A68"/>
    <mergeCell ref="A69:A70"/>
    <mergeCell ref="A61:A63"/>
    <mergeCell ref="A45:A46"/>
    <mergeCell ref="A33:A37"/>
    <mergeCell ref="A31:A32"/>
    <mergeCell ref="A18:A19"/>
    <mergeCell ref="A21:A23"/>
    <mergeCell ref="A24:A26"/>
    <mergeCell ref="A40:A43"/>
    <mergeCell ref="A29:A30"/>
    <mergeCell ref="A38:A39"/>
    <mergeCell ref="B3:O3"/>
    <mergeCell ref="A4:A5"/>
    <mergeCell ref="B4:B5"/>
    <mergeCell ref="C4:C5"/>
    <mergeCell ref="D4:D5"/>
    <mergeCell ref="E4:E5"/>
    <mergeCell ref="F4:F5"/>
    <mergeCell ref="G4:J4"/>
    <mergeCell ref="K4:K5"/>
    <mergeCell ref="L4:L5"/>
    <mergeCell ref="B15:O15"/>
    <mergeCell ref="M4:N4"/>
    <mergeCell ref="O4:O5"/>
    <mergeCell ref="B9:O9"/>
    <mergeCell ref="A10:A11"/>
    <mergeCell ref="B10:B11"/>
    <mergeCell ref="C10:C11"/>
    <mergeCell ref="D10:D11"/>
    <mergeCell ref="E10:E11"/>
    <mergeCell ref="F10:F11"/>
    <mergeCell ref="G10:J10"/>
    <mergeCell ref="K10:K11"/>
    <mergeCell ref="L10:L11"/>
    <mergeCell ref="M10:N10"/>
    <mergeCell ref="O10:O11"/>
    <mergeCell ref="B28:O28"/>
    <mergeCell ref="A16:A17"/>
    <mergeCell ref="B16:B17"/>
    <mergeCell ref="C16:C17"/>
    <mergeCell ref="D16:D17"/>
    <mergeCell ref="E16:E17"/>
    <mergeCell ref="F16:F17"/>
    <mergeCell ref="G16:J16"/>
    <mergeCell ref="K16:K17"/>
    <mergeCell ref="L16:L17"/>
    <mergeCell ref="M16:N16"/>
    <mergeCell ref="O16:O17"/>
    <mergeCell ref="A53:A54"/>
    <mergeCell ref="B53:B54"/>
    <mergeCell ref="C53:C54"/>
    <mergeCell ref="D53:D54"/>
    <mergeCell ref="E53:E54"/>
    <mergeCell ref="O53:O54"/>
    <mergeCell ref="K29:K30"/>
    <mergeCell ref="L29:L30"/>
    <mergeCell ref="M29:N29"/>
    <mergeCell ref="O29:O30"/>
    <mergeCell ref="B52:O52"/>
    <mergeCell ref="G29:J29"/>
    <mergeCell ref="F53:I53"/>
    <mergeCell ref="J53:J54"/>
    <mergeCell ref="K53:K54"/>
    <mergeCell ref="L53:L54"/>
    <mergeCell ref="M53:N53"/>
    <mergeCell ref="B29:B30"/>
    <mergeCell ref="C29:C30"/>
    <mergeCell ref="D29:D30"/>
    <mergeCell ref="E29:F29"/>
  </mergeCells>
  <dataValidations count="5">
    <dataValidation type="list" allowBlank="1" showInputMessage="1" showErrorMessage="1" sqref="L94" xr:uid="{D04243ED-354D-4E84-83C5-C120B5C56C33}">
      <formula1>$R$3:$R$4</formula1>
    </dataValidation>
    <dataValidation type="list" allowBlank="1" showInputMessage="1" showErrorMessage="1" sqref="D6:D7 D13 D88:D93 D18:D26" xr:uid="{6EE8190B-45C5-413A-8A82-D72D9CC5EAB0}">
      <formula1>$R$14:$R$17</formula1>
    </dataValidation>
    <dataValidation type="list" allowBlank="1" showInputMessage="1" showErrorMessage="1" sqref="L6:L7 L55:L83 L18:L26 L88:L93 L12:L13 L31:L50" xr:uid="{24984540-E8A9-4375-A0D7-B680D1A9745B}">
      <formula1>$R$3:$R$5</formula1>
    </dataValidation>
    <dataValidation type="list" allowBlank="1" showInputMessage="1" showErrorMessage="1" sqref="D94 D31:D50" xr:uid="{78F189F3-F02F-46D6-AFF3-79C56FE1CFDB}">
      <formula1>$R$27:$R$30</formula1>
    </dataValidation>
    <dataValidation type="list" allowBlank="1" showInputMessage="1" showErrorMessage="1" sqref="D55:D83" xr:uid="{4B070C8D-8B79-42C3-9091-41DB04DF25B3}">
      <formula1>$R$103:$R$106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65ED1042DEEA64488ECB5F0046B8EA3" ma:contentTypeVersion="2686" ma:contentTypeDescription="A content type to manage public (operations) IDB documents" ma:contentTypeScope="" ma:versionID="4957a8ea04025407ec7aa33d7e4838c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6732a318c86ba943dc8de26496fcd6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Diana Champi</Other_x0020_Author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Gomez Reino, Juan Luis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AND PUBLIC SECTOR SUPPORT</TermName>
          <TermId xmlns="http://schemas.microsoft.com/office/infopath/2007/PartnerControls">6679f56e-8b55-402b-90a0-8fe4c41c00ba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46</Value>
      <Value>45</Value>
      <Value>32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EC-L1251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R0002831454</Record_x0020_Number>
    <_dlc_DocId xmlns="cdc7663a-08f0-4737-9e8c-148ce897a09c">EZSHARE-1354788817-3</_dlc_DocId>
    <_dlc_DocIdUrl xmlns="cdc7663a-08f0-4737-9e8c-148ce897a09c">
      <Url>https://idbg.sharepoint.com/teams/EZ-EC-LON/EC-L1251/_layouts/15/DocIdRedir.aspx?ID=EZSHARE-1354788817-3</Url>
      <Description>EZSHARE-1354788817-3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2FE81D1-6F7D-4C55-B380-A013580F10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FAB630-6CE6-4A19-8CCC-D88C09B6BD71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92B8DC78-76FF-4DD5-85DE-27D410831BBC}"/>
</file>

<file path=customXml/itemProps4.xml><?xml version="1.0" encoding="utf-8"?>
<ds:datastoreItem xmlns:ds="http://schemas.openxmlformats.org/officeDocument/2006/customXml" ds:itemID="{2E00EB84-FCD9-47DD-A143-449E5D6A349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02A236E9-76BB-40BD-AAA3-9DEE7A3BB666}"/>
</file>

<file path=customXml/itemProps6.xml><?xml version="1.0" encoding="utf-8"?>
<ds:datastoreItem xmlns:ds="http://schemas.openxmlformats.org/officeDocument/2006/customXml" ds:itemID="{DF894AD2-562C-46FF-81FD-B7666CD6B62F}">
  <ds:schemaRefs>
    <ds:schemaRef ds:uri="http://schemas.microsoft.com/office/2006/metadata/properties"/>
    <ds:schemaRef ds:uri="http://schemas.microsoft.com/office/2006/documentManagement/types"/>
    <ds:schemaRef ds:uri="cdc7663a-08f0-4737-9e8c-148ce897a09c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7.xml><?xml version="1.0" encoding="utf-8"?>
<ds:datastoreItem xmlns:ds="http://schemas.openxmlformats.org/officeDocument/2006/customXml" ds:itemID="{56BEE1E9-C9B5-4044-9C26-F70097553790}"/>
</file>

<file path=customXml/itemProps8.xml><?xml version="1.0" encoding="utf-8"?>
<ds:datastoreItem xmlns:ds="http://schemas.openxmlformats.org/officeDocument/2006/customXml" ds:itemID="{6749BB55-3735-473F-97AA-6C320D1626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1. Detailed Budget</vt:lpstr>
      <vt:lpstr>2. Pluriannual Plan PEP</vt:lpstr>
      <vt:lpstr>4. Budget by Components</vt:lpstr>
      <vt:lpstr>Prices</vt:lpstr>
      <vt:lpstr>3. Procurement Plan - PA</vt:lpstr>
    </vt:vector>
  </TitlesOfParts>
  <Manager/>
  <Company>TotalCode Software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Reinoso</dc:creator>
  <cp:keywords/>
  <dc:description/>
  <cp:lastModifiedBy>Sanchez Maldonado, Alexandra</cp:lastModifiedBy>
  <cp:revision/>
  <cp:lastPrinted>2019-02-01T16:00:54Z</cp:lastPrinted>
  <dcterms:created xsi:type="dcterms:W3CDTF">2013-04-08T21:46:41Z</dcterms:created>
  <dcterms:modified xsi:type="dcterms:W3CDTF">2019-07-30T17:22:07Z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46;#REFORM AND PUBLIC SECTOR SUPPORT|6679f56e-8b55-402b-90a0-8fe4c41c00ba</vt:lpwstr>
  </property>
  <property fmtid="{D5CDD505-2E9C-101B-9397-08002B2CF9AE}" pid="7" name="Fund IDB">
    <vt:lpwstr/>
  </property>
  <property fmtid="{D5CDD505-2E9C-101B-9397-08002B2CF9AE}" pid="8" name="Country">
    <vt:lpwstr>32;#Ecuador|8f163189-00fa-4e7c-827d-28fb5798781c</vt:lpwstr>
  </property>
  <property fmtid="{D5CDD505-2E9C-101B-9397-08002B2CF9AE}" pid="9" name="Sector IDB">
    <vt:lpwstr>45;#REFORM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7b847d90-01d6-4788-92c4-b7fdfefa2f7a</vt:lpwstr>
  </property>
  <property fmtid="{D5CDD505-2E9C-101B-9397-08002B2CF9AE}" pid="12" name="Disclosure Activity">
    <vt:lpwstr>Electronic Links</vt:lpwstr>
  </property>
  <property fmtid="{D5CDD505-2E9C-101B-9397-08002B2CF9AE}" pid="13" name="ContentTypeId">
    <vt:lpwstr>0x0101001A458A224826124E8B45B1D613300CFC00965ED1042DEEA64488ECB5F0046B8EA3</vt:lpwstr>
  </property>
</Properties>
</file>