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nathalieh_iadb_org/Documents/UR-L1151/"/>
    </mc:Choice>
  </mc:AlternateContent>
  <xr:revisionPtr revIDLastSave="0" documentId="8_{0A9FE8B0-A87C-418C-A269-079BC52704A9}" xr6:coauthVersionLast="34" xr6:coauthVersionMax="34" xr10:uidLastSave="{00000000-0000-0000-0000-000000000000}"/>
  <bookViews>
    <workbookView xWindow="0" yWindow="0" windowWidth="23040" windowHeight="9210" xr2:uid="{903EA743-8810-4D5F-893C-9BE1DEE3DC0B}"/>
  </bookViews>
  <sheets>
    <sheet name="Parametros" sheetId="1" r:id="rId1"/>
    <sheet name="Escenario Base" sheetId="2" r:id="rId2"/>
    <sheet name="Escen Conservador" sheetId="3" r:id="rId3"/>
    <sheet name="Escen Favorable" sheetId="4" r:id="rId4"/>
  </sheets>
  <calcPr calcId="1790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C18" i="4"/>
  <c r="C11" i="4"/>
  <c r="D27" i="4"/>
  <c r="I24" i="4"/>
  <c r="H24" i="4"/>
  <c r="E24" i="4"/>
  <c r="I22" i="4"/>
  <c r="H22" i="4"/>
  <c r="G22" i="4"/>
  <c r="G24" i="4"/>
  <c r="F22" i="4"/>
  <c r="F24" i="4"/>
  <c r="E22" i="4"/>
  <c r="J18" i="4"/>
  <c r="C17" i="4"/>
  <c r="L12" i="4"/>
  <c r="C10" i="4"/>
  <c r="N12" i="3"/>
  <c r="M12" i="3"/>
  <c r="L12" i="3"/>
  <c r="K12" i="3"/>
  <c r="J12" i="3"/>
  <c r="C11" i="3"/>
  <c r="K18" i="4"/>
  <c r="L18" i="4"/>
  <c r="M18" i="4"/>
  <c r="N18" i="4"/>
  <c r="M12" i="4"/>
  <c r="J12" i="4"/>
  <c r="N12" i="4"/>
  <c r="N22" i="4"/>
  <c r="N24" i="4"/>
  <c r="K12" i="4"/>
  <c r="C18" i="3"/>
  <c r="J18" i="3"/>
  <c r="D27" i="3"/>
  <c r="I22" i="3"/>
  <c r="I24" i="3"/>
  <c r="H22" i="3"/>
  <c r="H24" i="3"/>
  <c r="G22" i="3"/>
  <c r="G24" i="3"/>
  <c r="F22" i="3"/>
  <c r="F24" i="3"/>
  <c r="E22" i="3"/>
  <c r="E24" i="3"/>
  <c r="C17" i="3"/>
  <c r="C10" i="3"/>
  <c r="I21" i="2"/>
  <c r="H21" i="2"/>
  <c r="C17" i="2"/>
  <c r="J22" i="4"/>
  <c r="D13" i="4"/>
  <c r="D19" i="4"/>
  <c r="M22" i="4"/>
  <c r="M24" i="4"/>
  <c r="K22" i="4"/>
  <c r="K24" i="4"/>
  <c r="L22" i="4"/>
  <c r="L24" i="4"/>
  <c r="J22" i="3"/>
  <c r="J24" i="3"/>
  <c r="K18" i="3"/>
  <c r="L18" i="3"/>
  <c r="M18" i="3"/>
  <c r="N18" i="3"/>
  <c r="D26" i="2"/>
  <c r="G21" i="2"/>
  <c r="G23" i="2"/>
  <c r="F21" i="2"/>
  <c r="F23" i="2"/>
  <c r="E21" i="2"/>
  <c r="E23" i="2"/>
  <c r="J24" i="4"/>
  <c r="D30" i="4"/>
  <c r="D26" i="4"/>
  <c r="D29" i="4"/>
  <c r="D31" i="4"/>
  <c r="D19" i="3"/>
  <c r="K22" i="3"/>
  <c r="C11" i="2"/>
  <c r="C10" i="2"/>
  <c r="N12" i="2"/>
  <c r="J12" i="2"/>
  <c r="M12" i="2"/>
  <c r="K12" i="2"/>
  <c r="L12" i="2"/>
  <c r="K24" i="3"/>
  <c r="L22" i="3"/>
  <c r="L24" i="3"/>
  <c r="C18" i="2"/>
  <c r="I23" i="2"/>
  <c r="J18" i="2"/>
  <c r="M22" i="3"/>
  <c r="M24" i="3"/>
  <c r="N22" i="3"/>
  <c r="N24" i="3"/>
  <c r="D13" i="3"/>
  <c r="K18" i="2"/>
  <c r="L18" i="2"/>
  <c r="M18" i="2"/>
  <c r="N18" i="2"/>
  <c r="H23" i="2"/>
  <c r="D30" i="3"/>
  <c r="D19" i="2"/>
  <c r="D26" i="3"/>
  <c r="D29" i="3"/>
  <c r="D31" i="3"/>
  <c r="J21" i="2"/>
  <c r="J23" i="2"/>
  <c r="K21" i="2"/>
  <c r="K23" i="2"/>
  <c r="L21" i="2"/>
  <c r="L23" i="2"/>
  <c r="M21" i="2"/>
  <c r="M23" i="2"/>
  <c r="D29" i="2"/>
  <c r="N21" i="2"/>
  <c r="N23" i="2"/>
  <c r="D13" i="2"/>
  <c r="D25" i="2"/>
  <c r="D28" i="2"/>
  <c r="D30" i="2"/>
</calcChain>
</file>

<file path=xl/sharedStrings.xml><?xml version="1.0" encoding="utf-8"?>
<sst xmlns="http://schemas.openxmlformats.org/spreadsheetml/2006/main" count="143" uniqueCount="54">
  <si>
    <t>Porcentaje de sub-ejecución presupuestal</t>
  </si>
  <si>
    <t>Tipo de cambio promedio</t>
  </si>
  <si>
    <t>Tasa de interés de financiamiento del Gob</t>
  </si>
  <si>
    <t>Asignacion anual de AC + 220 + SS + Div. Cred.</t>
  </si>
  <si>
    <t>Gasto anual en organismos AC + 220</t>
  </si>
  <si>
    <t>Unidad</t>
  </si>
  <si>
    <t>Pesos</t>
  </si>
  <si>
    <t>%</t>
  </si>
  <si>
    <t>Beneficio 1 - Ahorro financiero por menores saldos inmovilizados</t>
  </si>
  <si>
    <t>Año 0</t>
  </si>
  <si>
    <t>Año 1</t>
  </si>
  <si>
    <t>Año 2</t>
  </si>
  <si>
    <t>Año 3</t>
  </si>
  <si>
    <t>Año 4</t>
  </si>
  <si>
    <t>Año 5</t>
  </si>
  <si>
    <t>Año 6</t>
  </si>
  <si>
    <t>Año 7</t>
  </si>
  <si>
    <t>Año 8</t>
  </si>
  <si>
    <t>Año 9</t>
  </si>
  <si>
    <t>Año 10</t>
  </si>
  <si>
    <t>Monto anual de sub-ejecución</t>
  </si>
  <si>
    <t>US$ miles</t>
  </si>
  <si>
    <t>Reducción esperada de la sub-ejec</t>
  </si>
  <si>
    <t>Costo financiero evitado</t>
  </si>
  <si>
    <t>Tasa de Descuento</t>
  </si>
  <si>
    <t>Beneficio 2 - Ganancias de productividad del gasto público</t>
  </si>
  <si>
    <t>Variación en la productividad del gasto público</t>
  </si>
  <si>
    <t>Ganancia de productividad</t>
  </si>
  <si>
    <t>Costos</t>
  </si>
  <si>
    <t>Total beneficios (1+2)</t>
  </si>
  <si>
    <t>Valor presente Beneficio 1</t>
  </si>
  <si>
    <t>Valor presente Beneficio 2</t>
  </si>
  <si>
    <t>VPN Proyecto</t>
  </si>
  <si>
    <t>VP Beneficios</t>
  </si>
  <si>
    <t>VP Costos</t>
  </si>
  <si>
    <t>Flujo Neto de fondos</t>
  </si>
  <si>
    <t>TIR</t>
  </si>
  <si>
    <t>Razón B-C</t>
  </si>
  <si>
    <t>Porción del gasto gestionado mediante GRPs</t>
  </si>
  <si>
    <t xml:space="preserve">      - Sin Proyecto</t>
  </si>
  <si>
    <t xml:space="preserve">      - Con Proyecto</t>
  </si>
  <si>
    <t>Gasto gestionado con GRPs</t>
  </si>
  <si>
    <t>UR-L1151 - Programa de Gestión Presupuestaria y Financiera</t>
  </si>
  <si>
    <t>ANÁLISIS COSTO-BENEFICIO</t>
  </si>
  <si>
    <t>SUPUESTOS</t>
  </si>
  <si>
    <t>CÁLCULOS</t>
  </si>
  <si>
    <t>Análisis de sensibilidad</t>
  </si>
  <si>
    <t>Porcentaje de aumento de productividad</t>
  </si>
  <si>
    <t>% de sub-ejecución presupuestal al fin del proyecto</t>
  </si>
  <si>
    <t>Escenario Conservador</t>
  </si>
  <si>
    <t>Escenario Favorable</t>
  </si>
  <si>
    <t>ESCENARIO BASE</t>
  </si>
  <si>
    <t>ESCENARIO CONSERVADOR</t>
  </si>
  <si>
    <t>ESCENARIO FAVORABLE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</si>
</sst>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$&quot;#,##0.00_);[Red]\(&quot;$&quot;#,##0.00\)"/>
    <numFmt numFmtId="43" formatCode="_(* #,##0.00_);_(* \(#,##0.00\);_(* &quot;-&quot;??_);_(@_)"/>
    <numFmt numFmtId="164" formatCode="_(* #,##0_);_(* \(#,##0\);_(* &quot;-&quot;??_);_(@_)"/>
    <numFmt numFmtId="165" formatCode="0.000"/>
    <numFmt numFmtId="166" formatCode="0.0%"/>
    <numFmt numFmtId="167" formatCode="&quot;$&quot;#,##0.0_);[Red]\(&quot;$&quot;#,##0.0\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164" fontId="0" fillId="0" borderId="0" xfId="1" applyNumberFormat="1" applyFont="1"/>
    <xf numFmtId="0" fontId="2" fillId="0" borderId="0" xfId="0" applyFont="1"/>
    <xf numFmtId="9" fontId="0" fillId="0" borderId="0" xfId="2" applyFont="1"/>
    <xf numFmtId="10" fontId="0" fillId="0" borderId="0" xfId="2" applyNumberFormat="1" applyFont="1"/>
    <xf numFmtId="0" fontId="2" fillId="0" borderId="1" xfId="0" applyFont="1" applyBorder="1" applyAlignment="1">
      <alignment horizontal="center"/>
    </xf>
    <xf numFmtId="165" fontId="0" fillId="0" borderId="0" xfId="0" applyNumberFormat="1"/>
    <xf numFmtId="8" fontId="0" fillId="0" borderId="0" xfId="0" applyNumberFormat="1"/>
    <xf numFmtId="0" fontId="0" fillId="0" borderId="0" xfId="0" applyAlignment="1">
      <alignment wrapText="1"/>
    </xf>
    <xf numFmtId="164" fontId="0" fillId="0" borderId="0" xfId="0" applyNumberFormat="1"/>
    <xf numFmtId="8" fontId="2" fillId="0" borderId="0" xfId="0" applyNumberFormat="1" applyFont="1"/>
    <xf numFmtId="9" fontId="2" fillId="0" borderId="0" xfId="0" applyNumberFormat="1" applyFont="1"/>
    <xf numFmtId="43" fontId="2" fillId="0" borderId="0" xfId="0" applyNumberFormat="1" applyFont="1"/>
    <xf numFmtId="0" fontId="3" fillId="0" borderId="0" xfId="0" applyFont="1"/>
    <xf numFmtId="166" fontId="0" fillId="0" borderId="0" xfId="2" applyNumberFormat="1" applyFont="1"/>
    <xf numFmtId="166" fontId="2" fillId="0" borderId="0" xfId="0" applyNumberFormat="1" applyFont="1"/>
    <xf numFmtId="167" fontId="0" fillId="0" borderId="0" xfId="0" applyNumberFormat="1"/>
    <xf numFmtId="43" fontId="0" fillId="0" borderId="0" xfId="0" applyNumberForma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5" Type="http://schemas.openxmlformats.org/officeDocument/2006/relationships/customXml" Target="../customXml/item7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F12A8-39CC-4FE4-BA0A-12D571BF33A5}">
  <dimension ref="A1:E27"/>
  <sheetViews>
    <sheetView tabSelected="1" workbookViewId="0">
      <selection activeCell="C7" sqref="C7"/>
    </sheetView>
  </sheetViews>
  <sheetFormatPr defaultRowHeight="15" x14ac:dyDescent="0.25"/>
  <cols>
    <col min="1" max="1" width="44.5703125" customWidth="1"/>
    <col min="2" max="2" width="7.7109375" customWidth="1"/>
    <col min="3" max="3" width="11.140625" bestFit="1" customWidth="1"/>
    <col min="5" max="5" width="10.140625" bestFit="1" customWidth="1"/>
  </cols>
  <sheetData>
    <row r="1" spans="1:5" ht="18.75" x14ac:dyDescent="0.3">
      <c r="A1" s="13" t="s">
        <v>42</v>
      </c>
    </row>
    <row r="2" spans="1:5" ht="18.75" x14ac:dyDescent="0.3">
      <c r="A2" s="13" t="s">
        <v>43</v>
      </c>
    </row>
    <row r="3" spans="1:5" ht="18.75" x14ac:dyDescent="0.3">
      <c r="A3" s="13"/>
    </row>
    <row r="4" spans="1:5" ht="18.75" x14ac:dyDescent="0.3">
      <c r="A4" s="13" t="s">
        <v>44</v>
      </c>
    </row>
    <row r="5" spans="1:5" x14ac:dyDescent="0.25">
      <c r="B5" s="2" t="s">
        <v>5</v>
      </c>
      <c r="C5" s="2">
        <v>2017</v>
      </c>
      <c r="D5" s="2">
        <v>2023</v>
      </c>
    </row>
    <row r="6" spans="1:5" x14ac:dyDescent="0.25">
      <c r="A6" t="s">
        <v>0</v>
      </c>
      <c r="C6" s="14">
        <v>4.2000000000000003E-2</v>
      </c>
      <c r="D6" s="14">
        <v>3.2000000000000001E-2</v>
      </c>
    </row>
    <row r="7" spans="1:5" x14ac:dyDescent="0.25">
      <c r="A7" t="s">
        <v>3</v>
      </c>
      <c r="B7" t="s">
        <v>6</v>
      </c>
      <c r="C7" s="1">
        <v>330009</v>
      </c>
      <c r="E7" s="17">
        <f>C7/C8</f>
        <v>11519.040804216551</v>
      </c>
    </row>
    <row r="8" spans="1:5" x14ac:dyDescent="0.25">
      <c r="A8" t="s">
        <v>1</v>
      </c>
      <c r="B8" t="s">
        <v>6</v>
      </c>
      <c r="C8">
        <v>28.649000000000001</v>
      </c>
    </row>
    <row r="9" spans="1:5" x14ac:dyDescent="0.25">
      <c r="A9" t="s">
        <v>2</v>
      </c>
      <c r="B9" t="s">
        <v>7</v>
      </c>
      <c r="C9" s="4">
        <v>4.4999999999999998E-2</v>
      </c>
    </row>
    <row r="10" spans="1:5" x14ac:dyDescent="0.25">
      <c r="C10" s="4"/>
    </row>
    <row r="11" spans="1:5" x14ac:dyDescent="0.25">
      <c r="C11" s="4"/>
    </row>
    <row r="13" spans="1:5" x14ac:dyDescent="0.25">
      <c r="A13" t="s">
        <v>4</v>
      </c>
      <c r="B13" t="s">
        <v>6</v>
      </c>
      <c r="C13" s="1">
        <v>220956</v>
      </c>
    </row>
    <row r="14" spans="1:5" x14ac:dyDescent="0.25">
      <c r="A14" t="s">
        <v>38</v>
      </c>
      <c r="B14" s="3"/>
      <c r="C14" s="1"/>
    </row>
    <row r="15" spans="1:5" x14ac:dyDescent="0.25">
      <c r="A15" t="s">
        <v>39</v>
      </c>
      <c r="B15" s="3" t="s">
        <v>7</v>
      </c>
      <c r="C15" s="3">
        <v>0.22</v>
      </c>
    </row>
    <row r="16" spans="1:5" x14ac:dyDescent="0.25">
      <c r="A16" t="s">
        <v>40</v>
      </c>
      <c r="B16" s="3" t="s">
        <v>7</v>
      </c>
      <c r="C16" s="3">
        <v>0.56000000000000005</v>
      </c>
    </row>
    <row r="17" spans="1:3" x14ac:dyDescent="0.25">
      <c r="A17" s="8" t="s">
        <v>26</v>
      </c>
      <c r="B17" t="s">
        <v>7</v>
      </c>
      <c r="C17" s="4">
        <v>5.0000000000000001E-3</v>
      </c>
    </row>
    <row r="18" spans="1:3" x14ac:dyDescent="0.25">
      <c r="A18" t="s">
        <v>24</v>
      </c>
      <c r="B18" t="s">
        <v>7</v>
      </c>
      <c r="C18" s="3">
        <v>0.12</v>
      </c>
    </row>
    <row r="20" spans="1:3" x14ac:dyDescent="0.25">
      <c r="A20" s="2" t="s">
        <v>46</v>
      </c>
    </row>
    <row r="21" spans="1:3" x14ac:dyDescent="0.25">
      <c r="A21" s="2" t="s">
        <v>49</v>
      </c>
    </row>
    <row r="22" spans="1:3" x14ac:dyDescent="0.25">
      <c r="A22" t="s">
        <v>48</v>
      </c>
      <c r="B22" t="s">
        <v>7</v>
      </c>
      <c r="C22" s="14">
        <v>3.6999999999999998E-2</v>
      </c>
    </row>
    <row r="23" spans="1:3" x14ac:dyDescent="0.25">
      <c r="A23" t="s">
        <v>47</v>
      </c>
      <c r="B23" t="s">
        <v>7</v>
      </c>
      <c r="C23" s="4">
        <v>2.5000000000000001E-3</v>
      </c>
    </row>
    <row r="25" spans="1:3" x14ac:dyDescent="0.25">
      <c r="A25" s="2" t="s">
        <v>50</v>
      </c>
    </row>
    <row r="26" spans="1:3" x14ac:dyDescent="0.25">
      <c r="A26" t="s">
        <v>48</v>
      </c>
      <c r="B26" t="s">
        <v>7</v>
      </c>
      <c r="C26" s="14">
        <v>2.7E-2</v>
      </c>
    </row>
    <row r="27" spans="1:3" x14ac:dyDescent="0.25">
      <c r="A27" t="s">
        <v>47</v>
      </c>
      <c r="B27" t="s">
        <v>7</v>
      </c>
      <c r="C27" s="4">
        <v>6.0000000000000001E-3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93939-E97F-4849-969F-EE22CB7E857D}">
  <dimension ref="A1:O31"/>
  <sheetViews>
    <sheetView workbookViewId="0">
      <selection activeCell="C11" sqref="C11"/>
    </sheetView>
  </sheetViews>
  <sheetFormatPr defaultRowHeight="15" x14ac:dyDescent="0.25"/>
  <cols>
    <col min="1" max="1" width="30.5703125" customWidth="1"/>
    <col min="2" max="2" width="12.85546875" customWidth="1"/>
    <col min="3" max="3" width="12.5703125" bestFit="1" customWidth="1"/>
    <col min="4" max="4" width="13.7109375" customWidth="1"/>
    <col min="5" max="8" width="9.140625" bestFit="1" customWidth="1"/>
    <col min="9" max="9" width="10.28515625" bestFit="1" customWidth="1"/>
    <col min="10" max="14" width="9.140625" bestFit="1" customWidth="1"/>
  </cols>
  <sheetData>
    <row r="1" spans="1:15" ht="18.75" x14ac:dyDescent="0.3">
      <c r="A1" s="13" t="s">
        <v>42</v>
      </c>
    </row>
    <row r="2" spans="1:15" ht="18.75" x14ac:dyDescent="0.3">
      <c r="A2" s="13" t="s">
        <v>43</v>
      </c>
    </row>
    <row r="4" spans="1:15" ht="18.75" x14ac:dyDescent="0.3">
      <c r="A4" s="13" t="s">
        <v>51</v>
      </c>
    </row>
    <row r="5" spans="1:15" ht="18.75" x14ac:dyDescent="0.3">
      <c r="A5" s="13" t="s">
        <v>45</v>
      </c>
    </row>
    <row r="7" spans="1:15" x14ac:dyDescent="0.25">
      <c r="A7" s="2" t="s">
        <v>8</v>
      </c>
    </row>
    <row r="8" spans="1:15" x14ac:dyDescent="0.25">
      <c r="D8" s="5" t="s">
        <v>9</v>
      </c>
      <c r="E8" s="5" t="s">
        <v>10</v>
      </c>
      <c r="F8" s="5" t="s">
        <v>11</v>
      </c>
      <c r="G8" s="5" t="s">
        <v>12</v>
      </c>
      <c r="H8" s="5" t="s">
        <v>13</v>
      </c>
      <c r="I8" s="5" t="s">
        <v>14</v>
      </c>
      <c r="J8" s="5" t="s">
        <v>15</v>
      </c>
      <c r="K8" s="5" t="s">
        <v>16</v>
      </c>
      <c r="L8" s="5" t="s">
        <v>17</v>
      </c>
      <c r="M8" s="5" t="s">
        <v>18</v>
      </c>
      <c r="N8" s="5" t="s">
        <v>19</v>
      </c>
      <c r="O8" s="5"/>
    </row>
    <row r="10" spans="1:15" x14ac:dyDescent="0.25">
      <c r="A10" t="s">
        <v>20</v>
      </c>
      <c r="B10" t="s">
        <v>21</v>
      </c>
      <c r="C10" s="6">
        <f>Parametros!C7*Parametros!C6/Parametros!C8</f>
        <v>483.79971377709518</v>
      </c>
    </row>
    <row r="11" spans="1:15" x14ac:dyDescent="0.25">
      <c r="A11" t="s">
        <v>22</v>
      </c>
      <c r="B11" t="s">
        <v>21</v>
      </c>
      <c r="C11" s="6">
        <f>Parametros!C7*(Parametros!C6-Parametros!D6)/Parametros!C8</f>
        <v>115.19040804216554</v>
      </c>
    </row>
    <row r="12" spans="1:15" x14ac:dyDescent="0.25">
      <c r="A12" t="s">
        <v>23</v>
      </c>
      <c r="B12" t="s">
        <v>21</v>
      </c>
      <c r="E12">
        <v>0</v>
      </c>
      <c r="F12">
        <v>0</v>
      </c>
      <c r="G12">
        <v>0</v>
      </c>
      <c r="H12">
        <v>0</v>
      </c>
      <c r="I12">
        <v>0</v>
      </c>
      <c r="J12" s="1">
        <f>$C11/4*Parametros!$C9*1000</f>
        <v>1295.8920904743622</v>
      </c>
      <c r="K12" s="1">
        <f>$C11/4*Parametros!$C9*1000</f>
        <v>1295.8920904743622</v>
      </c>
      <c r="L12" s="1">
        <f>$C11/4*Parametros!$C9*1000</f>
        <v>1295.8920904743622</v>
      </c>
      <c r="M12" s="1">
        <f>$C11/4*Parametros!$C9*1000</f>
        <v>1295.8920904743622</v>
      </c>
      <c r="N12" s="1">
        <f>$C11/4*Parametros!$C9*1000</f>
        <v>1295.8920904743622</v>
      </c>
    </row>
    <row r="13" spans="1:15" x14ac:dyDescent="0.25">
      <c r="A13" t="s">
        <v>30</v>
      </c>
      <c r="D13" s="7">
        <f>NPV(Parametros!$C$18,E12:N12)</f>
        <v>2650.6783633846344</v>
      </c>
    </row>
    <row r="16" spans="1:15" x14ac:dyDescent="0.25">
      <c r="A16" s="2" t="s">
        <v>25</v>
      </c>
    </row>
    <row r="17" spans="1:14" x14ac:dyDescent="0.25">
      <c r="A17" t="s">
        <v>41</v>
      </c>
      <c r="B17" t="s">
        <v>21</v>
      </c>
      <c r="C17" s="1">
        <f>Parametros!C13/Parametros!C8*(Parametros!C16-Parametros!C15)*1000</f>
        <v>2622256.9723201515</v>
      </c>
    </row>
    <row r="18" spans="1:14" x14ac:dyDescent="0.25">
      <c r="A18" t="s">
        <v>27</v>
      </c>
      <c r="C18" s="9">
        <f>C17*Parametros!C17</f>
        <v>13111.284861600758</v>
      </c>
      <c r="E18">
        <v>0</v>
      </c>
      <c r="F18">
        <v>0</v>
      </c>
      <c r="G18">
        <v>0</v>
      </c>
      <c r="H18">
        <v>0</v>
      </c>
      <c r="I18">
        <v>0</v>
      </c>
      <c r="J18" s="1">
        <f>C18</f>
        <v>13111.284861600758</v>
      </c>
      <c r="K18" s="1">
        <f t="shared" ref="K18:N18" si="0">J18</f>
        <v>13111.284861600758</v>
      </c>
      <c r="L18" s="1">
        <f t="shared" si="0"/>
        <v>13111.284861600758</v>
      </c>
      <c r="M18" s="1">
        <f t="shared" si="0"/>
        <v>13111.284861600758</v>
      </c>
      <c r="N18" s="1">
        <f t="shared" si="0"/>
        <v>13111.284861600758</v>
      </c>
    </row>
    <row r="19" spans="1:14" x14ac:dyDescent="0.25">
      <c r="A19" t="s">
        <v>31</v>
      </c>
      <c r="D19" s="7">
        <f>NPV(Parametros!$C$18,E18:N18)</f>
        <v>26818.436005806609</v>
      </c>
    </row>
    <row r="21" spans="1:14" x14ac:dyDescent="0.25">
      <c r="A21" t="s">
        <v>29</v>
      </c>
      <c r="E21">
        <f>E12+E18</f>
        <v>0</v>
      </c>
      <c r="F21">
        <f>F12+F18</f>
        <v>0</v>
      </c>
      <c r="G21">
        <f>G12+G18</f>
        <v>0</v>
      </c>
      <c r="H21">
        <f t="shared" ref="H21:I21" si="1">H12+H18</f>
        <v>0</v>
      </c>
      <c r="I21">
        <f t="shared" si="1"/>
        <v>0</v>
      </c>
      <c r="J21" s="1">
        <f>J12+J18</f>
        <v>14407.17695207512</v>
      </c>
      <c r="K21" s="1">
        <f>K12+K18</f>
        <v>14407.17695207512</v>
      </c>
      <c r="L21" s="1">
        <f>L12+L18</f>
        <v>14407.17695207512</v>
      </c>
      <c r="M21" s="1">
        <f>M12+M18</f>
        <v>14407.17695207512</v>
      </c>
      <c r="N21" s="1">
        <f>N12+N18</f>
        <v>14407.17695207512</v>
      </c>
    </row>
    <row r="22" spans="1:14" x14ac:dyDescent="0.25">
      <c r="A22" t="s">
        <v>28</v>
      </c>
      <c r="E22" s="1">
        <v>3314</v>
      </c>
      <c r="F22" s="1">
        <v>5050</v>
      </c>
      <c r="G22" s="1">
        <v>4163</v>
      </c>
      <c r="H22" s="1">
        <v>4032</v>
      </c>
      <c r="I22" s="1">
        <v>3441</v>
      </c>
    </row>
    <row r="23" spans="1:14" x14ac:dyDescent="0.25">
      <c r="A23" t="s">
        <v>35</v>
      </c>
      <c r="E23" s="1">
        <f>E21-E22</f>
        <v>-3314</v>
      </c>
      <c r="F23" s="1">
        <f t="shared" ref="F23:N23" si="2">F21-F22</f>
        <v>-5050</v>
      </c>
      <c r="G23" s="1">
        <f t="shared" si="2"/>
        <v>-4163</v>
      </c>
      <c r="H23" s="1">
        <f t="shared" si="2"/>
        <v>-4032</v>
      </c>
      <c r="I23" s="1">
        <f t="shared" si="2"/>
        <v>-3441</v>
      </c>
      <c r="J23" s="1">
        <f t="shared" si="2"/>
        <v>14407.17695207512</v>
      </c>
      <c r="K23" s="1">
        <f t="shared" si="2"/>
        <v>14407.17695207512</v>
      </c>
      <c r="L23" s="1">
        <f t="shared" si="2"/>
        <v>14407.17695207512</v>
      </c>
      <c r="M23" s="1">
        <f t="shared" si="2"/>
        <v>14407.17695207512</v>
      </c>
      <c r="N23" s="1">
        <f t="shared" si="2"/>
        <v>14407.17695207512</v>
      </c>
    </row>
    <row r="25" spans="1:14" x14ac:dyDescent="0.25">
      <c r="A25" t="s">
        <v>33</v>
      </c>
      <c r="D25" s="7">
        <f>NPV(Parametros!$C$18,E21:N21)</f>
        <v>29469.114369191244</v>
      </c>
    </row>
    <row r="26" spans="1:14" x14ac:dyDescent="0.25">
      <c r="A26" t="s">
        <v>34</v>
      </c>
      <c r="D26" s="7">
        <f>NPV(Parametros!$C$18,E22:I22)</f>
        <v>14462.823527364431</v>
      </c>
    </row>
    <row r="27" spans="1:14" x14ac:dyDescent="0.25">
      <c r="D27" s="7"/>
    </row>
    <row r="28" spans="1:14" x14ac:dyDescent="0.25">
      <c r="A28" s="2" t="s">
        <v>32</v>
      </c>
      <c r="B28" s="2"/>
      <c r="C28" s="2"/>
      <c r="D28" s="10">
        <f>D25-D26</f>
        <v>15006.290841826813</v>
      </c>
    </row>
    <row r="29" spans="1:14" x14ac:dyDescent="0.25">
      <c r="A29" s="2" t="s">
        <v>36</v>
      </c>
      <c r="B29" s="2"/>
      <c r="C29" s="2"/>
      <c r="D29" s="11">
        <f>IRR(E23:M23)</f>
        <v>0.25872589450763428</v>
      </c>
    </row>
    <row r="30" spans="1:14" x14ac:dyDescent="0.25">
      <c r="A30" s="2" t="s">
        <v>37</v>
      </c>
      <c r="B30" s="2"/>
      <c r="C30" s="2"/>
      <c r="D30" s="12">
        <f>D28/D26</f>
        <v>1.0375768475245593</v>
      </c>
    </row>
    <row r="31" spans="1:14" x14ac:dyDescent="0.25">
      <c r="D31" s="7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052FC-91A8-48C0-9F97-184827A7A9AC}">
  <dimension ref="A1:N32"/>
  <sheetViews>
    <sheetView workbookViewId="0">
      <selection activeCell="D9" sqref="D9:N31"/>
    </sheetView>
  </sheetViews>
  <sheetFormatPr defaultRowHeight="15" x14ac:dyDescent="0.25"/>
  <cols>
    <col min="1" max="1" width="31.5703125" customWidth="1"/>
    <col min="3" max="3" width="11.28515625" customWidth="1"/>
    <col min="4" max="4" width="11.42578125" customWidth="1"/>
  </cols>
  <sheetData>
    <row r="1" spans="1:14" ht="18.75" x14ac:dyDescent="0.3">
      <c r="A1" s="13" t="s">
        <v>42</v>
      </c>
    </row>
    <row r="2" spans="1:14" ht="18.75" x14ac:dyDescent="0.3">
      <c r="A2" s="13" t="s">
        <v>43</v>
      </c>
    </row>
    <row r="4" spans="1:14" ht="18.75" x14ac:dyDescent="0.3">
      <c r="A4" s="13" t="s">
        <v>52</v>
      </c>
    </row>
    <row r="5" spans="1:14" ht="18.75" x14ac:dyDescent="0.3">
      <c r="A5" s="13" t="s">
        <v>45</v>
      </c>
    </row>
    <row r="7" spans="1:14" x14ac:dyDescent="0.25">
      <c r="A7" s="2" t="s">
        <v>8</v>
      </c>
    </row>
    <row r="8" spans="1:14" x14ac:dyDescent="0.25">
      <c r="D8" s="5" t="s">
        <v>9</v>
      </c>
      <c r="E8" s="5" t="s">
        <v>10</v>
      </c>
      <c r="F8" s="5" t="s">
        <v>11</v>
      </c>
      <c r="G8" s="5" t="s">
        <v>12</v>
      </c>
      <c r="H8" s="5" t="s">
        <v>13</v>
      </c>
      <c r="I8" s="5" t="s">
        <v>14</v>
      </c>
      <c r="J8" s="5" t="s">
        <v>15</v>
      </c>
      <c r="K8" s="5" t="s">
        <v>16</v>
      </c>
      <c r="L8" s="5" t="s">
        <v>17</v>
      </c>
      <c r="M8" s="5" t="s">
        <v>18</v>
      </c>
      <c r="N8" s="5" t="s">
        <v>19</v>
      </c>
    </row>
    <row r="10" spans="1:14" x14ac:dyDescent="0.25">
      <c r="A10" t="s">
        <v>20</v>
      </c>
      <c r="B10" t="s">
        <v>21</v>
      </c>
      <c r="C10" s="6">
        <f>Parametros!C7*Parametros!C6/Parametros!C8</f>
        <v>483.79971377709518</v>
      </c>
    </row>
    <row r="11" spans="1:14" x14ac:dyDescent="0.25">
      <c r="A11" t="s">
        <v>22</v>
      </c>
      <c r="B11" t="s">
        <v>21</v>
      </c>
      <c r="C11" s="6">
        <f>Parametros!C7*(Parametros!C6-Parametros!C22)/Parametros!C8</f>
        <v>57.595204021082807</v>
      </c>
    </row>
    <row r="12" spans="1:14" x14ac:dyDescent="0.25">
      <c r="A12" t="s">
        <v>23</v>
      </c>
      <c r="B12" t="s">
        <v>21</v>
      </c>
      <c r="E12">
        <v>0</v>
      </c>
      <c r="F12">
        <v>0</v>
      </c>
      <c r="G12">
        <v>0</v>
      </c>
      <c r="H12">
        <v>0</v>
      </c>
      <c r="I12">
        <v>0</v>
      </c>
      <c r="J12" s="1">
        <f>$C11/4*Parametros!$C9*1000</f>
        <v>647.94604523718158</v>
      </c>
      <c r="K12" s="1">
        <f>$C11/4*Parametros!$C9*1000</f>
        <v>647.94604523718158</v>
      </c>
      <c r="L12" s="1">
        <f>$C11/4*Parametros!$C9*1000</f>
        <v>647.94604523718158</v>
      </c>
      <c r="M12" s="1">
        <f>$C11/4*Parametros!$C9*1000</f>
        <v>647.94604523718158</v>
      </c>
      <c r="N12" s="1">
        <f>$C11/4*Parametros!$C9*1000</f>
        <v>647.94604523718158</v>
      </c>
    </row>
    <row r="13" spans="1:14" x14ac:dyDescent="0.25">
      <c r="A13" t="s">
        <v>30</v>
      </c>
      <c r="D13" s="7">
        <f>NPV(Parametros!$C$18,E12:N12)</f>
        <v>1325.3391816923181</v>
      </c>
    </row>
    <row r="16" spans="1:14" x14ac:dyDescent="0.25">
      <c r="A16" s="2" t="s">
        <v>25</v>
      </c>
    </row>
    <row r="17" spans="1:14" x14ac:dyDescent="0.25">
      <c r="A17" t="s">
        <v>41</v>
      </c>
      <c r="B17" t="s">
        <v>21</v>
      </c>
      <c r="C17" s="1">
        <f>Parametros!C13/Parametros!C8*(Parametros!C16-Parametros!C15)*1000</f>
        <v>2622256.9723201515</v>
      </c>
    </row>
    <row r="18" spans="1:14" x14ac:dyDescent="0.25">
      <c r="A18" t="s">
        <v>27</v>
      </c>
      <c r="C18" s="9">
        <f>C17*Parametros!C23</f>
        <v>6555.6424308003789</v>
      </c>
      <c r="E18">
        <v>0</v>
      </c>
      <c r="F18">
        <v>0</v>
      </c>
      <c r="G18">
        <v>0</v>
      </c>
      <c r="H18">
        <v>0</v>
      </c>
      <c r="I18">
        <v>0</v>
      </c>
      <c r="J18" s="1">
        <f>C18</f>
        <v>6555.6424308003789</v>
      </c>
      <c r="K18" s="1">
        <f t="shared" ref="K18:N18" si="0">J18</f>
        <v>6555.6424308003789</v>
      </c>
      <c r="L18" s="1">
        <f t="shared" si="0"/>
        <v>6555.6424308003789</v>
      </c>
      <c r="M18" s="1">
        <f t="shared" si="0"/>
        <v>6555.6424308003789</v>
      </c>
      <c r="N18" s="1">
        <f t="shared" si="0"/>
        <v>6555.6424308003789</v>
      </c>
    </row>
    <row r="19" spans="1:14" x14ac:dyDescent="0.25">
      <c r="A19" t="s">
        <v>31</v>
      </c>
      <c r="D19" s="7">
        <f>NPV(Parametros!$C$18,E18:N18)</f>
        <v>13409.218002903304</v>
      </c>
    </row>
    <row r="20" spans="1:14" ht="30" x14ac:dyDescent="0.25">
      <c r="A20" s="8" t="s">
        <v>26</v>
      </c>
      <c r="C20" s="4">
        <v>2.5000000000000001E-3</v>
      </c>
    </row>
    <row r="22" spans="1:14" x14ac:dyDescent="0.25">
      <c r="A22" t="s">
        <v>29</v>
      </c>
      <c r="E22">
        <f>E12+E18</f>
        <v>0</v>
      </c>
      <c r="F22">
        <f>F12+F18</f>
        <v>0</v>
      </c>
      <c r="G22">
        <f>G12+G18</f>
        <v>0</v>
      </c>
      <c r="H22">
        <f t="shared" ref="H22:I22" si="1">H12+H18</f>
        <v>0</v>
      </c>
      <c r="I22">
        <f t="shared" si="1"/>
        <v>0</v>
      </c>
      <c r="J22" s="1">
        <f>J12+J18</f>
        <v>7203.5884760375602</v>
      </c>
      <c r="K22" s="1">
        <f>K12+K18</f>
        <v>7203.5884760375602</v>
      </c>
      <c r="L22" s="1">
        <f>L12+L18</f>
        <v>7203.5884760375602</v>
      </c>
      <c r="M22" s="1">
        <f>M12+M18</f>
        <v>7203.5884760375602</v>
      </c>
      <c r="N22" s="1">
        <f>N12+N18</f>
        <v>7203.5884760375602</v>
      </c>
    </row>
    <row r="23" spans="1:14" x14ac:dyDescent="0.25">
      <c r="A23" t="s">
        <v>28</v>
      </c>
      <c r="E23" s="1">
        <v>3314</v>
      </c>
      <c r="F23" s="1">
        <v>5050</v>
      </c>
      <c r="G23" s="1">
        <v>4163</v>
      </c>
      <c r="H23" s="1">
        <v>4032</v>
      </c>
      <c r="I23" s="1">
        <v>3441</v>
      </c>
    </row>
    <row r="24" spans="1:14" x14ac:dyDescent="0.25">
      <c r="A24" t="s">
        <v>35</v>
      </c>
      <c r="E24" s="1">
        <f>E22-E23</f>
        <v>-3314</v>
      </c>
      <c r="F24" s="1">
        <f t="shared" ref="F24:N24" si="2">F22-F23</f>
        <v>-5050</v>
      </c>
      <c r="G24" s="1">
        <f t="shared" si="2"/>
        <v>-4163</v>
      </c>
      <c r="H24" s="1">
        <f t="shared" si="2"/>
        <v>-4032</v>
      </c>
      <c r="I24" s="1">
        <f t="shared" si="2"/>
        <v>-3441</v>
      </c>
      <c r="J24" s="1">
        <f t="shared" si="2"/>
        <v>7203.5884760375602</v>
      </c>
      <c r="K24" s="1">
        <f t="shared" si="2"/>
        <v>7203.5884760375602</v>
      </c>
      <c r="L24" s="1">
        <f t="shared" si="2"/>
        <v>7203.5884760375602</v>
      </c>
      <c r="M24" s="1">
        <f t="shared" si="2"/>
        <v>7203.5884760375602</v>
      </c>
      <c r="N24" s="1">
        <f t="shared" si="2"/>
        <v>7203.5884760375602</v>
      </c>
    </row>
    <row r="26" spans="1:14" x14ac:dyDescent="0.25">
      <c r="A26" t="s">
        <v>33</v>
      </c>
      <c r="D26" s="7">
        <f>NPV(Parametros!$C$18,E22:N22)</f>
        <v>14734.557184595622</v>
      </c>
    </row>
    <row r="27" spans="1:14" x14ac:dyDescent="0.25">
      <c r="A27" t="s">
        <v>34</v>
      </c>
      <c r="D27" s="7">
        <f>NPV(Parametros!$C$18,E23:I23)</f>
        <v>14462.823527364431</v>
      </c>
    </row>
    <row r="28" spans="1:14" x14ac:dyDescent="0.25">
      <c r="D28" s="7"/>
    </row>
    <row r="29" spans="1:14" x14ac:dyDescent="0.25">
      <c r="A29" s="2" t="s">
        <v>32</v>
      </c>
      <c r="B29" s="2"/>
      <c r="C29" s="2"/>
      <c r="D29" s="10">
        <f>D26-D27</f>
        <v>271.73365723119059</v>
      </c>
    </row>
    <row r="30" spans="1:14" x14ac:dyDescent="0.25">
      <c r="A30" s="2" t="s">
        <v>36</v>
      </c>
      <c r="B30" s="2"/>
      <c r="C30" s="2"/>
      <c r="D30" s="15">
        <f>IRR(E24:N24)</f>
        <v>0.12416517779423319</v>
      </c>
    </row>
    <row r="31" spans="1:14" x14ac:dyDescent="0.25">
      <c r="A31" s="2" t="s">
        <v>37</v>
      </c>
      <c r="B31" s="2"/>
      <c r="C31" s="2"/>
      <c r="D31" s="12">
        <f>D29/D27</f>
        <v>1.8788423762279616E-2</v>
      </c>
    </row>
    <row r="32" spans="1:14" x14ac:dyDescent="0.25">
      <c r="A32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4DB9C-781B-4C25-BEE3-14AD587407EA}">
  <dimension ref="A1:N31"/>
  <sheetViews>
    <sheetView workbookViewId="0">
      <selection activeCell="C10" sqref="C10"/>
    </sheetView>
  </sheetViews>
  <sheetFormatPr defaultRowHeight="15" x14ac:dyDescent="0.25"/>
  <cols>
    <col min="1" max="1" width="38.85546875" customWidth="1"/>
    <col min="3" max="3" width="10.28515625" customWidth="1"/>
    <col min="4" max="4" width="11.28515625" customWidth="1"/>
  </cols>
  <sheetData>
    <row r="1" spans="1:14" ht="18.75" x14ac:dyDescent="0.3">
      <c r="A1" s="13" t="s">
        <v>42</v>
      </c>
    </row>
    <row r="2" spans="1:14" ht="18.75" x14ac:dyDescent="0.3">
      <c r="A2" s="13" t="s">
        <v>43</v>
      </c>
    </row>
    <row r="4" spans="1:14" ht="18.75" x14ac:dyDescent="0.3">
      <c r="A4" s="13" t="s">
        <v>53</v>
      </c>
    </row>
    <row r="5" spans="1:14" ht="18.75" x14ac:dyDescent="0.3">
      <c r="A5" s="13" t="s">
        <v>45</v>
      </c>
    </row>
    <row r="7" spans="1:14" x14ac:dyDescent="0.25">
      <c r="A7" s="2" t="s">
        <v>8</v>
      </c>
    </row>
    <row r="8" spans="1:14" x14ac:dyDescent="0.25">
      <c r="D8" s="5" t="s">
        <v>9</v>
      </c>
      <c r="E8" s="5" t="s">
        <v>10</v>
      </c>
      <c r="F8" s="5" t="s">
        <v>11</v>
      </c>
      <c r="G8" s="5" t="s">
        <v>12</v>
      </c>
      <c r="H8" s="5" t="s">
        <v>13</v>
      </c>
      <c r="I8" s="5" t="s">
        <v>14</v>
      </c>
      <c r="J8" s="5" t="s">
        <v>15</v>
      </c>
      <c r="K8" s="5" t="s">
        <v>16</v>
      </c>
      <c r="L8" s="5" t="s">
        <v>17</v>
      </c>
      <c r="M8" s="5" t="s">
        <v>18</v>
      </c>
      <c r="N8" s="5" t="s">
        <v>19</v>
      </c>
    </row>
    <row r="10" spans="1:14" x14ac:dyDescent="0.25">
      <c r="A10" t="s">
        <v>20</v>
      </c>
      <c r="B10" t="s">
        <v>21</v>
      </c>
      <c r="C10" s="6">
        <f>Parametros!C7*Parametros!C6/Parametros!C8</f>
        <v>483.79971377709518</v>
      </c>
    </row>
    <row r="11" spans="1:14" x14ac:dyDescent="0.25">
      <c r="A11" t="s">
        <v>22</v>
      </c>
      <c r="B11" t="s">
        <v>21</v>
      </c>
      <c r="C11" s="6">
        <f>Parametros!C7*(Parametros!C6-Parametros!C26)/Parametros!C8</f>
        <v>172.78561206324832</v>
      </c>
    </row>
    <row r="12" spans="1:14" x14ac:dyDescent="0.25">
      <c r="A12" t="s">
        <v>23</v>
      </c>
      <c r="B12" t="s">
        <v>21</v>
      </c>
      <c r="E12">
        <v>0</v>
      </c>
      <c r="F12">
        <v>0</v>
      </c>
      <c r="G12">
        <v>0</v>
      </c>
      <c r="H12">
        <v>0</v>
      </c>
      <c r="I12">
        <v>0</v>
      </c>
      <c r="J12" s="1">
        <f>$C11/4*Parametros!$C9*1000</f>
        <v>1943.8381357115436</v>
      </c>
      <c r="K12" s="1">
        <f>$C11/4*Parametros!$C9*1000</f>
        <v>1943.8381357115436</v>
      </c>
      <c r="L12" s="1">
        <f>$C11/4*Parametros!$C9*1000</f>
        <v>1943.8381357115436</v>
      </c>
      <c r="M12" s="1">
        <f>$C11/4*Parametros!$C9*1000</f>
        <v>1943.8381357115436</v>
      </c>
      <c r="N12" s="1">
        <f>$C11/4*Parametros!$C9*1000</f>
        <v>1943.8381357115436</v>
      </c>
    </row>
    <row r="13" spans="1:14" x14ac:dyDescent="0.25">
      <c r="A13" t="s">
        <v>30</v>
      </c>
      <c r="D13" s="16">
        <f>NPV(Parametros!$C$18,E12:N12)</f>
        <v>3976.017545076952</v>
      </c>
    </row>
    <row r="14" spans="1:14" x14ac:dyDescent="0.25">
      <c r="D14" s="16"/>
    </row>
    <row r="15" spans="1:14" x14ac:dyDescent="0.25">
      <c r="D15" s="16"/>
    </row>
    <row r="16" spans="1:14" x14ac:dyDescent="0.25">
      <c r="A16" s="2" t="s">
        <v>25</v>
      </c>
      <c r="D16" s="16"/>
    </row>
    <row r="17" spans="1:14" x14ac:dyDescent="0.25">
      <c r="A17" t="s">
        <v>41</v>
      </c>
      <c r="B17" t="s">
        <v>21</v>
      </c>
      <c r="C17" s="1">
        <f>Parametros!C13/Parametros!C8*(Parametros!C16-Parametros!C15)*1000</f>
        <v>2622256.9723201515</v>
      </c>
      <c r="D17" s="16"/>
    </row>
    <row r="18" spans="1:14" x14ac:dyDescent="0.25">
      <c r="A18" t="s">
        <v>27</v>
      </c>
      <c r="C18" s="9">
        <f>C17*Parametros!C27</f>
        <v>15733.54183392091</v>
      </c>
      <c r="D18" s="16"/>
      <c r="E18">
        <v>0</v>
      </c>
      <c r="F18">
        <v>0</v>
      </c>
      <c r="G18">
        <v>0</v>
      </c>
      <c r="H18">
        <v>0</v>
      </c>
      <c r="I18">
        <v>0</v>
      </c>
      <c r="J18" s="1">
        <f>C18</f>
        <v>15733.54183392091</v>
      </c>
      <c r="K18" s="1">
        <f t="shared" ref="K18:N18" si="0">J18</f>
        <v>15733.54183392091</v>
      </c>
      <c r="L18" s="1">
        <f t="shared" si="0"/>
        <v>15733.54183392091</v>
      </c>
      <c r="M18" s="1">
        <f t="shared" si="0"/>
        <v>15733.54183392091</v>
      </c>
      <c r="N18" s="1">
        <f t="shared" si="0"/>
        <v>15733.54183392091</v>
      </c>
    </row>
    <row r="19" spans="1:14" x14ac:dyDescent="0.25">
      <c r="A19" t="s">
        <v>31</v>
      </c>
      <c r="D19" s="16">
        <f>NPV(Parametros!$C$18,E18:N18)</f>
        <v>32182.123206967932</v>
      </c>
    </row>
    <row r="20" spans="1:14" ht="30" x14ac:dyDescent="0.25">
      <c r="A20" s="8" t="s">
        <v>26</v>
      </c>
      <c r="C20" s="4">
        <v>2.5000000000000001E-3</v>
      </c>
    </row>
    <row r="22" spans="1:14" x14ac:dyDescent="0.25">
      <c r="A22" t="s">
        <v>29</v>
      </c>
      <c r="E22">
        <f>E12+E18</f>
        <v>0</v>
      </c>
      <c r="F22">
        <f>F12+F18</f>
        <v>0</v>
      </c>
      <c r="G22">
        <f>G12+G18</f>
        <v>0</v>
      </c>
      <c r="H22">
        <f t="shared" ref="H22:I22" si="1">H12+H18</f>
        <v>0</v>
      </c>
      <c r="I22">
        <f t="shared" si="1"/>
        <v>0</v>
      </c>
      <c r="J22" s="1">
        <f>J12+J18</f>
        <v>17677.379969632453</v>
      </c>
      <c r="K22" s="1">
        <f>K12+K18</f>
        <v>17677.379969632453</v>
      </c>
      <c r="L22" s="1">
        <f>L12+L18</f>
        <v>17677.379969632453</v>
      </c>
      <c r="M22" s="1">
        <f>M12+M18</f>
        <v>17677.379969632453</v>
      </c>
      <c r="N22" s="1">
        <f>N12+N18</f>
        <v>17677.379969632453</v>
      </c>
    </row>
    <row r="23" spans="1:14" x14ac:dyDescent="0.25">
      <c r="A23" t="s">
        <v>28</v>
      </c>
      <c r="E23" s="1">
        <v>3314</v>
      </c>
      <c r="F23" s="1">
        <v>5050</v>
      </c>
      <c r="G23" s="1">
        <v>4163</v>
      </c>
      <c r="H23" s="1">
        <v>4032</v>
      </c>
      <c r="I23" s="1">
        <v>3441</v>
      </c>
    </row>
    <row r="24" spans="1:14" x14ac:dyDescent="0.25">
      <c r="A24" t="s">
        <v>35</v>
      </c>
      <c r="E24" s="1">
        <f>E22-E23</f>
        <v>-3314</v>
      </c>
      <c r="F24" s="1">
        <f t="shared" ref="F24:N24" si="2">F22-F23</f>
        <v>-5050</v>
      </c>
      <c r="G24" s="1">
        <f t="shared" si="2"/>
        <v>-4163</v>
      </c>
      <c r="H24" s="1">
        <f t="shared" si="2"/>
        <v>-4032</v>
      </c>
      <c r="I24" s="1">
        <f t="shared" si="2"/>
        <v>-3441</v>
      </c>
      <c r="J24" s="1">
        <f t="shared" si="2"/>
        <v>17677.379969632453</v>
      </c>
      <c r="K24" s="1">
        <f t="shared" si="2"/>
        <v>17677.379969632453</v>
      </c>
      <c r="L24" s="1">
        <f t="shared" si="2"/>
        <v>17677.379969632453</v>
      </c>
      <c r="M24" s="1">
        <f t="shared" si="2"/>
        <v>17677.379969632453</v>
      </c>
      <c r="N24" s="1">
        <f t="shared" si="2"/>
        <v>17677.379969632453</v>
      </c>
    </row>
    <row r="26" spans="1:14" x14ac:dyDescent="0.25">
      <c r="A26" t="s">
        <v>33</v>
      </c>
      <c r="D26" s="7">
        <f>NPV(Parametros!$C$18,E22:N22)</f>
        <v>36158.140752044885</v>
      </c>
    </row>
    <row r="27" spans="1:14" x14ac:dyDescent="0.25">
      <c r="A27" t="s">
        <v>34</v>
      </c>
      <c r="D27" s="7">
        <f>NPV(Parametros!$C$18,E23:I23)</f>
        <v>14462.823527364431</v>
      </c>
    </row>
    <row r="28" spans="1:14" x14ac:dyDescent="0.25">
      <c r="D28" s="7"/>
    </row>
    <row r="29" spans="1:14" x14ac:dyDescent="0.25">
      <c r="A29" s="2" t="s">
        <v>32</v>
      </c>
      <c r="B29" s="2"/>
      <c r="C29" s="2"/>
      <c r="D29" s="10">
        <f>D26-D27</f>
        <v>21695.317224680453</v>
      </c>
    </row>
    <row r="30" spans="1:14" x14ac:dyDescent="0.25">
      <c r="A30" s="2" t="s">
        <v>36</v>
      </c>
      <c r="B30" s="2"/>
      <c r="C30" s="2"/>
      <c r="D30" s="15">
        <f>IRR(E24:N24)</f>
        <v>0.34547959500054182</v>
      </c>
    </row>
    <row r="31" spans="1:14" x14ac:dyDescent="0.25">
      <c r="A31" s="2" t="s">
        <v>37</v>
      </c>
      <c r="B31" s="2"/>
      <c r="C31" s="2"/>
      <c r="D31" s="12">
        <f>D29/D27</f>
        <v>1.5000748079122834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0E132CE7DC25EC4D91529BE4E0BECFC0" ma:contentTypeVersion="462" ma:contentTypeDescription="The base project type from which other project content types inherit their information." ma:contentTypeScope="" ma:versionID="1992a20eaf66ad667dfc6dfdd4310db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c6850fadf3e17aefec09a404d581360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UR-L1151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32BA02D26DA1A145A7F28CD38DB9C089" ma:contentTypeVersion="694" ma:contentTypeDescription="A content type to manage public (operations) IDB documents" ma:contentTypeScope="" ma:versionID="87694efc21c0881d7c0294f320ef005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3586684118e237ad54ea62ffe95677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UR-L115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UBR Contact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Uruguay</TermName>
          <TermId xmlns="http://schemas.microsoft.com/office/infopath/2007/PartnerControls">5d9b6fdd-d595-4446-a0eb-c14b465f6d0e</TermId>
        </TermInfo>
      </Terms>
    </ic46d7e087fd4a108fb86518ca413cc6>
    <IDBDocs_x0020_Number xmlns="cdc7663a-08f0-4737-9e8c-148ce897a09c" xsi:nil="true"/>
    <Division_x0020_or_x0020_Unit xmlns="cdc7663a-08f0-4737-9e8c-148ce897a09c">IFD/ICS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Hoffman, Nathalie Alexandra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MANAGEMENT FOR DEVELOPMENT RESULTS</TermName>
          <TermId xmlns="http://schemas.microsoft.com/office/infopath/2007/PartnerControls">1d0013d3-9cc8-41d0-aaab-9bdee2ebedb4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axCatchAll xmlns="cdc7663a-08f0-4737-9e8c-148ce897a09c">
      <Value>40</Value>
      <Value>32</Value>
      <Value>128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UR-L1151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>R0002848036</Record_x0020_Number>
    <_dlc_DocId xmlns="cdc7663a-08f0-4737-9e8c-148ce897a09c">EZSHARE-1371813104-38</_dlc_DocId>
    <_dlc_DocIdUrl xmlns="cdc7663a-08f0-4737-9e8c-148ce897a09c">
      <Url>https://idbg.sharepoint.com/teams/EZ-UR-LON/UR-L1151/_layouts/15/DocIdRedir.aspx?ID=EZSHARE-1371813104-38</Url>
      <Description>EZSHARE-1371813104-38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499F0569-2CF5-437F-8BFB-E1BCBBABD93C}"/>
</file>

<file path=customXml/itemProps2.xml><?xml version="1.0" encoding="utf-8"?>
<ds:datastoreItem xmlns:ds="http://schemas.openxmlformats.org/officeDocument/2006/customXml" ds:itemID="{8A80DD2D-DB7C-4227-BF97-F5CFF5C94125}"/>
</file>

<file path=customXml/itemProps3.xml><?xml version="1.0" encoding="utf-8"?>
<ds:datastoreItem xmlns:ds="http://schemas.openxmlformats.org/officeDocument/2006/customXml" ds:itemID="{2C763344-D721-44DA-9410-D93E0361F687}"/>
</file>

<file path=customXml/itemProps4.xml><?xml version="1.0" encoding="utf-8"?>
<ds:datastoreItem xmlns:ds="http://schemas.openxmlformats.org/officeDocument/2006/customXml" ds:itemID="{EDBF9C3E-4F94-4F06-9225-9FA94AAF03AA}"/>
</file>

<file path=customXml/itemProps5.xml><?xml version="1.0" encoding="utf-8"?>
<ds:datastoreItem xmlns:ds="http://schemas.openxmlformats.org/officeDocument/2006/customXml" ds:itemID="{5F4F28C0-82D2-4408-8DAA-73DD8BE10262}"/>
</file>

<file path=customXml/itemProps6.xml><?xml version="1.0" encoding="utf-8"?>
<ds:datastoreItem xmlns:ds="http://schemas.openxmlformats.org/officeDocument/2006/customXml" ds:itemID="{A93C1915-CF41-49D6-9324-125C1490E88B}"/>
</file>

<file path=customXml/itemProps7.xml><?xml version="1.0" encoding="utf-8"?>
<ds:datastoreItem xmlns:ds="http://schemas.openxmlformats.org/officeDocument/2006/customXml" ds:itemID="{F304C3BB-1BAD-48EB-9B24-EF92AE8BB1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Parametros</vt:lpstr>
      <vt:lpstr>Escenario Base</vt:lpstr>
      <vt:lpstr>Escen Conservador</vt:lpstr>
      <vt:lpstr>Escen Favorable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Fernandez, Roberto</dc:creator>
  <cp:keywords/>
  <cp:lastModifiedBy>Hoffman, Nathalie Alexandra</cp:lastModifiedBy>
  <dcterms:created xsi:type="dcterms:W3CDTF">2018-09-10T13:36:53Z</dcterms:created>
  <dcterms:modified xsi:type="dcterms:W3CDTF">2018-09-18T21:34:13Z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128;#MANAGEMENT FOR DEVELOPMENT RESULTS|1d0013d3-9cc8-41d0-aaab-9bdee2ebedb4</vt:lpwstr>
  </property>
  <property fmtid="{D5CDD505-2E9C-101B-9397-08002B2CF9AE}" pid="7" name="Fund IDB">
    <vt:lpwstr/>
  </property>
  <property fmtid="{D5CDD505-2E9C-101B-9397-08002B2CF9AE}" pid="8" name="Country">
    <vt:lpwstr>32;#Uruguay|5d9b6fdd-d595-4446-a0eb-c14b465f6d0e</vt:lpwstr>
  </property>
  <property fmtid="{D5CDD505-2E9C-101B-9397-08002B2CF9AE}" pid="9" name="Sector IDB">
    <vt:lpwstr>40;#REFORM / MODERNIZATION OF THE STATE|c8fda4a7-691a-4c65-b227-9825197b5cd2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6bcbc345-da4e-48db-88d7-d155cda8d6b9</vt:lpwstr>
  </property>
  <property fmtid="{D5CDD505-2E9C-101B-9397-08002B2CF9AE}" pid="12" name="ContentTypeId">
    <vt:lpwstr>0x0101001A458A224826124E8B45B1D613300CFC0032BA02D26DA1A145A7F28CD38DB9C089</vt:lpwstr>
  </property>
</Properties>
</file>