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sdx" ContentType="application/vnd.ms-visio.drawing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PR-LON/PR-L1148/15 LifeCycle Milestones/"/>
    </mc:Choice>
  </mc:AlternateContent>
  <xr:revisionPtr revIDLastSave="10" documentId="11_9682F8796556F578B6605555213F7D3754A996B7" xr6:coauthVersionLast="28" xr6:coauthVersionMax="28" xr10:uidLastSave="{32BEBC9E-2C27-48CF-AEF7-82F7C277EE52}"/>
  <bookViews>
    <workbookView xWindow="0" yWindow="0" windowWidth="23040" windowHeight="8796" activeTab="9" xr2:uid="{00000000-000D-0000-FFFF-FFFF00000000}"/>
  </bookViews>
  <sheets>
    <sheet name="INDICE" sheetId="17" r:id="rId1"/>
    <sheet name="EDT" sheetId="13" r:id="rId2"/>
    <sheet name="MDR" sheetId="18" r:id="rId3"/>
    <sheet name="CC Gral" sheetId="12" r:id="rId4"/>
    <sheet name="CC detallado" sheetId="1" r:id="rId5"/>
    <sheet name="PEP" sheetId="7" r:id="rId6"/>
    <sheet name="POA año 1" sheetId="19" r:id="rId7"/>
    <sheet name="Cronograma" sheetId="16" r:id="rId8"/>
    <sheet name="PA" sheetId="9" r:id="rId9"/>
    <sheet name="PAI" sheetId="10" r:id="rId10"/>
    <sheet name="Hoja1" sheetId="4" state="hidden" r:id="rId11"/>
    <sheet name="Rem Adic" sheetId="5" state="hidden" r:id="rId12"/>
  </sheets>
  <definedNames>
    <definedName name="_2" localSheetId="6">#REF!</definedName>
    <definedName name="_2">#REF!</definedName>
    <definedName name="_6" localSheetId="6">#REF!</definedName>
    <definedName name="_6">#REF!</definedName>
    <definedName name="_Fill" localSheetId="6" hidden="1">#REF!</definedName>
    <definedName name="_Fill" hidden="1">#REF!</definedName>
    <definedName name="_xlnm._FilterDatabase" localSheetId="4" hidden="1">'CC detallado'!$A$4:$AI$112</definedName>
    <definedName name="_xlnm._FilterDatabase" localSheetId="7" hidden="1">Cronograma!$A$4:$H$113</definedName>
    <definedName name="_xlnm._FilterDatabase" localSheetId="5" hidden="1">PEP!$A$4:$CO$113</definedName>
    <definedName name="_xlnm._FilterDatabase" localSheetId="6" hidden="1">'POA año 1'!$A$6:$S$115</definedName>
    <definedName name="aaa" localSheetId="6">#REF!</definedName>
    <definedName name="aaa">#REF!</definedName>
    <definedName name="e" localSheetId="6">#REF!</definedName>
    <definedName name="e">#REF!</definedName>
    <definedName name="ffff" localSheetId="6">#REF!</definedName>
    <definedName name="ffff">#REF!</definedName>
    <definedName name="GRAFI" localSheetId="6">#REF!</definedName>
    <definedName name="GRAFI">#REF!</definedName>
    <definedName name="GRAFICO" localSheetId="6">#REF!</definedName>
    <definedName name="GRAFICO">#REF!</definedName>
    <definedName name="Pres" localSheetId="6">#REF!</definedName>
    <definedName name="Pres">#REF!</definedName>
    <definedName name="_xlnm.Print_Area" localSheetId="8">PA!$A$1:$O$145</definedName>
    <definedName name="Resumen" localSheetId="6">#REF!</definedName>
    <definedName name="Resumen">#REF!</definedName>
    <definedName name="SFGH" localSheetId="6">#REF!</definedName>
    <definedName name="SFGH">#REF!</definedName>
  </definedNames>
  <calcPr calcId="171027"/>
</workbook>
</file>

<file path=xl/calcChain.xml><?xml version="1.0" encoding="utf-8"?>
<calcChain xmlns="http://schemas.openxmlformats.org/spreadsheetml/2006/main">
  <c r="CF88" i="7" l="1"/>
  <c r="CF89" i="7"/>
  <c r="CF90" i="7"/>
  <c r="CF91" i="7"/>
  <c r="CF92" i="7"/>
  <c r="CF93" i="7"/>
  <c r="CF94" i="7"/>
  <c r="BX84" i="7"/>
  <c r="BX85" i="7"/>
  <c r="BX86" i="7"/>
  <c r="BX87" i="7"/>
  <c r="BX88" i="7"/>
  <c r="BX89" i="7"/>
  <c r="BX90" i="7"/>
  <c r="BX91" i="7"/>
  <c r="BX92" i="7"/>
  <c r="BX93" i="7"/>
  <c r="BX94" i="7"/>
  <c r="M96" i="7"/>
  <c r="M96" i="1"/>
  <c r="A78" i="10"/>
  <c r="B78" i="10"/>
  <c r="C78" i="10"/>
  <c r="D78" i="10"/>
  <c r="E78" i="10"/>
  <c r="G107" i="9"/>
  <c r="C106" i="9"/>
  <c r="D106" i="9"/>
  <c r="F106" i="9"/>
  <c r="G106" i="9"/>
  <c r="J106" i="9"/>
  <c r="A103" i="16"/>
  <c r="B103" i="16"/>
  <c r="C103" i="16"/>
  <c r="D103" i="16"/>
  <c r="E103" i="16"/>
  <c r="F103" i="16"/>
  <c r="G103" i="16"/>
  <c r="H103" i="16"/>
  <c r="A105" i="19"/>
  <c r="B105" i="19"/>
  <c r="C105" i="19"/>
  <c r="G105" i="19"/>
  <c r="H105" i="19"/>
  <c r="J105" i="19"/>
  <c r="N105" i="19"/>
  <c r="O105" i="19"/>
  <c r="P105" i="19"/>
  <c r="A103" i="7"/>
  <c r="B103" i="7"/>
  <c r="C103" i="7"/>
  <c r="D103" i="7"/>
  <c r="E103" i="7"/>
  <c r="F103" i="7"/>
  <c r="G103" i="7"/>
  <c r="H103" i="7"/>
  <c r="I103" i="7"/>
  <c r="J103" i="7"/>
  <c r="K103" i="7"/>
  <c r="L103" i="7"/>
  <c r="M103" i="7"/>
  <c r="Q103" i="7"/>
  <c r="R103" i="7" s="1"/>
  <c r="M103" i="1"/>
  <c r="O103" i="1" s="1"/>
  <c r="N103" i="1"/>
  <c r="I105" i="19" l="1"/>
  <c r="S103" i="7"/>
  <c r="E61" i="9"/>
  <c r="C37" i="10" s="1"/>
  <c r="E27" i="9"/>
  <c r="C21" i="10" s="1"/>
  <c r="E26" i="9"/>
  <c r="C20" i="10" s="1"/>
  <c r="E21" i="9"/>
  <c r="C15" i="10" s="1"/>
  <c r="E19" i="9"/>
  <c r="C13" i="10" s="1"/>
  <c r="E18" i="9"/>
  <c r="AG11" i="7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D47" i="10"/>
  <c r="D34" i="10"/>
  <c r="D35" i="10"/>
  <c r="D36" i="10"/>
  <c r="D37" i="10"/>
  <c r="D38" i="10"/>
  <c r="D39" i="10"/>
  <c r="D40" i="10"/>
  <c r="D41" i="10"/>
  <c r="D42" i="10"/>
  <c r="D44" i="10"/>
  <c r="D45" i="10"/>
  <c r="D46" i="10"/>
  <c r="C43" i="10"/>
  <c r="B43" i="10"/>
  <c r="D13" i="10"/>
  <c r="D14" i="10"/>
  <c r="D15" i="10"/>
  <c r="D16" i="10"/>
  <c r="D17" i="10"/>
  <c r="D18" i="10"/>
  <c r="D19" i="10"/>
  <c r="D20" i="10"/>
  <c r="D21" i="10"/>
  <c r="D22" i="10"/>
  <c r="D23" i="10"/>
  <c r="D25" i="10"/>
  <c r="D26" i="10"/>
  <c r="D29" i="10"/>
  <c r="T103" i="7" l="1"/>
  <c r="K105" i="19"/>
  <c r="E63" i="9"/>
  <c r="C39" i="10" s="1"/>
  <c r="E62" i="9"/>
  <c r="C38" i="10" s="1"/>
  <c r="D63" i="9"/>
  <c r="A39" i="10" s="1"/>
  <c r="D62" i="9"/>
  <c r="A38" i="10" s="1"/>
  <c r="C63" i="9"/>
  <c r="B39" i="10" s="1"/>
  <c r="C62" i="9"/>
  <c r="B38" i="10" s="1"/>
  <c r="A50" i="16"/>
  <c r="B50" i="16"/>
  <c r="C50" i="16"/>
  <c r="D50" i="16"/>
  <c r="E50" i="16"/>
  <c r="F50" i="16"/>
  <c r="G50" i="16"/>
  <c r="A51" i="16"/>
  <c r="B51" i="16"/>
  <c r="C51" i="16"/>
  <c r="D51" i="16"/>
  <c r="E51" i="16"/>
  <c r="F51" i="16"/>
  <c r="G51" i="16"/>
  <c r="A52" i="16"/>
  <c r="B52" i="16"/>
  <c r="C52" i="16"/>
  <c r="D52" i="16"/>
  <c r="E52" i="16"/>
  <c r="F52" i="16"/>
  <c r="G52" i="16"/>
  <c r="A52" i="19"/>
  <c r="B52" i="19"/>
  <c r="A53" i="19"/>
  <c r="B53" i="19"/>
  <c r="A54" i="19"/>
  <c r="B54" i="19"/>
  <c r="H50" i="7"/>
  <c r="I50" i="7"/>
  <c r="J50" i="7"/>
  <c r="K50" i="7"/>
  <c r="L50" i="7"/>
  <c r="H51" i="7"/>
  <c r="I51" i="7"/>
  <c r="J51" i="7"/>
  <c r="K51" i="7"/>
  <c r="H52" i="7"/>
  <c r="I52" i="7"/>
  <c r="J52" i="7"/>
  <c r="K52" i="7"/>
  <c r="L52" i="7"/>
  <c r="A50" i="7"/>
  <c r="B50" i="7"/>
  <c r="C50" i="7"/>
  <c r="D50" i="7"/>
  <c r="E50" i="7"/>
  <c r="F50" i="7"/>
  <c r="A51" i="7"/>
  <c r="B51" i="7"/>
  <c r="C51" i="7"/>
  <c r="D51" i="7"/>
  <c r="E51" i="7"/>
  <c r="F51" i="7"/>
  <c r="A52" i="7"/>
  <c r="B52" i="7"/>
  <c r="C52" i="7"/>
  <c r="D52" i="7"/>
  <c r="E52" i="7"/>
  <c r="F52" i="7"/>
  <c r="G50" i="7"/>
  <c r="G51" i="7"/>
  <c r="G52" i="7"/>
  <c r="L66" i="1"/>
  <c r="M66" i="1" s="1"/>
  <c r="N108" i="1"/>
  <c r="L86" i="1"/>
  <c r="L85" i="1"/>
  <c r="L56" i="1"/>
  <c r="L53" i="1"/>
  <c r="M42" i="1"/>
  <c r="L51" i="1"/>
  <c r="M51" i="1" s="1"/>
  <c r="M51" i="7" s="1"/>
  <c r="L52" i="1"/>
  <c r="M52" i="1" s="1"/>
  <c r="O52" i="1" s="1"/>
  <c r="N50" i="1"/>
  <c r="L31" i="1"/>
  <c r="L106" i="1"/>
  <c r="M111" i="1"/>
  <c r="E86" i="10" s="1"/>
  <c r="M33" i="1"/>
  <c r="U103" i="7" l="1"/>
  <c r="L105" i="19"/>
  <c r="G62" i="9"/>
  <c r="E38" i="10" s="1"/>
  <c r="G63" i="9"/>
  <c r="E39" i="10" s="1"/>
  <c r="C54" i="19"/>
  <c r="C53" i="19"/>
  <c r="H52" i="16"/>
  <c r="H51" i="16"/>
  <c r="L51" i="7"/>
  <c r="M52" i="7"/>
  <c r="M50" i="1"/>
  <c r="O51" i="1"/>
  <c r="O50" i="1" s="1"/>
  <c r="N51" i="1"/>
  <c r="N52" i="1"/>
  <c r="CD7" i="7"/>
  <c r="CD8" i="7"/>
  <c r="CD9" i="7"/>
  <c r="CD10" i="7"/>
  <c r="CD12" i="7"/>
  <c r="CD13" i="7"/>
  <c r="CD14" i="7"/>
  <c r="CD15" i="7"/>
  <c r="CD17" i="7"/>
  <c r="CD18" i="7"/>
  <c r="CD19" i="7"/>
  <c r="CD20" i="7"/>
  <c r="CD21" i="7"/>
  <c r="CD23" i="7"/>
  <c r="CD24" i="7"/>
  <c r="CD25" i="7"/>
  <c r="CD26" i="7"/>
  <c r="CD27" i="7"/>
  <c r="CD31" i="7"/>
  <c r="CD32" i="7"/>
  <c r="CD33" i="7"/>
  <c r="CD34" i="7"/>
  <c r="CD36" i="7"/>
  <c r="CD37" i="7"/>
  <c r="CD38" i="7"/>
  <c r="CD39" i="7"/>
  <c r="CD40" i="7"/>
  <c r="CD88" i="7"/>
  <c r="CD89" i="7"/>
  <c r="CD90" i="7"/>
  <c r="CD91" i="7"/>
  <c r="CD93" i="7"/>
  <c r="CD94" i="7"/>
  <c r="CD42" i="7"/>
  <c r="CD43" i="7"/>
  <c r="CD44" i="7"/>
  <c r="CD45" i="7"/>
  <c r="CD68" i="7"/>
  <c r="CD69" i="7"/>
  <c r="CD71" i="7"/>
  <c r="CD72" i="7"/>
  <c r="CD73" i="7"/>
  <c r="CD74" i="7"/>
  <c r="CD75" i="7"/>
  <c r="CD76" i="7"/>
  <c r="CD77" i="7"/>
  <c r="CD48" i="7"/>
  <c r="CD49" i="7"/>
  <c r="CD51" i="7"/>
  <c r="CD52" i="7"/>
  <c r="CD55" i="7"/>
  <c r="CD56" i="7"/>
  <c r="CD57" i="7"/>
  <c r="CD58" i="7"/>
  <c r="CD62" i="7"/>
  <c r="CD80" i="7"/>
  <c r="CD81" i="7"/>
  <c r="CD82" i="7"/>
  <c r="CD84" i="7"/>
  <c r="CD85" i="7"/>
  <c r="CD106" i="7"/>
  <c r="CC7" i="7"/>
  <c r="CC8" i="7"/>
  <c r="CC9" i="7"/>
  <c r="CC10" i="7"/>
  <c r="CC12" i="7"/>
  <c r="CC13" i="7"/>
  <c r="CC14" i="7"/>
  <c r="CC15" i="7"/>
  <c r="CC17" i="7"/>
  <c r="CC18" i="7"/>
  <c r="CC19" i="7"/>
  <c r="CC20" i="7"/>
  <c r="CC23" i="7"/>
  <c r="CC24" i="7"/>
  <c r="CC25" i="7"/>
  <c r="CC26" i="7"/>
  <c r="CC29" i="7"/>
  <c r="CC32" i="7"/>
  <c r="CC33" i="7"/>
  <c r="CC34" i="7"/>
  <c r="CC36" i="7"/>
  <c r="CC37" i="7"/>
  <c r="CC38" i="7"/>
  <c r="CC39" i="7"/>
  <c r="CC40" i="7"/>
  <c r="CC88" i="7"/>
  <c r="CC89" i="7"/>
  <c r="CC90" i="7"/>
  <c r="CC91" i="7"/>
  <c r="CC93" i="7"/>
  <c r="CC94" i="7"/>
  <c r="CC42" i="7"/>
  <c r="CC43" i="7"/>
  <c r="CC44" i="7"/>
  <c r="CC45" i="7"/>
  <c r="CC68" i="7"/>
  <c r="CC69" i="7"/>
  <c r="CC71" i="7"/>
  <c r="CC72" i="7"/>
  <c r="CC73" i="7"/>
  <c r="CC74" i="7"/>
  <c r="CC75" i="7"/>
  <c r="CC76" i="7"/>
  <c r="CC48" i="7"/>
  <c r="CC52" i="7"/>
  <c r="CC55" i="7"/>
  <c r="CC56" i="7"/>
  <c r="CC57" i="7"/>
  <c r="CC58" i="7"/>
  <c r="CC62" i="7"/>
  <c r="CC81" i="7"/>
  <c r="CC82" i="7"/>
  <c r="CC84" i="7"/>
  <c r="CC106" i="7"/>
  <c r="CC107" i="7"/>
  <c r="CC108" i="7"/>
  <c r="CC111" i="7"/>
  <c r="CB7" i="7"/>
  <c r="CB12" i="7"/>
  <c r="CB13" i="7"/>
  <c r="CB14" i="7"/>
  <c r="CB17" i="7"/>
  <c r="CB18" i="7"/>
  <c r="CB21" i="7"/>
  <c r="CB23" i="7"/>
  <c r="CB24" i="7"/>
  <c r="CB25" i="7"/>
  <c r="CB26" i="7"/>
  <c r="CB27" i="7"/>
  <c r="CB29" i="7"/>
  <c r="CB32" i="7"/>
  <c r="CB34" i="7"/>
  <c r="CB88" i="7"/>
  <c r="CB91" i="7"/>
  <c r="CB93" i="7"/>
  <c r="CB94" i="7"/>
  <c r="CB68" i="7"/>
  <c r="CB69" i="7"/>
  <c r="CB71" i="7"/>
  <c r="CB72" i="7"/>
  <c r="CB73" i="7"/>
  <c r="CB74" i="7"/>
  <c r="CB49" i="7"/>
  <c r="CB55" i="7"/>
  <c r="CB56" i="7"/>
  <c r="CB58" i="7"/>
  <c r="CB62" i="7"/>
  <c r="CB81" i="7"/>
  <c r="CB82" i="7"/>
  <c r="CB84" i="7"/>
  <c r="CB107" i="7"/>
  <c r="CB108" i="7"/>
  <c r="CB111" i="7"/>
  <c r="CA7" i="7"/>
  <c r="CA9" i="7"/>
  <c r="CA10" i="7"/>
  <c r="CA19" i="7"/>
  <c r="CA20" i="7"/>
  <c r="CA21" i="7"/>
  <c r="CA23" i="7"/>
  <c r="CA24" i="7"/>
  <c r="CA25" i="7"/>
  <c r="CA26" i="7"/>
  <c r="CA27" i="7"/>
  <c r="CA29" i="7"/>
  <c r="CA32" i="7"/>
  <c r="CA93" i="7"/>
  <c r="CA94" i="7"/>
  <c r="CA70" i="7"/>
  <c r="CA71" i="7"/>
  <c r="CA72" i="7"/>
  <c r="CA75" i="7"/>
  <c r="CA76" i="7"/>
  <c r="CA77" i="7"/>
  <c r="CA48" i="7"/>
  <c r="CA49" i="7"/>
  <c r="CA55" i="7"/>
  <c r="CA57" i="7"/>
  <c r="CA58" i="7"/>
  <c r="CA59" i="7"/>
  <c r="CA62" i="7"/>
  <c r="CA63" i="7"/>
  <c r="CA64" i="7"/>
  <c r="CA65" i="7"/>
  <c r="CA81" i="7"/>
  <c r="CA82" i="7"/>
  <c r="CA86" i="7"/>
  <c r="CA106" i="7"/>
  <c r="CA107" i="7"/>
  <c r="CA108" i="7"/>
  <c r="CA111" i="7"/>
  <c r="BZ8" i="7"/>
  <c r="BZ9" i="7"/>
  <c r="BZ10" i="7"/>
  <c r="BZ12" i="7"/>
  <c r="BZ13" i="7"/>
  <c r="BZ14" i="7"/>
  <c r="BZ15" i="7"/>
  <c r="BZ17" i="7"/>
  <c r="BZ18" i="7"/>
  <c r="BZ19" i="7"/>
  <c r="BZ20" i="7"/>
  <c r="BZ21" i="7"/>
  <c r="BZ27" i="7"/>
  <c r="BZ29" i="7"/>
  <c r="BZ31" i="7"/>
  <c r="BZ33" i="7"/>
  <c r="BZ36" i="7"/>
  <c r="BZ37" i="7"/>
  <c r="BZ38" i="7"/>
  <c r="BZ40" i="7"/>
  <c r="BZ89" i="7"/>
  <c r="BZ90" i="7"/>
  <c r="BZ92" i="7"/>
  <c r="BZ43" i="7"/>
  <c r="BZ44" i="7"/>
  <c r="BZ45" i="7"/>
  <c r="BZ68" i="7"/>
  <c r="BZ69" i="7"/>
  <c r="BZ70" i="7"/>
  <c r="BZ73" i="7"/>
  <c r="BZ74" i="7"/>
  <c r="BZ75" i="7"/>
  <c r="BZ76" i="7"/>
  <c r="BZ77" i="7"/>
  <c r="BZ47" i="7"/>
  <c r="BZ48" i="7"/>
  <c r="BZ49" i="7"/>
  <c r="BZ52" i="7"/>
  <c r="BZ56" i="7"/>
  <c r="BZ57" i="7"/>
  <c r="BZ58" i="7"/>
  <c r="BZ59" i="7"/>
  <c r="BZ61" i="7"/>
  <c r="BZ63" i="7"/>
  <c r="BZ64" i="7"/>
  <c r="BZ65" i="7"/>
  <c r="BZ66" i="7"/>
  <c r="BZ80" i="7"/>
  <c r="BZ81" i="7"/>
  <c r="BZ82" i="7"/>
  <c r="BZ84" i="7"/>
  <c r="BZ85" i="7"/>
  <c r="BZ86" i="7"/>
  <c r="BZ106" i="7"/>
  <c r="BZ107" i="7"/>
  <c r="BZ108" i="7"/>
  <c r="BZ111" i="7"/>
  <c r="G9" i="19"/>
  <c r="H9" i="19"/>
  <c r="I9" i="19"/>
  <c r="J9" i="19"/>
  <c r="K9" i="19"/>
  <c r="L9" i="19"/>
  <c r="M9" i="19"/>
  <c r="R9" i="19"/>
  <c r="G10" i="19"/>
  <c r="H10" i="19"/>
  <c r="I10" i="19"/>
  <c r="J10" i="19"/>
  <c r="K10" i="19"/>
  <c r="L10" i="19"/>
  <c r="M10" i="19"/>
  <c r="N10" i="19"/>
  <c r="O10" i="19"/>
  <c r="P10" i="19"/>
  <c r="Q10" i="19"/>
  <c r="R10" i="19"/>
  <c r="G11" i="19"/>
  <c r="H11" i="19"/>
  <c r="I11" i="19"/>
  <c r="J11" i="19"/>
  <c r="K11" i="19"/>
  <c r="L11" i="19"/>
  <c r="M11" i="19"/>
  <c r="N11" i="19"/>
  <c r="O11" i="19"/>
  <c r="P11" i="19"/>
  <c r="Q11" i="19"/>
  <c r="R11" i="19"/>
  <c r="G12" i="19"/>
  <c r="H12" i="19"/>
  <c r="I12" i="19"/>
  <c r="J12" i="19"/>
  <c r="K12" i="19"/>
  <c r="L12" i="19"/>
  <c r="M12" i="19"/>
  <c r="N12" i="19"/>
  <c r="O12" i="19"/>
  <c r="P12" i="19"/>
  <c r="Q12" i="19"/>
  <c r="R12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G15" i="19"/>
  <c r="H15" i="19"/>
  <c r="I15" i="19"/>
  <c r="J15" i="19"/>
  <c r="K15" i="19"/>
  <c r="L15" i="19"/>
  <c r="M15" i="19"/>
  <c r="N15" i="19"/>
  <c r="O15" i="19"/>
  <c r="P15" i="19"/>
  <c r="Q15" i="19"/>
  <c r="R15" i="19"/>
  <c r="G16" i="19"/>
  <c r="H16" i="19"/>
  <c r="I16" i="19"/>
  <c r="J16" i="19"/>
  <c r="K16" i="19"/>
  <c r="L16" i="19"/>
  <c r="M16" i="19"/>
  <c r="N16" i="19"/>
  <c r="O16" i="19"/>
  <c r="P16" i="19"/>
  <c r="Q16" i="19"/>
  <c r="R16" i="19"/>
  <c r="G17" i="19"/>
  <c r="H17" i="19"/>
  <c r="I17" i="19"/>
  <c r="J17" i="19"/>
  <c r="K17" i="19"/>
  <c r="L17" i="19"/>
  <c r="M17" i="19"/>
  <c r="N17" i="19"/>
  <c r="O17" i="19"/>
  <c r="P17" i="19"/>
  <c r="Q17" i="19"/>
  <c r="R17" i="19"/>
  <c r="G19" i="19"/>
  <c r="H19" i="19"/>
  <c r="I19" i="19"/>
  <c r="J19" i="19"/>
  <c r="K19" i="19"/>
  <c r="L19" i="19"/>
  <c r="M19" i="19"/>
  <c r="N19" i="19"/>
  <c r="O19" i="19"/>
  <c r="P19" i="19"/>
  <c r="Q19" i="19"/>
  <c r="R19" i="19"/>
  <c r="G20" i="19"/>
  <c r="H20" i="19"/>
  <c r="I20" i="19"/>
  <c r="J20" i="19"/>
  <c r="K20" i="19"/>
  <c r="L20" i="19"/>
  <c r="M20" i="19"/>
  <c r="N20" i="19"/>
  <c r="O20" i="19"/>
  <c r="P20" i="19"/>
  <c r="Q20" i="19"/>
  <c r="R20" i="19"/>
  <c r="G21" i="19"/>
  <c r="H21" i="19"/>
  <c r="I21" i="19"/>
  <c r="J21" i="19"/>
  <c r="K21" i="19"/>
  <c r="L21" i="19"/>
  <c r="M21" i="19"/>
  <c r="N21" i="19"/>
  <c r="O21" i="19"/>
  <c r="P21" i="19"/>
  <c r="Q21" i="19"/>
  <c r="R21" i="19"/>
  <c r="G22" i="19"/>
  <c r="H22" i="19"/>
  <c r="I22" i="19"/>
  <c r="J22" i="19"/>
  <c r="K22" i="19"/>
  <c r="L22" i="19"/>
  <c r="M22" i="19"/>
  <c r="N22" i="19"/>
  <c r="O22" i="19"/>
  <c r="P22" i="19"/>
  <c r="Q22" i="19"/>
  <c r="R22" i="19"/>
  <c r="G23" i="19"/>
  <c r="H23" i="19"/>
  <c r="I23" i="19"/>
  <c r="J23" i="19"/>
  <c r="K23" i="19"/>
  <c r="L23" i="19"/>
  <c r="M23" i="19"/>
  <c r="N23" i="19"/>
  <c r="O23" i="19"/>
  <c r="P23" i="19"/>
  <c r="Q23" i="19"/>
  <c r="R23" i="19"/>
  <c r="G25" i="19"/>
  <c r="H25" i="19"/>
  <c r="I25" i="19"/>
  <c r="J25" i="19"/>
  <c r="K25" i="19"/>
  <c r="L25" i="19"/>
  <c r="M25" i="19"/>
  <c r="N25" i="19"/>
  <c r="G26" i="19"/>
  <c r="H26" i="19"/>
  <c r="I26" i="19"/>
  <c r="J26" i="19"/>
  <c r="K26" i="19"/>
  <c r="L26" i="19"/>
  <c r="M26" i="19"/>
  <c r="N26" i="19"/>
  <c r="G27" i="19"/>
  <c r="H27" i="19"/>
  <c r="I27" i="19"/>
  <c r="J27" i="19"/>
  <c r="K27" i="19"/>
  <c r="L27" i="19"/>
  <c r="M27" i="19"/>
  <c r="N27" i="19"/>
  <c r="G28" i="19"/>
  <c r="H28" i="19"/>
  <c r="I28" i="19"/>
  <c r="J28" i="19"/>
  <c r="K28" i="19"/>
  <c r="L28" i="19"/>
  <c r="M28" i="19"/>
  <c r="N28" i="19"/>
  <c r="O28" i="19"/>
  <c r="G29" i="19"/>
  <c r="H29" i="19"/>
  <c r="I29" i="19"/>
  <c r="J29" i="19"/>
  <c r="K29" i="19"/>
  <c r="L29" i="19"/>
  <c r="M29" i="19"/>
  <c r="N29" i="19"/>
  <c r="O29" i="19"/>
  <c r="P29" i="19"/>
  <c r="Q29" i="19"/>
  <c r="R29" i="19"/>
  <c r="G30" i="19"/>
  <c r="H30" i="19"/>
  <c r="I30" i="19"/>
  <c r="J30" i="19"/>
  <c r="K30" i="19"/>
  <c r="L30" i="19"/>
  <c r="M30" i="19"/>
  <c r="N30" i="19"/>
  <c r="P30" i="19"/>
  <c r="Q30" i="19"/>
  <c r="R30" i="19"/>
  <c r="G31" i="19"/>
  <c r="H31" i="19"/>
  <c r="I31" i="19"/>
  <c r="J31" i="19"/>
  <c r="K31" i="19"/>
  <c r="L31" i="19"/>
  <c r="M31" i="19"/>
  <c r="N31" i="19"/>
  <c r="O31" i="19"/>
  <c r="P31" i="19"/>
  <c r="Q31" i="19"/>
  <c r="R31" i="19"/>
  <c r="G33" i="19"/>
  <c r="H33" i="19"/>
  <c r="I33" i="19"/>
  <c r="J33" i="19"/>
  <c r="K33" i="19"/>
  <c r="L33" i="19"/>
  <c r="M33" i="19"/>
  <c r="N33" i="19"/>
  <c r="O33" i="19"/>
  <c r="P33" i="19"/>
  <c r="Q33" i="19"/>
  <c r="R33" i="19"/>
  <c r="G34" i="19"/>
  <c r="H34" i="19"/>
  <c r="I34" i="19"/>
  <c r="J34" i="19"/>
  <c r="K34" i="19"/>
  <c r="L34" i="19"/>
  <c r="M34" i="19"/>
  <c r="N34" i="19"/>
  <c r="P34" i="19"/>
  <c r="R34" i="19"/>
  <c r="G35" i="19"/>
  <c r="H35" i="19"/>
  <c r="I35" i="19"/>
  <c r="J35" i="19"/>
  <c r="K35" i="19"/>
  <c r="L35" i="19"/>
  <c r="M35" i="19"/>
  <c r="N35" i="19"/>
  <c r="O35" i="19"/>
  <c r="P35" i="19"/>
  <c r="Q35" i="19"/>
  <c r="R35" i="19"/>
  <c r="G36" i="19"/>
  <c r="H36" i="19"/>
  <c r="I36" i="19"/>
  <c r="J36" i="19"/>
  <c r="K36" i="19"/>
  <c r="L36" i="19"/>
  <c r="M36" i="19"/>
  <c r="N36" i="19"/>
  <c r="O36" i="19"/>
  <c r="P36" i="19"/>
  <c r="G38" i="19"/>
  <c r="H38" i="19"/>
  <c r="I38" i="19"/>
  <c r="J38" i="19"/>
  <c r="K38" i="19"/>
  <c r="L38" i="19"/>
  <c r="M38" i="19"/>
  <c r="N38" i="19"/>
  <c r="O38" i="19"/>
  <c r="P38" i="19"/>
  <c r="Q38" i="19"/>
  <c r="R38" i="19"/>
  <c r="G39" i="19"/>
  <c r="H39" i="19"/>
  <c r="I39" i="19"/>
  <c r="J39" i="19"/>
  <c r="K39" i="19"/>
  <c r="L39" i="19"/>
  <c r="M39" i="19"/>
  <c r="N39" i="19"/>
  <c r="O39" i="19"/>
  <c r="P39" i="19"/>
  <c r="Q39" i="19"/>
  <c r="R39" i="19"/>
  <c r="G40" i="19"/>
  <c r="H40" i="19"/>
  <c r="I40" i="19"/>
  <c r="J40" i="19"/>
  <c r="K40" i="19"/>
  <c r="L40" i="19"/>
  <c r="M40" i="19"/>
  <c r="N40" i="19"/>
  <c r="O40" i="19"/>
  <c r="P40" i="19"/>
  <c r="Q40" i="19"/>
  <c r="R40" i="19"/>
  <c r="G41" i="19"/>
  <c r="H41" i="19"/>
  <c r="I41" i="19"/>
  <c r="J41" i="19"/>
  <c r="K41" i="19"/>
  <c r="L41" i="19"/>
  <c r="M41" i="19"/>
  <c r="N41" i="19"/>
  <c r="O41" i="19"/>
  <c r="P41" i="19"/>
  <c r="Q41" i="19"/>
  <c r="G42" i="19"/>
  <c r="H42" i="19"/>
  <c r="I42" i="19"/>
  <c r="J42" i="19"/>
  <c r="K42" i="19"/>
  <c r="L42" i="19"/>
  <c r="M42" i="19"/>
  <c r="N42" i="19"/>
  <c r="O42" i="19"/>
  <c r="P42" i="19"/>
  <c r="Q42" i="19"/>
  <c r="R42" i="19"/>
  <c r="G90" i="19"/>
  <c r="H90" i="19"/>
  <c r="I90" i="19"/>
  <c r="J90" i="19"/>
  <c r="K90" i="19"/>
  <c r="L90" i="19"/>
  <c r="M90" i="19"/>
  <c r="N90" i="19"/>
  <c r="O90" i="19"/>
  <c r="Q90" i="19"/>
  <c r="G91" i="19"/>
  <c r="H91" i="19"/>
  <c r="I91" i="19"/>
  <c r="J91" i="19"/>
  <c r="K91" i="19"/>
  <c r="L91" i="19"/>
  <c r="M91" i="19"/>
  <c r="N91" i="19"/>
  <c r="O91" i="19"/>
  <c r="P91" i="19"/>
  <c r="Q91" i="19"/>
  <c r="R91" i="19"/>
  <c r="G92" i="19"/>
  <c r="H92" i="19"/>
  <c r="I92" i="19"/>
  <c r="J92" i="19"/>
  <c r="K92" i="19"/>
  <c r="L92" i="19"/>
  <c r="M92" i="19"/>
  <c r="N92" i="19"/>
  <c r="O92" i="19"/>
  <c r="P92" i="19"/>
  <c r="Q92" i="19"/>
  <c r="R92" i="19"/>
  <c r="G93" i="19"/>
  <c r="H93" i="19"/>
  <c r="I93" i="19"/>
  <c r="J93" i="19"/>
  <c r="K93" i="19"/>
  <c r="L93" i="19"/>
  <c r="M93" i="19"/>
  <c r="O93" i="19"/>
  <c r="Q93" i="19"/>
  <c r="R93" i="19"/>
  <c r="G94" i="19"/>
  <c r="H94" i="19"/>
  <c r="I94" i="19"/>
  <c r="J94" i="19"/>
  <c r="K94" i="19"/>
  <c r="L94" i="19"/>
  <c r="M94" i="19"/>
  <c r="N94" i="19"/>
  <c r="O94" i="19"/>
  <c r="P94" i="19"/>
  <c r="Q94" i="19"/>
  <c r="R94" i="19"/>
  <c r="G95" i="19"/>
  <c r="H95" i="19"/>
  <c r="I95" i="19"/>
  <c r="J95" i="19"/>
  <c r="K95" i="19"/>
  <c r="L95" i="19"/>
  <c r="M95" i="19"/>
  <c r="O95" i="19"/>
  <c r="P95" i="19"/>
  <c r="R95" i="19"/>
  <c r="G96" i="19"/>
  <c r="H96" i="19"/>
  <c r="I96" i="19"/>
  <c r="J96" i="19"/>
  <c r="K96" i="19"/>
  <c r="L96" i="19"/>
  <c r="M96" i="19"/>
  <c r="O96" i="19"/>
  <c r="P96" i="19"/>
  <c r="R96" i="19"/>
  <c r="G44" i="19"/>
  <c r="H44" i="19"/>
  <c r="I44" i="19"/>
  <c r="J44" i="19"/>
  <c r="K44" i="19"/>
  <c r="L44" i="19"/>
  <c r="M44" i="19"/>
  <c r="N44" i="19"/>
  <c r="P44" i="19"/>
  <c r="R44" i="19"/>
  <c r="G45" i="19"/>
  <c r="H45" i="19"/>
  <c r="I45" i="19"/>
  <c r="J45" i="19"/>
  <c r="K45" i="19"/>
  <c r="L45" i="19"/>
  <c r="M45" i="19"/>
  <c r="N45" i="19"/>
  <c r="O45" i="19"/>
  <c r="P45" i="19"/>
  <c r="Q45" i="19"/>
  <c r="R45" i="19"/>
  <c r="G46" i="19"/>
  <c r="H46" i="19"/>
  <c r="I46" i="19"/>
  <c r="J46" i="19"/>
  <c r="K46" i="19"/>
  <c r="L46" i="19"/>
  <c r="M46" i="19"/>
  <c r="N46" i="19"/>
  <c r="O46" i="19"/>
  <c r="P46" i="19"/>
  <c r="Q46" i="19"/>
  <c r="R46" i="19"/>
  <c r="G47" i="19"/>
  <c r="H47" i="19"/>
  <c r="I47" i="19"/>
  <c r="J47" i="19"/>
  <c r="K47" i="19"/>
  <c r="L47" i="19"/>
  <c r="M47" i="19"/>
  <c r="N47" i="19"/>
  <c r="O47" i="19"/>
  <c r="P47" i="19"/>
  <c r="Q47" i="19"/>
  <c r="R47" i="19"/>
  <c r="G70" i="19"/>
  <c r="H70" i="19"/>
  <c r="I70" i="19"/>
  <c r="J70" i="19"/>
  <c r="K70" i="19"/>
  <c r="L70" i="19"/>
  <c r="M70" i="19"/>
  <c r="N70" i="19"/>
  <c r="O70" i="19"/>
  <c r="P70" i="19"/>
  <c r="Q70" i="19"/>
  <c r="R70" i="19"/>
  <c r="G71" i="19"/>
  <c r="H71" i="19"/>
  <c r="I71" i="19"/>
  <c r="J71" i="19"/>
  <c r="K71" i="19"/>
  <c r="L71" i="19"/>
  <c r="M71" i="19"/>
  <c r="N71" i="19"/>
  <c r="O71" i="19"/>
  <c r="P71" i="19"/>
  <c r="Q71" i="19"/>
  <c r="R71" i="19"/>
  <c r="G72" i="19"/>
  <c r="H72" i="19"/>
  <c r="I72" i="19"/>
  <c r="J72" i="19"/>
  <c r="K72" i="19"/>
  <c r="L72" i="19"/>
  <c r="M72" i="19"/>
  <c r="N72" i="19"/>
  <c r="O72" i="19"/>
  <c r="P72" i="19"/>
  <c r="Q72" i="19"/>
  <c r="R72" i="19"/>
  <c r="G73" i="19"/>
  <c r="H73" i="19"/>
  <c r="I73" i="19"/>
  <c r="J73" i="19"/>
  <c r="K73" i="19"/>
  <c r="L73" i="19"/>
  <c r="M73" i="19"/>
  <c r="N73" i="19"/>
  <c r="G74" i="19"/>
  <c r="H74" i="19"/>
  <c r="I74" i="19"/>
  <c r="J74" i="19"/>
  <c r="K74" i="19"/>
  <c r="L74" i="19"/>
  <c r="M74" i="19"/>
  <c r="N74" i="19"/>
  <c r="O74" i="19"/>
  <c r="P74" i="19"/>
  <c r="Q74" i="19"/>
  <c r="G75" i="19"/>
  <c r="H75" i="19"/>
  <c r="I75" i="19"/>
  <c r="J75" i="19"/>
  <c r="K75" i="19"/>
  <c r="L75" i="19"/>
  <c r="M75" i="19"/>
  <c r="N75" i="19"/>
  <c r="O75" i="19"/>
  <c r="P75" i="19"/>
  <c r="Q75" i="19"/>
  <c r="R75" i="19"/>
  <c r="G76" i="19"/>
  <c r="H76" i="19"/>
  <c r="I76" i="19"/>
  <c r="J76" i="19"/>
  <c r="K76" i="19"/>
  <c r="L76" i="19"/>
  <c r="M76" i="19"/>
  <c r="N76" i="19"/>
  <c r="O76" i="19"/>
  <c r="P76" i="19"/>
  <c r="Q76" i="19"/>
  <c r="R76" i="19"/>
  <c r="G77" i="19"/>
  <c r="H77" i="19"/>
  <c r="I77" i="19"/>
  <c r="J77" i="19"/>
  <c r="K77" i="19"/>
  <c r="L77" i="19"/>
  <c r="M77" i="19"/>
  <c r="N77" i="19"/>
  <c r="O77" i="19"/>
  <c r="P77" i="19"/>
  <c r="Q77" i="19"/>
  <c r="R77" i="19"/>
  <c r="G78" i="19"/>
  <c r="H78" i="19"/>
  <c r="I78" i="19"/>
  <c r="J78" i="19"/>
  <c r="K78" i="19"/>
  <c r="L78" i="19"/>
  <c r="M78" i="19"/>
  <c r="N78" i="19"/>
  <c r="O78" i="19"/>
  <c r="P78" i="19"/>
  <c r="Q78" i="19"/>
  <c r="R78" i="19"/>
  <c r="G79" i="19"/>
  <c r="H79" i="19"/>
  <c r="I79" i="19"/>
  <c r="J79" i="19"/>
  <c r="K79" i="19"/>
  <c r="L79" i="19"/>
  <c r="M79" i="19"/>
  <c r="N79" i="19"/>
  <c r="O79" i="19"/>
  <c r="P79" i="19"/>
  <c r="Q79" i="19"/>
  <c r="R7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G50" i="19"/>
  <c r="H50" i="19"/>
  <c r="I50" i="19"/>
  <c r="J50" i="19"/>
  <c r="K50" i="19"/>
  <c r="L50" i="19"/>
  <c r="M50" i="19"/>
  <c r="N50" i="19"/>
  <c r="O50" i="19"/>
  <c r="P50" i="19"/>
  <c r="Q50" i="19"/>
  <c r="R50" i="19"/>
  <c r="G51" i="19"/>
  <c r="H51" i="19"/>
  <c r="I51" i="19"/>
  <c r="J51" i="19"/>
  <c r="K51" i="19"/>
  <c r="L51" i="19"/>
  <c r="M51" i="19"/>
  <c r="N51" i="19"/>
  <c r="O51" i="19"/>
  <c r="P51" i="19"/>
  <c r="Q51" i="19"/>
  <c r="R51" i="19"/>
  <c r="G53" i="19"/>
  <c r="H53" i="19"/>
  <c r="I53" i="19"/>
  <c r="J53" i="19"/>
  <c r="K53" i="19"/>
  <c r="L53" i="19"/>
  <c r="M53" i="19"/>
  <c r="N53" i="19"/>
  <c r="O53" i="19"/>
  <c r="P53" i="19"/>
  <c r="Q53" i="19"/>
  <c r="G54" i="19"/>
  <c r="H54" i="19"/>
  <c r="I54" i="19"/>
  <c r="J54" i="19"/>
  <c r="K54" i="19"/>
  <c r="L54" i="19"/>
  <c r="M54" i="19"/>
  <c r="N54" i="19"/>
  <c r="O54" i="19"/>
  <c r="P54" i="19"/>
  <c r="Q54" i="19"/>
  <c r="R54" i="19"/>
  <c r="G57" i="19"/>
  <c r="H57" i="19"/>
  <c r="I57" i="19"/>
  <c r="J57" i="19"/>
  <c r="K57" i="19"/>
  <c r="N57" i="19"/>
  <c r="O57" i="19"/>
  <c r="P57" i="19"/>
  <c r="Q57" i="19"/>
  <c r="R57" i="19"/>
  <c r="G58" i="19"/>
  <c r="H58" i="19"/>
  <c r="I58" i="19"/>
  <c r="J58" i="19"/>
  <c r="K58" i="19"/>
  <c r="L58" i="19"/>
  <c r="M58" i="19"/>
  <c r="N58" i="19"/>
  <c r="O58" i="19"/>
  <c r="P58" i="19"/>
  <c r="Q58" i="19"/>
  <c r="R58" i="19"/>
  <c r="G59" i="19"/>
  <c r="H59" i="19"/>
  <c r="I59" i="19"/>
  <c r="J59" i="19"/>
  <c r="K59" i="19"/>
  <c r="L59" i="19"/>
  <c r="M59" i="19"/>
  <c r="N59" i="19"/>
  <c r="O59" i="19"/>
  <c r="P59" i="19"/>
  <c r="Q59" i="19"/>
  <c r="R59" i="19"/>
  <c r="G60" i="19"/>
  <c r="H60" i="19"/>
  <c r="I60" i="19"/>
  <c r="J60" i="19"/>
  <c r="K60" i="19"/>
  <c r="L60" i="19"/>
  <c r="M60" i="19"/>
  <c r="N60" i="19"/>
  <c r="O60" i="19"/>
  <c r="P60" i="19"/>
  <c r="Q60" i="19"/>
  <c r="R60" i="19"/>
  <c r="G61" i="19"/>
  <c r="H61" i="19"/>
  <c r="I61" i="19"/>
  <c r="J61" i="19"/>
  <c r="K61" i="19"/>
  <c r="L61" i="19"/>
  <c r="M61" i="19"/>
  <c r="N61" i="19"/>
  <c r="O61" i="19"/>
  <c r="P61" i="19"/>
  <c r="Q61" i="19"/>
  <c r="R61" i="19"/>
  <c r="G63" i="19"/>
  <c r="H63" i="19"/>
  <c r="I63" i="19"/>
  <c r="J63" i="19"/>
  <c r="K63" i="19"/>
  <c r="L63" i="19"/>
  <c r="M63" i="19"/>
  <c r="N63" i="19"/>
  <c r="O63" i="19"/>
  <c r="P63" i="19"/>
  <c r="Q63" i="19"/>
  <c r="R63" i="19"/>
  <c r="G64" i="19"/>
  <c r="H64" i="19"/>
  <c r="I64" i="19"/>
  <c r="J64" i="19"/>
  <c r="K64" i="19"/>
  <c r="O64" i="19"/>
  <c r="P64" i="19"/>
  <c r="Q64" i="19"/>
  <c r="R64" i="19"/>
  <c r="G65" i="19"/>
  <c r="H65" i="19"/>
  <c r="I65" i="19"/>
  <c r="J65" i="19"/>
  <c r="K65" i="19"/>
  <c r="L65" i="19"/>
  <c r="M65" i="19"/>
  <c r="N65" i="19"/>
  <c r="O65" i="19"/>
  <c r="P65" i="19"/>
  <c r="Q65" i="19"/>
  <c r="R65" i="19"/>
  <c r="G66" i="19"/>
  <c r="H66" i="19"/>
  <c r="I66" i="19"/>
  <c r="J66" i="19"/>
  <c r="K66" i="19"/>
  <c r="L66" i="19"/>
  <c r="M66" i="19"/>
  <c r="N66" i="19"/>
  <c r="O66" i="19"/>
  <c r="P66" i="19"/>
  <c r="Q66" i="19"/>
  <c r="R66" i="19"/>
  <c r="G67" i="19"/>
  <c r="H67" i="19"/>
  <c r="I67" i="19"/>
  <c r="J67" i="19"/>
  <c r="K67" i="19"/>
  <c r="L67" i="19"/>
  <c r="M67" i="19"/>
  <c r="N67" i="19"/>
  <c r="O67" i="19"/>
  <c r="P67" i="19"/>
  <c r="Q67" i="19"/>
  <c r="R67" i="19"/>
  <c r="G68" i="19"/>
  <c r="H68" i="19"/>
  <c r="I68" i="19"/>
  <c r="J68" i="19"/>
  <c r="K68" i="19"/>
  <c r="L68" i="19"/>
  <c r="M68" i="19"/>
  <c r="N68" i="19"/>
  <c r="O68" i="19"/>
  <c r="P68" i="19"/>
  <c r="Q68" i="19"/>
  <c r="R68" i="19"/>
  <c r="G81" i="19"/>
  <c r="H81" i="19"/>
  <c r="I81" i="19"/>
  <c r="J81" i="19"/>
  <c r="K81" i="19"/>
  <c r="G82" i="19"/>
  <c r="H82" i="19"/>
  <c r="I82" i="19"/>
  <c r="J82" i="19"/>
  <c r="K82" i="19"/>
  <c r="L82" i="19"/>
  <c r="M82" i="19"/>
  <c r="N82" i="19"/>
  <c r="O82" i="19"/>
  <c r="P82" i="19"/>
  <c r="Q82" i="19"/>
  <c r="R82" i="19"/>
  <c r="G83" i="19"/>
  <c r="H83" i="19"/>
  <c r="I83" i="19"/>
  <c r="J83" i="19"/>
  <c r="K83" i="19"/>
  <c r="L83" i="19"/>
  <c r="M83" i="19"/>
  <c r="N83" i="19"/>
  <c r="O83" i="19"/>
  <c r="P83" i="19"/>
  <c r="Q83" i="19"/>
  <c r="R83" i="19"/>
  <c r="G84" i="19"/>
  <c r="H84" i="19"/>
  <c r="I84" i="19"/>
  <c r="J84" i="19"/>
  <c r="K84" i="19"/>
  <c r="L84" i="19"/>
  <c r="M84" i="19"/>
  <c r="N84" i="19"/>
  <c r="O84" i="19"/>
  <c r="P84" i="19"/>
  <c r="Q84" i="19"/>
  <c r="R84" i="19"/>
  <c r="G86" i="19"/>
  <c r="H86" i="19"/>
  <c r="I86" i="19"/>
  <c r="J86" i="19"/>
  <c r="K86" i="19"/>
  <c r="L86" i="19"/>
  <c r="M86" i="19"/>
  <c r="N86" i="19"/>
  <c r="O86" i="19"/>
  <c r="P86" i="19"/>
  <c r="Q86" i="19"/>
  <c r="R86" i="19"/>
  <c r="G87" i="19"/>
  <c r="H87" i="19"/>
  <c r="I87" i="19"/>
  <c r="J87" i="19"/>
  <c r="K87" i="19"/>
  <c r="L87" i="19"/>
  <c r="M87" i="19"/>
  <c r="N87" i="19"/>
  <c r="O87" i="19"/>
  <c r="P87" i="19"/>
  <c r="Q87" i="19"/>
  <c r="R87" i="19"/>
  <c r="G88" i="19"/>
  <c r="H88" i="19"/>
  <c r="I88" i="19"/>
  <c r="J88" i="19"/>
  <c r="K88" i="19"/>
  <c r="L88" i="19"/>
  <c r="M88" i="19"/>
  <c r="N88" i="19"/>
  <c r="O88" i="19"/>
  <c r="P88" i="19"/>
  <c r="Q88" i="19"/>
  <c r="R88" i="19"/>
  <c r="G100" i="19"/>
  <c r="G101" i="19"/>
  <c r="G102" i="19"/>
  <c r="G103" i="19"/>
  <c r="G104" i="19"/>
  <c r="G108" i="19"/>
  <c r="H108" i="19"/>
  <c r="I108" i="19"/>
  <c r="J108" i="19"/>
  <c r="K108" i="19"/>
  <c r="L108" i="19"/>
  <c r="M108" i="19"/>
  <c r="N108" i="19"/>
  <c r="O108" i="19"/>
  <c r="P108" i="19"/>
  <c r="Q108" i="19"/>
  <c r="R108" i="19"/>
  <c r="G109" i="19"/>
  <c r="H109" i="19"/>
  <c r="I109" i="19"/>
  <c r="J109" i="19"/>
  <c r="K109" i="19"/>
  <c r="L109" i="19"/>
  <c r="M109" i="19"/>
  <c r="N109" i="19"/>
  <c r="O109" i="19"/>
  <c r="P109" i="19"/>
  <c r="Q109" i="19"/>
  <c r="R109" i="19"/>
  <c r="G110" i="19"/>
  <c r="H110" i="19"/>
  <c r="I110" i="19"/>
  <c r="J110" i="19"/>
  <c r="K110" i="19"/>
  <c r="L110" i="19"/>
  <c r="M110" i="19"/>
  <c r="N110" i="19"/>
  <c r="O110" i="19"/>
  <c r="P110" i="19"/>
  <c r="Q110" i="19"/>
  <c r="R110" i="19"/>
  <c r="G112" i="19"/>
  <c r="H112" i="19"/>
  <c r="I112" i="19"/>
  <c r="J112" i="19"/>
  <c r="K112" i="19"/>
  <c r="L112" i="19"/>
  <c r="M112" i="19"/>
  <c r="N112" i="19"/>
  <c r="O112" i="19"/>
  <c r="P112" i="19"/>
  <c r="R112" i="19"/>
  <c r="G113" i="19"/>
  <c r="H113" i="19"/>
  <c r="I113" i="19"/>
  <c r="J113" i="19"/>
  <c r="K113" i="19"/>
  <c r="L113" i="19"/>
  <c r="M113" i="19"/>
  <c r="N113" i="19"/>
  <c r="O113" i="19"/>
  <c r="P113" i="19"/>
  <c r="Q113" i="19"/>
  <c r="R113" i="19"/>
  <c r="B114" i="19"/>
  <c r="A114" i="19"/>
  <c r="C113" i="19"/>
  <c r="B113" i="19"/>
  <c r="A113" i="19"/>
  <c r="B112" i="19"/>
  <c r="A112" i="19"/>
  <c r="B111" i="19"/>
  <c r="A111" i="19"/>
  <c r="B110" i="19"/>
  <c r="A110" i="19"/>
  <c r="B109" i="19"/>
  <c r="A109" i="19"/>
  <c r="B108" i="19"/>
  <c r="A108" i="19"/>
  <c r="B107" i="19"/>
  <c r="A107" i="19"/>
  <c r="B106" i="19"/>
  <c r="A106" i="19"/>
  <c r="B104" i="19"/>
  <c r="A104" i="19"/>
  <c r="B103" i="19"/>
  <c r="A103" i="19"/>
  <c r="B102" i="19"/>
  <c r="A102" i="19"/>
  <c r="B101" i="19"/>
  <c r="A101" i="19"/>
  <c r="B100" i="19"/>
  <c r="A100" i="19"/>
  <c r="B99" i="19"/>
  <c r="A99" i="19"/>
  <c r="B98" i="19"/>
  <c r="A98" i="19"/>
  <c r="B97" i="19"/>
  <c r="A97" i="19"/>
  <c r="B88" i="19"/>
  <c r="A88" i="19"/>
  <c r="B87" i="19"/>
  <c r="A87" i="19"/>
  <c r="B86" i="19"/>
  <c r="A86" i="19"/>
  <c r="B85" i="19"/>
  <c r="A85" i="19"/>
  <c r="B84" i="19"/>
  <c r="A84" i="19"/>
  <c r="B83" i="19"/>
  <c r="A83" i="19"/>
  <c r="B82" i="19"/>
  <c r="A82" i="19"/>
  <c r="B81" i="19"/>
  <c r="A81" i="19"/>
  <c r="B80" i="19"/>
  <c r="A80" i="19"/>
  <c r="B68" i="19"/>
  <c r="A68" i="19"/>
  <c r="B67" i="19"/>
  <c r="A67" i="19"/>
  <c r="B66" i="19"/>
  <c r="A66" i="19"/>
  <c r="B65" i="19"/>
  <c r="A65" i="19"/>
  <c r="B64" i="19"/>
  <c r="A64" i="19"/>
  <c r="B63" i="19"/>
  <c r="A63" i="19"/>
  <c r="B62" i="19"/>
  <c r="A62" i="19"/>
  <c r="B61" i="19"/>
  <c r="A61" i="19"/>
  <c r="B60" i="19"/>
  <c r="A60" i="19"/>
  <c r="B59" i="19"/>
  <c r="A59" i="19"/>
  <c r="B58" i="19"/>
  <c r="A58" i="19"/>
  <c r="B57" i="19"/>
  <c r="A57" i="19"/>
  <c r="B56" i="19"/>
  <c r="A56" i="19"/>
  <c r="B55" i="19"/>
  <c r="A55" i="19"/>
  <c r="B51" i="19"/>
  <c r="A51" i="19"/>
  <c r="B50" i="19"/>
  <c r="A50" i="19"/>
  <c r="B49" i="19"/>
  <c r="A49" i="19"/>
  <c r="B48" i="19"/>
  <c r="A48" i="19"/>
  <c r="B79" i="19"/>
  <c r="A79" i="19"/>
  <c r="B78" i="19"/>
  <c r="A78" i="19"/>
  <c r="B77" i="19"/>
  <c r="A77" i="19"/>
  <c r="B76" i="19"/>
  <c r="A76" i="19"/>
  <c r="B75" i="19"/>
  <c r="A75" i="19"/>
  <c r="B74" i="19"/>
  <c r="A74" i="19"/>
  <c r="B73" i="19"/>
  <c r="A73" i="19"/>
  <c r="B72" i="19"/>
  <c r="A72" i="19"/>
  <c r="B71" i="19"/>
  <c r="A71" i="19"/>
  <c r="B70" i="19"/>
  <c r="A70" i="19"/>
  <c r="B69" i="19"/>
  <c r="A69" i="19"/>
  <c r="B47" i="19"/>
  <c r="A47" i="19"/>
  <c r="B46" i="19"/>
  <c r="A46" i="19"/>
  <c r="B45" i="19"/>
  <c r="A45" i="19"/>
  <c r="C44" i="19"/>
  <c r="B44" i="19"/>
  <c r="A44" i="19"/>
  <c r="B43" i="19"/>
  <c r="A43" i="19"/>
  <c r="B96" i="19"/>
  <c r="A96" i="19"/>
  <c r="B95" i="19"/>
  <c r="A95" i="19"/>
  <c r="B94" i="19"/>
  <c r="A94" i="19"/>
  <c r="B93" i="19"/>
  <c r="A93" i="19"/>
  <c r="B92" i="19"/>
  <c r="A92" i="19"/>
  <c r="B91" i="19"/>
  <c r="A91" i="19"/>
  <c r="B90" i="19"/>
  <c r="A90" i="19"/>
  <c r="B89" i="19"/>
  <c r="A89" i="19"/>
  <c r="B42" i="19"/>
  <c r="A42" i="19"/>
  <c r="B41" i="19"/>
  <c r="A41" i="19"/>
  <c r="B40" i="19"/>
  <c r="A40" i="19"/>
  <c r="B39" i="19"/>
  <c r="A39" i="19"/>
  <c r="B38" i="19"/>
  <c r="A38" i="19"/>
  <c r="B37" i="19"/>
  <c r="A37" i="19"/>
  <c r="B36" i="19"/>
  <c r="A36" i="19"/>
  <c r="B35" i="19"/>
  <c r="A35" i="19"/>
  <c r="B34" i="19"/>
  <c r="A34" i="19"/>
  <c r="B33" i="19"/>
  <c r="A33" i="19"/>
  <c r="B32" i="19"/>
  <c r="A32" i="19"/>
  <c r="B31" i="19"/>
  <c r="A31" i="19"/>
  <c r="B30" i="19"/>
  <c r="A30" i="19"/>
  <c r="B29" i="19"/>
  <c r="A29" i="19"/>
  <c r="B28" i="19"/>
  <c r="A28" i="19"/>
  <c r="B27" i="19"/>
  <c r="A27" i="19"/>
  <c r="B26" i="19"/>
  <c r="A26" i="19"/>
  <c r="B25" i="19"/>
  <c r="A25" i="19"/>
  <c r="B24" i="19"/>
  <c r="A24" i="19"/>
  <c r="B23" i="19"/>
  <c r="A23" i="19"/>
  <c r="B22" i="19"/>
  <c r="A22" i="19"/>
  <c r="B21" i="19"/>
  <c r="A21" i="19"/>
  <c r="B20" i="19"/>
  <c r="A20" i="19"/>
  <c r="B19" i="19"/>
  <c r="A19" i="19"/>
  <c r="B18" i="19"/>
  <c r="A18" i="19"/>
  <c r="B17" i="19"/>
  <c r="A17" i="19"/>
  <c r="B16" i="19"/>
  <c r="A16" i="19"/>
  <c r="B15" i="19"/>
  <c r="A15" i="19"/>
  <c r="B14" i="19"/>
  <c r="A14" i="19"/>
  <c r="B13" i="19"/>
  <c r="A13" i="19"/>
  <c r="B12" i="19"/>
  <c r="A12" i="19"/>
  <c r="B11" i="19"/>
  <c r="A11" i="19"/>
  <c r="B10" i="19"/>
  <c r="A10" i="19"/>
  <c r="B9" i="19"/>
  <c r="A9" i="19"/>
  <c r="B8" i="19"/>
  <c r="A8" i="19"/>
  <c r="B7" i="19"/>
  <c r="A7" i="19"/>
  <c r="Y103" i="7" l="1"/>
  <c r="M105" i="19"/>
  <c r="M50" i="7"/>
  <c r="H50" i="16"/>
  <c r="C52" i="19"/>
  <c r="S60" i="19"/>
  <c r="S76" i="19"/>
  <c r="S75" i="19"/>
  <c r="S42" i="19"/>
  <c r="S35" i="19"/>
  <c r="S17" i="19"/>
  <c r="S84" i="19"/>
  <c r="S83" i="19"/>
  <c r="S14" i="19"/>
  <c r="S29" i="19"/>
  <c r="S78" i="19"/>
  <c r="S71" i="19"/>
  <c r="S77" i="19"/>
  <c r="S72" i="19"/>
  <c r="S47" i="19"/>
  <c r="S50" i="19"/>
  <c r="S59" i="19"/>
  <c r="S65" i="19"/>
  <c r="S67" i="19"/>
  <c r="S113" i="19"/>
  <c r="S110" i="19"/>
  <c r="M85" i="1"/>
  <c r="C87" i="19" s="1"/>
  <c r="M86" i="1"/>
  <c r="C88" i="19" s="1"/>
  <c r="M84" i="1"/>
  <c r="M81" i="1"/>
  <c r="C83" i="19" s="1"/>
  <c r="M82" i="1"/>
  <c r="C84" i="19" s="1"/>
  <c r="M80" i="1"/>
  <c r="C82" i="19" s="1"/>
  <c r="C68" i="19"/>
  <c r="M65" i="1"/>
  <c r="C67" i="19" s="1"/>
  <c r="N65" i="1"/>
  <c r="M62" i="1"/>
  <c r="O62" i="1" s="1"/>
  <c r="M63" i="1"/>
  <c r="C65" i="19" s="1"/>
  <c r="M64" i="1"/>
  <c r="C66" i="19" s="1"/>
  <c r="M61" i="1"/>
  <c r="M56" i="1"/>
  <c r="C58" i="19" s="1"/>
  <c r="M57" i="1"/>
  <c r="C59" i="19" s="1"/>
  <c r="M58" i="1"/>
  <c r="C60" i="19" s="1"/>
  <c r="M59" i="1"/>
  <c r="C61" i="19" s="1"/>
  <c r="M55" i="1"/>
  <c r="M49" i="1"/>
  <c r="C51" i="19" s="1"/>
  <c r="M48" i="1"/>
  <c r="C50" i="19" s="1"/>
  <c r="M47" i="1"/>
  <c r="M77" i="1"/>
  <c r="C79" i="19" s="1"/>
  <c r="M75" i="1"/>
  <c r="C77" i="19" s="1"/>
  <c r="M76" i="1"/>
  <c r="C78" i="19" s="1"/>
  <c r="M74" i="1"/>
  <c r="C76" i="19" s="1"/>
  <c r="M73" i="1"/>
  <c r="C75" i="19" s="1"/>
  <c r="M72" i="1"/>
  <c r="C74" i="19" s="1"/>
  <c r="M71" i="1"/>
  <c r="C73" i="19" s="1"/>
  <c r="M70" i="1"/>
  <c r="C72" i="19" s="1"/>
  <c r="M69" i="1"/>
  <c r="C71" i="19" s="1"/>
  <c r="M68" i="1"/>
  <c r="M44" i="1"/>
  <c r="C46" i="19" s="1"/>
  <c r="M45" i="1"/>
  <c r="C47" i="19" s="1"/>
  <c r="M43" i="1"/>
  <c r="M94" i="1"/>
  <c r="C96" i="19" s="1"/>
  <c r="M93" i="1"/>
  <c r="C95" i="19" s="1"/>
  <c r="M92" i="1"/>
  <c r="C94" i="19" s="1"/>
  <c r="M91" i="1"/>
  <c r="C93" i="19" s="1"/>
  <c r="M90" i="1"/>
  <c r="C92" i="19" s="1"/>
  <c r="M31" i="1"/>
  <c r="M89" i="1"/>
  <c r="C91" i="19" s="1"/>
  <c r="M88" i="1"/>
  <c r="M40" i="1"/>
  <c r="C42" i="19" s="1"/>
  <c r="M38" i="1"/>
  <c r="C40" i="19" s="1"/>
  <c r="M29" i="1"/>
  <c r="C31" i="19" s="1"/>
  <c r="M27" i="1"/>
  <c r="C29" i="19" s="1"/>
  <c r="M26" i="1"/>
  <c r="C28" i="19" s="1"/>
  <c r="M24" i="1"/>
  <c r="C26" i="19" s="1"/>
  <c r="M23" i="1"/>
  <c r="M15" i="1"/>
  <c r="C17" i="19" s="1"/>
  <c r="M13" i="1"/>
  <c r="C15" i="19" s="1"/>
  <c r="M12" i="1"/>
  <c r="M10" i="1"/>
  <c r="C12" i="19" s="1"/>
  <c r="M9" i="1"/>
  <c r="C11" i="19" s="1"/>
  <c r="M7" i="1"/>
  <c r="J95" i="9"/>
  <c r="C95" i="9"/>
  <c r="B67" i="10" s="1"/>
  <c r="D95" i="9"/>
  <c r="A67" i="10" s="1"/>
  <c r="A62" i="16"/>
  <c r="B62" i="16"/>
  <c r="C62" i="16"/>
  <c r="D62" i="16"/>
  <c r="E62" i="16"/>
  <c r="F62" i="16"/>
  <c r="G62" i="16"/>
  <c r="H62" i="16"/>
  <c r="A63" i="16"/>
  <c r="B63" i="16"/>
  <c r="C63" i="16"/>
  <c r="D63" i="16"/>
  <c r="E63" i="16"/>
  <c r="F63" i="16"/>
  <c r="G63" i="16"/>
  <c r="T79" i="7"/>
  <c r="O60" i="7"/>
  <c r="O78" i="7"/>
  <c r="A62" i="7"/>
  <c r="B62" i="7"/>
  <c r="C62" i="7"/>
  <c r="D62" i="7"/>
  <c r="E62" i="7"/>
  <c r="F62" i="7"/>
  <c r="G62" i="7"/>
  <c r="H62" i="7"/>
  <c r="I62" i="7"/>
  <c r="J62" i="7"/>
  <c r="K62" i="7"/>
  <c r="L62" i="7"/>
  <c r="C35" i="19"/>
  <c r="N62" i="1"/>
  <c r="O42" i="1"/>
  <c r="Z103" i="7" l="1"/>
  <c r="R105" i="19" s="1"/>
  <c r="Q105" i="19"/>
  <c r="BZ103" i="7"/>
  <c r="CA103" i="7"/>
  <c r="M62" i="7"/>
  <c r="V62" i="7" s="1"/>
  <c r="N64" i="19" s="1"/>
  <c r="M87" i="1"/>
  <c r="M41" i="1"/>
  <c r="C9" i="19"/>
  <c r="C70" i="19"/>
  <c r="C69" i="19" s="1"/>
  <c r="M67" i="1"/>
  <c r="C63" i="19"/>
  <c r="M60" i="1"/>
  <c r="C25" i="19"/>
  <c r="C49" i="19"/>
  <c r="C48" i="19" s="1"/>
  <c r="M46" i="1"/>
  <c r="C86" i="19"/>
  <c r="C85" i="19" s="1"/>
  <c r="M83" i="1"/>
  <c r="C14" i="19"/>
  <c r="C57" i="19"/>
  <c r="C56" i="19" s="1"/>
  <c r="M54" i="1"/>
  <c r="C90" i="19"/>
  <c r="C89" i="19" s="1"/>
  <c r="C45" i="19"/>
  <c r="C43" i="19" s="1"/>
  <c r="C33" i="19"/>
  <c r="G95" i="9"/>
  <c r="E67" i="10" s="1"/>
  <c r="C64" i="19"/>
  <c r="G62" i="19"/>
  <c r="G80" i="19"/>
  <c r="U79" i="7"/>
  <c r="L81" i="19"/>
  <c r="S49" i="19"/>
  <c r="S87" i="19"/>
  <c r="S70" i="19"/>
  <c r="S33" i="19"/>
  <c r="S11" i="19"/>
  <c r="S19" i="19"/>
  <c r="S61" i="19"/>
  <c r="S54" i="19"/>
  <c r="S88" i="19"/>
  <c r="S23" i="19"/>
  <c r="S20" i="19"/>
  <c r="S108" i="19"/>
  <c r="S68" i="19"/>
  <c r="S66" i="19"/>
  <c r="S92" i="19"/>
  <c r="S86" i="19"/>
  <c r="S51" i="19"/>
  <c r="S31" i="19"/>
  <c r="S12" i="19"/>
  <c r="S10" i="19"/>
  <c r="S40" i="19"/>
  <c r="S21" i="19"/>
  <c r="S109" i="19"/>
  <c r="S79" i="19"/>
  <c r="S82" i="19"/>
  <c r="S16" i="19"/>
  <c r="S58" i="19"/>
  <c r="S91" i="19"/>
  <c r="S94" i="19"/>
  <c r="S63" i="19"/>
  <c r="S22" i="19"/>
  <c r="S15" i="19"/>
  <c r="CE58" i="7"/>
  <c r="U62" i="7"/>
  <c r="M64" i="19" s="1"/>
  <c r="N13" i="1"/>
  <c r="N14" i="1"/>
  <c r="H63" i="16"/>
  <c r="N61" i="1"/>
  <c r="S105" i="19" l="1"/>
  <c r="CB103" i="7"/>
  <c r="T62" i="7"/>
  <c r="BZ62" i="7" s="1"/>
  <c r="CE62" i="7" s="1"/>
  <c r="C62" i="19"/>
  <c r="V79" i="7"/>
  <c r="M81" i="19"/>
  <c r="S18" i="19"/>
  <c r="S48" i="19"/>
  <c r="S39" i="19"/>
  <c r="S107" i="19"/>
  <c r="S13" i="19"/>
  <c r="S85" i="19"/>
  <c r="BW62" i="7"/>
  <c r="BX62" i="7" s="1"/>
  <c r="O61" i="1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5" i="7"/>
  <c r="C5" i="7"/>
  <c r="D5" i="7"/>
  <c r="E5" i="7"/>
  <c r="F5" i="7"/>
  <c r="B6" i="7"/>
  <c r="C6" i="7"/>
  <c r="D6" i="7"/>
  <c r="E6" i="7"/>
  <c r="F6" i="7"/>
  <c r="B7" i="7"/>
  <c r="C7" i="7"/>
  <c r="D7" i="7"/>
  <c r="E7" i="7"/>
  <c r="F7" i="7"/>
  <c r="B8" i="7"/>
  <c r="C8" i="7"/>
  <c r="D8" i="7"/>
  <c r="E8" i="7"/>
  <c r="F8" i="7"/>
  <c r="B9" i="7"/>
  <c r="C9" i="7"/>
  <c r="D9" i="7"/>
  <c r="E9" i="7"/>
  <c r="F9" i="7"/>
  <c r="B10" i="7"/>
  <c r="C10" i="7"/>
  <c r="D10" i="7"/>
  <c r="E10" i="7"/>
  <c r="F10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4" i="7"/>
  <c r="C14" i="7"/>
  <c r="D14" i="7"/>
  <c r="E14" i="7"/>
  <c r="F14" i="7"/>
  <c r="B15" i="7"/>
  <c r="C15" i="7"/>
  <c r="D15" i="7"/>
  <c r="E15" i="7"/>
  <c r="F15" i="7"/>
  <c r="B16" i="7"/>
  <c r="C16" i="7"/>
  <c r="D16" i="7"/>
  <c r="E16" i="7"/>
  <c r="F16" i="7"/>
  <c r="B17" i="7"/>
  <c r="C17" i="7"/>
  <c r="D17" i="7"/>
  <c r="E17" i="7"/>
  <c r="F17" i="7"/>
  <c r="B18" i="7"/>
  <c r="C18" i="7"/>
  <c r="D18" i="7"/>
  <c r="E18" i="7"/>
  <c r="F18" i="7"/>
  <c r="B19" i="7"/>
  <c r="C19" i="7"/>
  <c r="D19" i="7"/>
  <c r="E19" i="7"/>
  <c r="F19" i="7"/>
  <c r="B20" i="7"/>
  <c r="C20" i="7"/>
  <c r="D20" i="7"/>
  <c r="E20" i="7"/>
  <c r="F20" i="7"/>
  <c r="B21" i="7"/>
  <c r="C21" i="7"/>
  <c r="D21" i="7"/>
  <c r="E21" i="7"/>
  <c r="F21" i="7"/>
  <c r="B22" i="7"/>
  <c r="C22" i="7"/>
  <c r="D22" i="7"/>
  <c r="E22" i="7"/>
  <c r="F22" i="7"/>
  <c r="B23" i="7"/>
  <c r="C23" i="7"/>
  <c r="D23" i="7"/>
  <c r="E23" i="7"/>
  <c r="F23" i="7"/>
  <c r="B24" i="7"/>
  <c r="C24" i="7"/>
  <c r="D24" i="7"/>
  <c r="E24" i="7"/>
  <c r="F24" i="7"/>
  <c r="B25" i="7"/>
  <c r="C25" i="7"/>
  <c r="D25" i="7"/>
  <c r="E25" i="7"/>
  <c r="F25" i="7"/>
  <c r="B26" i="7"/>
  <c r="C26" i="7"/>
  <c r="D26" i="7"/>
  <c r="E26" i="7"/>
  <c r="F26" i="7"/>
  <c r="B27" i="7"/>
  <c r="C27" i="7"/>
  <c r="D27" i="7"/>
  <c r="E27" i="7"/>
  <c r="F27" i="7"/>
  <c r="B28" i="7"/>
  <c r="C28" i="7"/>
  <c r="D28" i="7"/>
  <c r="E28" i="7"/>
  <c r="F28" i="7"/>
  <c r="B29" i="7"/>
  <c r="C29" i="7"/>
  <c r="D29" i="7"/>
  <c r="E29" i="7"/>
  <c r="F29" i="7"/>
  <c r="B30" i="7"/>
  <c r="C30" i="7"/>
  <c r="D30" i="7"/>
  <c r="E30" i="7"/>
  <c r="F30" i="7"/>
  <c r="B31" i="7"/>
  <c r="C31" i="7"/>
  <c r="D31" i="7"/>
  <c r="E31" i="7"/>
  <c r="F31" i="7"/>
  <c r="B32" i="7"/>
  <c r="C32" i="7"/>
  <c r="D32" i="7"/>
  <c r="E32" i="7"/>
  <c r="F32" i="7"/>
  <c r="B33" i="7"/>
  <c r="C33" i="7"/>
  <c r="D33" i="7"/>
  <c r="E33" i="7"/>
  <c r="F33" i="7"/>
  <c r="B34" i="7"/>
  <c r="C34" i="7"/>
  <c r="D34" i="7"/>
  <c r="E34" i="7"/>
  <c r="F34" i="7"/>
  <c r="B35" i="7"/>
  <c r="C35" i="7"/>
  <c r="D35" i="7"/>
  <c r="E35" i="7"/>
  <c r="F35" i="7"/>
  <c r="B36" i="7"/>
  <c r="C36" i="7"/>
  <c r="D36" i="7"/>
  <c r="E36" i="7"/>
  <c r="F36" i="7"/>
  <c r="B37" i="7"/>
  <c r="C37" i="7"/>
  <c r="D37" i="7"/>
  <c r="E37" i="7"/>
  <c r="F37" i="7"/>
  <c r="B38" i="7"/>
  <c r="C38" i="7"/>
  <c r="D38" i="7"/>
  <c r="E38" i="7"/>
  <c r="F38" i="7"/>
  <c r="B39" i="7"/>
  <c r="C39" i="7"/>
  <c r="D39" i="7"/>
  <c r="E39" i="7"/>
  <c r="E60" i="9" s="1"/>
  <c r="C36" i="10" s="1"/>
  <c r="F39" i="7"/>
  <c r="B40" i="7"/>
  <c r="C40" i="7"/>
  <c r="D40" i="7"/>
  <c r="E40" i="7"/>
  <c r="F40" i="7"/>
  <c r="B87" i="7"/>
  <c r="C87" i="7"/>
  <c r="D87" i="7"/>
  <c r="E87" i="7"/>
  <c r="F87" i="7"/>
  <c r="B88" i="7"/>
  <c r="C88" i="7"/>
  <c r="D88" i="7"/>
  <c r="E88" i="7"/>
  <c r="F88" i="7"/>
  <c r="B89" i="7"/>
  <c r="C89" i="7"/>
  <c r="D89" i="7"/>
  <c r="E89" i="7"/>
  <c r="F89" i="7"/>
  <c r="B90" i="7"/>
  <c r="C90" i="7"/>
  <c r="D90" i="7"/>
  <c r="E90" i="7"/>
  <c r="F90" i="7"/>
  <c r="B91" i="7"/>
  <c r="C91" i="7"/>
  <c r="D91" i="7"/>
  <c r="E91" i="7"/>
  <c r="F91" i="7"/>
  <c r="B92" i="7"/>
  <c r="C92" i="7"/>
  <c r="D92" i="7"/>
  <c r="E92" i="7"/>
  <c r="F92" i="7"/>
  <c r="B93" i="7"/>
  <c r="C93" i="7"/>
  <c r="D93" i="7"/>
  <c r="E93" i="7"/>
  <c r="F93" i="7"/>
  <c r="B94" i="7"/>
  <c r="C94" i="7"/>
  <c r="D94" i="7"/>
  <c r="E94" i="7"/>
  <c r="F94" i="7"/>
  <c r="B41" i="7"/>
  <c r="C41" i="7"/>
  <c r="D41" i="7"/>
  <c r="E41" i="7"/>
  <c r="F41" i="7"/>
  <c r="B42" i="7"/>
  <c r="C42" i="7"/>
  <c r="D42" i="7"/>
  <c r="E42" i="7"/>
  <c r="F42" i="7"/>
  <c r="B43" i="7"/>
  <c r="C43" i="7"/>
  <c r="D43" i="7"/>
  <c r="E43" i="7"/>
  <c r="F43" i="7"/>
  <c r="B44" i="7"/>
  <c r="C44" i="7"/>
  <c r="D44" i="7"/>
  <c r="E44" i="7"/>
  <c r="F44" i="7"/>
  <c r="B45" i="7"/>
  <c r="C45" i="7"/>
  <c r="D45" i="7"/>
  <c r="E45" i="7"/>
  <c r="F45" i="7"/>
  <c r="B67" i="7"/>
  <c r="C67" i="7"/>
  <c r="D67" i="7"/>
  <c r="E67" i="7"/>
  <c r="F67" i="7"/>
  <c r="B68" i="7"/>
  <c r="C68" i="7"/>
  <c r="D68" i="7"/>
  <c r="E68" i="7"/>
  <c r="F68" i="7"/>
  <c r="B69" i="7"/>
  <c r="C69" i="7"/>
  <c r="D69" i="7"/>
  <c r="E69" i="7"/>
  <c r="F69" i="7"/>
  <c r="B70" i="7"/>
  <c r="C70" i="7"/>
  <c r="D70" i="7"/>
  <c r="E70" i="7"/>
  <c r="F70" i="7"/>
  <c r="B71" i="7"/>
  <c r="C71" i="7"/>
  <c r="D71" i="7"/>
  <c r="E71" i="7"/>
  <c r="F71" i="7"/>
  <c r="B72" i="7"/>
  <c r="C72" i="7"/>
  <c r="D72" i="7"/>
  <c r="E72" i="7"/>
  <c r="F72" i="7"/>
  <c r="B73" i="7"/>
  <c r="C73" i="7"/>
  <c r="D73" i="7"/>
  <c r="E73" i="7"/>
  <c r="F73" i="7"/>
  <c r="B74" i="7"/>
  <c r="C74" i="7"/>
  <c r="D74" i="7"/>
  <c r="E74" i="7"/>
  <c r="F74" i="7"/>
  <c r="B75" i="7"/>
  <c r="C75" i="7"/>
  <c r="D75" i="7"/>
  <c r="E75" i="7"/>
  <c r="F75" i="7"/>
  <c r="B76" i="7"/>
  <c r="C76" i="7"/>
  <c r="D76" i="7"/>
  <c r="E76" i="7"/>
  <c r="F76" i="7"/>
  <c r="B77" i="7"/>
  <c r="C77" i="7"/>
  <c r="D77" i="7"/>
  <c r="E77" i="7"/>
  <c r="F77" i="7"/>
  <c r="B46" i="7"/>
  <c r="C46" i="7"/>
  <c r="D46" i="7"/>
  <c r="E46" i="7"/>
  <c r="F46" i="7"/>
  <c r="B47" i="7"/>
  <c r="C47" i="7"/>
  <c r="D47" i="7"/>
  <c r="E47" i="7"/>
  <c r="E50" i="9" s="1"/>
  <c r="C30" i="10" s="1"/>
  <c r="F47" i="7"/>
  <c r="B48" i="7"/>
  <c r="C48" i="7"/>
  <c r="D48" i="7"/>
  <c r="E48" i="7"/>
  <c r="F48" i="7"/>
  <c r="B49" i="7"/>
  <c r="C49" i="7"/>
  <c r="D49" i="7"/>
  <c r="E49" i="7"/>
  <c r="F49" i="7"/>
  <c r="B53" i="7"/>
  <c r="C53" i="7"/>
  <c r="D53" i="7"/>
  <c r="E53" i="7"/>
  <c r="F53" i="7"/>
  <c r="B54" i="7"/>
  <c r="C54" i="7"/>
  <c r="D54" i="7"/>
  <c r="E54" i="7"/>
  <c r="F54" i="7"/>
  <c r="B55" i="7"/>
  <c r="C55" i="7"/>
  <c r="D55" i="7"/>
  <c r="E55" i="7"/>
  <c r="F55" i="7"/>
  <c r="B56" i="7"/>
  <c r="C56" i="7"/>
  <c r="D56" i="7"/>
  <c r="E56" i="7"/>
  <c r="F56" i="7"/>
  <c r="B57" i="7"/>
  <c r="C57" i="7"/>
  <c r="D57" i="7"/>
  <c r="E57" i="7"/>
  <c r="F57" i="7"/>
  <c r="B58" i="7"/>
  <c r="C58" i="7"/>
  <c r="D58" i="7"/>
  <c r="E58" i="7"/>
  <c r="F58" i="7"/>
  <c r="B59" i="7"/>
  <c r="C59" i="7"/>
  <c r="D59" i="7"/>
  <c r="E59" i="7"/>
  <c r="F59" i="7"/>
  <c r="B60" i="7"/>
  <c r="C60" i="7"/>
  <c r="D60" i="7"/>
  <c r="E60" i="7"/>
  <c r="F60" i="7"/>
  <c r="B61" i="7"/>
  <c r="C61" i="7"/>
  <c r="D61" i="7"/>
  <c r="E61" i="7"/>
  <c r="F61" i="7"/>
  <c r="B63" i="7"/>
  <c r="C63" i="7"/>
  <c r="D63" i="7"/>
  <c r="E63" i="7"/>
  <c r="F63" i="7"/>
  <c r="B64" i="7"/>
  <c r="C64" i="7"/>
  <c r="D64" i="7"/>
  <c r="E64" i="7"/>
  <c r="F64" i="7"/>
  <c r="B65" i="7"/>
  <c r="C65" i="7"/>
  <c r="D65" i="7"/>
  <c r="E65" i="7"/>
  <c r="F65" i="7"/>
  <c r="B66" i="7"/>
  <c r="C66" i="7"/>
  <c r="D66" i="7"/>
  <c r="E66" i="7"/>
  <c r="F66" i="7"/>
  <c r="B78" i="7"/>
  <c r="C78" i="7"/>
  <c r="D78" i="7"/>
  <c r="E78" i="7"/>
  <c r="F78" i="7"/>
  <c r="B79" i="7"/>
  <c r="C79" i="7"/>
  <c r="D79" i="7"/>
  <c r="E79" i="7"/>
  <c r="F79" i="7"/>
  <c r="B80" i="7"/>
  <c r="C80" i="7"/>
  <c r="D80" i="7"/>
  <c r="E80" i="7"/>
  <c r="F80" i="7"/>
  <c r="B81" i="7"/>
  <c r="C81" i="7"/>
  <c r="D81" i="7"/>
  <c r="E81" i="7"/>
  <c r="F81" i="7"/>
  <c r="B82" i="7"/>
  <c r="C82" i="7"/>
  <c r="D82" i="7"/>
  <c r="E82" i="7"/>
  <c r="F82" i="7"/>
  <c r="B83" i="7"/>
  <c r="C83" i="7"/>
  <c r="D83" i="7"/>
  <c r="E83" i="7"/>
  <c r="F83" i="7"/>
  <c r="B84" i="7"/>
  <c r="C84" i="7"/>
  <c r="D84" i="7"/>
  <c r="E84" i="7"/>
  <c r="F84" i="7"/>
  <c r="B85" i="7"/>
  <c r="C85" i="7"/>
  <c r="D85" i="7"/>
  <c r="E85" i="7"/>
  <c r="F85" i="7"/>
  <c r="B86" i="7"/>
  <c r="C86" i="7"/>
  <c r="D86" i="7"/>
  <c r="E86" i="7"/>
  <c r="F86" i="7"/>
  <c r="B95" i="7"/>
  <c r="C95" i="7"/>
  <c r="D95" i="7"/>
  <c r="E95" i="7"/>
  <c r="F95" i="7"/>
  <c r="B96" i="7"/>
  <c r="C96" i="7"/>
  <c r="D96" i="7"/>
  <c r="E96" i="7"/>
  <c r="F96" i="7"/>
  <c r="B97" i="7"/>
  <c r="C97" i="7"/>
  <c r="D97" i="7"/>
  <c r="E97" i="7"/>
  <c r="F97" i="7"/>
  <c r="B98" i="7"/>
  <c r="C98" i="7"/>
  <c r="D98" i="7"/>
  <c r="E98" i="7"/>
  <c r="F98" i="7"/>
  <c r="B99" i="7"/>
  <c r="C99" i="7"/>
  <c r="D99" i="7"/>
  <c r="E99" i="7"/>
  <c r="F99" i="7"/>
  <c r="B100" i="7"/>
  <c r="C100" i="7"/>
  <c r="D100" i="7"/>
  <c r="E100" i="7"/>
  <c r="F100" i="7"/>
  <c r="B101" i="7"/>
  <c r="C101" i="7"/>
  <c r="D101" i="7"/>
  <c r="E101" i="7"/>
  <c r="F101" i="7"/>
  <c r="B102" i="7"/>
  <c r="C102" i="7"/>
  <c r="D102" i="7"/>
  <c r="E102" i="7"/>
  <c r="F102" i="7"/>
  <c r="B104" i="7"/>
  <c r="C104" i="7"/>
  <c r="D104" i="7"/>
  <c r="E104" i="7"/>
  <c r="F104" i="7"/>
  <c r="B105" i="7"/>
  <c r="C105" i="7"/>
  <c r="D105" i="7"/>
  <c r="E105" i="7"/>
  <c r="F105" i="7"/>
  <c r="B106" i="7"/>
  <c r="C106" i="7"/>
  <c r="D106" i="7"/>
  <c r="E106" i="7"/>
  <c r="F106" i="7"/>
  <c r="B107" i="7"/>
  <c r="C107" i="7"/>
  <c r="D107" i="7"/>
  <c r="E107" i="7"/>
  <c r="F107" i="7"/>
  <c r="B108" i="7"/>
  <c r="C108" i="7"/>
  <c r="D108" i="7"/>
  <c r="E108" i="7"/>
  <c r="F108" i="7"/>
  <c r="B109" i="7"/>
  <c r="C109" i="7"/>
  <c r="D109" i="7"/>
  <c r="E109" i="7"/>
  <c r="F109" i="7"/>
  <c r="B110" i="7"/>
  <c r="C110" i="7"/>
  <c r="D110" i="7"/>
  <c r="E110" i="7"/>
  <c r="F110" i="7"/>
  <c r="B111" i="7"/>
  <c r="C111" i="7"/>
  <c r="D111" i="7"/>
  <c r="E111" i="7"/>
  <c r="F111" i="7"/>
  <c r="B112" i="7"/>
  <c r="C112" i="7"/>
  <c r="D112" i="7"/>
  <c r="E112" i="7"/>
  <c r="F112" i="7"/>
  <c r="D83" i="10"/>
  <c r="D81" i="10"/>
  <c r="D80" i="10"/>
  <c r="D30" i="9"/>
  <c r="A24" i="10" s="1"/>
  <c r="H29" i="9"/>
  <c r="E23" i="10" s="1"/>
  <c r="E29" i="9"/>
  <c r="C23" i="10" s="1"/>
  <c r="C28" i="9"/>
  <c r="B22" i="10" s="1"/>
  <c r="C19" i="9"/>
  <c r="B13" i="10" s="1"/>
  <c r="D67" i="9"/>
  <c r="A43" i="10" s="1"/>
  <c r="D18" i="9"/>
  <c r="A12" i="10" s="1"/>
  <c r="D49" i="10"/>
  <c r="C49" i="10"/>
  <c r="D33" i="10"/>
  <c r="D30" i="10"/>
  <c r="D31" i="10"/>
  <c r="D28" i="10"/>
  <c r="C28" i="10"/>
  <c r="B28" i="10"/>
  <c r="D8" i="10"/>
  <c r="B8" i="10"/>
  <c r="D12" i="10"/>
  <c r="G18" i="9"/>
  <c r="G19" i="9" s="1"/>
  <c r="G20" i="9" s="1"/>
  <c r="G21" i="9" s="1"/>
  <c r="G134" i="9"/>
  <c r="D119" i="9"/>
  <c r="A83" i="10" s="1"/>
  <c r="G119" i="9"/>
  <c r="E83" i="10" s="1"/>
  <c r="E82" i="10" s="1"/>
  <c r="C119" i="9"/>
  <c r="B83" i="10" s="1"/>
  <c r="D103" i="9"/>
  <c r="A75" i="10" s="1"/>
  <c r="D104" i="9"/>
  <c r="A76" i="10" s="1"/>
  <c r="D105" i="9"/>
  <c r="A77" i="10" s="1"/>
  <c r="D102" i="9"/>
  <c r="A74" i="10" s="1"/>
  <c r="D101" i="9"/>
  <c r="A73" i="10" s="1"/>
  <c r="D99" i="9"/>
  <c r="A71" i="10" s="1"/>
  <c r="D98" i="9"/>
  <c r="A70" i="10" s="1"/>
  <c r="D94" i="9"/>
  <c r="A66" i="10" s="1"/>
  <c r="D93" i="9"/>
  <c r="A65" i="10" s="1"/>
  <c r="D92" i="9"/>
  <c r="A64" i="10" s="1"/>
  <c r="D91" i="9"/>
  <c r="A63" i="10" s="1"/>
  <c r="D90" i="9"/>
  <c r="A62" i="10" s="1"/>
  <c r="D89" i="9"/>
  <c r="A61" i="10" s="1"/>
  <c r="D97" i="9"/>
  <c r="A69" i="10" s="1"/>
  <c r="D96" i="9"/>
  <c r="A68" i="10" s="1"/>
  <c r="D88" i="9"/>
  <c r="A60" i="10" s="1"/>
  <c r="D100" i="9"/>
  <c r="A72" i="10" s="1"/>
  <c r="D87" i="9"/>
  <c r="A59" i="10" s="1"/>
  <c r="D86" i="9"/>
  <c r="A58" i="10" s="1"/>
  <c r="D85" i="9"/>
  <c r="A57" i="10" s="1"/>
  <c r="D84" i="9"/>
  <c r="A56" i="10" s="1"/>
  <c r="D83" i="9"/>
  <c r="A55" i="10" s="1"/>
  <c r="D82" i="9"/>
  <c r="A54" i="10" s="1"/>
  <c r="D81" i="9"/>
  <c r="A53" i="10" s="1"/>
  <c r="D80" i="9"/>
  <c r="A52" i="10" s="1"/>
  <c r="D79" i="9"/>
  <c r="A51" i="10" s="1"/>
  <c r="D78" i="9"/>
  <c r="A50" i="10" s="1"/>
  <c r="J102" i="9"/>
  <c r="J103" i="9"/>
  <c r="J104" i="9"/>
  <c r="J105" i="9"/>
  <c r="J101" i="9"/>
  <c r="J99" i="9"/>
  <c r="J98" i="9"/>
  <c r="J94" i="9"/>
  <c r="J93" i="9"/>
  <c r="J92" i="9"/>
  <c r="J91" i="9"/>
  <c r="J90" i="9"/>
  <c r="J89" i="9"/>
  <c r="J97" i="9"/>
  <c r="J96" i="9"/>
  <c r="J88" i="9"/>
  <c r="J100" i="9"/>
  <c r="J87" i="9"/>
  <c r="J86" i="9"/>
  <c r="J85" i="9"/>
  <c r="J84" i="9"/>
  <c r="J83" i="9"/>
  <c r="J82" i="9"/>
  <c r="J81" i="9"/>
  <c r="J80" i="9"/>
  <c r="J79" i="9"/>
  <c r="J78" i="9"/>
  <c r="D77" i="9"/>
  <c r="A49" i="10" s="1"/>
  <c r="J77" i="9"/>
  <c r="G99" i="9"/>
  <c r="E71" i="10" s="1"/>
  <c r="G94" i="9"/>
  <c r="E66" i="10" s="1"/>
  <c r="G93" i="9"/>
  <c r="E65" i="10" s="1"/>
  <c r="G92" i="9"/>
  <c r="E64" i="10" s="1"/>
  <c r="G91" i="9"/>
  <c r="E63" i="10" s="1"/>
  <c r="G96" i="9"/>
  <c r="E68" i="10" s="1"/>
  <c r="G88" i="9"/>
  <c r="E60" i="10" s="1"/>
  <c r="C102" i="9"/>
  <c r="B74" i="10" s="1"/>
  <c r="C103" i="9"/>
  <c r="B75" i="10" s="1"/>
  <c r="C104" i="9"/>
  <c r="B76" i="10" s="1"/>
  <c r="C105" i="9"/>
  <c r="B77" i="10" s="1"/>
  <c r="C101" i="9"/>
  <c r="B73" i="10" s="1"/>
  <c r="C99" i="9"/>
  <c r="B71" i="10" s="1"/>
  <c r="C98" i="9"/>
  <c r="B70" i="10" s="1"/>
  <c r="C94" i="9"/>
  <c r="B66" i="10" s="1"/>
  <c r="C93" i="9"/>
  <c r="B65" i="10" s="1"/>
  <c r="C92" i="9"/>
  <c r="B64" i="10" s="1"/>
  <c r="C91" i="9"/>
  <c r="B63" i="10" s="1"/>
  <c r="C90" i="9"/>
  <c r="B62" i="10" s="1"/>
  <c r="C89" i="9"/>
  <c r="B61" i="10" s="1"/>
  <c r="C97" i="9"/>
  <c r="B69" i="10" s="1"/>
  <c r="C96" i="9"/>
  <c r="B68" i="10" s="1"/>
  <c r="C88" i="9"/>
  <c r="B60" i="10" s="1"/>
  <c r="C100" i="9"/>
  <c r="B72" i="10" s="1"/>
  <c r="C87" i="9"/>
  <c r="B59" i="10" s="1"/>
  <c r="C86" i="9"/>
  <c r="B58" i="10" s="1"/>
  <c r="C85" i="9"/>
  <c r="B57" i="10" s="1"/>
  <c r="C84" i="9"/>
  <c r="B56" i="10" s="1"/>
  <c r="C83" i="9"/>
  <c r="B55" i="10" s="1"/>
  <c r="C82" i="9"/>
  <c r="B54" i="10" s="1"/>
  <c r="C81" i="9"/>
  <c r="B53" i="10" s="1"/>
  <c r="C80" i="9"/>
  <c r="B52" i="10" s="1"/>
  <c r="C79" i="9"/>
  <c r="B51" i="10" s="1"/>
  <c r="C78" i="9"/>
  <c r="B50" i="10" s="1"/>
  <c r="C77" i="9"/>
  <c r="B49" i="10" s="1"/>
  <c r="D71" i="9"/>
  <c r="A47" i="10" s="1"/>
  <c r="D70" i="9"/>
  <c r="A46" i="10" s="1"/>
  <c r="D69" i="9"/>
  <c r="A45" i="10" s="1"/>
  <c r="D68" i="9"/>
  <c r="A44" i="10" s="1"/>
  <c r="D113" i="9"/>
  <c r="A81" i="10" s="1"/>
  <c r="D112" i="9"/>
  <c r="A80" i="10" s="1"/>
  <c r="D64" i="9"/>
  <c r="A40" i="10" s="1"/>
  <c r="D61" i="9"/>
  <c r="A37" i="10" s="1"/>
  <c r="D65" i="9"/>
  <c r="A41" i="10" s="1"/>
  <c r="D60" i="9"/>
  <c r="A36" i="10" s="1"/>
  <c r="D59" i="9"/>
  <c r="A35" i="10" s="1"/>
  <c r="D58" i="9"/>
  <c r="A34" i="10" s="1"/>
  <c r="D66" i="9"/>
  <c r="A42" i="10" s="1"/>
  <c r="G64" i="9"/>
  <c r="E40" i="10" s="1"/>
  <c r="G61" i="9"/>
  <c r="E37" i="10" s="1"/>
  <c r="E71" i="9"/>
  <c r="C47" i="10" s="1"/>
  <c r="E69" i="9"/>
  <c r="C45" i="10" s="1"/>
  <c r="E70" i="9"/>
  <c r="C46" i="10" s="1"/>
  <c r="E68" i="9"/>
  <c r="C44" i="10" s="1"/>
  <c r="E113" i="9"/>
  <c r="C81" i="10" s="1"/>
  <c r="E112" i="9"/>
  <c r="C80" i="10" s="1"/>
  <c r="E64" i="9"/>
  <c r="C40" i="10" s="1"/>
  <c r="E65" i="9"/>
  <c r="C41" i="10" s="1"/>
  <c r="E59" i="9"/>
  <c r="C35" i="10" s="1"/>
  <c r="E58" i="9"/>
  <c r="C34" i="10" s="1"/>
  <c r="E66" i="9"/>
  <c r="C42" i="10" s="1"/>
  <c r="C71" i="9"/>
  <c r="B47" i="10" s="1"/>
  <c r="C69" i="9"/>
  <c r="B45" i="10" s="1"/>
  <c r="C70" i="9"/>
  <c r="B46" i="10" s="1"/>
  <c r="C68" i="9"/>
  <c r="B44" i="10" s="1"/>
  <c r="C113" i="9"/>
  <c r="B81" i="10" s="1"/>
  <c r="C112" i="9"/>
  <c r="B80" i="10" s="1"/>
  <c r="C64" i="9"/>
  <c r="B40" i="10" s="1"/>
  <c r="C61" i="9"/>
  <c r="B37" i="10" s="1"/>
  <c r="C65" i="9"/>
  <c r="B41" i="10" s="1"/>
  <c r="C60" i="9"/>
  <c r="B36" i="10" s="1"/>
  <c r="C59" i="9"/>
  <c r="B35" i="10" s="1"/>
  <c r="C58" i="9"/>
  <c r="B34" i="10" s="1"/>
  <c r="D57" i="9"/>
  <c r="A33" i="10" s="1"/>
  <c r="E57" i="9"/>
  <c r="C33" i="10" s="1"/>
  <c r="C66" i="9"/>
  <c r="B42" i="10" s="1"/>
  <c r="C57" i="9"/>
  <c r="B33" i="10" s="1"/>
  <c r="CC103" i="7" l="1"/>
  <c r="CD103" i="7"/>
  <c r="BW103" i="7"/>
  <c r="G22" i="9"/>
  <c r="G23" i="9" s="1"/>
  <c r="G24" i="9" s="1"/>
  <c r="G25" i="9" s="1"/>
  <c r="G26" i="9" s="1"/>
  <c r="G27" i="9" s="1"/>
  <c r="G28" i="9" s="1"/>
  <c r="G29" i="9" s="1"/>
  <c r="G31" i="9" s="1"/>
  <c r="L64" i="19"/>
  <c r="S64" i="19" s="1"/>
  <c r="S62" i="19" s="1"/>
  <c r="W79" i="7"/>
  <c r="N81" i="19"/>
  <c r="G120" i="9"/>
  <c r="G131" i="9" s="1"/>
  <c r="J107" i="9"/>
  <c r="D50" i="9"/>
  <c r="A30" i="10" s="1"/>
  <c r="D51" i="9"/>
  <c r="A31" i="10" s="1"/>
  <c r="D49" i="9"/>
  <c r="A29" i="10" s="1"/>
  <c r="H50" i="9"/>
  <c r="E31" i="10" s="1"/>
  <c r="H51" i="9"/>
  <c r="E30" i="10" s="1"/>
  <c r="H49" i="9"/>
  <c r="E29" i="10" s="1"/>
  <c r="C31" i="10"/>
  <c r="E51" i="9"/>
  <c r="E49" i="9"/>
  <c r="C29" i="10" s="1"/>
  <c r="C50" i="9"/>
  <c r="B31" i="10" s="1"/>
  <c r="C51" i="9"/>
  <c r="B30" i="10" s="1"/>
  <c r="C49" i="9"/>
  <c r="B29" i="10" s="1"/>
  <c r="D47" i="9"/>
  <c r="D46" i="9"/>
  <c r="D45" i="9"/>
  <c r="D44" i="9"/>
  <c r="D43" i="9"/>
  <c r="D42" i="9"/>
  <c r="D48" i="9"/>
  <c r="D41" i="9"/>
  <c r="D40" i="9"/>
  <c r="D39" i="9"/>
  <c r="D38" i="9"/>
  <c r="D12" i="9"/>
  <c r="A10" i="10" s="1"/>
  <c r="D11" i="9"/>
  <c r="A9" i="10" s="1"/>
  <c r="D10" i="9"/>
  <c r="A8" i="10" s="1"/>
  <c r="E10" i="9"/>
  <c r="C8" i="10" s="1"/>
  <c r="D27" i="9"/>
  <c r="A21" i="10" s="1"/>
  <c r="D26" i="9"/>
  <c r="A20" i="10" s="1"/>
  <c r="H27" i="9"/>
  <c r="E21" i="10" s="1"/>
  <c r="H26" i="9"/>
  <c r="E20" i="10" s="1"/>
  <c r="C27" i="9"/>
  <c r="B21" i="10" s="1"/>
  <c r="C26" i="9"/>
  <c r="B20" i="10" s="1"/>
  <c r="D25" i="9"/>
  <c r="A19" i="10" s="1"/>
  <c r="H25" i="9"/>
  <c r="E19" i="10" s="1"/>
  <c r="E25" i="9"/>
  <c r="C19" i="10" s="1"/>
  <c r="C25" i="9"/>
  <c r="B19" i="10" s="1"/>
  <c r="D29" i="9"/>
  <c r="A23" i="10" s="1"/>
  <c r="D28" i="9"/>
  <c r="A22" i="10" s="1"/>
  <c r="E28" i="9"/>
  <c r="C22" i="10" s="1"/>
  <c r="C29" i="9"/>
  <c r="B23" i="10" s="1"/>
  <c r="D32" i="9"/>
  <c r="A26" i="10" s="1"/>
  <c r="D31" i="9"/>
  <c r="A25" i="10" s="1"/>
  <c r="D24" i="9"/>
  <c r="A18" i="10" s="1"/>
  <c r="E24" i="9"/>
  <c r="C18" i="10" s="1"/>
  <c r="C24" i="9"/>
  <c r="B18" i="10" s="1"/>
  <c r="D23" i="9"/>
  <c r="A17" i="10" s="1"/>
  <c r="D21" i="9"/>
  <c r="A15" i="10" s="1"/>
  <c r="D22" i="9"/>
  <c r="A16" i="10" s="1"/>
  <c r="E22" i="9"/>
  <c r="C16" i="10" s="1"/>
  <c r="C22" i="9"/>
  <c r="B16" i="10" s="1"/>
  <c r="C21" i="9"/>
  <c r="B15" i="10" s="1"/>
  <c r="D19" i="9"/>
  <c r="A13" i="10" s="1"/>
  <c r="D20" i="9"/>
  <c r="A14" i="10" s="1"/>
  <c r="E20" i="9"/>
  <c r="C14" i="10" s="1"/>
  <c r="C20" i="9"/>
  <c r="B14" i="10" s="1"/>
  <c r="C12" i="10"/>
  <c r="C18" i="9"/>
  <c r="B12" i="10" s="1"/>
  <c r="G112" i="16"/>
  <c r="A112" i="16"/>
  <c r="H111" i="16"/>
  <c r="G111" i="16"/>
  <c r="A111" i="16"/>
  <c r="G110" i="16"/>
  <c r="A110" i="16"/>
  <c r="G109" i="16"/>
  <c r="A109" i="16"/>
  <c r="G108" i="16"/>
  <c r="A108" i="16"/>
  <c r="G107" i="16"/>
  <c r="A107" i="16"/>
  <c r="G106" i="16"/>
  <c r="A106" i="16"/>
  <c r="G105" i="16"/>
  <c r="A105" i="16"/>
  <c r="G104" i="16"/>
  <c r="A104" i="16"/>
  <c r="G102" i="16"/>
  <c r="A102" i="16"/>
  <c r="G101" i="16"/>
  <c r="A101" i="16"/>
  <c r="G100" i="16"/>
  <c r="A100" i="16"/>
  <c r="G99" i="16"/>
  <c r="A99" i="16"/>
  <c r="G98" i="16"/>
  <c r="A98" i="16"/>
  <c r="G97" i="16"/>
  <c r="A97" i="16"/>
  <c r="G96" i="16"/>
  <c r="A96" i="16"/>
  <c r="G95" i="16"/>
  <c r="A95" i="16"/>
  <c r="G86" i="16"/>
  <c r="A86" i="16"/>
  <c r="G85" i="16"/>
  <c r="A85" i="16"/>
  <c r="H84" i="16"/>
  <c r="G84" i="16"/>
  <c r="A84" i="16"/>
  <c r="G83" i="16"/>
  <c r="A83" i="16"/>
  <c r="G82" i="16"/>
  <c r="A82" i="16"/>
  <c r="G81" i="16"/>
  <c r="A81" i="16"/>
  <c r="H80" i="16"/>
  <c r="G80" i="16"/>
  <c r="A80" i="16"/>
  <c r="G79" i="16"/>
  <c r="A79" i="16"/>
  <c r="G78" i="16"/>
  <c r="A78" i="16"/>
  <c r="H66" i="16"/>
  <c r="G66" i="16"/>
  <c r="A66" i="16"/>
  <c r="H65" i="16"/>
  <c r="G65" i="16"/>
  <c r="A65" i="16"/>
  <c r="H64" i="16"/>
  <c r="G64" i="16"/>
  <c r="A64" i="16"/>
  <c r="H61" i="16"/>
  <c r="G61" i="16"/>
  <c r="A61" i="16"/>
  <c r="G60" i="16"/>
  <c r="A60" i="16"/>
  <c r="H59" i="16"/>
  <c r="G59" i="16"/>
  <c r="A59" i="16"/>
  <c r="H58" i="16"/>
  <c r="G58" i="16"/>
  <c r="A58" i="16"/>
  <c r="H57" i="16"/>
  <c r="G57" i="16"/>
  <c r="A57" i="16"/>
  <c r="H56" i="16"/>
  <c r="G56" i="16"/>
  <c r="A56" i="16"/>
  <c r="G55" i="16"/>
  <c r="A55" i="16"/>
  <c r="G54" i="16"/>
  <c r="A54" i="16"/>
  <c r="G53" i="16"/>
  <c r="A53" i="16"/>
  <c r="H49" i="16"/>
  <c r="G49" i="16"/>
  <c r="A49" i="16"/>
  <c r="G48" i="16"/>
  <c r="A48" i="16"/>
  <c r="H47" i="16"/>
  <c r="G47" i="16"/>
  <c r="A47" i="16"/>
  <c r="G46" i="16"/>
  <c r="A46" i="16"/>
  <c r="H77" i="16"/>
  <c r="G77" i="16"/>
  <c r="A77" i="16"/>
  <c r="H76" i="16"/>
  <c r="G76" i="16"/>
  <c r="A76" i="16"/>
  <c r="H75" i="16"/>
  <c r="G75" i="16"/>
  <c r="A75" i="16"/>
  <c r="G74" i="16"/>
  <c r="A74" i="16"/>
  <c r="G73" i="16"/>
  <c r="A73" i="16"/>
  <c r="G72" i="16"/>
  <c r="A72" i="16"/>
  <c r="G71" i="16"/>
  <c r="A71" i="16"/>
  <c r="H70" i="16"/>
  <c r="G70" i="16"/>
  <c r="A70" i="16"/>
  <c r="G69" i="16"/>
  <c r="A69" i="16"/>
  <c r="H68" i="16"/>
  <c r="G68" i="16"/>
  <c r="A68" i="16"/>
  <c r="G67" i="16"/>
  <c r="A67" i="16"/>
  <c r="H45" i="16"/>
  <c r="G45" i="16"/>
  <c r="A45" i="16"/>
  <c r="G44" i="16"/>
  <c r="A44" i="16"/>
  <c r="H43" i="16"/>
  <c r="G43" i="16"/>
  <c r="A43" i="16"/>
  <c r="H42" i="16"/>
  <c r="G42" i="16"/>
  <c r="A42" i="16"/>
  <c r="G41" i="16"/>
  <c r="A41" i="16"/>
  <c r="G94" i="16"/>
  <c r="A94" i="16"/>
  <c r="G93" i="16"/>
  <c r="A93" i="16"/>
  <c r="G92" i="16"/>
  <c r="A92" i="16"/>
  <c r="G91" i="16"/>
  <c r="A91" i="16"/>
  <c r="H90" i="16"/>
  <c r="G90" i="16"/>
  <c r="A90" i="16"/>
  <c r="G89" i="16"/>
  <c r="A89" i="16"/>
  <c r="G88" i="16"/>
  <c r="A88" i="16"/>
  <c r="G87" i="16"/>
  <c r="A87" i="16"/>
  <c r="G40" i="16"/>
  <c r="A40" i="16"/>
  <c r="G39" i="16"/>
  <c r="A39" i="16"/>
  <c r="G38" i="16"/>
  <c r="A38" i="16"/>
  <c r="G37" i="16"/>
  <c r="A37" i="16"/>
  <c r="G36" i="16"/>
  <c r="A36" i="16"/>
  <c r="G35" i="16"/>
  <c r="A35" i="16"/>
  <c r="G34" i="16"/>
  <c r="A34" i="16"/>
  <c r="G33" i="16"/>
  <c r="A33" i="16"/>
  <c r="G32" i="16"/>
  <c r="A32" i="16"/>
  <c r="G31" i="16"/>
  <c r="A31" i="16"/>
  <c r="G30" i="16"/>
  <c r="A30" i="16"/>
  <c r="G29" i="16"/>
  <c r="A29" i="16"/>
  <c r="G28" i="16"/>
  <c r="A28" i="16"/>
  <c r="G27" i="16"/>
  <c r="A27" i="16"/>
  <c r="G26" i="16"/>
  <c r="A26" i="16"/>
  <c r="G25" i="16"/>
  <c r="A25" i="16"/>
  <c r="G24" i="16"/>
  <c r="A24" i="16"/>
  <c r="G23" i="16"/>
  <c r="A23" i="16"/>
  <c r="G22" i="16"/>
  <c r="A22" i="16"/>
  <c r="G21" i="16"/>
  <c r="A21" i="16"/>
  <c r="G20" i="16"/>
  <c r="A20" i="16"/>
  <c r="G19" i="16"/>
  <c r="A19" i="16"/>
  <c r="G18" i="16"/>
  <c r="A18" i="16"/>
  <c r="G17" i="16"/>
  <c r="A17" i="16"/>
  <c r="G16" i="16"/>
  <c r="A16" i="16"/>
  <c r="G15" i="16"/>
  <c r="A15" i="16"/>
  <c r="G14" i="16"/>
  <c r="A14" i="16"/>
  <c r="G13" i="16"/>
  <c r="A13" i="16"/>
  <c r="G12" i="16"/>
  <c r="A12" i="16"/>
  <c r="G11" i="16"/>
  <c r="A11" i="16"/>
  <c r="G10" i="16"/>
  <c r="A10" i="16"/>
  <c r="G9" i="16"/>
  <c r="A9" i="16"/>
  <c r="G8" i="16"/>
  <c r="A8" i="16"/>
  <c r="G7" i="16"/>
  <c r="A7" i="16"/>
  <c r="G6" i="16"/>
  <c r="A6" i="16"/>
  <c r="G5" i="16"/>
  <c r="A5" i="16"/>
  <c r="P60" i="7"/>
  <c r="Q60" i="7"/>
  <c r="I62" i="19" s="1"/>
  <c r="R60" i="7"/>
  <c r="J62" i="19" s="1"/>
  <c r="S60" i="7"/>
  <c r="K62" i="19" s="1"/>
  <c r="T60" i="7"/>
  <c r="L62" i="19" s="1"/>
  <c r="U60" i="7"/>
  <c r="M62" i="19" s="1"/>
  <c r="V60" i="7"/>
  <c r="W60" i="7"/>
  <c r="O62" i="19" s="1"/>
  <c r="X60" i="7"/>
  <c r="P62" i="19" s="1"/>
  <c r="Y60" i="7"/>
  <c r="Q62" i="19" s="1"/>
  <c r="Z60" i="7"/>
  <c r="R62" i="19" s="1"/>
  <c r="P41" i="7"/>
  <c r="H43" i="19" s="1"/>
  <c r="Q41" i="7"/>
  <c r="I43" i="19" s="1"/>
  <c r="R41" i="7"/>
  <c r="J43" i="19" s="1"/>
  <c r="S41" i="7"/>
  <c r="K43" i="19" s="1"/>
  <c r="T41" i="7"/>
  <c r="L43" i="19" s="1"/>
  <c r="U41" i="7"/>
  <c r="M43" i="19" s="1"/>
  <c r="V41" i="7"/>
  <c r="N43" i="19" s="1"/>
  <c r="X41" i="7"/>
  <c r="P43" i="19" s="1"/>
  <c r="Z41" i="7"/>
  <c r="R43" i="19" s="1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BG41" i="7"/>
  <c r="BH41" i="7"/>
  <c r="BI41" i="7"/>
  <c r="BJ41" i="7"/>
  <c r="BK41" i="7"/>
  <c r="BL41" i="7"/>
  <c r="BM41" i="7"/>
  <c r="BN41" i="7"/>
  <c r="BO41" i="7"/>
  <c r="BP41" i="7"/>
  <c r="BQ41" i="7"/>
  <c r="BR41" i="7"/>
  <c r="BS41" i="7"/>
  <c r="BT41" i="7"/>
  <c r="BU41" i="7"/>
  <c r="BV41" i="7"/>
  <c r="O41" i="7"/>
  <c r="A65" i="7"/>
  <c r="G65" i="7"/>
  <c r="H65" i="7"/>
  <c r="I65" i="7"/>
  <c r="J65" i="7"/>
  <c r="K65" i="7"/>
  <c r="L65" i="7"/>
  <c r="M65" i="7"/>
  <c r="BA65" i="7" s="1"/>
  <c r="CC65" i="7" s="1"/>
  <c r="A66" i="7"/>
  <c r="G66" i="7"/>
  <c r="H66" i="7"/>
  <c r="I66" i="7"/>
  <c r="J66" i="7"/>
  <c r="K66" i="7"/>
  <c r="L66" i="7"/>
  <c r="M66" i="7"/>
  <c r="BB66" i="7" s="1"/>
  <c r="CC66" i="7" s="1"/>
  <c r="M43" i="7"/>
  <c r="M45" i="7"/>
  <c r="AC45" i="7" s="1"/>
  <c r="M42" i="7"/>
  <c r="A42" i="7"/>
  <c r="G42" i="7"/>
  <c r="H42" i="7"/>
  <c r="I42" i="7"/>
  <c r="J42" i="7"/>
  <c r="K42" i="7"/>
  <c r="L42" i="7"/>
  <c r="A43" i="7"/>
  <c r="G43" i="7"/>
  <c r="H43" i="7"/>
  <c r="I43" i="7"/>
  <c r="J43" i="7"/>
  <c r="K43" i="7"/>
  <c r="L43" i="7"/>
  <c r="A44" i="7"/>
  <c r="G44" i="7"/>
  <c r="H44" i="7"/>
  <c r="I44" i="7"/>
  <c r="J44" i="7"/>
  <c r="K44" i="7"/>
  <c r="L44" i="7"/>
  <c r="A45" i="7"/>
  <c r="G45" i="7"/>
  <c r="H45" i="7"/>
  <c r="I45" i="7"/>
  <c r="J45" i="7"/>
  <c r="K45" i="7"/>
  <c r="L45" i="7"/>
  <c r="CE103" i="7" l="1"/>
  <c r="CF103" i="7"/>
  <c r="BX103" i="7"/>
  <c r="N62" i="19"/>
  <c r="H62" i="19"/>
  <c r="BZ60" i="7"/>
  <c r="AD45" i="7"/>
  <c r="AE45" i="7" s="1"/>
  <c r="AF45" i="7" s="1"/>
  <c r="G43" i="19"/>
  <c r="CD41" i="7"/>
  <c r="CC41" i="7"/>
  <c r="X79" i="7"/>
  <c r="O81" i="19"/>
  <c r="AK42" i="7"/>
  <c r="AC42" i="7"/>
  <c r="AI42" i="7"/>
  <c r="AA42" i="7"/>
  <c r="AG42" i="7"/>
  <c r="Y42" i="7"/>
  <c r="AM42" i="7"/>
  <c r="CB42" i="7" s="1"/>
  <c r="AE42" i="7"/>
  <c r="W42" i="7"/>
  <c r="G32" i="9"/>
  <c r="G38" i="9" s="1"/>
  <c r="H60" i="16"/>
  <c r="BM65" i="7"/>
  <c r="CD65" i="7" s="1"/>
  <c r="AB41" i="7"/>
  <c r="AO65" i="7"/>
  <c r="CB65" i="7" s="1"/>
  <c r="AG45" i="7"/>
  <c r="AH45" i="7" s="1"/>
  <c r="AI45" i="7" s="1"/>
  <c r="AJ45" i="7" s="1"/>
  <c r="AK45" i="7" s="1"/>
  <c r="AL45" i="7" s="1"/>
  <c r="AM45" i="7" s="1"/>
  <c r="AD66" i="7"/>
  <c r="CA66" i="7" s="1"/>
  <c r="AP66" i="7"/>
  <c r="CB66" i="7" s="1"/>
  <c r="BN66" i="7"/>
  <c r="CD66" i="7" s="1"/>
  <c r="CA45" i="7" l="1"/>
  <c r="W41" i="7"/>
  <c r="BZ42" i="7"/>
  <c r="O44" i="19"/>
  <c r="AN45" i="7"/>
  <c r="CB45" i="7" s="1"/>
  <c r="AA41" i="7"/>
  <c r="CA42" i="7"/>
  <c r="Y79" i="7"/>
  <c r="P81" i="19"/>
  <c r="Y41" i="7"/>
  <c r="Q43" i="19" s="1"/>
  <c r="Q44" i="19"/>
  <c r="CE66" i="7"/>
  <c r="BW66" i="7"/>
  <c r="BX66" i="7" s="1"/>
  <c r="BW65" i="7"/>
  <c r="BX65" i="7" s="1"/>
  <c r="CE65" i="7"/>
  <c r="G49" i="9"/>
  <c r="BW42" i="7"/>
  <c r="BX42" i="7" s="1"/>
  <c r="G50" i="9" l="1"/>
  <c r="G51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8" i="9" s="1"/>
  <c r="BW45" i="7"/>
  <c r="BX45" i="7" s="1"/>
  <c r="Z79" i="7"/>
  <c r="Q81" i="19"/>
  <c r="S44" i="19"/>
  <c r="O43" i="19"/>
  <c r="BZ41" i="7"/>
  <c r="CE42" i="7"/>
  <c r="H18" i="9"/>
  <c r="O13" i="1"/>
  <c r="H13" i="16"/>
  <c r="CF66" i="7"/>
  <c r="L8" i="1"/>
  <c r="M8" i="1" s="1"/>
  <c r="N43" i="1"/>
  <c r="O43" i="1"/>
  <c r="F69" i="9" l="1"/>
  <c r="F71" i="9" s="1"/>
  <c r="F70" i="9"/>
  <c r="C10" i="19"/>
  <c r="C8" i="19" s="1"/>
  <c r="M6" i="1"/>
  <c r="AA79" i="7"/>
  <c r="R81" i="19"/>
  <c r="BZ79" i="7"/>
  <c r="H44" i="16"/>
  <c r="H41" i="16" s="1"/>
  <c r="M44" i="7"/>
  <c r="AC44" i="7" s="1"/>
  <c r="O65" i="1"/>
  <c r="H74" i="16"/>
  <c r="L34" i="1"/>
  <c r="AB79" i="7" l="1"/>
  <c r="AC79" i="7" s="1"/>
  <c r="AD79" i="7" s="1"/>
  <c r="AE79" i="7" s="1"/>
  <c r="AF79" i="7" s="1"/>
  <c r="AG79" i="7" s="1"/>
  <c r="AH79" i="7" s="1"/>
  <c r="AI79" i="7" s="1"/>
  <c r="AJ79" i="7" s="1"/>
  <c r="AK79" i="7" s="1"/>
  <c r="AL79" i="7" s="1"/>
  <c r="AM79" i="7" s="1"/>
  <c r="AD44" i="7"/>
  <c r="AE44" i="7" s="1"/>
  <c r="AF44" i="7" s="1"/>
  <c r="AG44" i="7" s="1"/>
  <c r="AH44" i="7" s="1"/>
  <c r="AI44" i="7" s="1"/>
  <c r="AJ44" i="7" s="1"/>
  <c r="AK44" i="7" s="1"/>
  <c r="AL44" i="7" s="1"/>
  <c r="AM44" i="7" s="1"/>
  <c r="M41" i="7"/>
  <c r="O90" i="1"/>
  <c r="N38" i="1"/>
  <c r="N40" i="1"/>
  <c r="H24" i="9"/>
  <c r="E18" i="10" s="1"/>
  <c r="L37" i="1"/>
  <c r="L36" i="1"/>
  <c r="M36" i="1" s="1"/>
  <c r="C38" i="19" s="1"/>
  <c r="O45" i="1"/>
  <c r="N45" i="1"/>
  <c r="O44" i="1"/>
  <c r="N44" i="1"/>
  <c r="O59" i="1"/>
  <c r="N59" i="1"/>
  <c r="O58" i="1"/>
  <c r="N58" i="1"/>
  <c r="O57" i="1"/>
  <c r="N57" i="1"/>
  <c r="O56" i="1"/>
  <c r="N56" i="1"/>
  <c r="N55" i="1"/>
  <c r="O66" i="1"/>
  <c r="N66" i="1"/>
  <c r="O64" i="1"/>
  <c r="N64" i="1"/>
  <c r="O63" i="1"/>
  <c r="N63" i="1"/>
  <c r="N86" i="1"/>
  <c r="N85" i="1"/>
  <c r="O84" i="1"/>
  <c r="N84" i="1"/>
  <c r="P109" i="7"/>
  <c r="H111" i="19" s="1"/>
  <c r="Q109" i="7"/>
  <c r="I111" i="19" s="1"/>
  <c r="R109" i="7"/>
  <c r="J111" i="19" s="1"/>
  <c r="S109" i="7"/>
  <c r="K111" i="19" s="1"/>
  <c r="T109" i="7"/>
  <c r="L111" i="19" s="1"/>
  <c r="U109" i="7"/>
  <c r="M111" i="19" s="1"/>
  <c r="V109" i="7"/>
  <c r="N111" i="19" s="1"/>
  <c r="W109" i="7"/>
  <c r="O111" i="19" s="1"/>
  <c r="X109" i="7"/>
  <c r="P111" i="19" s="1"/>
  <c r="Z109" i="7"/>
  <c r="R111" i="19" s="1"/>
  <c r="AA109" i="7"/>
  <c r="AB109" i="7"/>
  <c r="AC109" i="7"/>
  <c r="AE109" i="7"/>
  <c r="AF109" i="7"/>
  <c r="AG109" i="7"/>
  <c r="AI109" i="7"/>
  <c r="AJ109" i="7"/>
  <c r="AK109" i="7"/>
  <c r="AL109" i="7"/>
  <c r="AM109" i="7"/>
  <c r="AO109" i="7"/>
  <c r="AP109" i="7"/>
  <c r="AQ109" i="7"/>
  <c r="AR109" i="7"/>
  <c r="AS109" i="7"/>
  <c r="AU109" i="7"/>
  <c r="AV109" i="7"/>
  <c r="AW109" i="7"/>
  <c r="AX109" i="7"/>
  <c r="AY109" i="7"/>
  <c r="BA109" i="7"/>
  <c r="BB109" i="7"/>
  <c r="BC109" i="7"/>
  <c r="BD109" i="7"/>
  <c r="BE109" i="7"/>
  <c r="BG109" i="7"/>
  <c r="BH109" i="7"/>
  <c r="BI109" i="7"/>
  <c r="BJ109" i="7"/>
  <c r="BK109" i="7"/>
  <c r="BM109" i="7"/>
  <c r="BN109" i="7"/>
  <c r="BO109" i="7"/>
  <c r="BP109" i="7"/>
  <c r="BR109" i="7"/>
  <c r="BS109" i="7"/>
  <c r="BT109" i="7"/>
  <c r="BV109" i="7"/>
  <c r="O109" i="7"/>
  <c r="O60" i="1" l="1"/>
  <c r="O41" i="1"/>
  <c r="N37" i="1"/>
  <c r="M37" i="1"/>
  <c r="C39" i="19" s="1"/>
  <c r="CA79" i="7"/>
  <c r="AN79" i="7"/>
  <c r="AO79" i="7" s="1"/>
  <c r="AP79" i="7" s="1"/>
  <c r="AQ79" i="7" s="1"/>
  <c r="AR79" i="7" s="1"/>
  <c r="AS79" i="7" s="1"/>
  <c r="AT79" i="7" s="1"/>
  <c r="AU79" i="7" s="1"/>
  <c r="AV79" i="7" s="1"/>
  <c r="AW79" i="7" s="1"/>
  <c r="AX79" i="7" s="1"/>
  <c r="AY79" i="7" s="1"/>
  <c r="G111" i="19"/>
  <c r="AN44" i="7"/>
  <c r="CB44" i="7" s="1"/>
  <c r="CA44" i="7"/>
  <c r="S45" i="19"/>
  <c r="H36" i="16"/>
  <c r="O38" i="1"/>
  <c r="H38" i="16"/>
  <c r="O40" i="1"/>
  <c r="H40" i="16"/>
  <c r="C9" i="12"/>
  <c r="H10" i="9" l="1"/>
  <c r="E8" i="10" s="1"/>
  <c r="E7" i="10" s="1"/>
  <c r="BW44" i="7"/>
  <c r="BX44" i="7" s="1"/>
  <c r="AZ79" i="7"/>
  <c r="BA79" i="7" s="1"/>
  <c r="BB79" i="7" s="1"/>
  <c r="BC79" i="7" s="1"/>
  <c r="BD79" i="7" s="1"/>
  <c r="BE79" i="7" s="1"/>
  <c r="BF79" i="7" s="1"/>
  <c r="BG79" i="7" s="1"/>
  <c r="BH79" i="7" s="1"/>
  <c r="BI79" i="7" s="1"/>
  <c r="BJ79" i="7" s="1"/>
  <c r="BK79" i="7" s="1"/>
  <c r="CB79" i="7"/>
  <c r="O37" i="1"/>
  <c r="H37" i="16"/>
  <c r="L39" i="1"/>
  <c r="P105" i="7"/>
  <c r="Q105" i="7"/>
  <c r="R105" i="7"/>
  <c r="S105" i="7"/>
  <c r="T105" i="7"/>
  <c r="U105" i="7"/>
  <c r="V105" i="7"/>
  <c r="W105" i="7"/>
  <c r="X105" i="7"/>
  <c r="Y105" i="7"/>
  <c r="Q107" i="19" s="1"/>
  <c r="Z105" i="7"/>
  <c r="AA105" i="7"/>
  <c r="AB105" i="7"/>
  <c r="AB104" i="7" s="1"/>
  <c r="AC105" i="7"/>
  <c r="AC104" i="7" s="1"/>
  <c r="AD105" i="7"/>
  <c r="AE105" i="7"/>
  <c r="AE104" i="7" s="1"/>
  <c r="AF105" i="7"/>
  <c r="AF104" i="7" s="1"/>
  <c r="AG105" i="7"/>
  <c r="AG104" i="7" s="1"/>
  <c r="AH105" i="7"/>
  <c r="AI105" i="7"/>
  <c r="AI104" i="7" s="1"/>
  <c r="AJ105" i="7"/>
  <c r="AJ104" i="7" s="1"/>
  <c r="AK105" i="7"/>
  <c r="AK104" i="7" s="1"/>
  <c r="AL105" i="7"/>
  <c r="AL104" i="7" s="1"/>
  <c r="AM105" i="7"/>
  <c r="AN105" i="7"/>
  <c r="AO105" i="7"/>
  <c r="AO104" i="7" s="1"/>
  <c r="AP105" i="7"/>
  <c r="AP104" i="7" s="1"/>
  <c r="AQ105" i="7"/>
  <c r="AQ104" i="7" s="1"/>
  <c r="AR105" i="7"/>
  <c r="AR104" i="7" s="1"/>
  <c r="AS105" i="7"/>
  <c r="AS104" i="7" s="1"/>
  <c r="AX105" i="7"/>
  <c r="AX104" i="7" s="1"/>
  <c r="AY105" i="7"/>
  <c r="AZ105" i="7"/>
  <c r="BA105" i="7"/>
  <c r="BA104" i="7" s="1"/>
  <c r="BB105" i="7"/>
  <c r="BB104" i="7" s="1"/>
  <c r="BC105" i="7"/>
  <c r="BC104" i="7" s="1"/>
  <c r="BD105" i="7"/>
  <c r="BD104" i="7" s="1"/>
  <c r="BE105" i="7"/>
  <c r="BE104" i="7" s="1"/>
  <c r="BF105" i="7"/>
  <c r="BG105" i="7"/>
  <c r="BG104" i="7" s="1"/>
  <c r="BH105" i="7"/>
  <c r="BH104" i="7" s="1"/>
  <c r="BI105" i="7"/>
  <c r="BI104" i="7" s="1"/>
  <c r="BJ105" i="7"/>
  <c r="BJ104" i="7" s="1"/>
  <c r="BK105" i="7"/>
  <c r="BL105" i="7"/>
  <c r="BM105" i="7"/>
  <c r="BM104" i="7" s="1"/>
  <c r="BN105" i="7"/>
  <c r="BN104" i="7" s="1"/>
  <c r="BO105" i="7"/>
  <c r="BO104" i="7" s="1"/>
  <c r="BP105" i="7"/>
  <c r="BP104" i="7" s="1"/>
  <c r="BQ105" i="7"/>
  <c r="BV105" i="7"/>
  <c r="BV104" i="7" s="1"/>
  <c r="P83" i="7"/>
  <c r="H85" i="19" s="1"/>
  <c r="Q83" i="7"/>
  <c r="I85" i="19" s="1"/>
  <c r="R83" i="7"/>
  <c r="J85" i="19" s="1"/>
  <c r="S83" i="7"/>
  <c r="K85" i="19" s="1"/>
  <c r="T83" i="7"/>
  <c r="L85" i="19" s="1"/>
  <c r="U83" i="7"/>
  <c r="M85" i="19" s="1"/>
  <c r="V83" i="7"/>
  <c r="N85" i="19" s="1"/>
  <c r="W83" i="7"/>
  <c r="O85" i="19" s="1"/>
  <c r="X83" i="7"/>
  <c r="P85" i="19" s="1"/>
  <c r="Y83" i="7"/>
  <c r="Q85" i="19" s="1"/>
  <c r="Z83" i="7"/>
  <c r="R85" i="19" s="1"/>
  <c r="AA83" i="7"/>
  <c r="AB83" i="7"/>
  <c r="AC83" i="7"/>
  <c r="AD83" i="7"/>
  <c r="AH83" i="7"/>
  <c r="AI83" i="7"/>
  <c r="AK83" i="7"/>
  <c r="AL83" i="7"/>
  <c r="AN83" i="7"/>
  <c r="AO83" i="7"/>
  <c r="AQ83" i="7"/>
  <c r="AR83" i="7"/>
  <c r="AT83" i="7"/>
  <c r="AU83" i="7"/>
  <c r="AW83" i="7"/>
  <c r="AX83" i="7"/>
  <c r="AZ83" i="7"/>
  <c r="BA83" i="7"/>
  <c r="BC83" i="7"/>
  <c r="BD83" i="7"/>
  <c r="BF83" i="7"/>
  <c r="BG83" i="7"/>
  <c r="BI83" i="7"/>
  <c r="BJ83" i="7"/>
  <c r="BL83" i="7"/>
  <c r="BM83" i="7"/>
  <c r="BO83" i="7"/>
  <c r="BP83" i="7"/>
  <c r="BR83" i="7"/>
  <c r="BS83" i="7"/>
  <c r="BU83" i="7"/>
  <c r="BV83" i="7"/>
  <c r="P54" i="7"/>
  <c r="Q54" i="7"/>
  <c r="R54" i="7"/>
  <c r="S54" i="7"/>
  <c r="V54" i="7"/>
  <c r="W54" i="7"/>
  <c r="X54" i="7"/>
  <c r="Y54" i="7"/>
  <c r="Z54" i="7"/>
  <c r="AB54" i="7"/>
  <c r="AC54" i="7"/>
  <c r="AE54" i="7"/>
  <c r="AF54" i="7"/>
  <c r="AH54" i="7"/>
  <c r="AI54" i="7"/>
  <c r="AK54" i="7"/>
  <c r="P78" i="7"/>
  <c r="Q78" i="7"/>
  <c r="I80" i="19" s="1"/>
  <c r="R78" i="7"/>
  <c r="J80" i="19" s="1"/>
  <c r="T78" i="7"/>
  <c r="L80" i="19" s="1"/>
  <c r="U78" i="7"/>
  <c r="M80" i="19" s="1"/>
  <c r="V78" i="7"/>
  <c r="N80" i="19" s="1"/>
  <c r="W78" i="7"/>
  <c r="O80" i="19" s="1"/>
  <c r="X78" i="7"/>
  <c r="P80" i="19" s="1"/>
  <c r="Y78" i="7"/>
  <c r="Q80" i="19" s="1"/>
  <c r="Z78" i="7"/>
  <c r="R80" i="19" s="1"/>
  <c r="AA78" i="7"/>
  <c r="AB78" i="7"/>
  <c r="AD78" i="7"/>
  <c r="AE78" i="7"/>
  <c r="AF78" i="7"/>
  <c r="AG78" i="7"/>
  <c r="AH78" i="7"/>
  <c r="AI78" i="7"/>
  <c r="AK78" i="7"/>
  <c r="AL78" i="7"/>
  <c r="AM78" i="7"/>
  <c r="AP78" i="7"/>
  <c r="AR78" i="7"/>
  <c r="AU78" i="7"/>
  <c r="AV78" i="7"/>
  <c r="AX78" i="7"/>
  <c r="AY78" i="7"/>
  <c r="BB78" i="7"/>
  <c r="BE78" i="7"/>
  <c r="BH78" i="7"/>
  <c r="BK78" i="7"/>
  <c r="P50" i="7"/>
  <c r="H52" i="19" s="1"/>
  <c r="Q50" i="7"/>
  <c r="I52" i="19" s="1"/>
  <c r="R50" i="7"/>
  <c r="J52" i="19" s="1"/>
  <c r="S50" i="7"/>
  <c r="K52" i="19" s="1"/>
  <c r="T50" i="7"/>
  <c r="L52" i="19" s="1"/>
  <c r="U50" i="7"/>
  <c r="M52" i="19" s="1"/>
  <c r="V50" i="7"/>
  <c r="N52" i="19" s="1"/>
  <c r="W50" i="7"/>
  <c r="O52" i="19" s="1"/>
  <c r="X50" i="7"/>
  <c r="P52" i="19" s="1"/>
  <c r="Y50" i="7"/>
  <c r="Q52" i="19" s="1"/>
  <c r="AA50" i="7"/>
  <c r="AD50" i="7"/>
  <c r="AE50" i="7"/>
  <c r="AG50" i="7"/>
  <c r="AH50" i="7"/>
  <c r="AK50" i="7"/>
  <c r="AM50" i="7"/>
  <c r="AN50" i="7"/>
  <c r="AP50" i="7"/>
  <c r="AQ50" i="7"/>
  <c r="AT50" i="7"/>
  <c r="AV50" i="7"/>
  <c r="AW50" i="7"/>
  <c r="AY50" i="7"/>
  <c r="AZ50" i="7"/>
  <c r="BB50" i="7"/>
  <c r="BC50" i="7"/>
  <c r="BE50" i="7"/>
  <c r="BF50" i="7"/>
  <c r="BH50" i="7"/>
  <c r="BI50" i="7"/>
  <c r="BJ50" i="7"/>
  <c r="BK50" i="7"/>
  <c r="BL50" i="7"/>
  <c r="BM50" i="7"/>
  <c r="BN50" i="7"/>
  <c r="BO50" i="7"/>
  <c r="BP50" i="7"/>
  <c r="BQ50" i="7"/>
  <c r="BR50" i="7"/>
  <c r="BS50" i="7"/>
  <c r="BT50" i="7"/>
  <c r="BU50" i="7"/>
  <c r="BV50" i="7"/>
  <c r="P46" i="7"/>
  <c r="H48" i="19" s="1"/>
  <c r="Q46" i="7"/>
  <c r="I48" i="19" s="1"/>
  <c r="R46" i="7"/>
  <c r="J48" i="19" s="1"/>
  <c r="S46" i="7"/>
  <c r="K48" i="19" s="1"/>
  <c r="T46" i="7"/>
  <c r="L48" i="19" s="1"/>
  <c r="U46" i="7"/>
  <c r="M48" i="19" s="1"/>
  <c r="V46" i="7"/>
  <c r="N48" i="19" s="1"/>
  <c r="W46" i="7"/>
  <c r="O48" i="19" s="1"/>
  <c r="X46" i="7"/>
  <c r="P48" i="19" s="1"/>
  <c r="Y46" i="7"/>
  <c r="Q48" i="19" s="1"/>
  <c r="Z46" i="7"/>
  <c r="R48" i="19" s="1"/>
  <c r="AB46" i="7"/>
  <c r="AC46" i="7"/>
  <c r="AE46" i="7"/>
  <c r="AF46" i="7"/>
  <c r="AH46" i="7"/>
  <c r="AI46" i="7"/>
  <c r="AK46" i="7"/>
  <c r="AL46" i="7"/>
  <c r="AN46" i="7"/>
  <c r="AO46" i="7"/>
  <c r="AQ46" i="7"/>
  <c r="AR46" i="7"/>
  <c r="AT46" i="7"/>
  <c r="AZ46" i="7"/>
  <c r="BA46" i="7"/>
  <c r="BC46" i="7"/>
  <c r="BD46" i="7"/>
  <c r="BF46" i="7"/>
  <c r="BI46" i="7"/>
  <c r="BL46" i="7"/>
  <c r="BM46" i="7"/>
  <c r="BO46" i="7"/>
  <c r="BP46" i="7"/>
  <c r="BR46" i="7"/>
  <c r="BS46" i="7"/>
  <c r="BU46" i="7"/>
  <c r="BV46" i="7"/>
  <c r="P67" i="7"/>
  <c r="H69" i="19" s="1"/>
  <c r="Q67" i="7"/>
  <c r="I69" i="19" s="1"/>
  <c r="R67" i="7"/>
  <c r="J69" i="19" s="1"/>
  <c r="S67" i="7"/>
  <c r="K69" i="19" s="1"/>
  <c r="T67" i="7"/>
  <c r="L69" i="19" s="1"/>
  <c r="U67" i="7"/>
  <c r="M69" i="19" s="1"/>
  <c r="V67" i="7"/>
  <c r="N69" i="19" s="1"/>
  <c r="AA67" i="7"/>
  <c r="AB67" i="7"/>
  <c r="AC67" i="7"/>
  <c r="AD67" i="7"/>
  <c r="AI67" i="7"/>
  <c r="AJ67" i="7"/>
  <c r="AK67" i="7"/>
  <c r="AL67" i="7"/>
  <c r="AN67" i="7"/>
  <c r="AO67" i="7"/>
  <c r="AP67" i="7"/>
  <c r="AQ67" i="7"/>
  <c r="AR67" i="7"/>
  <c r="AS67" i="7"/>
  <c r="AT67" i="7"/>
  <c r="AU67" i="7"/>
  <c r="BA67" i="7"/>
  <c r="BB67" i="7"/>
  <c r="BC67" i="7"/>
  <c r="BD67" i="7"/>
  <c r="BE67" i="7"/>
  <c r="BF67" i="7"/>
  <c r="BG67" i="7"/>
  <c r="BH67" i="7"/>
  <c r="BI67" i="7"/>
  <c r="BJ67" i="7"/>
  <c r="BL67" i="7"/>
  <c r="BM67" i="7"/>
  <c r="BN67" i="7"/>
  <c r="BO67" i="7"/>
  <c r="BP67" i="7"/>
  <c r="BQ67" i="7"/>
  <c r="BR67" i="7"/>
  <c r="BS67" i="7"/>
  <c r="BT67" i="7"/>
  <c r="BU67" i="7"/>
  <c r="BV67" i="7"/>
  <c r="P22" i="7"/>
  <c r="H24" i="19" s="1"/>
  <c r="Q22" i="7"/>
  <c r="I24" i="19" s="1"/>
  <c r="R22" i="7"/>
  <c r="J24" i="19" s="1"/>
  <c r="S22" i="7"/>
  <c r="K24" i="19" s="1"/>
  <c r="T22" i="7"/>
  <c r="L24" i="19" s="1"/>
  <c r="U22" i="7"/>
  <c r="M24" i="19" s="1"/>
  <c r="V22" i="7"/>
  <c r="N24" i="19" s="1"/>
  <c r="AA22" i="7"/>
  <c r="AB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Q22" i="7"/>
  <c r="AR22" i="7"/>
  <c r="AS22" i="7"/>
  <c r="AT22" i="7"/>
  <c r="AU22" i="7"/>
  <c r="AV22" i="7"/>
  <c r="AW22" i="7"/>
  <c r="AX22" i="7"/>
  <c r="AY22" i="7"/>
  <c r="AZ22" i="7"/>
  <c r="BB22" i="7"/>
  <c r="BD22" i="7"/>
  <c r="BE22" i="7"/>
  <c r="BG22" i="7"/>
  <c r="BH22" i="7"/>
  <c r="BI22" i="7"/>
  <c r="BJ22" i="7"/>
  <c r="BK22" i="7"/>
  <c r="BL22" i="7"/>
  <c r="BO22" i="7"/>
  <c r="BP22" i="7"/>
  <c r="BQ22" i="7"/>
  <c r="BR22" i="7"/>
  <c r="BT22" i="7"/>
  <c r="BU22" i="7"/>
  <c r="BV22" i="7"/>
  <c r="P30" i="7"/>
  <c r="H32" i="19" s="1"/>
  <c r="Q30" i="7"/>
  <c r="I32" i="19" s="1"/>
  <c r="R30" i="7"/>
  <c r="J32" i="19" s="1"/>
  <c r="S30" i="7"/>
  <c r="K32" i="19" s="1"/>
  <c r="T30" i="7"/>
  <c r="L32" i="19" s="1"/>
  <c r="U30" i="7"/>
  <c r="M32" i="19" s="1"/>
  <c r="V30" i="7"/>
  <c r="N32" i="19" s="1"/>
  <c r="X30" i="7"/>
  <c r="P32" i="19" s="1"/>
  <c r="AD30" i="7"/>
  <c r="AE30" i="7"/>
  <c r="AI30" i="7"/>
  <c r="AJ30" i="7"/>
  <c r="AK30" i="7"/>
  <c r="AL30" i="7"/>
  <c r="AO30" i="7"/>
  <c r="AP30" i="7"/>
  <c r="AR30" i="7"/>
  <c r="AS30" i="7"/>
  <c r="AT30" i="7"/>
  <c r="AV30" i="7"/>
  <c r="AW30" i="7"/>
  <c r="AX30" i="7"/>
  <c r="AY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P87" i="7"/>
  <c r="H89" i="19" s="1"/>
  <c r="Q87" i="7"/>
  <c r="I89" i="19" s="1"/>
  <c r="R87" i="7"/>
  <c r="J89" i="19" s="1"/>
  <c r="S87" i="7"/>
  <c r="K89" i="19" s="1"/>
  <c r="T87" i="7"/>
  <c r="L89" i="19" s="1"/>
  <c r="U87" i="7"/>
  <c r="M89" i="19" s="1"/>
  <c r="W87" i="7"/>
  <c r="O89" i="19" s="1"/>
  <c r="AC87" i="7"/>
  <c r="AD87" i="7"/>
  <c r="AF87" i="7"/>
  <c r="AH87" i="7"/>
  <c r="AK87" i="7"/>
  <c r="AM87" i="7"/>
  <c r="AO87" i="7"/>
  <c r="AP87" i="7"/>
  <c r="AS87" i="7"/>
  <c r="AT87" i="7"/>
  <c r="AU87" i="7"/>
  <c r="AV87" i="7"/>
  <c r="AW87" i="7"/>
  <c r="AX87" i="7"/>
  <c r="AY87" i="7"/>
  <c r="AZ87" i="7"/>
  <c r="BA87" i="7"/>
  <c r="BB87" i="7"/>
  <c r="BC87" i="7"/>
  <c r="BE87" i="7"/>
  <c r="BF87" i="7"/>
  <c r="BG87" i="7"/>
  <c r="BH87" i="7"/>
  <c r="BI87" i="7"/>
  <c r="BJ87" i="7"/>
  <c r="BK87" i="7"/>
  <c r="BL87" i="7"/>
  <c r="BM87" i="7"/>
  <c r="BN87" i="7"/>
  <c r="BO87" i="7"/>
  <c r="BQ87" i="7"/>
  <c r="BR87" i="7"/>
  <c r="BS87" i="7"/>
  <c r="BT87" i="7"/>
  <c r="BU87" i="7"/>
  <c r="BV87" i="7"/>
  <c r="P35" i="7"/>
  <c r="H37" i="19" s="1"/>
  <c r="Q35" i="7"/>
  <c r="I37" i="19" s="1"/>
  <c r="R35" i="7"/>
  <c r="J37" i="19" s="1"/>
  <c r="S35" i="7"/>
  <c r="K37" i="19" s="1"/>
  <c r="T35" i="7"/>
  <c r="L37" i="19" s="1"/>
  <c r="U35" i="7"/>
  <c r="M37" i="19" s="1"/>
  <c r="V35" i="7"/>
  <c r="N37" i="19" s="1"/>
  <c r="W35" i="7"/>
  <c r="O37" i="19" s="1"/>
  <c r="X35" i="7"/>
  <c r="P37" i="19" s="1"/>
  <c r="Y35" i="7"/>
  <c r="Q37" i="19" s="1"/>
  <c r="AT35" i="7"/>
  <c r="AU35" i="7"/>
  <c r="AV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BQ35" i="7"/>
  <c r="BR35" i="7"/>
  <c r="BS35" i="7"/>
  <c r="BT35" i="7"/>
  <c r="BU35" i="7"/>
  <c r="BV35" i="7"/>
  <c r="P16" i="7"/>
  <c r="H18" i="19" s="1"/>
  <c r="Q16" i="7"/>
  <c r="I18" i="19" s="1"/>
  <c r="R16" i="7"/>
  <c r="J18" i="19" s="1"/>
  <c r="S16" i="7"/>
  <c r="K18" i="19" s="1"/>
  <c r="T16" i="7"/>
  <c r="L18" i="19" s="1"/>
  <c r="U16" i="7"/>
  <c r="M18" i="19" s="1"/>
  <c r="V16" i="7"/>
  <c r="N18" i="19" s="1"/>
  <c r="W16" i="7"/>
  <c r="O18" i="19" s="1"/>
  <c r="X16" i="7"/>
  <c r="P18" i="19" s="1"/>
  <c r="Y16" i="7"/>
  <c r="Q18" i="19" s="1"/>
  <c r="Z16" i="7"/>
  <c r="R18" i="19" s="1"/>
  <c r="AA16" i="7"/>
  <c r="AB16" i="7"/>
  <c r="AC16" i="7"/>
  <c r="AD16" i="7"/>
  <c r="AE16" i="7"/>
  <c r="AJ16" i="7"/>
  <c r="AK16" i="7"/>
  <c r="AL16" i="7"/>
  <c r="AM16" i="7"/>
  <c r="AN16" i="7"/>
  <c r="AO16" i="7"/>
  <c r="AP16" i="7"/>
  <c r="AU16" i="7"/>
  <c r="AV16" i="7"/>
  <c r="AW16" i="7"/>
  <c r="AX16" i="7"/>
  <c r="AY16" i="7"/>
  <c r="AZ16" i="7"/>
  <c r="BA16" i="7"/>
  <c r="BB16" i="7"/>
  <c r="BD16" i="7"/>
  <c r="BE16" i="7"/>
  <c r="BG16" i="7"/>
  <c r="BH16" i="7"/>
  <c r="BI16" i="7"/>
  <c r="BJ16" i="7"/>
  <c r="BK16" i="7"/>
  <c r="BL16" i="7"/>
  <c r="BM16" i="7"/>
  <c r="BN16" i="7"/>
  <c r="BO16" i="7"/>
  <c r="BP16" i="7"/>
  <c r="BQ16" i="7"/>
  <c r="BR16" i="7"/>
  <c r="BS16" i="7"/>
  <c r="BT16" i="7"/>
  <c r="BU16" i="7"/>
  <c r="BV16" i="7"/>
  <c r="P11" i="7"/>
  <c r="H13" i="19" s="1"/>
  <c r="Q11" i="7"/>
  <c r="I13" i="19" s="1"/>
  <c r="R11" i="7"/>
  <c r="J13" i="19" s="1"/>
  <c r="S11" i="7"/>
  <c r="K13" i="19" s="1"/>
  <c r="T11" i="7"/>
  <c r="L13" i="19" s="1"/>
  <c r="U11" i="7"/>
  <c r="M13" i="19" s="1"/>
  <c r="V11" i="7"/>
  <c r="N13" i="19" s="1"/>
  <c r="W11" i="7"/>
  <c r="O13" i="19" s="1"/>
  <c r="X11" i="7"/>
  <c r="P13" i="19" s="1"/>
  <c r="Y11" i="7"/>
  <c r="Q13" i="19" s="1"/>
  <c r="Z11" i="7"/>
  <c r="R13" i="19" s="1"/>
  <c r="AJ11" i="7"/>
  <c r="AL11" i="7"/>
  <c r="AM11" i="7"/>
  <c r="AO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BD11" i="7"/>
  <c r="BE11" i="7"/>
  <c r="BF11" i="7"/>
  <c r="BG11" i="7"/>
  <c r="BH11" i="7"/>
  <c r="BI11" i="7"/>
  <c r="BJ11" i="7"/>
  <c r="BK11" i="7"/>
  <c r="BL11" i="7"/>
  <c r="BM11" i="7"/>
  <c r="BN11" i="7"/>
  <c r="BO11" i="7"/>
  <c r="BP11" i="7"/>
  <c r="BQ11" i="7"/>
  <c r="BR11" i="7"/>
  <c r="BS11" i="7"/>
  <c r="BT11" i="7"/>
  <c r="BU11" i="7"/>
  <c r="BV11" i="7"/>
  <c r="P6" i="7"/>
  <c r="Q6" i="7"/>
  <c r="R6" i="7"/>
  <c r="S6" i="7"/>
  <c r="S5" i="7" s="1"/>
  <c r="T6" i="7"/>
  <c r="U6" i="7"/>
  <c r="Z6" i="7"/>
  <c r="AA6" i="7"/>
  <c r="AB6" i="7"/>
  <c r="AC6" i="7"/>
  <c r="AD6" i="7"/>
  <c r="AF6" i="7"/>
  <c r="AG6" i="7"/>
  <c r="AI6" i="7"/>
  <c r="AJ6" i="7"/>
  <c r="AL6" i="7"/>
  <c r="AM6" i="7"/>
  <c r="AO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L5" i="7" s="1"/>
  <c r="BM6" i="7"/>
  <c r="BN6" i="7"/>
  <c r="BO6" i="7"/>
  <c r="BP6" i="7"/>
  <c r="BP5" i="7" s="1"/>
  <c r="BQ6" i="7"/>
  <c r="BR6" i="7"/>
  <c r="BS6" i="7"/>
  <c r="BT6" i="7"/>
  <c r="BU6" i="7"/>
  <c r="BV6" i="7"/>
  <c r="O105" i="7"/>
  <c r="A109" i="7"/>
  <c r="G109" i="7"/>
  <c r="H109" i="7"/>
  <c r="I109" i="7"/>
  <c r="J109" i="7"/>
  <c r="K109" i="7"/>
  <c r="L109" i="7"/>
  <c r="A108" i="7"/>
  <c r="G108" i="7"/>
  <c r="H108" i="7"/>
  <c r="I108" i="7"/>
  <c r="J108" i="7"/>
  <c r="K108" i="7"/>
  <c r="L108" i="7"/>
  <c r="O83" i="7"/>
  <c r="O54" i="7"/>
  <c r="O50" i="7"/>
  <c r="O46" i="7"/>
  <c r="O67" i="7"/>
  <c r="O22" i="7"/>
  <c r="O30" i="7"/>
  <c r="O87" i="7"/>
  <c r="O35" i="7"/>
  <c r="O16" i="7"/>
  <c r="O11" i="7"/>
  <c r="O6" i="7"/>
  <c r="A87" i="7"/>
  <c r="G87" i="7"/>
  <c r="H87" i="7"/>
  <c r="I87" i="7"/>
  <c r="J87" i="7"/>
  <c r="K87" i="7"/>
  <c r="L87" i="7"/>
  <c r="BO5" i="7" l="1"/>
  <c r="R5" i="7"/>
  <c r="BV5" i="7"/>
  <c r="U5" i="7"/>
  <c r="BR5" i="7"/>
  <c r="Q5" i="7"/>
  <c r="BU5" i="7"/>
  <c r="BI5" i="7"/>
  <c r="T5" i="7"/>
  <c r="P5" i="7"/>
  <c r="R53" i="7"/>
  <c r="O5" i="7"/>
  <c r="Q53" i="7"/>
  <c r="O53" i="7"/>
  <c r="P53" i="7"/>
  <c r="L8" i="19"/>
  <c r="L7" i="19" s="1"/>
  <c r="H8" i="19"/>
  <c r="H7" i="19" s="1"/>
  <c r="P56" i="19"/>
  <c r="J56" i="19"/>
  <c r="J55" i="19" s="1"/>
  <c r="K8" i="19"/>
  <c r="K7" i="19" s="1"/>
  <c r="O56" i="19"/>
  <c r="I56" i="19"/>
  <c r="I55" i="19" s="1"/>
  <c r="R8" i="19"/>
  <c r="J8" i="19"/>
  <c r="J7" i="19" s="1"/>
  <c r="R56" i="19"/>
  <c r="N56" i="19"/>
  <c r="H56" i="19"/>
  <c r="M8" i="19"/>
  <c r="M7" i="19" s="1"/>
  <c r="I8" i="19"/>
  <c r="I7" i="19" s="1"/>
  <c r="Q56" i="19"/>
  <c r="K56" i="19"/>
  <c r="CC6" i="7"/>
  <c r="BG78" i="7"/>
  <c r="BJ78" i="7"/>
  <c r="BD78" i="7"/>
  <c r="M39" i="1"/>
  <c r="M35" i="1" s="1"/>
  <c r="C41" i="19"/>
  <c r="C37" i="19" s="1"/>
  <c r="G18" i="19"/>
  <c r="BZ16" i="7"/>
  <c r="CD6" i="7"/>
  <c r="BK104" i="7"/>
  <c r="AM104" i="7"/>
  <c r="G8" i="19"/>
  <c r="G13" i="19"/>
  <c r="BZ11" i="7"/>
  <c r="G32" i="19"/>
  <c r="G52" i="19"/>
  <c r="CD30" i="7"/>
  <c r="X104" i="7"/>
  <c r="P106" i="19" s="1"/>
  <c r="P107" i="19"/>
  <c r="T104" i="7"/>
  <c r="L106" i="19" s="1"/>
  <c r="L107" i="19"/>
  <c r="P104" i="7"/>
  <c r="H106" i="19" s="1"/>
  <c r="H107" i="19"/>
  <c r="AA104" i="7"/>
  <c r="CA105" i="7"/>
  <c r="W104" i="7"/>
  <c r="O106" i="19" s="1"/>
  <c r="O107" i="19"/>
  <c r="S104" i="7"/>
  <c r="K106" i="19" s="1"/>
  <c r="K107" i="19"/>
  <c r="G24" i="19"/>
  <c r="AY104" i="7"/>
  <c r="CC105" i="7"/>
  <c r="G37" i="19"/>
  <c r="BZ83" i="7"/>
  <c r="G85" i="19"/>
  <c r="CD35" i="7"/>
  <c r="CC35" i="7"/>
  <c r="CD50" i="7"/>
  <c r="H80" i="19"/>
  <c r="Z104" i="7"/>
  <c r="R106" i="19" s="1"/>
  <c r="R107" i="19"/>
  <c r="V104" i="7"/>
  <c r="N106" i="19" s="1"/>
  <c r="N107" i="19"/>
  <c r="R104" i="7"/>
  <c r="J106" i="19" s="1"/>
  <c r="J107" i="19"/>
  <c r="CC79" i="7"/>
  <c r="G56" i="19"/>
  <c r="O104" i="7"/>
  <c r="BZ105" i="7"/>
  <c r="G107" i="19"/>
  <c r="CD16" i="7"/>
  <c r="G69" i="19"/>
  <c r="G89" i="19"/>
  <c r="BZ46" i="7"/>
  <c r="G48" i="19"/>
  <c r="CD11" i="7"/>
  <c r="CC11" i="7"/>
  <c r="U104" i="7"/>
  <c r="M106" i="19" s="1"/>
  <c r="M107" i="19"/>
  <c r="Q104" i="7"/>
  <c r="I106" i="19" s="1"/>
  <c r="I107" i="19"/>
  <c r="BL79" i="7"/>
  <c r="BM79" i="7" s="1"/>
  <c r="BN79" i="7" s="1"/>
  <c r="S46" i="19"/>
  <c r="N39" i="1"/>
  <c r="H39" i="16"/>
  <c r="H35" i="16" s="1"/>
  <c r="G7" i="19" l="1"/>
  <c r="H55" i="19"/>
  <c r="G55" i="19"/>
  <c r="BO79" i="7"/>
  <c r="BN78" i="7"/>
  <c r="G106" i="19"/>
  <c r="S43" i="19"/>
  <c r="O39" i="1"/>
  <c r="G60" i="9"/>
  <c r="E36" i="10" s="1"/>
  <c r="A22" i="7"/>
  <c r="A23" i="7"/>
  <c r="A24" i="7"/>
  <c r="A25" i="7"/>
  <c r="A26" i="7"/>
  <c r="A27" i="7"/>
  <c r="A28" i="7"/>
  <c r="A29" i="7"/>
  <c r="A11" i="7"/>
  <c r="A12" i="7"/>
  <c r="A13" i="7"/>
  <c r="A14" i="7"/>
  <c r="A15" i="7"/>
  <c r="A16" i="7"/>
  <c r="A17" i="7"/>
  <c r="A18" i="7"/>
  <c r="A19" i="7"/>
  <c r="A20" i="7"/>
  <c r="A21" i="7"/>
  <c r="A67" i="7"/>
  <c r="A68" i="7"/>
  <c r="A69" i="7"/>
  <c r="A70" i="7"/>
  <c r="A71" i="7"/>
  <c r="A72" i="7"/>
  <c r="A73" i="7"/>
  <c r="A74" i="7"/>
  <c r="A75" i="7"/>
  <c r="A76" i="7"/>
  <c r="A77" i="7"/>
  <c r="A46" i="7"/>
  <c r="A47" i="7"/>
  <c r="A48" i="7"/>
  <c r="A49" i="7"/>
  <c r="A6" i="7"/>
  <c r="A7" i="7"/>
  <c r="A8" i="7"/>
  <c r="A9" i="7"/>
  <c r="A10" i="7"/>
  <c r="A35" i="7"/>
  <c r="A36" i="7"/>
  <c r="A37" i="7"/>
  <c r="A38" i="7"/>
  <c r="A39" i="7"/>
  <c r="A40" i="7"/>
  <c r="G35" i="7"/>
  <c r="H35" i="7"/>
  <c r="I35" i="7"/>
  <c r="J35" i="7"/>
  <c r="K35" i="7"/>
  <c r="L35" i="7"/>
  <c r="G36" i="7"/>
  <c r="H36" i="7"/>
  <c r="I36" i="7"/>
  <c r="J36" i="7"/>
  <c r="K36" i="7"/>
  <c r="L36" i="7"/>
  <c r="M36" i="7"/>
  <c r="G37" i="7"/>
  <c r="H37" i="7"/>
  <c r="I37" i="7"/>
  <c r="J37" i="7"/>
  <c r="K37" i="7"/>
  <c r="L37" i="7"/>
  <c r="M37" i="7"/>
  <c r="G38" i="7"/>
  <c r="H38" i="7"/>
  <c r="I38" i="7"/>
  <c r="J38" i="7"/>
  <c r="K38" i="7"/>
  <c r="L38" i="7"/>
  <c r="M38" i="7"/>
  <c r="G39" i="7"/>
  <c r="H39" i="7"/>
  <c r="I39" i="7"/>
  <c r="J39" i="7"/>
  <c r="K39" i="7"/>
  <c r="L39" i="7"/>
  <c r="G40" i="7"/>
  <c r="H40" i="7"/>
  <c r="I40" i="7"/>
  <c r="J40" i="7"/>
  <c r="K40" i="7"/>
  <c r="L40" i="7"/>
  <c r="M40" i="7"/>
  <c r="G6" i="7"/>
  <c r="H6" i="7"/>
  <c r="I6" i="7"/>
  <c r="J6" i="7"/>
  <c r="K6" i="7"/>
  <c r="L6" i="7"/>
  <c r="G7" i="7"/>
  <c r="H7" i="7"/>
  <c r="I7" i="7"/>
  <c r="J7" i="7"/>
  <c r="K7" i="7"/>
  <c r="L7" i="7"/>
  <c r="G8" i="7"/>
  <c r="H8" i="7"/>
  <c r="I8" i="7"/>
  <c r="J8" i="7"/>
  <c r="K8" i="7"/>
  <c r="L8" i="7"/>
  <c r="G9" i="7"/>
  <c r="H9" i="7"/>
  <c r="I9" i="7"/>
  <c r="J9" i="7"/>
  <c r="K9" i="7"/>
  <c r="L9" i="7"/>
  <c r="G10" i="7"/>
  <c r="H10" i="7"/>
  <c r="I10" i="7"/>
  <c r="J10" i="7"/>
  <c r="K10" i="7"/>
  <c r="L10" i="7"/>
  <c r="G46" i="7"/>
  <c r="H46" i="7"/>
  <c r="I46" i="7"/>
  <c r="J46" i="7"/>
  <c r="K46" i="7"/>
  <c r="L46" i="7"/>
  <c r="G47" i="7"/>
  <c r="H47" i="7"/>
  <c r="I47" i="7"/>
  <c r="J47" i="7"/>
  <c r="K47" i="7"/>
  <c r="L47" i="7"/>
  <c r="M47" i="7"/>
  <c r="G48" i="7"/>
  <c r="H48" i="7"/>
  <c r="I48" i="7"/>
  <c r="J48" i="7"/>
  <c r="K48" i="7"/>
  <c r="L48" i="7"/>
  <c r="G49" i="7"/>
  <c r="H49" i="7"/>
  <c r="I49" i="7"/>
  <c r="J49" i="7"/>
  <c r="K49" i="7"/>
  <c r="L49" i="7"/>
  <c r="M49" i="7"/>
  <c r="G19" i="7"/>
  <c r="H19" i="7"/>
  <c r="I19" i="7"/>
  <c r="J19" i="7"/>
  <c r="K19" i="7"/>
  <c r="L19" i="7"/>
  <c r="G20" i="7"/>
  <c r="H20" i="7"/>
  <c r="I20" i="7"/>
  <c r="J20" i="7"/>
  <c r="K20" i="7"/>
  <c r="L20" i="7"/>
  <c r="G21" i="7"/>
  <c r="H21" i="7"/>
  <c r="I21" i="7"/>
  <c r="J21" i="7"/>
  <c r="K21" i="7"/>
  <c r="L21" i="7"/>
  <c r="G67" i="7"/>
  <c r="H67" i="7"/>
  <c r="I67" i="7"/>
  <c r="J67" i="7"/>
  <c r="K67" i="7"/>
  <c r="L67" i="7"/>
  <c r="G68" i="7"/>
  <c r="H68" i="7"/>
  <c r="I68" i="7"/>
  <c r="J68" i="7"/>
  <c r="K68" i="7"/>
  <c r="L68" i="7"/>
  <c r="M68" i="7"/>
  <c r="G69" i="7"/>
  <c r="H69" i="7"/>
  <c r="I69" i="7"/>
  <c r="J69" i="7"/>
  <c r="K69" i="7"/>
  <c r="L69" i="7"/>
  <c r="G70" i="7"/>
  <c r="H70" i="7"/>
  <c r="I70" i="7"/>
  <c r="J70" i="7"/>
  <c r="K70" i="7"/>
  <c r="L70" i="7"/>
  <c r="M70" i="7"/>
  <c r="G71" i="7"/>
  <c r="H71" i="7"/>
  <c r="I71" i="7"/>
  <c r="J71" i="7"/>
  <c r="K71" i="7"/>
  <c r="L71" i="7"/>
  <c r="G72" i="7"/>
  <c r="H72" i="7"/>
  <c r="I72" i="7"/>
  <c r="J72" i="7"/>
  <c r="K72" i="7"/>
  <c r="L72" i="7"/>
  <c r="G73" i="7"/>
  <c r="H73" i="7"/>
  <c r="I73" i="7"/>
  <c r="J73" i="7"/>
  <c r="K73" i="7"/>
  <c r="L73" i="7"/>
  <c r="G74" i="7"/>
  <c r="H74" i="7"/>
  <c r="I74" i="7"/>
  <c r="J74" i="7"/>
  <c r="K74" i="7"/>
  <c r="L74" i="7"/>
  <c r="M74" i="7"/>
  <c r="G75" i="7"/>
  <c r="H75" i="7"/>
  <c r="I75" i="7"/>
  <c r="J75" i="7"/>
  <c r="K75" i="7"/>
  <c r="L75" i="7"/>
  <c r="M75" i="7"/>
  <c r="G76" i="7"/>
  <c r="H76" i="7"/>
  <c r="I76" i="7"/>
  <c r="J76" i="7"/>
  <c r="K76" i="7"/>
  <c r="L76" i="7"/>
  <c r="M76" i="7"/>
  <c r="G77" i="7"/>
  <c r="H77" i="7"/>
  <c r="I77" i="7"/>
  <c r="J77" i="7"/>
  <c r="K77" i="7"/>
  <c r="L77" i="7"/>
  <c r="M77" i="7"/>
  <c r="G23" i="7"/>
  <c r="H23" i="7"/>
  <c r="I23" i="7"/>
  <c r="J23" i="7"/>
  <c r="K23" i="7"/>
  <c r="L23" i="7"/>
  <c r="G24" i="7"/>
  <c r="H24" i="7"/>
  <c r="I24" i="7"/>
  <c r="J24" i="7"/>
  <c r="K24" i="7"/>
  <c r="L24" i="7"/>
  <c r="G25" i="7"/>
  <c r="H25" i="7"/>
  <c r="I25" i="7"/>
  <c r="J25" i="7"/>
  <c r="K25" i="7"/>
  <c r="L25" i="7"/>
  <c r="G26" i="7"/>
  <c r="H26" i="7"/>
  <c r="I26" i="7"/>
  <c r="J26" i="7"/>
  <c r="K26" i="7"/>
  <c r="L26" i="7"/>
  <c r="G27" i="7"/>
  <c r="H27" i="7"/>
  <c r="I27" i="7"/>
  <c r="J27" i="7"/>
  <c r="K27" i="7"/>
  <c r="L27" i="7"/>
  <c r="G28" i="7"/>
  <c r="H28" i="7"/>
  <c r="I28" i="7"/>
  <c r="J28" i="7"/>
  <c r="K28" i="7"/>
  <c r="L28" i="7"/>
  <c r="G29" i="7"/>
  <c r="H29" i="7"/>
  <c r="I29" i="7"/>
  <c r="J29" i="7"/>
  <c r="K29" i="7"/>
  <c r="L29" i="7"/>
  <c r="G11" i="7"/>
  <c r="H11" i="7"/>
  <c r="I11" i="7"/>
  <c r="J11" i="7"/>
  <c r="K11" i="7"/>
  <c r="L11" i="7"/>
  <c r="G12" i="7"/>
  <c r="H12" i="7"/>
  <c r="I12" i="7"/>
  <c r="J12" i="7"/>
  <c r="K12" i="7"/>
  <c r="L12" i="7"/>
  <c r="G13" i="7"/>
  <c r="H13" i="7"/>
  <c r="I13" i="7"/>
  <c r="J13" i="7"/>
  <c r="K13" i="7"/>
  <c r="L13" i="7"/>
  <c r="G14" i="7"/>
  <c r="H14" i="7"/>
  <c r="I14" i="7"/>
  <c r="J14" i="7"/>
  <c r="K14" i="7"/>
  <c r="L14" i="7"/>
  <c r="G15" i="7"/>
  <c r="H15" i="7"/>
  <c r="I15" i="7"/>
  <c r="J15" i="7"/>
  <c r="K15" i="7"/>
  <c r="L15" i="7"/>
  <c r="G16" i="7"/>
  <c r="H16" i="7"/>
  <c r="I16" i="7"/>
  <c r="J16" i="7"/>
  <c r="K16" i="7"/>
  <c r="L16" i="7"/>
  <c r="G17" i="7"/>
  <c r="H17" i="7"/>
  <c r="I17" i="7"/>
  <c r="J17" i="7"/>
  <c r="K17" i="7"/>
  <c r="L17" i="7"/>
  <c r="G18" i="7"/>
  <c r="H18" i="7"/>
  <c r="I18" i="7"/>
  <c r="J18" i="7"/>
  <c r="K18" i="7"/>
  <c r="L18" i="7"/>
  <c r="BP79" i="7" l="1"/>
  <c r="AV75" i="7"/>
  <c r="AA37" i="7"/>
  <c r="AA38" i="7"/>
  <c r="AB38" i="7" s="1"/>
  <c r="AC38" i="7" s="1"/>
  <c r="AD38" i="7" s="1"/>
  <c r="AE38" i="7" s="1"/>
  <c r="AF38" i="7" s="1"/>
  <c r="AG38" i="7" s="1"/>
  <c r="AH38" i="7" s="1"/>
  <c r="AI38" i="7" s="1"/>
  <c r="AJ38" i="7" s="1"/>
  <c r="AK38" i="7" s="1"/>
  <c r="AL38" i="7" s="1"/>
  <c r="AM38" i="7" s="1"/>
  <c r="AV76" i="7"/>
  <c r="AG74" i="7"/>
  <c r="AA36" i="7"/>
  <c r="AG68" i="7"/>
  <c r="AH68" i="7"/>
  <c r="AE68" i="7"/>
  <c r="AF68" i="7"/>
  <c r="AF67" i="7" s="1"/>
  <c r="AZ77" i="7"/>
  <c r="AZ67" i="7" s="1"/>
  <c r="AW77" i="7"/>
  <c r="AW67" i="7" s="1"/>
  <c r="AV77" i="7"/>
  <c r="AX77" i="7"/>
  <c r="AX67" i="7" s="1"/>
  <c r="AY77" i="7"/>
  <c r="CC77" i="7" s="1"/>
  <c r="BK70" i="7"/>
  <c r="CD70" i="7" s="1"/>
  <c r="AY70" i="7"/>
  <c r="CC70" i="7" s="1"/>
  <c r="AM70" i="7"/>
  <c r="CB70" i="7" s="1"/>
  <c r="BJ49" i="7"/>
  <c r="BJ46" i="7" s="1"/>
  <c r="BJ5" i="7" s="1"/>
  <c r="BE49" i="7"/>
  <c r="AY49" i="7"/>
  <c r="BB49" i="7"/>
  <c r="BG49" i="7"/>
  <c r="BG46" i="7" s="1"/>
  <c r="AH40" i="7"/>
  <c r="CA40" i="7" s="1"/>
  <c r="AM40" i="7"/>
  <c r="CB40" i="7" s="1"/>
  <c r="BN47" i="7"/>
  <c r="BN46" i="7" s="1"/>
  <c r="AG47" i="7"/>
  <c r="AG46" i="7" s="1"/>
  <c r="AS47" i="7"/>
  <c r="AS46" i="7" s="1"/>
  <c r="BE47" i="7"/>
  <c r="BQ47" i="7"/>
  <c r="BQ46" i="7" s="1"/>
  <c r="BQ5" i="7" s="1"/>
  <c r="AJ47" i="7"/>
  <c r="AJ46" i="7" s="1"/>
  <c r="AV47" i="7"/>
  <c r="BH47" i="7"/>
  <c r="BH46" i="7" s="1"/>
  <c r="BH5" i="7" s="1"/>
  <c r="BT47" i="7"/>
  <c r="BT46" i="7" s="1"/>
  <c r="BT5" i="7" s="1"/>
  <c r="AA47" i="7"/>
  <c r="AM47" i="7"/>
  <c r="AY47" i="7"/>
  <c r="BK47" i="7"/>
  <c r="AD47" i="7"/>
  <c r="AD46" i="7" s="1"/>
  <c r="AP47" i="7"/>
  <c r="AP46" i="7" s="1"/>
  <c r="BB47" i="7"/>
  <c r="H72" i="16"/>
  <c r="H28" i="9"/>
  <c r="E22" i="10" s="1"/>
  <c r="M108" i="1"/>
  <c r="A90" i="7"/>
  <c r="H90" i="7"/>
  <c r="I90" i="7"/>
  <c r="J90" i="7"/>
  <c r="K90" i="7"/>
  <c r="L90" i="7"/>
  <c r="G90" i="7"/>
  <c r="M90" i="7"/>
  <c r="N90" i="1"/>
  <c r="C110" i="19" l="1"/>
  <c r="O108" i="1"/>
  <c r="CC49" i="7"/>
  <c r="CE49" i="7" s="1"/>
  <c r="CB77" i="7"/>
  <c r="AB36" i="7"/>
  <c r="AC36" i="7" s="1"/>
  <c r="AY46" i="7"/>
  <c r="AY5" i="7" s="1"/>
  <c r="CC47" i="7"/>
  <c r="AM46" i="7"/>
  <c r="CB47" i="7"/>
  <c r="CA68" i="7"/>
  <c r="CA74" i="7"/>
  <c r="CE74" i="7" s="1"/>
  <c r="CB75" i="7"/>
  <c r="CE75" i="7" s="1"/>
  <c r="BK46" i="7"/>
  <c r="BK5" i="7" s="1"/>
  <c r="CD47" i="7"/>
  <c r="AA46" i="7"/>
  <c r="CA46" i="7" s="1"/>
  <c r="CA47" i="7"/>
  <c r="CB76" i="7"/>
  <c r="CE76" i="7" s="1"/>
  <c r="CA38" i="7"/>
  <c r="BQ79" i="7"/>
  <c r="BP78" i="7"/>
  <c r="H69" i="16"/>
  <c r="AI90" i="7"/>
  <c r="AQ90" i="7"/>
  <c r="AG90" i="7"/>
  <c r="AN90" i="7"/>
  <c r="AE90" i="7"/>
  <c r="AL90" i="7"/>
  <c r="H9" i="16"/>
  <c r="G78" i="9"/>
  <c r="E50" i="10" s="1"/>
  <c r="H48" i="16"/>
  <c r="H46" i="16" s="1"/>
  <c r="G89" i="9"/>
  <c r="E61" i="10" s="1"/>
  <c r="H71" i="16"/>
  <c r="G97" i="9"/>
  <c r="E69" i="10" s="1"/>
  <c r="H7" i="16"/>
  <c r="G77" i="9"/>
  <c r="E49" i="10" s="1"/>
  <c r="H108" i="16"/>
  <c r="G70" i="9"/>
  <c r="E46" i="10" s="1"/>
  <c r="H8" i="16"/>
  <c r="G57" i="9"/>
  <c r="H10" i="16"/>
  <c r="H73" i="16"/>
  <c r="AM67" i="7"/>
  <c r="AB37" i="7"/>
  <c r="AC37" i="7" s="1"/>
  <c r="AD37" i="7" s="1"/>
  <c r="AE37" i="7" s="1"/>
  <c r="AF37" i="7" s="1"/>
  <c r="AG37" i="7" s="1"/>
  <c r="AH37" i="7" s="1"/>
  <c r="AI37" i="7" s="1"/>
  <c r="AJ37" i="7" s="1"/>
  <c r="AK37" i="7" s="1"/>
  <c r="AL37" i="7" s="1"/>
  <c r="AM37" i="7" s="1"/>
  <c r="AN38" i="7"/>
  <c r="AO38" i="7" s="1"/>
  <c r="AP38" i="7" s="1"/>
  <c r="AQ38" i="7" s="1"/>
  <c r="AR38" i="7" s="1"/>
  <c r="CE40" i="7"/>
  <c r="BK67" i="7"/>
  <c r="AV67" i="7"/>
  <c r="BB46" i="7"/>
  <c r="BB5" i="7" s="1"/>
  <c r="AY67" i="7"/>
  <c r="M69" i="7"/>
  <c r="M8" i="7"/>
  <c r="M39" i="7"/>
  <c r="M73" i="7"/>
  <c r="M10" i="7"/>
  <c r="M108" i="7"/>
  <c r="M72" i="7"/>
  <c r="M9" i="7"/>
  <c r="BE46" i="7"/>
  <c r="BE5" i="7" s="1"/>
  <c r="BW40" i="7"/>
  <c r="BX40" i="7" s="1"/>
  <c r="M71" i="7"/>
  <c r="M7" i="7"/>
  <c r="M48" i="7"/>
  <c r="CD46" i="7" l="1"/>
  <c r="E33" i="10"/>
  <c r="CA90" i="7"/>
  <c r="CB90" i="7"/>
  <c r="BR79" i="7"/>
  <c r="BS79" i="7" s="1"/>
  <c r="BQ78" i="7"/>
  <c r="CD67" i="7"/>
  <c r="CC46" i="7"/>
  <c r="CC67" i="7"/>
  <c r="CB67" i="7"/>
  <c r="CB38" i="7"/>
  <c r="CE38" i="7" s="1"/>
  <c r="CA37" i="7"/>
  <c r="BW90" i="7"/>
  <c r="H67" i="16"/>
  <c r="CE77" i="7"/>
  <c r="H6" i="16"/>
  <c r="BW38" i="7"/>
  <c r="BX38" i="7" s="1"/>
  <c r="AJ87" i="7"/>
  <c r="AN37" i="7"/>
  <c r="AO37" i="7" s="1"/>
  <c r="AP37" i="7" s="1"/>
  <c r="AQ37" i="7" s="1"/>
  <c r="AR37" i="7" s="1"/>
  <c r="CE70" i="7"/>
  <c r="AR9" i="7"/>
  <c r="BU108" i="7"/>
  <c r="AG73" i="7"/>
  <c r="AH8" i="7"/>
  <c r="AH6" i="7" s="1"/>
  <c r="Z72" i="7"/>
  <c r="AR10" i="7"/>
  <c r="Z39" i="7"/>
  <c r="AG69" i="7"/>
  <c r="AE8" i="7"/>
  <c r="AT10" i="7"/>
  <c r="AQ9" i="7"/>
  <c r="AT9" i="7"/>
  <c r="AK8" i="7"/>
  <c r="AK6" i="7" s="1"/>
  <c r="BS108" i="7"/>
  <c r="AS9" i="7"/>
  <c r="BR108" i="7"/>
  <c r="M35" i="7"/>
  <c r="AN8" i="7"/>
  <c r="AE73" i="7"/>
  <c r="CA73" i="7" s="1"/>
  <c r="BT108" i="7"/>
  <c r="AP8" i="7"/>
  <c r="AP6" i="7" s="1"/>
  <c r="AQ10" i="7"/>
  <c r="AH69" i="7"/>
  <c r="AH67" i="7" s="1"/>
  <c r="AS10" i="7"/>
  <c r="AD36" i="7"/>
  <c r="X71" i="7"/>
  <c r="Y71" i="7"/>
  <c r="Z71" i="7"/>
  <c r="R73" i="19" s="1"/>
  <c r="W71" i="7"/>
  <c r="AX51" i="7"/>
  <c r="AX50" i="7" s="1"/>
  <c r="AL51" i="7"/>
  <c r="AL50" i="7" s="1"/>
  <c r="Z51" i="7"/>
  <c r="BG51" i="7"/>
  <c r="BG50" i="7" s="1"/>
  <c r="BG5" i="7" s="1"/>
  <c r="AU51" i="7"/>
  <c r="AU50" i="7" s="1"/>
  <c r="AI51" i="7"/>
  <c r="AI50" i="7" s="1"/>
  <c r="BD51" i="7"/>
  <c r="BD50" i="7" s="1"/>
  <c r="BD5" i="7" s="1"/>
  <c r="AR51" i="7"/>
  <c r="AR50" i="7" s="1"/>
  <c r="AF51" i="7"/>
  <c r="BA51" i="7"/>
  <c r="AO51" i="7"/>
  <c r="AC51" i="7"/>
  <c r="X7" i="7"/>
  <c r="W7" i="7"/>
  <c r="V7" i="7"/>
  <c r="Y7" i="7"/>
  <c r="AV48" i="7"/>
  <c r="AV46" i="7" s="1"/>
  <c r="AV5" i="7" s="1"/>
  <c r="AU48" i="7"/>
  <c r="AX48" i="7"/>
  <c r="AX46" i="7" s="1"/>
  <c r="AX5" i="7" s="1"/>
  <c r="AW48" i="7"/>
  <c r="AW46" i="7" s="1"/>
  <c r="AW5" i="7" s="1"/>
  <c r="M6" i="7"/>
  <c r="M46" i="7"/>
  <c r="M67" i="7"/>
  <c r="B8" i="12"/>
  <c r="B7" i="12"/>
  <c r="B6" i="12"/>
  <c r="B5" i="12"/>
  <c r="A5" i="7"/>
  <c r="A30" i="7"/>
  <c r="A31" i="7"/>
  <c r="A32" i="7"/>
  <c r="A33" i="7"/>
  <c r="A34" i="7"/>
  <c r="A41" i="7"/>
  <c r="A88" i="7"/>
  <c r="A89" i="7"/>
  <c r="A91" i="7"/>
  <c r="A92" i="7"/>
  <c r="A93" i="7"/>
  <c r="A94" i="7"/>
  <c r="A53" i="7"/>
  <c r="A78" i="7"/>
  <c r="A79" i="7"/>
  <c r="A80" i="7"/>
  <c r="A81" i="7"/>
  <c r="A82" i="7"/>
  <c r="A54" i="7"/>
  <c r="A55" i="7"/>
  <c r="A56" i="7"/>
  <c r="A57" i="7"/>
  <c r="A58" i="7"/>
  <c r="A59" i="7"/>
  <c r="A60" i="7"/>
  <c r="A61" i="7"/>
  <c r="A63" i="7"/>
  <c r="A64" i="7"/>
  <c r="A83" i="7"/>
  <c r="A84" i="7"/>
  <c r="A85" i="7"/>
  <c r="A86" i="7"/>
  <c r="A95" i="7"/>
  <c r="A96" i="7"/>
  <c r="A97" i="7"/>
  <c r="A98" i="7"/>
  <c r="A99" i="7"/>
  <c r="A100" i="7"/>
  <c r="A101" i="7"/>
  <c r="A102" i="7"/>
  <c r="A104" i="7"/>
  <c r="A105" i="7"/>
  <c r="A106" i="7"/>
  <c r="A107" i="7"/>
  <c r="A110" i="7"/>
  <c r="A111" i="7"/>
  <c r="A112" i="7"/>
  <c r="G102" i="7"/>
  <c r="H102" i="7"/>
  <c r="I102" i="7"/>
  <c r="J102" i="7"/>
  <c r="K102" i="7"/>
  <c r="L102" i="7"/>
  <c r="M102" i="1"/>
  <c r="C104" i="19" s="1"/>
  <c r="N102" i="1"/>
  <c r="BW81" i="7"/>
  <c r="BW82" i="7"/>
  <c r="BW58" i="7"/>
  <c r="M79" i="1"/>
  <c r="C81" i="19" l="1"/>
  <c r="C80" i="19" s="1"/>
  <c r="C55" i="19" s="1"/>
  <c r="M78" i="1"/>
  <c r="CE90" i="7"/>
  <c r="CB8" i="7"/>
  <c r="CB51" i="7"/>
  <c r="CB48" i="7"/>
  <c r="CE48" i="7" s="1"/>
  <c r="X6" i="7"/>
  <c r="P9" i="19"/>
  <c r="X67" i="7"/>
  <c r="P73" i="19"/>
  <c r="CB10" i="7"/>
  <c r="CE10" i="7" s="1"/>
  <c r="CB37" i="7"/>
  <c r="CE37" i="7" s="1"/>
  <c r="Y6" i="7"/>
  <c r="Q9" i="19"/>
  <c r="AC50" i="7"/>
  <c r="CA51" i="7"/>
  <c r="BZ71" i="7"/>
  <c r="CE71" i="7" s="1"/>
  <c r="O73" i="19"/>
  <c r="CA8" i="7"/>
  <c r="BZ72" i="7"/>
  <c r="CE72" i="7" s="1"/>
  <c r="R74" i="19"/>
  <c r="S74" i="19" s="1"/>
  <c r="V6" i="7"/>
  <c r="V5" i="7" s="1"/>
  <c r="BZ7" i="7"/>
  <c r="CE7" i="7" s="1"/>
  <c r="N9" i="19"/>
  <c r="Z50" i="7"/>
  <c r="BZ51" i="7"/>
  <c r="R53" i="19"/>
  <c r="S53" i="19" s="1"/>
  <c r="S52" i="19" s="1"/>
  <c r="CD108" i="7"/>
  <c r="CE108" i="7" s="1"/>
  <c r="CA69" i="7"/>
  <c r="CE69" i="7" s="1"/>
  <c r="BT79" i="7"/>
  <c r="BS78" i="7"/>
  <c r="W6" i="7"/>
  <c r="O9" i="19"/>
  <c r="BA50" i="7"/>
  <c r="CC50" i="7" s="1"/>
  <c r="CC51" i="7"/>
  <c r="Y67" i="7"/>
  <c r="Q73" i="19"/>
  <c r="CB9" i="7"/>
  <c r="CE9" i="7" s="1"/>
  <c r="BZ39" i="7"/>
  <c r="R41" i="19"/>
  <c r="S41" i="19" s="1"/>
  <c r="H79" i="16"/>
  <c r="G98" i="9"/>
  <c r="E70" i="10" s="1"/>
  <c r="H102" i="16"/>
  <c r="G105" i="9"/>
  <c r="E77" i="10" s="1"/>
  <c r="AA39" i="7"/>
  <c r="AB39" i="7" s="1"/>
  <c r="W67" i="7"/>
  <c r="W53" i="7" s="1"/>
  <c r="AE6" i="7"/>
  <c r="Z67" i="7"/>
  <c r="Z35" i="7"/>
  <c r="AG67" i="7"/>
  <c r="AE67" i="7"/>
  <c r="CE73" i="7"/>
  <c r="AN6" i="7"/>
  <c r="AR6" i="7"/>
  <c r="AT6" i="7"/>
  <c r="AQ6" i="7"/>
  <c r="BW108" i="7"/>
  <c r="BX108" i="7" s="1"/>
  <c r="AS6" i="7"/>
  <c r="O102" i="1"/>
  <c r="AU46" i="7"/>
  <c r="CB46" i="7" s="1"/>
  <c r="AE36" i="7"/>
  <c r="M102" i="7"/>
  <c r="G85" i="7"/>
  <c r="H85" i="7"/>
  <c r="I85" i="7"/>
  <c r="J85" i="7"/>
  <c r="K85" i="7"/>
  <c r="L85" i="7"/>
  <c r="G86" i="7"/>
  <c r="H86" i="7"/>
  <c r="I86" i="7"/>
  <c r="J86" i="7"/>
  <c r="K86" i="7"/>
  <c r="L86" i="7"/>
  <c r="G78" i="7"/>
  <c r="H78" i="7"/>
  <c r="I78" i="7"/>
  <c r="J78" i="7"/>
  <c r="K78" i="7"/>
  <c r="L78" i="7"/>
  <c r="G79" i="7"/>
  <c r="H79" i="7"/>
  <c r="I79" i="7"/>
  <c r="J79" i="7"/>
  <c r="K79" i="7"/>
  <c r="L79" i="7"/>
  <c r="M79" i="7"/>
  <c r="G80" i="7"/>
  <c r="H80" i="7"/>
  <c r="I80" i="7"/>
  <c r="J80" i="7"/>
  <c r="K80" i="7"/>
  <c r="L80" i="7"/>
  <c r="M80" i="7"/>
  <c r="G81" i="7"/>
  <c r="H81" i="7"/>
  <c r="I81" i="7"/>
  <c r="J81" i="7"/>
  <c r="K81" i="7"/>
  <c r="L81" i="7"/>
  <c r="G82" i="7"/>
  <c r="H82" i="7"/>
  <c r="I82" i="7"/>
  <c r="J82" i="7"/>
  <c r="K82" i="7"/>
  <c r="L82" i="7"/>
  <c r="G54" i="7"/>
  <c r="H54" i="7"/>
  <c r="I54" i="7"/>
  <c r="J54" i="7"/>
  <c r="K54" i="7"/>
  <c r="L54" i="7"/>
  <c r="G55" i="7"/>
  <c r="H55" i="7"/>
  <c r="I55" i="7"/>
  <c r="J55" i="7"/>
  <c r="K55" i="7"/>
  <c r="L55" i="7"/>
  <c r="G56" i="7"/>
  <c r="H56" i="7"/>
  <c r="I56" i="7"/>
  <c r="J56" i="7"/>
  <c r="K56" i="7"/>
  <c r="L56" i="7"/>
  <c r="M56" i="7"/>
  <c r="G57" i="7"/>
  <c r="H57" i="7"/>
  <c r="I57" i="7"/>
  <c r="J57" i="7"/>
  <c r="K57" i="7"/>
  <c r="L57" i="7"/>
  <c r="M57" i="7"/>
  <c r="G58" i="7"/>
  <c r="H58" i="7"/>
  <c r="I58" i="7"/>
  <c r="J58" i="7"/>
  <c r="K58" i="7"/>
  <c r="L58" i="7"/>
  <c r="M58" i="7"/>
  <c r="BX58" i="7" s="1"/>
  <c r="G59" i="7"/>
  <c r="H59" i="7"/>
  <c r="I59" i="7"/>
  <c r="J59" i="7"/>
  <c r="K59" i="7"/>
  <c r="L59" i="7"/>
  <c r="M59" i="7"/>
  <c r="G60" i="7"/>
  <c r="H60" i="7"/>
  <c r="I60" i="7"/>
  <c r="J60" i="7"/>
  <c r="K60" i="7"/>
  <c r="L60" i="7"/>
  <c r="G61" i="7"/>
  <c r="H61" i="7"/>
  <c r="I61" i="7"/>
  <c r="J61" i="7"/>
  <c r="K61" i="7"/>
  <c r="L61" i="7"/>
  <c r="M61" i="7"/>
  <c r="G63" i="7"/>
  <c r="H63" i="7"/>
  <c r="I63" i="7"/>
  <c r="J63" i="7"/>
  <c r="K63" i="7"/>
  <c r="L63" i="7"/>
  <c r="M63" i="7"/>
  <c r="G64" i="7"/>
  <c r="H64" i="7"/>
  <c r="I64" i="7"/>
  <c r="J64" i="7"/>
  <c r="K64" i="7"/>
  <c r="L64" i="7"/>
  <c r="M64" i="7"/>
  <c r="G83" i="7"/>
  <c r="H83" i="7"/>
  <c r="I83" i="7"/>
  <c r="J83" i="7"/>
  <c r="K83" i="7"/>
  <c r="G84" i="7"/>
  <c r="H84" i="7"/>
  <c r="I84" i="7"/>
  <c r="J84" i="7"/>
  <c r="K84" i="7"/>
  <c r="L84" i="7"/>
  <c r="M84" i="7"/>
  <c r="G113" i="9"/>
  <c r="E81" i="10" s="1"/>
  <c r="P69" i="19" l="1"/>
  <c r="R69" i="19"/>
  <c r="Q69" i="19"/>
  <c r="O8" i="19"/>
  <c r="CA6" i="7"/>
  <c r="P8" i="19"/>
  <c r="Q8" i="19"/>
  <c r="R37" i="19"/>
  <c r="BZ35" i="7"/>
  <c r="O69" i="19"/>
  <c r="O55" i="19" s="1"/>
  <c r="BZ67" i="7"/>
  <c r="BU79" i="7"/>
  <c r="BT78" i="7"/>
  <c r="N8" i="19"/>
  <c r="N7" i="19" s="1"/>
  <c r="BZ6" i="7"/>
  <c r="CB6" i="7"/>
  <c r="CA67" i="7"/>
  <c r="R52" i="19"/>
  <c r="BZ50" i="7"/>
  <c r="S73" i="19"/>
  <c r="S69" i="19" s="1"/>
  <c r="AA35" i="7"/>
  <c r="S9" i="19"/>
  <c r="S8" i="19" s="1"/>
  <c r="S38" i="19"/>
  <c r="G112" i="9"/>
  <c r="G114" i="9" s="1"/>
  <c r="G129" i="9" s="1"/>
  <c r="H82" i="16"/>
  <c r="H81" i="16"/>
  <c r="H55" i="16"/>
  <c r="H54" i="16" s="1"/>
  <c r="G90" i="9"/>
  <c r="E62" i="10" s="1"/>
  <c r="O85" i="1"/>
  <c r="H85" i="16"/>
  <c r="O86" i="1"/>
  <c r="H86" i="16"/>
  <c r="CE8" i="7"/>
  <c r="M60" i="7"/>
  <c r="P102" i="7"/>
  <c r="CF108" i="7"/>
  <c r="O55" i="1"/>
  <c r="O54" i="1" s="1"/>
  <c r="M85" i="7"/>
  <c r="M82" i="7"/>
  <c r="BX82" i="7" s="1"/>
  <c r="L83" i="7"/>
  <c r="M86" i="7"/>
  <c r="AV86" i="7" s="1"/>
  <c r="M55" i="7"/>
  <c r="AF36" i="7"/>
  <c r="AC39" i="7"/>
  <c r="AB35" i="7"/>
  <c r="M81" i="7"/>
  <c r="BX81" i="7" s="1"/>
  <c r="AB61" i="7"/>
  <c r="AF61" i="7"/>
  <c r="AF60" i="7" s="1"/>
  <c r="AJ61" i="7"/>
  <c r="AJ60" i="7" s="1"/>
  <c r="AN61" i="7"/>
  <c r="AR61" i="7"/>
  <c r="AV61" i="7"/>
  <c r="AZ61" i="7"/>
  <c r="BD61" i="7"/>
  <c r="BH61" i="7"/>
  <c r="BL61" i="7"/>
  <c r="BP61" i="7"/>
  <c r="BT61" i="7"/>
  <c r="AC61" i="7"/>
  <c r="AC60" i="7" s="1"/>
  <c r="AG61" i="7"/>
  <c r="AG60" i="7" s="1"/>
  <c r="AK61" i="7"/>
  <c r="AO61" i="7"/>
  <c r="AS61" i="7"/>
  <c r="AW61" i="7"/>
  <c r="BA61" i="7"/>
  <c r="BE61" i="7"/>
  <c r="BI61" i="7"/>
  <c r="BM61" i="7"/>
  <c r="BQ61" i="7"/>
  <c r="BU61" i="7"/>
  <c r="AD61" i="7"/>
  <c r="AD60" i="7" s="1"/>
  <c r="AH61" i="7"/>
  <c r="AL61" i="7"/>
  <c r="AL60" i="7" s="1"/>
  <c r="AP61" i="7"/>
  <c r="AT61" i="7"/>
  <c r="AX61" i="7"/>
  <c r="BB61" i="7"/>
  <c r="BF61" i="7"/>
  <c r="BJ61" i="7"/>
  <c r="BN61" i="7"/>
  <c r="BR61" i="7"/>
  <c r="BV61" i="7"/>
  <c r="AE61" i="7"/>
  <c r="AE60" i="7" s="1"/>
  <c r="AI61" i="7"/>
  <c r="AM61" i="7"/>
  <c r="AQ61" i="7"/>
  <c r="AU61" i="7"/>
  <c r="AY61" i="7"/>
  <c r="BC61" i="7"/>
  <c r="BG61" i="7"/>
  <c r="BK61" i="7"/>
  <c r="BO61" i="7"/>
  <c r="BS61" i="7"/>
  <c r="AA61" i="7"/>
  <c r="AF84" i="7"/>
  <c r="AF83" i="7" s="1"/>
  <c r="AE84" i="7"/>
  <c r="AN64" i="7"/>
  <c r="AR64" i="7"/>
  <c r="AV64" i="7"/>
  <c r="AZ64" i="7"/>
  <c r="BD64" i="7"/>
  <c r="BH64" i="7"/>
  <c r="BL64" i="7"/>
  <c r="BP64" i="7"/>
  <c r="BT64" i="7"/>
  <c r="AO64" i="7"/>
  <c r="AS64" i="7"/>
  <c r="AW64" i="7"/>
  <c r="BA64" i="7"/>
  <c r="BE64" i="7"/>
  <c r="BI64" i="7"/>
  <c r="BM64" i="7"/>
  <c r="BQ64" i="7"/>
  <c r="BU64" i="7"/>
  <c r="AP64" i="7"/>
  <c r="AT64" i="7"/>
  <c r="AX64" i="7"/>
  <c r="BB64" i="7"/>
  <c r="BF64" i="7"/>
  <c r="BJ64" i="7"/>
  <c r="BN64" i="7"/>
  <c r="BR64" i="7"/>
  <c r="BV64" i="7"/>
  <c r="AQ64" i="7"/>
  <c r="AU64" i="7"/>
  <c r="AY64" i="7"/>
  <c r="BC64" i="7"/>
  <c r="BG64" i="7"/>
  <c r="BK64" i="7"/>
  <c r="BO64" i="7"/>
  <c r="BS64" i="7"/>
  <c r="AM64" i="7"/>
  <c r="AR63" i="7"/>
  <c r="AV63" i="7"/>
  <c r="AZ63" i="7"/>
  <c r="BD63" i="7"/>
  <c r="BH63" i="7"/>
  <c r="BL63" i="7"/>
  <c r="BP63" i="7"/>
  <c r="BT63" i="7"/>
  <c r="AM63" i="7"/>
  <c r="AO63" i="7"/>
  <c r="AS63" i="7"/>
  <c r="AW63" i="7"/>
  <c r="BA63" i="7"/>
  <c r="BE63" i="7"/>
  <c r="BI63" i="7"/>
  <c r="BM63" i="7"/>
  <c r="BQ63" i="7"/>
  <c r="BU63" i="7"/>
  <c r="AP63" i="7"/>
  <c r="AT63" i="7"/>
  <c r="AX63" i="7"/>
  <c r="BB63" i="7"/>
  <c r="BF63" i="7"/>
  <c r="BJ63" i="7"/>
  <c r="BN63" i="7"/>
  <c r="BR63" i="7"/>
  <c r="BV63" i="7"/>
  <c r="AQ63" i="7"/>
  <c r="AU63" i="7"/>
  <c r="AY63" i="7"/>
  <c r="BC63" i="7"/>
  <c r="BG63" i="7"/>
  <c r="BK63" i="7"/>
  <c r="BO63" i="7"/>
  <c r="BS63" i="7"/>
  <c r="AN63" i="7"/>
  <c r="AQ59" i="7"/>
  <c r="AQ54" i="7" s="1"/>
  <c r="AU59" i="7"/>
  <c r="AU54" i="7" s="1"/>
  <c r="AY59" i="7"/>
  <c r="BC59" i="7"/>
  <c r="BC54" i="7" s="1"/>
  <c r="BG59" i="7"/>
  <c r="BG54" i="7" s="1"/>
  <c r="BK59" i="7"/>
  <c r="BO59" i="7"/>
  <c r="BO54" i="7" s="1"/>
  <c r="BS59" i="7"/>
  <c r="BS54" i="7" s="1"/>
  <c r="AM59" i="7"/>
  <c r="AN59" i="7"/>
  <c r="AR59" i="7"/>
  <c r="AR54" i="7" s="1"/>
  <c r="AV59" i="7"/>
  <c r="AV54" i="7" s="1"/>
  <c r="AZ59" i="7"/>
  <c r="AZ54" i="7" s="1"/>
  <c r="BD59" i="7"/>
  <c r="BD54" i="7" s="1"/>
  <c r="BH59" i="7"/>
  <c r="BH54" i="7" s="1"/>
  <c r="BL59" i="7"/>
  <c r="BL54" i="7" s="1"/>
  <c r="BP59" i="7"/>
  <c r="BP54" i="7" s="1"/>
  <c r="BT59" i="7"/>
  <c r="BT54" i="7" s="1"/>
  <c r="AO59" i="7"/>
  <c r="AO54" i="7" s="1"/>
  <c r="AS59" i="7"/>
  <c r="AS54" i="7" s="1"/>
  <c r="AW59" i="7"/>
  <c r="AW54" i="7" s="1"/>
  <c r="BA59" i="7"/>
  <c r="BA54" i="7" s="1"/>
  <c r="BE59" i="7"/>
  <c r="BE54" i="7" s="1"/>
  <c r="BI59" i="7"/>
  <c r="BI54" i="7" s="1"/>
  <c r="BM59" i="7"/>
  <c r="BM54" i="7" s="1"/>
  <c r="BQ59" i="7"/>
  <c r="BQ54" i="7" s="1"/>
  <c r="BU59" i="7"/>
  <c r="BU54" i="7" s="1"/>
  <c r="AP59" i="7"/>
  <c r="AP54" i="7" s="1"/>
  <c r="AT59" i="7"/>
  <c r="AT54" i="7" s="1"/>
  <c r="AX59" i="7"/>
  <c r="AX54" i="7" s="1"/>
  <c r="BB59" i="7"/>
  <c r="BB54" i="7" s="1"/>
  <c r="BF59" i="7"/>
  <c r="BF54" i="7" s="1"/>
  <c r="BJ59" i="7"/>
  <c r="BJ54" i="7" s="1"/>
  <c r="BN59" i="7"/>
  <c r="BN54" i="7" s="1"/>
  <c r="BR59" i="7"/>
  <c r="BR54" i="7" s="1"/>
  <c r="BV59" i="7"/>
  <c r="BV54" i="7" s="1"/>
  <c r="AN57" i="7"/>
  <c r="AM57" i="7"/>
  <c r="AD56" i="7"/>
  <c r="AD54" i="7" s="1"/>
  <c r="AD53" i="7" s="1"/>
  <c r="AL56" i="7"/>
  <c r="AL54" i="7" s="1"/>
  <c r="AA56" i="7"/>
  <c r="AG56" i="7"/>
  <c r="AG54" i="7" s="1"/>
  <c r="AJ56" i="7"/>
  <c r="AJ54" i="7" s="1"/>
  <c r="BU78" i="7"/>
  <c r="BI78" i="7"/>
  <c r="BR78" i="7"/>
  <c r="BF78" i="7"/>
  <c r="AT78" i="7"/>
  <c r="BO78" i="7"/>
  <c r="BC78" i="7"/>
  <c r="AQ78" i="7"/>
  <c r="BL78" i="7"/>
  <c r="AZ78" i="7"/>
  <c r="AS80" i="7"/>
  <c r="AS78" i="7" s="1"/>
  <c r="AJ80" i="7"/>
  <c r="CA80" i="7" s="1"/>
  <c r="AN80" i="7"/>
  <c r="AW80" i="7"/>
  <c r="BA80" i="7"/>
  <c r="CC80" i="7" s="1"/>
  <c r="AO78" i="7"/>
  <c r="AC78" i="7"/>
  <c r="S78" i="7"/>
  <c r="S53" i="7" s="1"/>
  <c r="BM78" i="7"/>
  <c r="AC53" i="7" l="1"/>
  <c r="AF53" i="7"/>
  <c r="O83" i="1"/>
  <c r="CB80" i="7"/>
  <c r="CB64" i="7"/>
  <c r="CA84" i="7"/>
  <c r="CC61" i="7"/>
  <c r="CB57" i="7"/>
  <c r="CE57" i="7" s="1"/>
  <c r="CD59" i="7"/>
  <c r="CC63" i="7"/>
  <c r="CC64" i="7"/>
  <c r="AA60" i="7"/>
  <c r="CA61" i="7"/>
  <c r="K80" i="19"/>
  <c r="K55" i="19" s="1"/>
  <c r="BZ78" i="7"/>
  <c r="CA56" i="7"/>
  <c r="CE56" i="7" s="1"/>
  <c r="CB59" i="7"/>
  <c r="CD63" i="7"/>
  <c r="CB63" i="7"/>
  <c r="CD64" i="7"/>
  <c r="CB61" i="7"/>
  <c r="CC59" i="7"/>
  <c r="CD61" i="7"/>
  <c r="Q102" i="7"/>
  <c r="H104" i="19"/>
  <c r="BV79" i="7"/>
  <c r="BW79" i="7" s="1"/>
  <c r="BX79" i="7" s="1"/>
  <c r="S37" i="19"/>
  <c r="H78" i="16"/>
  <c r="BW63" i="7"/>
  <c r="BX63" i="7" s="1"/>
  <c r="BW64" i="7"/>
  <c r="BX64" i="7" s="1"/>
  <c r="AA54" i="7"/>
  <c r="AY54" i="7"/>
  <c r="BK54" i="7"/>
  <c r="E80" i="10"/>
  <c r="E79" i="10" s="1"/>
  <c r="BN86" i="7"/>
  <c r="BN83" i="7" s="1"/>
  <c r="BH86" i="7"/>
  <c r="H83" i="16"/>
  <c r="BJ60" i="7"/>
  <c r="BJ53" i="7" s="1"/>
  <c r="AT60" i="7"/>
  <c r="AT53" i="7" s="1"/>
  <c r="BI60" i="7"/>
  <c r="BI53" i="7" s="1"/>
  <c r="AS60" i="7"/>
  <c r="AJ78" i="7"/>
  <c r="CA78" i="7" s="1"/>
  <c r="BK60" i="7"/>
  <c r="BH60" i="7"/>
  <c r="AB60" i="7"/>
  <c r="BG60" i="7"/>
  <c r="BG53" i="7" s="1"/>
  <c r="AQ60" i="7"/>
  <c r="BV60" i="7"/>
  <c r="BF60" i="7"/>
  <c r="BF53" i="7" s="1"/>
  <c r="AP60" i="7"/>
  <c r="BU60" i="7"/>
  <c r="BU53" i="7" s="1"/>
  <c r="BE60" i="7"/>
  <c r="AO60" i="7"/>
  <c r="AO53" i="7" s="1"/>
  <c r="BT60" i="7"/>
  <c r="BD60" i="7"/>
  <c r="AN60" i="7"/>
  <c r="BS60" i="7"/>
  <c r="BS53" i="7" s="1"/>
  <c r="BC60" i="7"/>
  <c r="BC53" i="7" s="1"/>
  <c r="AM60" i="7"/>
  <c r="BR60" i="7"/>
  <c r="BR53" i="7" s="1"/>
  <c r="BB60" i="7"/>
  <c r="BQ60" i="7"/>
  <c r="BA60" i="7"/>
  <c r="AK60" i="7"/>
  <c r="AK53" i="7" s="1"/>
  <c r="BP60" i="7"/>
  <c r="AZ60" i="7"/>
  <c r="AZ53" i="7" s="1"/>
  <c r="AU60" i="7"/>
  <c r="AU53" i="7" s="1"/>
  <c r="AR60" i="7"/>
  <c r="BO60" i="7"/>
  <c r="BO53" i="7" s="1"/>
  <c r="AY60" i="7"/>
  <c r="AI60" i="7"/>
  <c r="BN60" i="7"/>
  <c r="AX60" i="7"/>
  <c r="AX53" i="7" s="1"/>
  <c r="AH60" i="7"/>
  <c r="AH53" i="7" s="1"/>
  <c r="BM60" i="7"/>
  <c r="BM53" i="7" s="1"/>
  <c r="AW60" i="7"/>
  <c r="BL60" i="7"/>
  <c r="BL53" i="7" s="1"/>
  <c r="AV60" i="7"/>
  <c r="AV53" i="7" s="1"/>
  <c r="AY86" i="7"/>
  <c r="AS86" i="7"/>
  <c r="BT86" i="7"/>
  <c r="BT83" i="7" s="1"/>
  <c r="BK86" i="7"/>
  <c r="BE86" i="7"/>
  <c r="AP86" i="7"/>
  <c r="BQ86" i="7"/>
  <c r="BQ83" i="7" s="1"/>
  <c r="M54" i="7"/>
  <c r="AV85" i="7"/>
  <c r="AV83" i="7" s="1"/>
  <c r="AM86" i="7"/>
  <c r="CB86" i="7" s="1"/>
  <c r="BB86" i="7"/>
  <c r="AS85" i="7"/>
  <c r="BH85" i="7"/>
  <c r="AP85" i="7"/>
  <c r="AM85" i="7"/>
  <c r="U55" i="7"/>
  <c r="BB85" i="7"/>
  <c r="AJ85" i="7"/>
  <c r="AJ83" i="7" s="1"/>
  <c r="AY85" i="7"/>
  <c r="M83" i="7"/>
  <c r="BE85" i="7"/>
  <c r="T55" i="7"/>
  <c r="AG85" i="7"/>
  <c r="AW78" i="7"/>
  <c r="AN54" i="7"/>
  <c r="AG36" i="7"/>
  <c r="AD39" i="7"/>
  <c r="AC35" i="7"/>
  <c r="AN78" i="7"/>
  <c r="AE83" i="7"/>
  <c r="AM54" i="7"/>
  <c r="BA78" i="7"/>
  <c r="CC78" i="7" s="1"/>
  <c r="M78" i="7"/>
  <c r="BW61" i="7"/>
  <c r="BX61" i="7" s="1"/>
  <c r="BW57" i="7"/>
  <c r="BX57" i="7" s="1"/>
  <c r="BW80" i="7"/>
  <c r="BX80" i="7" s="1"/>
  <c r="BW56" i="7"/>
  <c r="BX56" i="7" s="1"/>
  <c r="BW59" i="7"/>
  <c r="BX59" i="7" s="1"/>
  <c r="BW84" i="7"/>
  <c r="BW68" i="7"/>
  <c r="BX68" i="7" s="1"/>
  <c r="BW69" i="7"/>
  <c r="BX69" i="7" s="1"/>
  <c r="BW70" i="7"/>
  <c r="BX70" i="7" s="1"/>
  <c r="BW71" i="7"/>
  <c r="BX71" i="7" s="1"/>
  <c r="BW72" i="7"/>
  <c r="BX72" i="7" s="1"/>
  <c r="BW73" i="7"/>
  <c r="BX73" i="7" s="1"/>
  <c r="BW74" i="7"/>
  <c r="BX74" i="7" s="1"/>
  <c r="BW75" i="7"/>
  <c r="BX75" i="7" s="1"/>
  <c r="BW76" i="7"/>
  <c r="BX76" i="7" s="1"/>
  <c r="BW77" i="7"/>
  <c r="BX77" i="7" s="1"/>
  <c r="BW47" i="7"/>
  <c r="BX47" i="7" s="1"/>
  <c r="BW48" i="7"/>
  <c r="BX48" i="7" s="1"/>
  <c r="BW49" i="7"/>
  <c r="BX49" i="7" s="1"/>
  <c r="BW51" i="7"/>
  <c r="BX51" i="7" s="1"/>
  <c r="BW7" i="7"/>
  <c r="BX7" i="7" s="1"/>
  <c r="BW8" i="7"/>
  <c r="BX8" i="7" s="1"/>
  <c r="BW9" i="7"/>
  <c r="BX9" i="7" s="1"/>
  <c r="BW10" i="7"/>
  <c r="BX10" i="7" s="1"/>
  <c r="BW37" i="7"/>
  <c r="BX37" i="7" s="1"/>
  <c r="E32" i="9"/>
  <c r="C26" i="10" s="1"/>
  <c r="E31" i="9"/>
  <c r="C25" i="10" s="1"/>
  <c r="C32" i="9"/>
  <c r="B26" i="10" s="1"/>
  <c r="C31" i="9"/>
  <c r="B25" i="10" s="1"/>
  <c r="E23" i="9"/>
  <c r="C17" i="10" s="1"/>
  <c r="C23" i="9"/>
  <c r="B17" i="10" s="1"/>
  <c r="I9" i="12"/>
  <c r="H9" i="12"/>
  <c r="G9" i="12"/>
  <c r="F9" i="12"/>
  <c r="BN53" i="7" l="1"/>
  <c r="BQ53" i="7"/>
  <c r="AW53" i="7"/>
  <c r="BA53" i="7"/>
  <c r="BT53" i="7"/>
  <c r="AJ53" i="7"/>
  <c r="CD54" i="7"/>
  <c r="CC54" i="7"/>
  <c r="CA54" i="7"/>
  <c r="CB78" i="7"/>
  <c r="CB54" i="7"/>
  <c r="CC60" i="7"/>
  <c r="CC85" i="7"/>
  <c r="CB85" i="7"/>
  <c r="AG83" i="7"/>
  <c r="CA85" i="7"/>
  <c r="CD60" i="7"/>
  <c r="BZ55" i="7"/>
  <c r="CE55" i="7" s="1"/>
  <c r="L57" i="19"/>
  <c r="R102" i="7"/>
  <c r="I104" i="19"/>
  <c r="CC86" i="7"/>
  <c r="BV78" i="7"/>
  <c r="CD78" i="7" s="1"/>
  <c r="CD79" i="7"/>
  <c r="CE79" i="7" s="1"/>
  <c r="CF79" i="7" s="1"/>
  <c r="CA60" i="7"/>
  <c r="U54" i="7"/>
  <c r="U53" i="7" s="1"/>
  <c r="M57" i="19"/>
  <c r="BK83" i="7"/>
  <c r="CD83" i="7" s="1"/>
  <c r="CD86" i="7"/>
  <c r="CB60" i="7"/>
  <c r="CE63" i="7"/>
  <c r="CF63" i="7" s="1"/>
  <c r="CE64" i="7"/>
  <c r="CF64" i="7" s="1"/>
  <c r="CE59" i="7"/>
  <c r="CF59" i="7" s="1"/>
  <c r="AY83" i="7"/>
  <c r="AY53" i="7" s="1"/>
  <c r="BE83" i="7"/>
  <c r="BE53" i="7" s="1"/>
  <c r="BH83" i="7"/>
  <c r="BH53" i="7" s="1"/>
  <c r="BW60" i="7"/>
  <c r="BX60" i="7" s="1"/>
  <c r="CE80" i="7"/>
  <c r="CF80" i="7" s="1"/>
  <c r="T54" i="7"/>
  <c r="T53" i="7" s="1"/>
  <c r="AP83" i="7"/>
  <c r="AP53" i="7" s="1"/>
  <c r="AS83" i="7"/>
  <c r="AS53" i="7" s="1"/>
  <c r="AC43" i="7"/>
  <c r="BW86" i="7"/>
  <c r="BB83" i="7"/>
  <c r="BB53" i="7" s="1"/>
  <c r="AM83" i="7"/>
  <c r="AM53" i="7" s="1"/>
  <c r="BW55" i="7"/>
  <c r="BX55" i="7" s="1"/>
  <c r="BW85" i="7"/>
  <c r="AE39" i="7"/>
  <c r="AD35" i="7"/>
  <c r="AH36" i="7"/>
  <c r="CE84" i="7"/>
  <c r="CF84" i="7" s="1"/>
  <c r="BW78" i="7"/>
  <c r="BX78" i="7" s="1"/>
  <c r="BW46" i="7"/>
  <c r="BX46" i="7" s="1"/>
  <c r="BW67" i="7"/>
  <c r="BX67" i="7" s="1"/>
  <c r="BW6" i="7"/>
  <c r="CE44" i="7"/>
  <c r="CF44" i="7" s="1"/>
  <c r="CE45" i="7"/>
  <c r="CF45" i="7" s="1"/>
  <c r="CE61" i="7"/>
  <c r="CF61" i="7" s="1"/>
  <c r="CF58" i="7"/>
  <c r="CE82" i="7"/>
  <c r="CF82" i="7" s="1"/>
  <c r="CF40" i="7"/>
  <c r="CF8" i="7"/>
  <c r="CF49" i="7"/>
  <c r="CF77" i="7"/>
  <c r="CF57" i="7"/>
  <c r="CF48" i="7"/>
  <c r="CF76" i="7"/>
  <c r="CF73" i="7"/>
  <c r="CF70" i="7"/>
  <c r="CE81" i="7"/>
  <c r="CF81" i="7" s="1"/>
  <c r="CF38" i="7"/>
  <c r="CF10" i="7"/>
  <c r="CE51" i="7"/>
  <c r="CE47" i="7"/>
  <c r="CF75" i="7"/>
  <c r="CF72" i="7"/>
  <c r="CF69" i="7"/>
  <c r="CF56" i="7"/>
  <c r="CF37" i="7"/>
  <c r="CF9" i="7"/>
  <c r="CF74" i="7"/>
  <c r="CF71" i="7"/>
  <c r="CE68" i="7"/>
  <c r="BV53" i="7" l="1"/>
  <c r="BK53" i="7"/>
  <c r="BX6" i="7"/>
  <c r="CA83" i="7"/>
  <c r="L56" i="19"/>
  <c r="L55" i="19" s="1"/>
  <c r="BZ54" i="7"/>
  <c r="S57" i="19"/>
  <c r="S56" i="19" s="1"/>
  <c r="CC83" i="7"/>
  <c r="CB83" i="7"/>
  <c r="M56" i="19"/>
  <c r="M55" i="19" s="1"/>
  <c r="S102" i="7"/>
  <c r="J104" i="19"/>
  <c r="CE86" i="7"/>
  <c r="CF86" i="7" s="1"/>
  <c r="CF55" i="7"/>
  <c r="BW54" i="7"/>
  <c r="CF47" i="7"/>
  <c r="CE46" i="7"/>
  <c r="CF46" i="7" s="1"/>
  <c r="CF68" i="7"/>
  <c r="CE67" i="7"/>
  <c r="CF67" i="7" s="1"/>
  <c r="AC41" i="7"/>
  <c r="AD43" i="7"/>
  <c r="CF7" i="7"/>
  <c r="CE6" i="7"/>
  <c r="BW83" i="7"/>
  <c r="BX83" i="7" s="1"/>
  <c r="CE85" i="7"/>
  <c r="CF85" i="7" s="1"/>
  <c r="AI36" i="7"/>
  <c r="AF39" i="7"/>
  <c r="AE35" i="7"/>
  <c r="CF51" i="7"/>
  <c r="CE78" i="7"/>
  <c r="CF78" i="7" s="1"/>
  <c r="CE54" i="7"/>
  <c r="CE60" i="7"/>
  <c r="CF60" i="7" s="1"/>
  <c r="L89" i="7"/>
  <c r="AL89" i="7" s="1"/>
  <c r="G89" i="7"/>
  <c r="H89" i="7"/>
  <c r="I89" i="7"/>
  <c r="J89" i="7"/>
  <c r="K89" i="7"/>
  <c r="G88" i="7"/>
  <c r="H88" i="7"/>
  <c r="I88" i="7"/>
  <c r="J88" i="7"/>
  <c r="K88" i="7"/>
  <c r="G95" i="7"/>
  <c r="H95" i="7"/>
  <c r="I95" i="7"/>
  <c r="J95" i="7"/>
  <c r="K95" i="7"/>
  <c r="L95" i="7"/>
  <c r="G96" i="7"/>
  <c r="H96" i="7"/>
  <c r="I96" i="7"/>
  <c r="J96" i="7"/>
  <c r="K96" i="7"/>
  <c r="L96" i="7"/>
  <c r="G97" i="7"/>
  <c r="H97" i="7"/>
  <c r="I97" i="7"/>
  <c r="J97" i="7"/>
  <c r="K97" i="7"/>
  <c r="L97" i="7"/>
  <c r="G98" i="7"/>
  <c r="H98" i="7"/>
  <c r="I98" i="7"/>
  <c r="J98" i="7"/>
  <c r="K98" i="7"/>
  <c r="L98" i="7"/>
  <c r="G99" i="7"/>
  <c r="H99" i="7"/>
  <c r="I99" i="7"/>
  <c r="J99" i="7"/>
  <c r="K99" i="7"/>
  <c r="L99" i="7"/>
  <c r="G100" i="7"/>
  <c r="H100" i="7"/>
  <c r="I100" i="7"/>
  <c r="J100" i="7"/>
  <c r="K100" i="7"/>
  <c r="L100" i="7"/>
  <c r="G101" i="7"/>
  <c r="H101" i="7"/>
  <c r="I101" i="7"/>
  <c r="J101" i="7"/>
  <c r="K101" i="7"/>
  <c r="L101" i="7"/>
  <c r="G104" i="7"/>
  <c r="H104" i="7"/>
  <c r="I104" i="7"/>
  <c r="J104" i="7"/>
  <c r="K104" i="7"/>
  <c r="L104" i="7"/>
  <c r="G105" i="7"/>
  <c r="H105" i="7"/>
  <c r="I105" i="7"/>
  <c r="J105" i="7"/>
  <c r="K105" i="7"/>
  <c r="L105" i="7"/>
  <c r="G106" i="7"/>
  <c r="H106" i="7"/>
  <c r="I106" i="7"/>
  <c r="J106" i="7"/>
  <c r="K106" i="7"/>
  <c r="L106" i="7"/>
  <c r="G107" i="7"/>
  <c r="H107" i="7"/>
  <c r="I107" i="7"/>
  <c r="J107" i="7"/>
  <c r="K107" i="7"/>
  <c r="L107" i="7"/>
  <c r="G110" i="7"/>
  <c r="H110" i="7"/>
  <c r="I110" i="7"/>
  <c r="J110" i="7"/>
  <c r="K110" i="7"/>
  <c r="L110" i="7"/>
  <c r="G111" i="7"/>
  <c r="H111" i="7"/>
  <c r="I111" i="7"/>
  <c r="J111" i="7"/>
  <c r="K111" i="7"/>
  <c r="L111" i="7"/>
  <c r="M111" i="7"/>
  <c r="G112" i="7"/>
  <c r="H112" i="7"/>
  <c r="I112" i="7"/>
  <c r="J112" i="7"/>
  <c r="K112" i="7"/>
  <c r="L112" i="7"/>
  <c r="G53" i="7"/>
  <c r="H53" i="7"/>
  <c r="I53" i="7"/>
  <c r="J53" i="7"/>
  <c r="K53" i="7"/>
  <c r="G91" i="7"/>
  <c r="H91" i="7"/>
  <c r="I91" i="7"/>
  <c r="J91" i="7"/>
  <c r="K91" i="7"/>
  <c r="L91" i="7"/>
  <c r="G92" i="7"/>
  <c r="H92" i="7"/>
  <c r="I92" i="7"/>
  <c r="J92" i="7"/>
  <c r="K92" i="7"/>
  <c r="L92" i="7"/>
  <c r="G93" i="7"/>
  <c r="H93" i="7"/>
  <c r="I93" i="7"/>
  <c r="J93" i="7"/>
  <c r="K93" i="7"/>
  <c r="L93" i="7"/>
  <c r="G94" i="7"/>
  <c r="H94" i="7"/>
  <c r="I94" i="7"/>
  <c r="J94" i="7"/>
  <c r="K94" i="7"/>
  <c r="L94" i="7"/>
  <c r="G22" i="7"/>
  <c r="H22" i="7"/>
  <c r="I22" i="7"/>
  <c r="J22" i="7"/>
  <c r="K22" i="7"/>
  <c r="L22" i="7"/>
  <c r="G41" i="7"/>
  <c r="H41" i="7"/>
  <c r="I41" i="7"/>
  <c r="J41" i="7"/>
  <c r="K41" i="7"/>
  <c r="L41" i="7"/>
  <c r="G33" i="7"/>
  <c r="H33" i="7"/>
  <c r="I33" i="7"/>
  <c r="J33" i="7"/>
  <c r="K33" i="7"/>
  <c r="L33" i="7"/>
  <c r="G34" i="7"/>
  <c r="H34" i="7"/>
  <c r="I34" i="7"/>
  <c r="J34" i="7"/>
  <c r="K34" i="7"/>
  <c r="L34" i="7"/>
  <c r="G32" i="7"/>
  <c r="H32" i="7"/>
  <c r="I32" i="7"/>
  <c r="J32" i="7"/>
  <c r="K32" i="7"/>
  <c r="L32" i="7"/>
  <c r="G31" i="7"/>
  <c r="H31" i="7"/>
  <c r="I31" i="7"/>
  <c r="J31" i="7"/>
  <c r="K31" i="7"/>
  <c r="L31" i="7"/>
  <c r="G30" i="7"/>
  <c r="H30" i="7"/>
  <c r="I30" i="7"/>
  <c r="J30" i="7"/>
  <c r="K30" i="7"/>
  <c r="L30" i="7"/>
  <c r="G5" i="7"/>
  <c r="H5" i="7"/>
  <c r="I5" i="7"/>
  <c r="J5" i="7"/>
  <c r="K5" i="7"/>
  <c r="L5" i="7"/>
  <c r="N104" i="1"/>
  <c r="O68" i="1"/>
  <c r="O69" i="1"/>
  <c r="O70" i="1"/>
  <c r="O71" i="1"/>
  <c r="O72" i="1"/>
  <c r="O73" i="1"/>
  <c r="O74" i="1"/>
  <c r="O75" i="1"/>
  <c r="O76" i="1"/>
  <c r="O77" i="1"/>
  <c r="O47" i="1"/>
  <c r="O48" i="1"/>
  <c r="O49" i="1"/>
  <c r="O7" i="1"/>
  <c r="O8" i="1"/>
  <c r="O9" i="1"/>
  <c r="O10" i="1"/>
  <c r="O36" i="1"/>
  <c r="O79" i="1"/>
  <c r="O81" i="1"/>
  <c r="O82" i="1"/>
  <c r="O111" i="1"/>
  <c r="N32" i="1"/>
  <c r="N33" i="1"/>
  <c r="N34" i="1"/>
  <c r="N41" i="1"/>
  <c r="N22" i="1"/>
  <c r="N23" i="1"/>
  <c r="N24" i="1"/>
  <c r="N25" i="1"/>
  <c r="N26" i="1"/>
  <c r="N27" i="1"/>
  <c r="N28" i="1"/>
  <c r="N29" i="1"/>
  <c r="N11" i="1"/>
  <c r="N12" i="1"/>
  <c r="N15" i="1"/>
  <c r="N16" i="1"/>
  <c r="N17" i="1"/>
  <c r="N18" i="1"/>
  <c r="N19" i="1"/>
  <c r="N20" i="1"/>
  <c r="N21" i="1"/>
  <c r="N67" i="1"/>
  <c r="N68" i="1"/>
  <c r="N69" i="1"/>
  <c r="N70" i="1"/>
  <c r="N71" i="1"/>
  <c r="N72" i="1"/>
  <c r="N73" i="1"/>
  <c r="N74" i="1"/>
  <c r="N75" i="1"/>
  <c r="N76" i="1"/>
  <c r="N77" i="1"/>
  <c r="N47" i="1"/>
  <c r="N48" i="1"/>
  <c r="N49" i="1"/>
  <c r="N6" i="1"/>
  <c r="N7" i="1"/>
  <c r="N8" i="1"/>
  <c r="N9" i="1"/>
  <c r="N10" i="1"/>
  <c r="N35" i="1"/>
  <c r="N36" i="1"/>
  <c r="N87" i="1"/>
  <c r="N91" i="1"/>
  <c r="N92" i="1"/>
  <c r="N93" i="1"/>
  <c r="N94" i="1"/>
  <c r="N78" i="1"/>
  <c r="N79" i="1"/>
  <c r="N80" i="1"/>
  <c r="N81" i="1"/>
  <c r="N82" i="1"/>
  <c r="N54" i="1"/>
  <c r="N96" i="1"/>
  <c r="N95" i="1" s="1"/>
  <c r="N97" i="1"/>
  <c r="N98" i="1"/>
  <c r="N99" i="1"/>
  <c r="N100" i="1"/>
  <c r="N101" i="1"/>
  <c r="N105" i="1"/>
  <c r="N106" i="1"/>
  <c r="N107" i="1"/>
  <c r="N109" i="1"/>
  <c r="N110" i="1"/>
  <c r="N111" i="1"/>
  <c r="N112" i="1"/>
  <c r="N31" i="1"/>
  <c r="M97" i="1"/>
  <c r="H93" i="16"/>
  <c r="H92" i="16"/>
  <c r="M32" i="1"/>
  <c r="M34" i="1"/>
  <c r="C36" i="19" s="1"/>
  <c r="CF6" i="7" l="1"/>
  <c r="BX54" i="7"/>
  <c r="O6" i="1"/>
  <c r="C99" i="19"/>
  <c r="M30" i="1"/>
  <c r="O67" i="1"/>
  <c r="O46" i="1"/>
  <c r="C34" i="19"/>
  <c r="C32" i="19" s="1"/>
  <c r="T102" i="7"/>
  <c r="K104" i="19"/>
  <c r="H34" i="16"/>
  <c r="G87" i="9"/>
  <c r="E59" i="10" s="1"/>
  <c r="H97" i="16"/>
  <c r="G101" i="9"/>
  <c r="E73" i="10" s="1"/>
  <c r="H91" i="16"/>
  <c r="G100" i="9"/>
  <c r="E72" i="10" s="1"/>
  <c r="H32" i="16"/>
  <c r="G86" i="9"/>
  <c r="E58" i="10" s="1"/>
  <c r="H31" i="16"/>
  <c r="G59" i="9"/>
  <c r="E35" i="10" s="1"/>
  <c r="H88" i="16"/>
  <c r="G65" i="9"/>
  <c r="E41" i="10" s="1"/>
  <c r="H33" i="16"/>
  <c r="H23" i="9"/>
  <c r="E17" i="10" s="1"/>
  <c r="O94" i="1"/>
  <c r="H94" i="16"/>
  <c r="AL87" i="7"/>
  <c r="AL53" i="7" s="1"/>
  <c r="AE43" i="7"/>
  <c r="AD41" i="7"/>
  <c r="CF54" i="7"/>
  <c r="CE83" i="7"/>
  <c r="CF83" i="7" s="1"/>
  <c r="O92" i="1"/>
  <c r="O91" i="1"/>
  <c r="O88" i="1"/>
  <c r="O93" i="1"/>
  <c r="H32" i="9"/>
  <c r="E26" i="10" s="1"/>
  <c r="AG39" i="7"/>
  <c r="AF35" i="7"/>
  <c r="AJ36" i="7"/>
  <c r="BL111" i="7"/>
  <c r="O33" i="1"/>
  <c r="O32" i="1"/>
  <c r="O97" i="1"/>
  <c r="L88" i="7"/>
  <c r="AE88" i="7" s="1"/>
  <c r="O31" i="1"/>
  <c r="H31" i="9"/>
  <c r="E25" i="10" s="1"/>
  <c r="AN89" i="7"/>
  <c r="O34" i="1"/>
  <c r="AG89" i="7"/>
  <c r="AQ89" i="7"/>
  <c r="AQ87" i="7" s="1"/>
  <c r="AQ53" i="7" s="1"/>
  <c r="AI89" i="7"/>
  <c r="AI87" i="7" s="1"/>
  <c r="AI53" i="7" s="1"/>
  <c r="AE89" i="7"/>
  <c r="N88" i="1"/>
  <c r="M88" i="7"/>
  <c r="G66" i="9"/>
  <c r="E42" i="10" s="1"/>
  <c r="N89" i="1"/>
  <c r="M31" i="7"/>
  <c r="M92" i="7"/>
  <c r="M33" i="7"/>
  <c r="M32" i="7"/>
  <c r="M34" i="7"/>
  <c r="M94" i="7"/>
  <c r="M97" i="7"/>
  <c r="O97" i="7" s="1"/>
  <c r="O96" i="7" s="1"/>
  <c r="M93" i="7"/>
  <c r="M91" i="7"/>
  <c r="M110" i="1"/>
  <c r="C112" i="19" s="1"/>
  <c r="C111" i="19" s="1"/>
  <c r="M107" i="1"/>
  <c r="M106" i="1"/>
  <c r="M98" i="1"/>
  <c r="C100" i="19" s="1"/>
  <c r="M99" i="1"/>
  <c r="C101" i="19" s="1"/>
  <c r="M100" i="1"/>
  <c r="C102" i="19" s="1"/>
  <c r="M101" i="1"/>
  <c r="C103" i="19" s="1"/>
  <c r="M105" i="1" l="1"/>
  <c r="O30" i="1"/>
  <c r="M95" i="1"/>
  <c r="C109" i="19"/>
  <c r="C108" i="19"/>
  <c r="C98" i="19"/>
  <c r="C97" i="19" s="1"/>
  <c r="CA89" i="7"/>
  <c r="G99" i="19"/>
  <c r="AN87" i="7"/>
  <c r="AN53" i="7" s="1"/>
  <c r="CB89" i="7"/>
  <c r="CD111" i="7"/>
  <c r="J9" i="12" s="1"/>
  <c r="U102" i="7"/>
  <c r="L104" i="19"/>
  <c r="M53" i="1"/>
  <c r="H30" i="16"/>
  <c r="H99" i="16"/>
  <c r="G103" i="9"/>
  <c r="E75" i="10" s="1"/>
  <c r="H100" i="16"/>
  <c r="G104" i="9"/>
  <c r="E76" i="10" s="1"/>
  <c r="H101" i="16"/>
  <c r="H98" i="16"/>
  <c r="G102" i="9"/>
  <c r="E74" i="10" s="1"/>
  <c r="H106" i="16"/>
  <c r="G68" i="9"/>
  <c r="E44" i="10" s="1"/>
  <c r="H110" i="16"/>
  <c r="H109" i="16" s="1"/>
  <c r="G71" i="9"/>
  <c r="E47" i="10" s="1"/>
  <c r="H107" i="16"/>
  <c r="G69" i="9"/>
  <c r="E45" i="10" s="1"/>
  <c r="O89" i="1"/>
  <c r="O87" i="1" s="1"/>
  <c r="H89" i="16"/>
  <c r="H87" i="16" s="1"/>
  <c r="H53" i="16" s="1"/>
  <c r="AQ33" i="7"/>
  <c r="AQ30" i="7" s="1"/>
  <c r="AF33" i="7"/>
  <c r="CA33" i="7" s="1"/>
  <c r="P97" i="7"/>
  <c r="AF43" i="7"/>
  <c r="AE41" i="7"/>
  <c r="Y32" i="7"/>
  <c r="Q34" i="19" s="1"/>
  <c r="AM33" i="7"/>
  <c r="BW111" i="7"/>
  <c r="BX111" i="7" s="1"/>
  <c r="M110" i="7"/>
  <c r="AK36" i="7"/>
  <c r="AH39" i="7"/>
  <c r="AG35" i="7"/>
  <c r="AO52" i="7"/>
  <c r="AB52" i="7"/>
  <c r="AF52" i="7"/>
  <c r="AF50" i="7" s="1"/>
  <c r="AJ52" i="7"/>
  <c r="AJ50" i="7" s="1"/>
  <c r="AS52" i="7"/>
  <c r="AS50" i="7" s="1"/>
  <c r="AZ31" i="7"/>
  <c r="CC31" i="7" s="1"/>
  <c r="M30" i="7"/>
  <c r="M106" i="7"/>
  <c r="BW89" i="7"/>
  <c r="AG88" i="7"/>
  <c r="AG87" i="7" s="1"/>
  <c r="AG53" i="7" s="1"/>
  <c r="AB88" i="7"/>
  <c r="X88" i="7"/>
  <c r="Z88" i="7"/>
  <c r="Y93" i="7"/>
  <c r="Q95" i="19" s="1"/>
  <c r="V93" i="7"/>
  <c r="Z34" i="7"/>
  <c r="AA34" i="7"/>
  <c r="AB34" i="7"/>
  <c r="AB30" i="7" s="1"/>
  <c r="Y34" i="7"/>
  <c r="V94" i="7"/>
  <c r="Y94" i="7"/>
  <c r="Q96" i="19" s="1"/>
  <c r="AA91" i="7"/>
  <c r="CA91" i="7" s="1"/>
  <c r="X91" i="7"/>
  <c r="P93" i="19" s="1"/>
  <c r="V91" i="7"/>
  <c r="AE92" i="7"/>
  <c r="CA92" i="7" s="1"/>
  <c r="BP92" i="7"/>
  <c r="CD92" i="7" s="1"/>
  <c r="BD92" i="7"/>
  <c r="CC92" i="7" s="1"/>
  <c r="AR92" i="7"/>
  <c r="CB92" i="7" s="1"/>
  <c r="W32" i="7"/>
  <c r="M89" i="7"/>
  <c r="AN31" i="7"/>
  <c r="AC31" i="7"/>
  <c r="AH31" i="7"/>
  <c r="AH30" i="7" s="1"/>
  <c r="AU31" i="7"/>
  <c r="AU30" i="7" s="1"/>
  <c r="AU5" i="7" s="1"/>
  <c r="O98" i="1"/>
  <c r="M98" i="7"/>
  <c r="O100" i="1"/>
  <c r="M100" i="7"/>
  <c r="O99" i="1"/>
  <c r="M99" i="7"/>
  <c r="O107" i="1"/>
  <c r="M107" i="7"/>
  <c r="O101" i="1"/>
  <c r="M101" i="7"/>
  <c r="O106" i="1"/>
  <c r="O105" i="1" s="1"/>
  <c r="M109" i="1"/>
  <c r="O110" i="1"/>
  <c r="O109" i="1" s="1"/>
  <c r="CB33" i="7" l="1"/>
  <c r="O96" i="1"/>
  <c r="C107" i="19"/>
  <c r="C106" i="19" s="1"/>
  <c r="C6" i="12"/>
  <c r="O95" i="1"/>
  <c r="CE111" i="7"/>
  <c r="K9" i="12" s="1"/>
  <c r="Z87" i="7"/>
  <c r="Z53" i="7" s="1"/>
  <c r="R90" i="19"/>
  <c r="Q97" i="7"/>
  <c r="H99" i="19"/>
  <c r="O95" i="7"/>
  <c r="G98" i="19"/>
  <c r="CA34" i="7"/>
  <c r="AC30" i="7"/>
  <c r="CA31" i="7"/>
  <c r="BZ91" i="7"/>
  <c r="CE91" i="7" s="1"/>
  <c r="N93" i="19"/>
  <c r="S93" i="19" s="1"/>
  <c r="BZ94" i="7"/>
  <c r="CE94" i="7" s="1"/>
  <c r="N96" i="19"/>
  <c r="S96" i="19" s="1"/>
  <c r="Z30" i="7"/>
  <c r="R32" i="19" s="1"/>
  <c r="R36" i="19"/>
  <c r="BZ88" i="7"/>
  <c r="P90" i="19"/>
  <c r="CA52" i="7"/>
  <c r="BZ32" i="7"/>
  <c r="CE32" i="7" s="1"/>
  <c r="O34" i="19"/>
  <c r="S34" i="19" s="1"/>
  <c r="AN30" i="7"/>
  <c r="CB31" i="7"/>
  <c r="BZ34" i="7"/>
  <c r="Q36" i="19"/>
  <c r="BZ93" i="7"/>
  <c r="CE93" i="7" s="1"/>
  <c r="N95" i="19"/>
  <c r="S95" i="19" s="1"/>
  <c r="AB87" i="7"/>
  <c r="AB53" i="7" s="1"/>
  <c r="CA88" i="7"/>
  <c r="CB52" i="7"/>
  <c r="V102" i="7"/>
  <c r="M104" i="19"/>
  <c r="H96" i="16"/>
  <c r="H95" i="16" s="1"/>
  <c r="H105" i="16"/>
  <c r="H104" i="16" s="1"/>
  <c r="AF30" i="7"/>
  <c r="CE33" i="7"/>
  <c r="Y30" i="7"/>
  <c r="Q32" i="19" s="1"/>
  <c r="AF41" i="7"/>
  <c r="AG43" i="7"/>
  <c r="CE92" i="7"/>
  <c r="AA30" i="7"/>
  <c r="CE89" i="7"/>
  <c r="P101" i="7"/>
  <c r="P98" i="7"/>
  <c r="P96" i="7" s="1"/>
  <c r="M109" i="7"/>
  <c r="P100" i="7"/>
  <c r="P99" i="7"/>
  <c r="AM30" i="7"/>
  <c r="AZ110" i="7"/>
  <c r="BU110" i="7"/>
  <c r="BU109" i="7" s="1"/>
  <c r="AN110" i="7"/>
  <c r="BL110" i="7"/>
  <c r="AD110" i="7"/>
  <c r="AH110" i="7"/>
  <c r="AH109" i="7" s="1"/>
  <c r="BF110" i="7"/>
  <c r="BF109" i="7" s="1"/>
  <c r="AT110" i="7"/>
  <c r="AT109" i="7" s="1"/>
  <c r="Y110" i="7"/>
  <c r="BQ110" i="7"/>
  <c r="BQ109" i="7" s="1"/>
  <c r="AO50" i="7"/>
  <c r="CB50" i="7" s="1"/>
  <c r="M105" i="7"/>
  <c r="AB50" i="7"/>
  <c r="CA50" i="7" s="1"/>
  <c r="BW52" i="7"/>
  <c r="BX52" i="7" s="1"/>
  <c r="AI39" i="7"/>
  <c r="AH35" i="7"/>
  <c r="AL36" i="7"/>
  <c r="CA36" i="7" s="1"/>
  <c r="V87" i="7"/>
  <c r="V53" i="7" s="1"/>
  <c r="Y87" i="7"/>
  <c r="Y53" i="7" s="1"/>
  <c r="AE87" i="7"/>
  <c r="AE53" i="7" s="1"/>
  <c r="AG30" i="7"/>
  <c r="AR87" i="7"/>
  <c r="AR53" i="7" s="1"/>
  <c r="BD87" i="7"/>
  <c r="BD53" i="7" s="1"/>
  <c r="X87" i="7"/>
  <c r="X53" i="7" s="1"/>
  <c r="AZ30" i="7"/>
  <c r="AZ5" i="7" s="1"/>
  <c r="BP87" i="7"/>
  <c r="BP53" i="7" s="1"/>
  <c r="AA87" i="7"/>
  <c r="AA53" i="7" s="1"/>
  <c r="BW32" i="7"/>
  <c r="BX32" i="7" s="1"/>
  <c r="W30" i="7"/>
  <c r="M87" i="7"/>
  <c r="M53" i="7" s="1"/>
  <c r="AU106" i="7"/>
  <c r="AU105" i="7" s="1"/>
  <c r="AU104" i="7" s="1"/>
  <c r="AT106" i="7"/>
  <c r="AW106" i="7"/>
  <c r="AW105" i="7" s="1"/>
  <c r="AW104" i="7" s="1"/>
  <c r="AV106" i="7"/>
  <c r="AV105" i="7" s="1"/>
  <c r="AV104" i="7" s="1"/>
  <c r="BW91" i="7"/>
  <c r="BW94" i="7"/>
  <c r="BW88" i="7"/>
  <c r="BW92" i="7"/>
  <c r="BW93" i="7"/>
  <c r="BW33" i="7"/>
  <c r="BX33" i="7" s="1"/>
  <c r="BW34" i="7"/>
  <c r="BX34" i="7" s="1"/>
  <c r="BW31" i="7"/>
  <c r="BX31" i="7" s="1"/>
  <c r="O35" i="1"/>
  <c r="BS107" i="7"/>
  <c r="BS105" i="7" s="1"/>
  <c r="BS104" i="7" s="1"/>
  <c r="BU107" i="7"/>
  <c r="BU105" i="7" s="1"/>
  <c r="BR107" i="7"/>
  <c r="BT107" i="7"/>
  <c r="BT105" i="7" s="1"/>
  <c r="BT104" i="7" s="1"/>
  <c r="I99" i="19" l="1"/>
  <c r="P89" i="19"/>
  <c r="P55" i="19" s="1"/>
  <c r="Q89" i="19"/>
  <c r="Q55" i="19" s="1"/>
  <c r="R89" i="19"/>
  <c r="R55" i="19" s="1"/>
  <c r="CB87" i="7"/>
  <c r="CF111" i="7"/>
  <c r="C7" i="12"/>
  <c r="L53" i="7"/>
  <c r="N53" i="1"/>
  <c r="R97" i="7"/>
  <c r="S36" i="19"/>
  <c r="S32" i="19" s="1"/>
  <c r="S90" i="19"/>
  <c r="S89" i="19" s="1"/>
  <c r="CD107" i="7"/>
  <c r="Q99" i="7"/>
  <c r="H101" i="19"/>
  <c r="CC87" i="7"/>
  <c r="Y109" i="7"/>
  <c r="BZ110" i="7"/>
  <c r="Q112" i="19"/>
  <c r="S112" i="19" s="1"/>
  <c r="Q100" i="7"/>
  <c r="H102" i="19"/>
  <c r="AN109" i="7"/>
  <c r="CB109" i="7" s="1"/>
  <c r="CB110" i="7"/>
  <c r="CA87" i="7"/>
  <c r="CD87" i="7"/>
  <c r="N89" i="19"/>
  <c r="N55" i="19" s="1"/>
  <c r="BZ87" i="7"/>
  <c r="AD109" i="7"/>
  <c r="CA109" i="7" s="1"/>
  <c r="CA110" i="7"/>
  <c r="AZ109" i="7"/>
  <c r="CC109" i="7" s="1"/>
  <c r="CC110" i="7"/>
  <c r="CA30" i="7"/>
  <c r="O112" i="7"/>
  <c r="G97" i="19"/>
  <c r="Q101" i="7"/>
  <c r="H103" i="19"/>
  <c r="AT105" i="7"/>
  <c r="CB105" i="7" s="1"/>
  <c r="CB106" i="7"/>
  <c r="O32" i="19"/>
  <c r="BZ30" i="7"/>
  <c r="CC30" i="7"/>
  <c r="BL109" i="7"/>
  <c r="CD109" i="7" s="1"/>
  <c r="CD110" i="7"/>
  <c r="CB30" i="7"/>
  <c r="Q98" i="7"/>
  <c r="Q96" i="7" s="1"/>
  <c r="H100" i="19"/>
  <c r="W102" i="7"/>
  <c r="N104" i="19"/>
  <c r="CE52" i="7"/>
  <c r="BF104" i="7"/>
  <c r="AG41" i="7"/>
  <c r="AH43" i="7"/>
  <c r="CE34" i="7"/>
  <c r="CF34" i="7" s="1"/>
  <c r="M95" i="7"/>
  <c r="M104" i="7"/>
  <c r="AH104" i="7"/>
  <c r="BU104" i="7"/>
  <c r="AZ104" i="7"/>
  <c r="BL104" i="7"/>
  <c r="BW110" i="7"/>
  <c r="AN104" i="7"/>
  <c r="AD104" i="7"/>
  <c r="Y104" i="7"/>
  <c r="BQ104" i="7"/>
  <c r="AJ39" i="7"/>
  <c r="AI35" i="7"/>
  <c r="AM36" i="7"/>
  <c r="BW50" i="7"/>
  <c r="BX50" i="7" s="1"/>
  <c r="BR105" i="7"/>
  <c r="BW107" i="7"/>
  <c r="BX107" i="7" s="1"/>
  <c r="BW87" i="7"/>
  <c r="BW53" i="7" s="1"/>
  <c r="CF33" i="7"/>
  <c r="CF32" i="7"/>
  <c r="BW30" i="7"/>
  <c r="BX30" i="7" s="1"/>
  <c r="CE88" i="7"/>
  <c r="CE87" i="7" s="1"/>
  <c r="BW106" i="7"/>
  <c r="BX106" i="7" s="1"/>
  <c r="CE31" i="7"/>
  <c r="J99" i="19" l="1"/>
  <c r="CE53" i="7"/>
  <c r="K6" i="12" s="1"/>
  <c r="CA53" i="7"/>
  <c r="G6" i="12" s="1"/>
  <c r="CC53" i="7"/>
  <c r="I6" i="12" s="1"/>
  <c r="BZ53" i="7"/>
  <c r="F6" i="12" s="1"/>
  <c r="CD53" i="7"/>
  <c r="J6" i="12" s="1"/>
  <c r="CB53" i="7"/>
  <c r="H6" i="12" s="1"/>
  <c r="S97" i="7"/>
  <c r="Q95" i="7"/>
  <c r="P95" i="7"/>
  <c r="H98" i="19"/>
  <c r="X102" i="7"/>
  <c r="O104" i="19"/>
  <c r="Q106" i="19"/>
  <c r="BZ104" i="7"/>
  <c r="F8" i="12" s="1"/>
  <c r="BR104" i="7"/>
  <c r="CD104" i="7" s="1"/>
  <c r="J8" i="12" s="1"/>
  <c r="CD105" i="7"/>
  <c r="CA104" i="7"/>
  <c r="G8" i="12" s="1"/>
  <c r="G114" i="19"/>
  <c r="Q111" i="19"/>
  <c r="BZ109" i="7"/>
  <c r="S111" i="19"/>
  <c r="S106" i="19"/>
  <c r="AT104" i="7"/>
  <c r="CB104" i="7" s="1"/>
  <c r="H8" i="12" s="1"/>
  <c r="CC104" i="7"/>
  <c r="I8" i="12" s="1"/>
  <c r="R98" i="7"/>
  <c r="I100" i="19"/>
  <c r="R101" i="7"/>
  <c r="I103" i="19"/>
  <c r="R100" i="7"/>
  <c r="I102" i="19"/>
  <c r="R99" i="7"/>
  <c r="R96" i="7" s="1"/>
  <c r="I101" i="19"/>
  <c r="BW109" i="7"/>
  <c r="BX109" i="7" s="1"/>
  <c r="BX110" i="7"/>
  <c r="CF31" i="7"/>
  <c r="CE30" i="7"/>
  <c r="CF30" i="7" s="1"/>
  <c r="AH41" i="7"/>
  <c r="AI43" i="7"/>
  <c r="CE110" i="7"/>
  <c r="CE109" i="7" s="1"/>
  <c r="CF87" i="7"/>
  <c r="AK39" i="7"/>
  <c r="AJ35" i="7"/>
  <c r="CF52" i="7"/>
  <c r="CE50" i="7"/>
  <c r="CF50" i="7" s="1"/>
  <c r="AN36" i="7"/>
  <c r="CE106" i="7"/>
  <c r="CF106" i="7" s="1"/>
  <c r="CE107" i="7"/>
  <c r="CF107" i="7" s="1"/>
  <c r="BW105" i="7"/>
  <c r="BX105" i="7" s="1"/>
  <c r="M21" i="1"/>
  <c r="M20" i="1"/>
  <c r="C22" i="19" s="1"/>
  <c r="M19" i="1"/>
  <c r="C21" i="19" s="1"/>
  <c r="M18" i="1"/>
  <c r="C20" i="19" s="1"/>
  <c r="M17" i="1"/>
  <c r="H24" i="16"/>
  <c r="M25" i="1"/>
  <c r="H26" i="16"/>
  <c r="M28" i="1"/>
  <c r="C30" i="19" s="1"/>
  <c r="M14" i="1"/>
  <c r="M11" i="1" s="1"/>
  <c r="K99" i="19" l="1"/>
  <c r="BX53" i="7"/>
  <c r="CF53" i="7"/>
  <c r="C27" i="19"/>
  <c r="C24" i="19" s="1"/>
  <c r="M22" i="1"/>
  <c r="C19" i="19"/>
  <c r="M16" i="1"/>
  <c r="T97" i="7"/>
  <c r="I98" i="19"/>
  <c r="CF109" i="7"/>
  <c r="H19" i="9"/>
  <c r="E13" i="10" s="1"/>
  <c r="C23" i="19"/>
  <c r="O14" i="1"/>
  <c r="C16" i="19"/>
  <c r="C13" i="19" s="1"/>
  <c r="Y102" i="7"/>
  <c r="P104" i="19"/>
  <c r="S101" i="7"/>
  <c r="J103" i="19"/>
  <c r="Q112" i="7"/>
  <c r="I114" i="19" s="1"/>
  <c r="I97" i="19"/>
  <c r="S99" i="7"/>
  <c r="J101" i="19"/>
  <c r="S100" i="7"/>
  <c r="J102" i="19"/>
  <c r="S98" i="7"/>
  <c r="S96" i="7" s="1"/>
  <c r="J100" i="19"/>
  <c r="P112" i="7"/>
  <c r="H97" i="19"/>
  <c r="H38" i="9"/>
  <c r="H52" i="9" s="1"/>
  <c r="H23" i="16"/>
  <c r="G84" i="9"/>
  <c r="E56" i="10" s="1"/>
  <c r="H25" i="16"/>
  <c r="G85" i="9"/>
  <c r="E57" i="10" s="1"/>
  <c r="H19" i="16"/>
  <c r="G82" i="9"/>
  <c r="E54" i="10" s="1"/>
  <c r="H20" i="16"/>
  <c r="G83" i="9"/>
  <c r="E55" i="10" s="1"/>
  <c r="H14" i="16"/>
  <c r="G80" i="9"/>
  <c r="E52" i="10" s="1"/>
  <c r="H17" i="16"/>
  <c r="G81" i="9"/>
  <c r="E53" i="10" s="1"/>
  <c r="H12" i="16"/>
  <c r="G79" i="9"/>
  <c r="E51" i="10" s="1"/>
  <c r="H15" i="16"/>
  <c r="G58" i="9"/>
  <c r="H18" i="16"/>
  <c r="H28" i="16"/>
  <c r="H21" i="9"/>
  <c r="E15" i="10" s="1"/>
  <c r="H27" i="16"/>
  <c r="H20" i="9"/>
  <c r="E14" i="10" s="1"/>
  <c r="H21" i="16"/>
  <c r="E12" i="10"/>
  <c r="H29" i="16"/>
  <c r="H22" i="9"/>
  <c r="E16" i="10" s="1"/>
  <c r="AI41" i="7"/>
  <c r="AJ43" i="7"/>
  <c r="CF110" i="7"/>
  <c r="M27" i="7"/>
  <c r="M29" i="7"/>
  <c r="M14" i="7"/>
  <c r="M25" i="7"/>
  <c r="M19" i="7"/>
  <c r="M15" i="7"/>
  <c r="M28" i="7"/>
  <c r="M24" i="7"/>
  <c r="M20" i="7"/>
  <c r="M21" i="7"/>
  <c r="M17" i="7"/>
  <c r="M26" i="7"/>
  <c r="M18" i="7"/>
  <c r="AL39" i="7"/>
  <c r="CA39" i="7" s="1"/>
  <c r="AK35" i="7"/>
  <c r="AO36" i="7"/>
  <c r="BW104" i="7"/>
  <c r="BX104" i="7" s="1"/>
  <c r="CE105" i="7"/>
  <c r="CE104" i="7" s="1"/>
  <c r="K8" i="12" s="1"/>
  <c r="M12" i="7"/>
  <c r="M23" i="7"/>
  <c r="M13" i="7"/>
  <c r="O26" i="1"/>
  <c r="O23" i="1"/>
  <c r="O25" i="1"/>
  <c r="O17" i="1"/>
  <c r="O21" i="1"/>
  <c r="O27" i="1"/>
  <c r="O24" i="1"/>
  <c r="O18" i="1"/>
  <c r="O20" i="1"/>
  <c r="O12" i="1"/>
  <c r="O29" i="1"/>
  <c r="O15" i="1"/>
  <c r="O28" i="1"/>
  <c r="O19" i="1"/>
  <c r="L99" i="19" l="1"/>
  <c r="C18" i="19"/>
  <c r="C7" i="19" s="1"/>
  <c r="C114" i="19" s="1"/>
  <c r="C115" i="19" s="1"/>
  <c r="E48" i="10"/>
  <c r="G72" i="9"/>
  <c r="E34" i="10"/>
  <c r="E32" i="10" s="1"/>
  <c r="E11" i="10"/>
  <c r="H33" i="9"/>
  <c r="G125" i="9" s="1"/>
  <c r="U97" i="7"/>
  <c r="O11" i="1"/>
  <c r="O22" i="1"/>
  <c r="O16" i="1"/>
  <c r="M5" i="1"/>
  <c r="T99" i="7"/>
  <c r="T96" i="7" s="1"/>
  <c r="K101" i="19"/>
  <c r="H114" i="19"/>
  <c r="T100" i="7"/>
  <c r="K102" i="19"/>
  <c r="R95" i="7"/>
  <c r="J98" i="19"/>
  <c r="Z102" i="7"/>
  <c r="Q104" i="19"/>
  <c r="T98" i="7"/>
  <c r="K100" i="19"/>
  <c r="T101" i="7"/>
  <c r="K103" i="19"/>
  <c r="H11" i="16"/>
  <c r="G127" i="9"/>
  <c r="G126" i="9"/>
  <c r="E28" i="10"/>
  <c r="E27" i="10" s="1"/>
  <c r="G128" i="9"/>
  <c r="H16" i="16"/>
  <c r="H22" i="16"/>
  <c r="AJ41" i="7"/>
  <c r="AJ5" i="7" s="1"/>
  <c r="AK43" i="7"/>
  <c r="X26" i="7"/>
  <c r="BF21" i="7"/>
  <c r="BF16" i="7" s="1"/>
  <c r="W24" i="7"/>
  <c r="AN15" i="7"/>
  <c r="X25" i="7"/>
  <c r="P27" i="19" s="1"/>
  <c r="BS29" i="7"/>
  <c r="BS22" i="7" s="1"/>
  <c r="BS5" i="7" s="1"/>
  <c r="AI18" i="7"/>
  <c r="AI17" i="7"/>
  <c r="AR20" i="7"/>
  <c r="AC28" i="7"/>
  <c r="CA28" i="7" s="1"/>
  <c r="AT19" i="7"/>
  <c r="AA14" i="7"/>
  <c r="BF27" i="7"/>
  <c r="BF22" i="7" s="1"/>
  <c r="Y24" i="7"/>
  <c r="Q26" i="19" s="1"/>
  <c r="W25" i="7"/>
  <c r="Z24" i="7"/>
  <c r="R26" i="19" s="1"/>
  <c r="Y26" i="7"/>
  <c r="Q28" i="19" s="1"/>
  <c r="AQ20" i="7"/>
  <c r="Y25" i="7"/>
  <c r="Q27" i="19" s="1"/>
  <c r="BN29" i="7"/>
  <c r="BC21" i="7"/>
  <c r="Z25" i="7"/>
  <c r="R27" i="19" s="1"/>
  <c r="X24" i="7"/>
  <c r="P26" i="19" s="1"/>
  <c r="AP15" i="7"/>
  <c r="AP11" i="7" s="1"/>
  <c r="AD14" i="7"/>
  <c r="AT20" i="7"/>
  <c r="W28" i="7"/>
  <c r="AS19" i="7"/>
  <c r="Z26" i="7"/>
  <c r="R28" i="19" s="1"/>
  <c r="AS20" i="7"/>
  <c r="AE15" i="7"/>
  <c r="AE11" i="7" s="1"/>
  <c r="AE5" i="7" s="1"/>
  <c r="AR19" i="7"/>
  <c r="BC27" i="7"/>
  <c r="CC27" i="7" s="1"/>
  <c r="BM28" i="7"/>
  <c r="CD28" i="7" s="1"/>
  <c r="AC14" i="7"/>
  <c r="M16" i="7"/>
  <c r="AH15" i="7"/>
  <c r="AH11" i="7" s="1"/>
  <c r="AK15" i="7"/>
  <c r="AK11" i="7" s="1"/>
  <c r="AQ19" i="7"/>
  <c r="AP28" i="7"/>
  <c r="CB28" i="7" s="1"/>
  <c r="BA28" i="7"/>
  <c r="CC28" i="7" s="1"/>
  <c r="AG17" i="7"/>
  <c r="AG16" i="7" s="1"/>
  <c r="AG5" i="7" s="1"/>
  <c r="AH17" i="7"/>
  <c r="AH18" i="7"/>
  <c r="AF17" i="7"/>
  <c r="AB14" i="7"/>
  <c r="CF105" i="7"/>
  <c r="AB12" i="7"/>
  <c r="AC12" i="7"/>
  <c r="AD12" i="7"/>
  <c r="AD11" i="7" s="1"/>
  <c r="AD5" i="7" s="1"/>
  <c r="AA12" i="7"/>
  <c r="AP36" i="7"/>
  <c r="AI13" i="7"/>
  <c r="AI11" i="7" s="1"/>
  <c r="AF13" i="7"/>
  <c r="AF11" i="7" s="1"/>
  <c r="AM39" i="7"/>
  <c r="AL35" i="7"/>
  <c r="CF104" i="7"/>
  <c r="M22" i="7"/>
  <c r="M11" i="7"/>
  <c r="Z23" i="7"/>
  <c r="R25" i="19" s="1"/>
  <c r="W23" i="7"/>
  <c r="X23" i="7"/>
  <c r="P25" i="19" s="1"/>
  <c r="Y23" i="7"/>
  <c r="Q25" i="19" s="1"/>
  <c r="M99" i="19" l="1"/>
  <c r="BF5" i="7"/>
  <c r="AC11" i="7"/>
  <c r="AB11" i="7"/>
  <c r="AB5" i="7" s="1"/>
  <c r="H5" i="16"/>
  <c r="H112" i="16" s="1"/>
  <c r="I5" i="16" s="1"/>
  <c r="M5" i="7"/>
  <c r="V97" i="7"/>
  <c r="CA35" i="7"/>
  <c r="CA13" i="7"/>
  <c r="CE13" i="7" s="1"/>
  <c r="CA18" i="7"/>
  <c r="CE18" i="7" s="1"/>
  <c r="CC21" i="7"/>
  <c r="CE21" i="7" s="1"/>
  <c r="CD29" i="7"/>
  <c r="CE29" i="7" s="1"/>
  <c r="BZ26" i="7"/>
  <c r="CE26" i="7" s="1"/>
  <c r="P28" i="19"/>
  <c r="S28" i="19" s="1"/>
  <c r="AF16" i="7"/>
  <c r="AF5" i="7" s="1"/>
  <c r="CA17" i="7"/>
  <c r="CA14" i="7"/>
  <c r="U98" i="7"/>
  <c r="L100" i="19"/>
  <c r="BZ23" i="7"/>
  <c r="O25" i="19"/>
  <c r="S25" i="19" s="1"/>
  <c r="CA12" i="7"/>
  <c r="CB19" i="7"/>
  <c r="CA15" i="7"/>
  <c r="BZ28" i="7"/>
  <c r="O30" i="19"/>
  <c r="S30" i="19" s="1"/>
  <c r="BZ25" i="7"/>
  <c r="CE25" i="7" s="1"/>
  <c r="O27" i="19"/>
  <c r="S27" i="19" s="1"/>
  <c r="BZ24" i="7"/>
  <c r="CE24" i="7" s="1"/>
  <c r="O26" i="19"/>
  <c r="S26" i="19" s="1"/>
  <c r="U101" i="7"/>
  <c r="L103" i="19"/>
  <c r="U100" i="7"/>
  <c r="L102" i="19"/>
  <c r="U99" i="7"/>
  <c r="U96" i="7" s="1"/>
  <c r="L101" i="19"/>
  <c r="CB15" i="7"/>
  <c r="CB20" i="7"/>
  <c r="CE20" i="7" s="1"/>
  <c r="S95" i="7"/>
  <c r="K98" i="19"/>
  <c r="AA102" i="7"/>
  <c r="R104" i="19"/>
  <c r="S104" i="19" s="1"/>
  <c r="BZ102" i="7"/>
  <c r="R112" i="7"/>
  <c r="J97" i="19"/>
  <c r="E85" i="10"/>
  <c r="E87" i="10" s="1"/>
  <c r="H13" i="9"/>
  <c r="G124" i="9" s="1"/>
  <c r="G130" i="9" s="1"/>
  <c r="AT16" i="7"/>
  <c r="AT5" i="7" s="1"/>
  <c r="BA22" i="7"/>
  <c r="BA5" i="7" s="1"/>
  <c r="AR16" i="7"/>
  <c r="AN11" i="7"/>
  <c r="AK41" i="7"/>
  <c r="AK5" i="7" s="1"/>
  <c r="AL43" i="7"/>
  <c r="CA43" i="7" s="1"/>
  <c r="CE27" i="7"/>
  <c r="AP22" i="7"/>
  <c r="CB22" i="7" s="1"/>
  <c r="BM22" i="7"/>
  <c r="BM5" i="7" s="1"/>
  <c r="AC22" i="7"/>
  <c r="CA22" i="7" s="1"/>
  <c r="AI16" i="7"/>
  <c r="AI5" i="7" s="1"/>
  <c r="X22" i="7"/>
  <c r="X5" i="7" s="1"/>
  <c r="W22" i="7"/>
  <c r="W5" i="7" s="1"/>
  <c r="C5" i="12"/>
  <c r="BW20" i="7"/>
  <c r="BX20" i="7" s="1"/>
  <c r="BW27" i="7"/>
  <c r="BX27" i="7" s="1"/>
  <c r="BN22" i="7"/>
  <c r="BN5" i="7" s="1"/>
  <c r="M112" i="7"/>
  <c r="BW24" i="7"/>
  <c r="BX24" i="7" s="1"/>
  <c r="BW26" i="7"/>
  <c r="BX26" i="7" s="1"/>
  <c r="Y22" i="7"/>
  <c r="Y5" i="7" s="1"/>
  <c r="BW29" i="7"/>
  <c r="BX29" i="7" s="1"/>
  <c r="BC22" i="7"/>
  <c r="BC16" i="7"/>
  <c r="BW25" i="7"/>
  <c r="BX25" i="7" s="1"/>
  <c r="BW21" i="7"/>
  <c r="BX21" i="7" s="1"/>
  <c r="BW14" i="7"/>
  <c r="BX14" i="7" s="1"/>
  <c r="BW15" i="7"/>
  <c r="BX15" i="7" s="1"/>
  <c r="AS16" i="7"/>
  <c r="BW19" i="7"/>
  <c r="BX19" i="7" s="1"/>
  <c r="Z22" i="7"/>
  <c r="Z5" i="7" s="1"/>
  <c r="AQ16" i="7"/>
  <c r="BW28" i="7"/>
  <c r="BX28" i="7" s="1"/>
  <c r="AH16" i="7"/>
  <c r="AH5" i="7" s="1"/>
  <c r="BW18" i="7"/>
  <c r="BX18" i="7" s="1"/>
  <c r="BW17" i="7"/>
  <c r="BX17" i="7" s="1"/>
  <c r="W97" i="7"/>
  <c r="AQ36" i="7"/>
  <c r="BW13" i="7"/>
  <c r="BX13" i="7" s="1"/>
  <c r="AA11" i="7"/>
  <c r="AA5" i="7" s="1"/>
  <c r="BW12" i="7"/>
  <c r="BX12" i="7" s="1"/>
  <c r="AN39" i="7"/>
  <c r="AM35" i="7"/>
  <c r="BW23" i="7"/>
  <c r="BX23" i="7" s="1"/>
  <c r="N99" i="19" l="1"/>
  <c r="O99" i="19"/>
  <c r="BC5" i="7"/>
  <c r="AC5" i="7"/>
  <c r="CC16" i="7"/>
  <c r="CB11" i="7"/>
  <c r="CB16" i="7"/>
  <c r="R24" i="19"/>
  <c r="R7" i="19" s="1"/>
  <c r="P24" i="19"/>
  <c r="P7" i="19" s="1"/>
  <c r="CD22" i="7"/>
  <c r="Q24" i="19"/>
  <c r="Q7" i="19" s="1"/>
  <c r="J114" i="19"/>
  <c r="AB102" i="7"/>
  <c r="V100" i="7"/>
  <c r="M102" i="19"/>
  <c r="S24" i="19"/>
  <c r="S7" i="19" s="1"/>
  <c r="V98" i="7"/>
  <c r="M100" i="19"/>
  <c r="CA16" i="7"/>
  <c r="CC22" i="7"/>
  <c r="CA11" i="7"/>
  <c r="O24" i="19"/>
  <c r="O7" i="19" s="1"/>
  <c r="BZ22" i="7"/>
  <c r="BZ5" i="7" s="1"/>
  <c r="S112" i="7"/>
  <c r="K114" i="19" s="1"/>
  <c r="K97" i="19"/>
  <c r="V99" i="7"/>
  <c r="V96" i="7" s="1"/>
  <c r="M101" i="19"/>
  <c r="V101" i="7"/>
  <c r="M103" i="19"/>
  <c r="T95" i="7"/>
  <c r="L98" i="19"/>
  <c r="I104" i="16"/>
  <c r="H113" i="16"/>
  <c r="I95" i="16"/>
  <c r="I111" i="16"/>
  <c r="I96" i="16"/>
  <c r="I105" i="16"/>
  <c r="I109" i="16"/>
  <c r="I53" i="16"/>
  <c r="I110" i="16"/>
  <c r="G135" i="9"/>
  <c r="CF27" i="7"/>
  <c r="CF26" i="7"/>
  <c r="CF24" i="7"/>
  <c r="AL41" i="7"/>
  <c r="AL5" i="7" s="1"/>
  <c r="AM43" i="7"/>
  <c r="CE28" i="7"/>
  <c r="CF28" i="7" s="1"/>
  <c r="CE15" i="7"/>
  <c r="CF15" i="7" s="1"/>
  <c r="CF20" i="7"/>
  <c r="CF25" i="7"/>
  <c r="CE19" i="7"/>
  <c r="CF19" i="7" s="1"/>
  <c r="CE14" i="7"/>
  <c r="CF14" i="7" s="1"/>
  <c r="CF29" i="7"/>
  <c r="CF21" i="7"/>
  <c r="BW16" i="7"/>
  <c r="BX16" i="7" s="1"/>
  <c r="CE17" i="7"/>
  <c r="CF18" i="7"/>
  <c r="CF13" i="7"/>
  <c r="CE12" i="7"/>
  <c r="BM100" i="7"/>
  <c r="BN100" i="7" s="1"/>
  <c r="BO100" i="7" s="1"/>
  <c r="BP100" i="7" s="1"/>
  <c r="AO39" i="7"/>
  <c r="AN35" i="7"/>
  <c r="AR36" i="7"/>
  <c r="CB36" i="7" s="1"/>
  <c r="X97" i="7"/>
  <c r="BW11" i="7"/>
  <c r="CE23" i="7"/>
  <c r="BW22" i="7"/>
  <c r="BX22" i="7" s="1"/>
  <c r="P99" i="19" l="1"/>
  <c r="CD5" i="7"/>
  <c r="J5" i="12" s="1"/>
  <c r="CC5" i="7"/>
  <c r="I5" i="12" s="1"/>
  <c r="BX11" i="7"/>
  <c r="CA41" i="7"/>
  <c r="CA5" i="7" s="1"/>
  <c r="W101" i="7"/>
  <c r="N103" i="19"/>
  <c r="F5" i="12"/>
  <c r="U95" i="7"/>
  <c r="M98" i="19"/>
  <c r="T112" i="7"/>
  <c r="L114" i="19" s="1"/>
  <c r="L97" i="19"/>
  <c r="W99" i="7"/>
  <c r="N101" i="19"/>
  <c r="W98" i="7"/>
  <c r="W96" i="7" s="1"/>
  <c r="N100" i="19"/>
  <c r="AC102" i="7"/>
  <c r="W100" i="7"/>
  <c r="N102" i="19"/>
  <c r="H125" i="9"/>
  <c r="H129" i="9"/>
  <c r="H134" i="9"/>
  <c r="H126" i="9"/>
  <c r="H124" i="9"/>
  <c r="H133" i="9"/>
  <c r="H127" i="9"/>
  <c r="H132" i="9"/>
  <c r="H128" i="9"/>
  <c r="H131" i="9"/>
  <c r="G136" i="9"/>
  <c r="CE16" i="7"/>
  <c r="CF16" i="7" s="1"/>
  <c r="AM41" i="7"/>
  <c r="AM5" i="7" s="1"/>
  <c r="AN43" i="7"/>
  <c r="CB43" i="7" s="1"/>
  <c r="CE22" i="7"/>
  <c r="CF22" i="7" s="1"/>
  <c r="CE11" i="7"/>
  <c r="CF17" i="7"/>
  <c r="Y97" i="7"/>
  <c r="BW36" i="7"/>
  <c r="BX36" i="7" s="1"/>
  <c r="AP39" i="7"/>
  <c r="AO35" i="7"/>
  <c r="AO5" i="7" s="1"/>
  <c r="CF12" i="7"/>
  <c r="CE36" i="7"/>
  <c r="CF23" i="7"/>
  <c r="O80" i="1"/>
  <c r="O78" i="1" s="1"/>
  <c r="Q99" i="19" l="1"/>
  <c r="CF11" i="7"/>
  <c r="V95" i="7"/>
  <c r="N98" i="19"/>
  <c r="X99" i="7"/>
  <c r="O101" i="19"/>
  <c r="X98" i="7"/>
  <c r="X96" i="7" s="1"/>
  <c r="O100" i="19"/>
  <c r="X100" i="7"/>
  <c r="O102" i="19"/>
  <c r="AD102" i="7"/>
  <c r="U112" i="7"/>
  <c r="M114" i="19" s="1"/>
  <c r="M97" i="19"/>
  <c r="X101" i="7"/>
  <c r="O103" i="19"/>
  <c r="AN41" i="7"/>
  <c r="AN5" i="7" s="1"/>
  <c r="BW43" i="7"/>
  <c r="BX43" i="7" s="1"/>
  <c r="AQ39" i="7"/>
  <c r="AP35" i="7"/>
  <c r="AP5" i="7" s="1"/>
  <c r="CF36" i="7"/>
  <c r="Z97" i="7"/>
  <c r="Y100" i="7" l="1"/>
  <c r="P102" i="19"/>
  <c r="AE102" i="7"/>
  <c r="W95" i="7"/>
  <c r="O98" i="19"/>
  <c r="R99" i="19"/>
  <c r="BZ97" i="7"/>
  <c r="Y101" i="7"/>
  <c r="P103" i="19"/>
  <c r="Y99" i="7"/>
  <c r="P101" i="19"/>
  <c r="Y98" i="7"/>
  <c r="Y96" i="7" s="1"/>
  <c r="P100" i="19"/>
  <c r="CB41" i="7"/>
  <c r="V112" i="7"/>
  <c r="N114" i="19" s="1"/>
  <c r="N97" i="19"/>
  <c r="BW41" i="7"/>
  <c r="BX41" i="7" s="1"/>
  <c r="CE43" i="7"/>
  <c r="CE41" i="7" s="1"/>
  <c r="G5" i="12"/>
  <c r="AA97" i="7"/>
  <c r="AR39" i="7"/>
  <c r="AQ35" i="7"/>
  <c r="AQ5" i="7" s="1"/>
  <c r="AA124" i="5"/>
  <c r="AB124" i="5" s="1"/>
  <c r="AC124" i="5" s="1"/>
  <c r="AD124" i="5" s="1"/>
  <c r="AE124" i="5" s="1"/>
  <c r="AF124" i="5" s="1"/>
  <c r="AG124" i="5" s="1"/>
  <c r="AH124" i="5" s="1"/>
  <c r="AI124" i="5" s="1"/>
  <c r="AJ124" i="5" s="1"/>
  <c r="AK124" i="5" s="1"/>
  <c r="AL124" i="5" s="1"/>
  <c r="AM124" i="5" s="1"/>
  <c r="AN124" i="5" s="1"/>
  <c r="AO124" i="5" s="1"/>
  <c r="AP124" i="5" s="1"/>
  <c r="AQ124" i="5" s="1"/>
  <c r="AR124" i="5" s="1"/>
  <c r="AS124" i="5" s="1"/>
  <c r="AT124" i="5" s="1"/>
  <c r="AU124" i="5" s="1"/>
  <c r="AV124" i="5" s="1"/>
  <c r="AW124" i="5" s="1"/>
  <c r="AX124" i="5" s="1"/>
  <c r="AY124" i="5" s="1"/>
  <c r="AZ124" i="5" s="1"/>
  <c r="BA124" i="5" s="1"/>
  <c r="BB124" i="5" s="1"/>
  <c r="BC124" i="5" s="1"/>
  <c r="BD124" i="5" s="1"/>
  <c r="BE124" i="5" s="1"/>
  <c r="BF124" i="5" s="1"/>
  <c r="BG124" i="5" s="1"/>
  <c r="BH124" i="5" s="1"/>
  <c r="BI124" i="5" s="1"/>
  <c r="J115" i="5"/>
  <c r="K115" i="5" s="1"/>
  <c r="J114" i="5"/>
  <c r="K114" i="5" s="1"/>
  <c r="B110" i="5"/>
  <c r="J109" i="5"/>
  <c r="K109" i="5" s="1"/>
  <c r="J108" i="5"/>
  <c r="K108" i="5" s="1"/>
  <c r="J107" i="5"/>
  <c r="K107" i="5" s="1"/>
  <c r="J106" i="5"/>
  <c r="K106" i="5" s="1"/>
  <c r="J105" i="5"/>
  <c r="K105" i="5" s="1"/>
  <c r="B100" i="5"/>
  <c r="I99" i="5"/>
  <c r="J99" i="5" s="1"/>
  <c r="K99" i="5" s="1"/>
  <c r="I98" i="5"/>
  <c r="J98" i="5" s="1"/>
  <c r="K98" i="5" s="1"/>
  <c r="I97" i="5"/>
  <c r="J97" i="5" s="1"/>
  <c r="K97" i="5" s="1"/>
  <c r="I96" i="5"/>
  <c r="J96" i="5" s="1"/>
  <c r="K96" i="5" s="1"/>
  <c r="I95" i="5"/>
  <c r="J95" i="5" s="1"/>
  <c r="K95" i="5" s="1"/>
  <c r="I94" i="5"/>
  <c r="J94" i="5" s="1"/>
  <c r="K94" i="5" s="1"/>
  <c r="I93" i="5"/>
  <c r="J93" i="5" s="1"/>
  <c r="K93" i="5" s="1"/>
  <c r="I92" i="5"/>
  <c r="J92" i="5" s="1"/>
  <c r="K92" i="5" s="1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I87" i="5"/>
  <c r="J87" i="5" s="1"/>
  <c r="I80" i="5"/>
  <c r="J80" i="5" s="1"/>
  <c r="K80" i="5" s="1"/>
  <c r="I79" i="5"/>
  <c r="J79" i="5" s="1"/>
  <c r="K79" i="5" s="1"/>
  <c r="I78" i="5"/>
  <c r="J78" i="5" s="1"/>
  <c r="K78" i="5" s="1"/>
  <c r="I77" i="5"/>
  <c r="J77" i="5" s="1"/>
  <c r="B72" i="5"/>
  <c r="I71" i="5"/>
  <c r="J71" i="5" s="1"/>
  <c r="K71" i="5" s="1"/>
  <c r="I70" i="5"/>
  <c r="J70" i="5" s="1"/>
  <c r="K70" i="5" s="1"/>
  <c r="I69" i="5"/>
  <c r="J69" i="5" s="1"/>
  <c r="K69" i="5" s="1"/>
  <c r="I68" i="5"/>
  <c r="J68" i="5" s="1"/>
  <c r="K68" i="5" s="1"/>
  <c r="I67" i="5"/>
  <c r="J67" i="5" s="1"/>
  <c r="K67" i="5" s="1"/>
  <c r="I66" i="5"/>
  <c r="J66" i="5" s="1"/>
  <c r="K66" i="5" s="1"/>
  <c r="I65" i="5"/>
  <c r="J65" i="5" s="1"/>
  <c r="K65" i="5" s="1"/>
  <c r="I64" i="5"/>
  <c r="J64" i="5" s="1"/>
  <c r="K64" i="5" s="1"/>
  <c r="I63" i="5"/>
  <c r="J63" i="5" s="1"/>
  <c r="K63" i="5" s="1"/>
  <c r="I62" i="5"/>
  <c r="J62" i="5" s="1"/>
  <c r="K62" i="5" s="1"/>
  <c r="I61" i="5"/>
  <c r="J61" i="5" s="1"/>
  <c r="K61" i="5" s="1"/>
  <c r="I60" i="5"/>
  <c r="J60" i="5" s="1"/>
  <c r="K60" i="5" s="1"/>
  <c r="I59" i="5"/>
  <c r="J59" i="5" s="1"/>
  <c r="K59" i="5" s="1"/>
  <c r="I9" i="5"/>
  <c r="Z98" i="7" l="1"/>
  <c r="Q100" i="19"/>
  <c r="AF102" i="7"/>
  <c r="AG102" i="7" s="1"/>
  <c r="AH102" i="7" s="1"/>
  <c r="AI102" i="7" s="1"/>
  <c r="AJ102" i="7" s="1"/>
  <c r="AK102" i="7" s="1"/>
  <c r="AL102" i="7" s="1"/>
  <c r="AM102" i="7" s="1"/>
  <c r="Z101" i="7"/>
  <c r="Q103" i="19"/>
  <c r="X95" i="7"/>
  <c r="P98" i="19"/>
  <c r="Z99" i="7"/>
  <c r="Q101" i="19"/>
  <c r="W112" i="7"/>
  <c r="O114" i="19" s="1"/>
  <c r="O97" i="19"/>
  <c r="Z100" i="7"/>
  <c r="Q102" i="19"/>
  <c r="CF43" i="7"/>
  <c r="CF41" i="7"/>
  <c r="AB97" i="7"/>
  <c r="AS39" i="7"/>
  <c r="CB39" i="7" s="1"/>
  <c r="AR35" i="7"/>
  <c r="AR5" i="7" s="1"/>
  <c r="K116" i="5"/>
  <c r="K117" i="5" s="1"/>
  <c r="Z125" i="5" s="1"/>
  <c r="J100" i="5"/>
  <c r="I34" i="5" s="1"/>
  <c r="I35" i="5" s="1"/>
  <c r="H27" i="5"/>
  <c r="H28" i="5" s="1"/>
  <c r="K110" i="5"/>
  <c r="K111" i="5" s="1"/>
  <c r="B125" i="5" s="1"/>
  <c r="K72" i="5"/>
  <c r="K73" i="5" s="1"/>
  <c r="B123" i="5" s="1"/>
  <c r="K77" i="5"/>
  <c r="K81" i="5" s="1"/>
  <c r="K82" i="5" s="1"/>
  <c r="J81" i="5"/>
  <c r="J116" i="5"/>
  <c r="J72" i="5"/>
  <c r="K87" i="5"/>
  <c r="K100" i="5" s="1"/>
  <c r="K101" i="5" s="1"/>
  <c r="J110" i="5"/>
  <c r="J9" i="5"/>
  <c r="K9" i="5" s="1"/>
  <c r="L9" i="5" s="1"/>
  <c r="Z96" i="7" l="1"/>
  <c r="AA100" i="7"/>
  <c r="R102" i="19"/>
  <c r="S102" i="19" s="1"/>
  <c r="BZ100" i="7"/>
  <c r="AA99" i="7"/>
  <c r="R101" i="19"/>
  <c r="S101" i="19" s="1"/>
  <c r="BZ99" i="7"/>
  <c r="AA101" i="7"/>
  <c r="R103" i="19"/>
  <c r="S103" i="19" s="1"/>
  <c r="BZ101" i="7"/>
  <c r="CA102" i="7"/>
  <c r="AA98" i="7"/>
  <c r="R100" i="19"/>
  <c r="S100" i="19" s="1"/>
  <c r="BZ98" i="7"/>
  <c r="X112" i="7"/>
  <c r="P114" i="19" s="1"/>
  <c r="P97" i="19"/>
  <c r="AN102" i="7"/>
  <c r="AO102" i="7" s="1"/>
  <c r="AP102" i="7" s="1"/>
  <c r="AQ102" i="7" s="1"/>
  <c r="AR102" i="7" s="1"/>
  <c r="AS102" i="7" s="1"/>
  <c r="AT102" i="7" s="1"/>
  <c r="AU102" i="7" s="1"/>
  <c r="AV102" i="7" s="1"/>
  <c r="AW102" i="7" s="1"/>
  <c r="AX102" i="7" s="1"/>
  <c r="AY102" i="7" s="1"/>
  <c r="Y95" i="7"/>
  <c r="Q98" i="19"/>
  <c r="CE39" i="7"/>
  <c r="CE35" i="7" s="1"/>
  <c r="CE5" i="7" s="1"/>
  <c r="AC97" i="7"/>
  <c r="AS35" i="7"/>
  <c r="AS5" i="7" s="1"/>
  <c r="BW39" i="7"/>
  <c r="BX39" i="7" s="1"/>
  <c r="O53" i="1"/>
  <c r="N54" i="5"/>
  <c r="BK124" i="5" s="1"/>
  <c r="B124" i="5"/>
  <c r="C123" i="5"/>
  <c r="D123" i="5" s="1"/>
  <c r="E123" i="5" s="1"/>
  <c r="F123" i="5" s="1"/>
  <c r="G123" i="5" s="1"/>
  <c r="H123" i="5" s="1"/>
  <c r="I123" i="5" s="1"/>
  <c r="J123" i="5" s="1"/>
  <c r="K123" i="5" s="1"/>
  <c r="L123" i="5" s="1"/>
  <c r="M123" i="5" s="1"/>
  <c r="N123" i="5" s="1"/>
  <c r="O123" i="5" s="1"/>
  <c r="P123" i="5" s="1"/>
  <c r="Q123" i="5" s="1"/>
  <c r="R123" i="5" s="1"/>
  <c r="S123" i="5" s="1"/>
  <c r="T123" i="5" s="1"/>
  <c r="U123" i="5" s="1"/>
  <c r="V123" i="5" s="1"/>
  <c r="W123" i="5" s="1"/>
  <c r="X123" i="5" s="1"/>
  <c r="Y123" i="5" s="1"/>
  <c r="I27" i="5"/>
  <c r="I28" i="5" s="1"/>
  <c r="I54" i="5" s="1"/>
  <c r="F27" i="5"/>
  <c r="F28" i="5" s="1"/>
  <c r="K27" i="5"/>
  <c r="L82" i="5"/>
  <c r="Z123" i="5"/>
  <c r="F34" i="5"/>
  <c r="F35" i="5" s="1"/>
  <c r="D34" i="5"/>
  <c r="D35" i="5" s="1"/>
  <c r="A34" i="5"/>
  <c r="A35" i="5" s="1"/>
  <c r="E27" i="5"/>
  <c r="E28" i="5" s="1"/>
  <c r="B27" i="5"/>
  <c r="B28" i="5" s="1"/>
  <c r="C27" i="5"/>
  <c r="C28" i="5" s="1"/>
  <c r="B34" i="5"/>
  <c r="B35" i="5" s="1"/>
  <c r="B54" i="5" s="1"/>
  <c r="AA125" i="5"/>
  <c r="AB125" i="5" s="1"/>
  <c r="AC125" i="5" s="1"/>
  <c r="AD125" i="5" s="1"/>
  <c r="AE125" i="5" s="1"/>
  <c r="AF125" i="5" s="1"/>
  <c r="AG125" i="5" s="1"/>
  <c r="AH125" i="5" s="1"/>
  <c r="AI125" i="5" s="1"/>
  <c r="AJ125" i="5" s="1"/>
  <c r="AK125" i="5" s="1"/>
  <c r="AL125" i="5" s="1"/>
  <c r="AM125" i="5" s="1"/>
  <c r="AN125" i="5" s="1"/>
  <c r="AO125" i="5" s="1"/>
  <c r="AP125" i="5" s="1"/>
  <c r="AQ125" i="5" s="1"/>
  <c r="AR125" i="5" s="1"/>
  <c r="AS125" i="5" s="1"/>
  <c r="AT125" i="5" s="1"/>
  <c r="AU125" i="5" s="1"/>
  <c r="AV125" i="5" s="1"/>
  <c r="AW125" i="5" s="1"/>
  <c r="AX125" i="5" s="1"/>
  <c r="AY125" i="5" s="1"/>
  <c r="AZ125" i="5" s="1"/>
  <c r="BA125" i="5" s="1"/>
  <c r="BB125" i="5" s="1"/>
  <c r="BC125" i="5" s="1"/>
  <c r="BD125" i="5" s="1"/>
  <c r="BE125" i="5" s="1"/>
  <c r="BF125" i="5" s="1"/>
  <c r="BG125" i="5" s="1"/>
  <c r="BH125" i="5" s="1"/>
  <c r="BI125" i="5" s="1"/>
  <c r="C125" i="5"/>
  <c r="C34" i="5"/>
  <c r="C35" i="5" s="1"/>
  <c r="D27" i="5"/>
  <c r="D28" i="5" s="1"/>
  <c r="D54" i="5" s="1"/>
  <c r="J34" i="5"/>
  <c r="J35" i="5" s="1"/>
  <c r="K34" i="5"/>
  <c r="H34" i="5"/>
  <c r="H35" i="5" s="1"/>
  <c r="E34" i="5"/>
  <c r="E35" i="5" s="1"/>
  <c r="H54" i="5"/>
  <c r="A27" i="5"/>
  <c r="A28" i="5" s="1"/>
  <c r="G34" i="5"/>
  <c r="G35" i="5" s="1"/>
  <c r="J27" i="5"/>
  <c r="J28" i="5" s="1"/>
  <c r="G27" i="5"/>
  <c r="G28" i="5" s="1"/>
  <c r="N53" i="5"/>
  <c r="BK123" i="5" s="1"/>
  <c r="L73" i="5"/>
  <c r="L10" i="5"/>
  <c r="J10" i="5" s="1"/>
  <c r="H10" i="5"/>
  <c r="I48" i="5"/>
  <c r="I49" i="5" s="1"/>
  <c r="E48" i="5"/>
  <c r="E49" i="5" s="1"/>
  <c r="A48" i="5"/>
  <c r="A49" i="5" s="1"/>
  <c r="H48" i="5"/>
  <c r="H49" i="5" s="1"/>
  <c r="D48" i="5"/>
  <c r="D49" i="5" s="1"/>
  <c r="K48" i="5"/>
  <c r="G48" i="5"/>
  <c r="G49" i="5" s="1"/>
  <c r="C48" i="5"/>
  <c r="C49" i="5" s="1"/>
  <c r="J48" i="5"/>
  <c r="J49" i="5" s="1"/>
  <c r="F48" i="5"/>
  <c r="F49" i="5" s="1"/>
  <c r="B48" i="5"/>
  <c r="K35" i="5"/>
  <c r="L34" i="5"/>
  <c r="L35" i="5" s="1"/>
  <c r="K28" i="5"/>
  <c r="L27" i="5"/>
  <c r="L28" i="5" s="1"/>
  <c r="K42" i="5"/>
  <c r="G42" i="5"/>
  <c r="G43" i="5" s="1"/>
  <c r="C42" i="5"/>
  <c r="C43" i="5" s="1"/>
  <c r="J42" i="5"/>
  <c r="J43" i="5" s="1"/>
  <c r="F42" i="5"/>
  <c r="F43" i="5" s="1"/>
  <c r="F55" i="5" s="1"/>
  <c r="B42" i="5"/>
  <c r="I42" i="5"/>
  <c r="I43" i="5" s="1"/>
  <c r="E42" i="5"/>
  <c r="E43" i="5" s="1"/>
  <c r="E55" i="5" s="1"/>
  <c r="A42" i="5"/>
  <c r="A43" i="5" s="1"/>
  <c r="H42" i="5"/>
  <c r="H43" i="5" s="1"/>
  <c r="D42" i="5"/>
  <c r="D43" i="5" s="1"/>
  <c r="L117" i="5"/>
  <c r="N55" i="5"/>
  <c r="BK125" i="5" s="1"/>
  <c r="J20" i="5"/>
  <c r="J21" i="5" s="1"/>
  <c r="F20" i="5"/>
  <c r="F21" i="5" s="1"/>
  <c r="B20" i="5"/>
  <c r="B21" i="5" s="1"/>
  <c r="I20" i="5"/>
  <c r="I21" i="5" s="1"/>
  <c r="E20" i="5"/>
  <c r="A20" i="5"/>
  <c r="H20" i="5"/>
  <c r="H21" i="5" s="1"/>
  <c r="D20" i="5"/>
  <c r="D21" i="5" s="1"/>
  <c r="K20" i="5"/>
  <c r="G20" i="5"/>
  <c r="G21" i="5" s="1"/>
  <c r="C20" i="5"/>
  <c r="C21" i="5" s="1"/>
  <c r="F54" i="5"/>
  <c r="C54" i="5"/>
  <c r="H13" i="5"/>
  <c r="H14" i="5" s="1"/>
  <c r="D13" i="5"/>
  <c r="D14" i="5" s="1"/>
  <c r="I6" i="5"/>
  <c r="I7" i="5" s="1"/>
  <c r="E6" i="5"/>
  <c r="A6" i="5"/>
  <c r="K13" i="5"/>
  <c r="G13" i="5"/>
  <c r="G14" i="5" s="1"/>
  <c r="C13" i="5"/>
  <c r="C14" i="5" s="1"/>
  <c r="H6" i="5"/>
  <c r="H7" i="5" s="1"/>
  <c r="D6" i="5"/>
  <c r="D7" i="5" s="1"/>
  <c r="J13" i="5"/>
  <c r="J14" i="5" s="1"/>
  <c r="F13" i="5"/>
  <c r="F14" i="5" s="1"/>
  <c r="B13" i="5"/>
  <c r="B14" i="5" s="1"/>
  <c r="K6" i="5"/>
  <c r="G6" i="5"/>
  <c r="G7" i="5" s="1"/>
  <c r="C6" i="5"/>
  <c r="C7" i="5" s="1"/>
  <c r="I13" i="5"/>
  <c r="I14" i="5" s="1"/>
  <c r="E13" i="5"/>
  <c r="E14" i="5" s="1"/>
  <c r="A13" i="5"/>
  <c r="J6" i="5"/>
  <c r="J7" i="5" s="1"/>
  <c r="F6" i="5"/>
  <c r="F7" i="5" s="1"/>
  <c r="B6" i="5"/>
  <c r="B7" i="5" s="1"/>
  <c r="J54" i="5"/>
  <c r="BZ96" i="7" l="1"/>
  <c r="AA96" i="7"/>
  <c r="CB102" i="7"/>
  <c r="CB35" i="7"/>
  <c r="AB99" i="7"/>
  <c r="AC99" i="7" s="1"/>
  <c r="AD99" i="7" s="1"/>
  <c r="AE99" i="7" s="1"/>
  <c r="AF99" i="7" s="1"/>
  <c r="AG99" i="7" s="1"/>
  <c r="AH99" i="7" s="1"/>
  <c r="AI99" i="7" s="1"/>
  <c r="AJ99" i="7" s="1"/>
  <c r="AK99" i="7" s="1"/>
  <c r="AL99" i="7" s="1"/>
  <c r="AM99" i="7" s="1"/>
  <c r="AB100" i="7"/>
  <c r="Y112" i="7"/>
  <c r="Q114" i="19" s="1"/>
  <c r="Q97" i="19"/>
  <c r="AB98" i="7"/>
  <c r="AB101" i="7"/>
  <c r="AC101" i="7" s="1"/>
  <c r="AD101" i="7" s="1"/>
  <c r="AE101" i="7" s="1"/>
  <c r="AF101" i="7" s="1"/>
  <c r="AG101" i="7" s="1"/>
  <c r="AH101" i="7" s="1"/>
  <c r="AI101" i="7" s="1"/>
  <c r="AJ101" i="7" s="1"/>
  <c r="AK101" i="7" s="1"/>
  <c r="AL101" i="7" s="1"/>
  <c r="AM101" i="7" s="1"/>
  <c r="AZ102" i="7"/>
  <c r="BA102" i="7" s="1"/>
  <c r="BB102" i="7" s="1"/>
  <c r="BC102" i="7" s="1"/>
  <c r="BD102" i="7" s="1"/>
  <c r="BE102" i="7" s="1"/>
  <c r="BF102" i="7" s="1"/>
  <c r="BG102" i="7" s="1"/>
  <c r="BH102" i="7" s="1"/>
  <c r="BI102" i="7" s="1"/>
  <c r="BJ102" i="7" s="1"/>
  <c r="BK102" i="7" s="1"/>
  <c r="Z95" i="7"/>
  <c r="R98" i="19"/>
  <c r="E54" i="5"/>
  <c r="BW35" i="7"/>
  <c r="BW5" i="7" s="1"/>
  <c r="AD97" i="7"/>
  <c r="C53" i="5"/>
  <c r="A54" i="5"/>
  <c r="D125" i="5"/>
  <c r="E125" i="5" s="1"/>
  <c r="F125" i="5" s="1"/>
  <c r="G125" i="5" s="1"/>
  <c r="H125" i="5" s="1"/>
  <c r="I125" i="5" s="1"/>
  <c r="J125" i="5" s="1"/>
  <c r="K125" i="5" s="1"/>
  <c r="L125" i="5" s="1"/>
  <c r="M125" i="5" s="1"/>
  <c r="N125" i="5" s="1"/>
  <c r="O125" i="5" s="1"/>
  <c r="P125" i="5" s="1"/>
  <c r="Q125" i="5" s="1"/>
  <c r="R125" i="5" s="1"/>
  <c r="S125" i="5" s="1"/>
  <c r="T125" i="5" s="1"/>
  <c r="U125" i="5" s="1"/>
  <c r="V125" i="5" s="1"/>
  <c r="W125" i="5" s="1"/>
  <c r="X125" i="5" s="1"/>
  <c r="Y125" i="5" s="1"/>
  <c r="C124" i="5"/>
  <c r="D124" i="5" s="1"/>
  <c r="E124" i="5" s="1"/>
  <c r="F124" i="5" s="1"/>
  <c r="G124" i="5" s="1"/>
  <c r="H124" i="5" s="1"/>
  <c r="I124" i="5" s="1"/>
  <c r="J124" i="5" s="1"/>
  <c r="K124" i="5" s="1"/>
  <c r="L124" i="5" s="1"/>
  <c r="M124" i="5" s="1"/>
  <c r="N124" i="5" s="1"/>
  <c r="O124" i="5" s="1"/>
  <c r="P124" i="5" s="1"/>
  <c r="Q124" i="5" s="1"/>
  <c r="R124" i="5" s="1"/>
  <c r="S124" i="5" s="1"/>
  <c r="T124" i="5" s="1"/>
  <c r="U124" i="5" s="1"/>
  <c r="V124" i="5" s="1"/>
  <c r="W124" i="5" s="1"/>
  <c r="X124" i="5" s="1"/>
  <c r="Y124" i="5" s="1"/>
  <c r="F53" i="5"/>
  <c r="A55" i="5"/>
  <c r="G54" i="5"/>
  <c r="AA123" i="5"/>
  <c r="AB123" i="5" s="1"/>
  <c r="AC123" i="5" s="1"/>
  <c r="AD123" i="5" s="1"/>
  <c r="AE123" i="5" s="1"/>
  <c r="AF123" i="5" s="1"/>
  <c r="AG123" i="5" s="1"/>
  <c r="AH123" i="5" s="1"/>
  <c r="AI123" i="5" s="1"/>
  <c r="AJ123" i="5" s="1"/>
  <c r="AK123" i="5" s="1"/>
  <c r="AL123" i="5" s="1"/>
  <c r="AM123" i="5" s="1"/>
  <c r="AN123" i="5" s="1"/>
  <c r="AO123" i="5" s="1"/>
  <c r="AP123" i="5" s="1"/>
  <c r="AQ123" i="5" s="1"/>
  <c r="AR123" i="5" s="1"/>
  <c r="AS123" i="5" s="1"/>
  <c r="AT123" i="5" s="1"/>
  <c r="AU123" i="5" s="1"/>
  <c r="AV123" i="5" s="1"/>
  <c r="AW123" i="5" s="1"/>
  <c r="AX123" i="5" s="1"/>
  <c r="AY123" i="5" s="1"/>
  <c r="AZ123" i="5" s="1"/>
  <c r="BA123" i="5" s="1"/>
  <c r="BB123" i="5" s="1"/>
  <c r="BC123" i="5" s="1"/>
  <c r="BD123" i="5" s="1"/>
  <c r="BE123" i="5" s="1"/>
  <c r="BF123" i="5" s="1"/>
  <c r="BG123" i="5" s="1"/>
  <c r="BH123" i="5" s="1"/>
  <c r="BI123" i="5" s="1"/>
  <c r="D53" i="5"/>
  <c r="H55" i="5"/>
  <c r="G55" i="5"/>
  <c r="G53" i="5"/>
  <c r="J55" i="5"/>
  <c r="L54" i="5"/>
  <c r="M27" i="5"/>
  <c r="M28" i="5" s="1"/>
  <c r="N56" i="5"/>
  <c r="BK126" i="5" s="1"/>
  <c r="B53" i="5"/>
  <c r="M34" i="5"/>
  <c r="M35" i="5" s="1"/>
  <c r="D55" i="5"/>
  <c r="I55" i="5"/>
  <c r="C55" i="5"/>
  <c r="K54" i="5"/>
  <c r="H53" i="5"/>
  <c r="A7" i="5"/>
  <c r="A21" i="5"/>
  <c r="B43" i="5"/>
  <c r="K49" i="5"/>
  <c r="L48" i="5"/>
  <c r="L49" i="5" s="1"/>
  <c r="J53" i="5"/>
  <c r="F1" i="5"/>
  <c r="E7" i="5"/>
  <c r="K21" i="5"/>
  <c r="L20" i="5"/>
  <c r="L21" i="5" s="1"/>
  <c r="E21" i="5"/>
  <c r="H23" i="5"/>
  <c r="K43" i="5"/>
  <c r="L42" i="5"/>
  <c r="L43" i="5" s="1"/>
  <c r="A14" i="5"/>
  <c r="I53" i="5"/>
  <c r="K7" i="5"/>
  <c r="L6" i="5"/>
  <c r="L7" i="5" s="1"/>
  <c r="K14" i="5"/>
  <c r="L13" i="5"/>
  <c r="L14" i="5" s="1"/>
  <c r="B49" i="5"/>
  <c r="AB96" i="7" l="1"/>
  <c r="CB5" i="7"/>
  <c r="H5" i="12" s="1"/>
  <c r="BX35" i="7"/>
  <c r="Z112" i="7"/>
  <c r="R97" i="19"/>
  <c r="BZ95" i="7"/>
  <c r="F7" i="12" s="1"/>
  <c r="F10" i="12" s="1"/>
  <c r="CA101" i="7"/>
  <c r="AN99" i="7"/>
  <c r="AO99" i="7" s="1"/>
  <c r="AP99" i="7" s="1"/>
  <c r="AQ99" i="7" s="1"/>
  <c r="AR99" i="7" s="1"/>
  <c r="AS99" i="7" s="1"/>
  <c r="AT99" i="7" s="1"/>
  <c r="AU99" i="7" s="1"/>
  <c r="AV99" i="7" s="1"/>
  <c r="AW99" i="7" s="1"/>
  <c r="AX99" i="7" s="1"/>
  <c r="AY99" i="7" s="1"/>
  <c r="CD102" i="7"/>
  <c r="BW102" i="7"/>
  <c r="BX102" i="7" s="1"/>
  <c r="AA95" i="7"/>
  <c r="CA99" i="7"/>
  <c r="CC102" i="7"/>
  <c r="CE102" i="7" s="1"/>
  <c r="AC98" i="7"/>
  <c r="AB95" i="7"/>
  <c r="AB112" i="7" s="1"/>
  <c r="AC100" i="7"/>
  <c r="AN101" i="7"/>
  <c r="AO101" i="7" s="1"/>
  <c r="AP101" i="7" s="1"/>
  <c r="AQ101" i="7" s="1"/>
  <c r="AR101" i="7" s="1"/>
  <c r="AS101" i="7" s="1"/>
  <c r="AT101" i="7" s="1"/>
  <c r="AU101" i="7" s="1"/>
  <c r="AV101" i="7" s="1"/>
  <c r="AW101" i="7" s="1"/>
  <c r="AX101" i="7" s="1"/>
  <c r="AY101" i="7" s="1"/>
  <c r="CF39" i="7"/>
  <c r="BX5" i="7"/>
  <c r="AE97" i="7"/>
  <c r="N111" i="7"/>
  <c r="N105" i="7"/>
  <c r="N110" i="7"/>
  <c r="N96" i="7"/>
  <c r="N95" i="7"/>
  <c r="N104" i="7"/>
  <c r="N109" i="7"/>
  <c r="M113" i="7"/>
  <c r="N53" i="7"/>
  <c r="N5" i="7"/>
  <c r="M54" i="5"/>
  <c r="BJ123" i="5"/>
  <c r="M48" i="5"/>
  <c r="M49" i="5" s="1"/>
  <c r="L55" i="5"/>
  <c r="BJ124" i="5"/>
  <c r="BJ125" i="5"/>
  <c r="K55" i="5"/>
  <c r="L53" i="5"/>
  <c r="M20" i="5"/>
  <c r="M21" i="5" s="1"/>
  <c r="K53" i="5"/>
  <c r="E53" i="5"/>
  <c r="M42" i="5"/>
  <c r="M43" i="5" s="1"/>
  <c r="A53" i="5"/>
  <c r="M13" i="5"/>
  <c r="M14" i="5" s="1"/>
  <c r="B55" i="5"/>
  <c r="M6" i="5"/>
  <c r="M7" i="5" s="1"/>
  <c r="AC96" i="7" l="1"/>
  <c r="CF102" i="7"/>
  <c r="AD100" i="7"/>
  <c r="AZ101" i="7"/>
  <c r="BA101" i="7" s="1"/>
  <c r="BB101" i="7" s="1"/>
  <c r="BC101" i="7" s="1"/>
  <c r="BD101" i="7" s="1"/>
  <c r="BE101" i="7" s="1"/>
  <c r="BF101" i="7" s="1"/>
  <c r="BG101" i="7" s="1"/>
  <c r="BH101" i="7" s="1"/>
  <c r="BI101" i="7" s="1"/>
  <c r="BJ101" i="7" s="1"/>
  <c r="BK101" i="7" s="1"/>
  <c r="AZ99" i="7"/>
  <c r="BA99" i="7" s="1"/>
  <c r="BB99" i="7" s="1"/>
  <c r="BC99" i="7" s="1"/>
  <c r="BD99" i="7" s="1"/>
  <c r="BE99" i="7" s="1"/>
  <c r="BF99" i="7" s="1"/>
  <c r="BG99" i="7" s="1"/>
  <c r="BH99" i="7" s="1"/>
  <c r="BI99" i="7" s="1"/>
  <c r="BJ99" i="7" s="1"/>
  <c r="BK99" i="7" s="1"/>
  <c r="CB101" i="7"/>
  <c r="AD98" i="7"/>
  <c r="AD96" i="7" s="1"/>
  <c r="AC95" i="7"/>
  <c r="AC112" i="7" s="1"/>
  <c r="AA112" i="7"/>
  <c r="CB99" i="7"/>
  <c r="R114" i="19"/>
  <c r="BZ112" i="7"/>
  <c r="AF97" i="7"/>
  <c r="CF35" i="7"/>
  <c r="M55" i="5"/>
  <c r="BJ126" i="5"/>
  <c r="M53" i="5"/>
  <c r="CC99" i="7" l="1"/>
  <c r="AE98" i="7"/>
  <c r="AD95" i="7"/>
  <c r="AD112" i="7" s="1"/>
  <c r="BL101" i="7"/>
  <c r="BM101" i="7" s="1"/>
  <c r="BN101" i="7" s="1"/>
  <c r="BO101" i="7" s="1"/>
  <c r="BP101" i="7" s="1"/>
  <c r="BQ101" i="7" s="1"/>
  <c r="BR101" i="7" s="1"/>
  <c r="BS101" i="7" s="1"/>
  <c r="BT101" i="7" s="1"/>
  <c r="BU101" i="7" s="1"/>
  <c r="BV101" i="7" s="1"/>
  <c r="BW101" i="7" s="1"/>
  <c r="BX101" i="7" s="1"/>
  <c r="AE100" i="7"/>
  <c r="AF100" i="7" s="1"/>
  <c r="AG100" i="7" s="1"/>
  <c r="AH100" i="7" s="1"/>
  <c r="AI100" i="7" s="1"/>
  <c r="AJ100" i="7" s="1"/>
  <c r="AK100" i="7" s="1"/>
  <c r="AL100" i="7" s="1"/>
  <c r="AM100" i="7" s="1"/>
  <c r="BL99" i="7"/>
  <c r="BM99" i="7" s="1"/>
  <c r="BN99" i="7" s="1"/>
  <c r="BO99" i="7" s="1"/>
  <c r="BP99" i="7" s="1"/>
  <c r="BW99" i="7" s="1"/>
  <c r="CC101" i="7"/>
  <c r="CF5" i="7"/>
  <c r="K5" i="12"/>
  <c r="M56" i="5"/>
  <c r="AG97" i="7"/>
  <c r="O5" i="1"/>
  <c r="BX99" i="7" l="1"/>
  <c r="AE96" i="7"/>
  <c r="CD101" i="7"/>
  <c r="CE101" i="7" s="1"/>
  <c r="CF101" i="7" s="1"/>
  <c r="CD99" i="7"/>
  <c r="CE99" i="7" s="1"/>
  <c r="CF99" i="7" s="1"/>
  <c r="AF98" i="7"/>
  <c r="AF96" i="7" s="1"/>
  <c r="AN100" i="7"/>
  <c r="AO100" i="7" s="1"/>
  <c r="AP100" i="7" s="1"/>
  <c r="AQ100" i="7" s="1"/>
  <c r="AR100" i="7" s="1"/>
  <c r="AS100" i="7" s="1"/>
  <c r="AT100" i="7" s="1"/>
  <c r="AU100" i="7" s="1"/>
  <c r="AV100" i="7" s="1"/>
  <c r="AW100" i="7" s="1"/>
  <c r="AX100" i="7" s="1"/>
  <c r="AY100" i="7" s="1"/>
  <c r="CA100" i="7"/>
  <c r="AH97" i="7"/>
  <c r="CB100" i="7" l="1"/>
  <c r="AE95" i="7"/>
  <c r="AZ100" i="7"/>
  <c r="BA100" i="7" s="1"/>
  <c r="BB100" i="7" s="1"/>
  <c r="BC100" i="7" s="1"/>
  <c r="BD100" i="7" s="1"/>
  <c r="BE100" i="7" s="1"/>
  <c r="BF100" i="7" s="1"/>
  <c r="BG100" i="7" s="1"/>
  <c r="BH100" i="7" s="1"/>
  <c r="BI100" i="7" s="1"/>
  <c r="BJ100" i="7" s="1"/>
  <c r="BK100" i="7" s="1"/>
  <c r="AG98" i="7"/>
  <c r="AG96" i="7" s="1"/>
  <c r="AF95" i="7"/>
  <c r="AF112" i="7" s="1"/>
  <c r="AI97" i="7"/>
  <c r="CD100" i="7" l="1"/>
  <c r="BW100" i="7"/>
  <c r="CC100" i="7"/>
  <c r="AH98" i="7"/>
  <c r="AH96" i="7" s="1"/>
  <c r="AG95" i="7"/>
  <c r="AG112" i="7" s="1"/>
  <c r="AE112" i="7"/>
  <c r="AJ97" i="7"/>
  <c r="CE100" i="7" l="1"/>
  <c r="CF100" i="7" s="1"/>
  <c r="BX100" i="7"/>
  <c r="AI98" i="7"/>
  <c r="AI96" i="7" s="1"/>
  <c r="AH95" i="7"/>
  <c r="AH112" i="7" s="1"/>
  <c r="AK97" i="7"/>
  <c r="AJ98" i="7" l="1"/>
  <c r="AJ96" i="7" s="1"/>
  <c r="AI95" i="7"/>
  <c r="AL97" i="7"/>
  <c r="CA97" i="7" l="1"/>
  <c r="AK98" i="7"/>
  <c r="AK96" i="7" s="1"/>
  <c r="AJ95" i="7"/>
  <c r="AJ112" i="7" s="1"/>
  <c r="AI112" i="7"/>
  <c r="AM97" i="7"/>
  <c r="AL98" i="7" l="1"/>
  <c r="AL96" i="7" s="1"/>
  <c r="AK95" i="7"/>
  <c r="AK112" i="7" s="1"/>
  <c r="AN97" i="7"/>
  <c r="AM98" i="7" l="1"/>
  <c r="AM96" i="7" s="1"/>
  <c r="CA98" i="7"/>
  <c r="CA96" i="7" s="1"/>
  <c r="AO97" i="7"/>
  <c r="AL95" i="7" l="1"/>
  <c r="AN98" i="7"/>
  <c r="AN96" i="7" s="1"/>
  <c r="AP97" i="7"/>
  <c r="AO98" i="7" l="1"/>
  <c r="AO96" i="7" s="1"/>
  <c r="AN95" i="7"/>
  <c r="AN112" i="7" s="1"/>
  <c r="AM95" i="7"/>
  <c r="AL112" i="7"/>
  <c r="CA112" i="7" s="1"/>
  <c r="CA95" i="7"/>
  <c r="G7" i="12" s="1"/>
  <c r="G10" i="12" s="1"/>
  <c r="AQ97" i="7"/>
  <c r="AM112" i="7" l="1"/>
  <c r="AP98" i="7"/>
  <c r="AP96" i="7" s="1"/>
  <c r="AR97" i="7"/>
  <c r="AO95" i="7" l="1"/>
  <c r="AQ98" i="7"/>
  <c r="AQ96" i="7" s="1"/>
  <c r="AP95" i="7"/>
  <c r="AP112" i="7" s="1"/>
  <c r="AS97" i="7"/>
  <c r="AR98" i="7" l="1"/>
  <c r="AR96" i="7" s="1"/>
  <c r="AO112" i="7"/>
  <c r="AT97" i="7"/>
  <c r="AQ95" i="7" l="1"/>
  <c r="AS98" i="7"/>
  <c r="AS96" i="7" s="1"/>
  <c r="AR95" i="7"/>
  <c r="AR112" i="7" s="1"/>
  <c r="AU97" i="7"/>
  <c r="AT98" i="7" l="1"/>
  <c r="AT96" i="7" s="1"/>
  <c r="AS95" i="7"/>
  <c r="AS112" i="7" s="1"/>
  <c r="AQ112" i="7"/>
  <c r="S81" i="19"/>
  <c r="AV97" i="7"/>
  <c r="AU98" i="7" l="1"/>
  <c r="AU96" i="7" s="1"/>
  <c r="AT95" i="7"/>
  <c r="AT112" i="7" s="1"/>
  <c r="S80" i="19"/>
  <c r="S55" i="19" s="1"/>
  <c r="AW97" i="7"/>
  <c r="AV98" i="7" l="1"/>
  <c r="AV96" i="7" s="1"/>
  <c r="AU95" i="7"/>
  <c r="AU112" i="7" s="1"/>
  <c r="AX97" i="7"/>
  <c r="CB97" i="7" l="1"/>
  <c r="AW98" i="7"/>
  <c r="AW96" i="7" s="1"/>
  <c r="AV95" i="7"/>
  <c r="AV112" i="7" s="1"/>
  <c r="AY97" i="7"/>
  <c r="AX98" i="7" l="1"/>
  <c r="AX96" i="7" s="1"/>
  <c r="AW95" i="7"/>
  <c r="AW112" i="7" s="1"/>
  <c r="AZ97" i="7"/>
  <c r="AY98" i="7" l="1"/>
  <c r="AY96" i="7" s="1"/>
  <c r="CB98" i="7"/>
  <c r="CB96" i="7" s="1"/>
  <c r="BA97" i="7"/>
  <c r="AX95" i="7" l="1"/>
  <c r="AZ98" i="7"/>
  <c r="AZ96" i="7" s="1"/>
  <c r="S99" i="19"/>
  <c r="BB97" i="7"/>
  <c r="AY95" i="7" l="1"/>
  <c r="AX112" i="7"/>
  <c r="CB112" i="7" s="1"/>
  <c r="CB95" i="7"/>
  <c r="H7" i="12" s="1"/>
  <c r="H10" i="12" s="1"/>
  <c r="BA98" i="7"/>
  <c r="BA96" i="7" s="1"/>
  <c r="AZ95" i="7"/>
  <c r="AZ112" i="7" s="1"/>
  <c r="S98" i="19"/>
  <c r="BC97" i="7"/>
  <c r="BB98" i="7" l="1"/>
  <c r="BB96" i="7" s="1"/>
  <c r="BA95" i="7"/>
  <c r="BA112" i="7" s="1"/>
  <c r="AY112" i="7"/>
  <c r="S97" i="19"/>
  <c r="BD97" i="7"/>
  <c r="BC98" i="7" l="1"/>
  <c r="BC96" i="7" s="1"/>
  <c r="BB95" i="7"/>
  <c r="S114" i="19"/>
  <c r="BE97" i="7"/>
  <c r="BB112" i="7" l="1"/>
  <c r="BD98" i="7"/>
  <c r="BD96" i="7" s="1"/>
  <c r="BF97" i="7"/>
  <c r="BE98" i="7" l="1"/>
  <c r="BE96" i="7" s="1"/>
  <c r="BD95" i="7"/>
  <c r="BD112" i="7" s="1"/>
  <c r="BC95" i="7"/>
  <c r="BG97" i="7"/>
  <c r="BC112" i="7" l="1"/>
  <c r="BF98" i="7"/>
  <c r="BF96" i="7" s="1"/>
  <c r="BE95" i="7"/>
  <c r="BE112" i="7" s="1"/>
  <c r="BH97" i="7"/>
  <c r="BG98" i="7" l="1"/>
  <c r="BG96" i="7" s="1"/>
  <c r="BF95" i="7"/>
  <c r="BF112" i="7" s="1"/>
  <c r="BI97" i="7"/>
  <c r="BH98" i="7" l="1"/>
  <c r="BH96" i="7" s="1"/>
  <c r="BG95" i="7"/>
  <c r="BG112" i="7" s="1"/>
  <c r="BJ97" i="7"/>
  <c r="CC97" i="7" l="1"/>
  <c r="BI98" i="7"/>
  <c r="BI96" i="7" s="1"/>
  <c r="BH95" i="7"/>
  <c r="BH112" i="7" s="1"/>
  <c r="BK97" i="7"/>
  <c r="BJ98" i="7" l="1"/>
  <c r="BJ96" i="7" s="1"/>
  <c r="BI95" i="7"/>
  <c r="BI112" i="7" s="1"/>
  <c r="BL97" i="7"/>
  <c r="BK98" i="7" l="1"/>
  <c r="BK96" i="7" s="1"/>
  <c r="CC98" i="7"/>
  <c r="CC96" i="7" s="1"/>
  <c r="BM97" i="7"/>
  <c r="BJ95" i="7" l="1"/>
  <c r="BL98" i="7"/>
  <c r="BL96" i="7" s="1"/>
  <c r="BN97" i="7"/>
  <c r="BK95" i="7" l="1"/>
  <c r="BM98" i="7"/>
  <c r="BM96" i="7" s="1"/>
  <c r="BL95" i="7"/>
  <c r="BL112" i="7" s="1"/>
  <c r="BJ112" i="7"/>
  <c r="CC112" i="7" s="1"/>
  <c r="CC95" i="7"/>
  <c r="I7" i="12" s="1"/>
  <c r="I10" i="12" s="1"/>
  <c r="BO97" i="7"/>
  <c r="BN98" i="7" l="1"/>
  <c r="BN96" i="7" s="1"/>
  <c r="BM95" i="7"/>
  <c r="BM112" i="7" s="1"/>
  <c r="BK112" i="7"/>
  <c r="BP97" i="7"/>
  <c r="BO98" i="7" l="1"/>
  <c r="BO96" i="7" s="1"/>
  <c r="BQ97" i="7"/>
  <c r="BN95" i="7" l="1"/>
  <c r="BP98" i="7"/>
  <c r="BP96" i="7" s="1"/>
  <c r="BO95" i="7"/>
  <c r="BO112" i="7" s="1"/>
  <c r="BR97" i="7"/>
  <c r="BQ98" i="7" l="1"/>
  <c r="BQ96" i="7" s="1"/>
  <c r="BN112" i="7"/>
  <c r="BS97" i="7"/>
  <c r="BP95" i="7" l="1"/>
  <c r="BR98" i="7"/>
  <c r="BR96" i="7" s="1"/>
  <c r="BQ95" i="7"/>
  <c r="BQ112" i="7" s="1"/>
  <c r="BT97" i="7"/>
  <c r="BS98" i="7" l="1"/>
  <c r="BS96" i="7" s="1"/>
  <c r="BR95" i="7"/>
  <c r="BR112" i="7" s="1"/>
  <c r="BP112" i="7"/>
  <c r="BU97" i="7"/>
  <c r="BV97" i="7" l="1"/>
  <c r="BT98" i="7"/>
  <c r="BT96" i="7" s="1"/>
  <c r="BS95" i="7"/>
  <c r="BS112" i="7" s="1"/>
  <c r="CD97" i="7" l="1"/>
  <c r="BU98" i="7"/>
  <c r="BU96" i="7" s="1"/>
  <c r="BT95" i="7"/>
  <c r="BT112" i="7" s="1"/>
  <c r="BW97" i="7"/>
  <c r="CF97" i="7" l="1"/>
  <c r="BX97" i="7"/>
  <c r="BV98" i="7"/>
  <c r="BV96" i="7" s="1"/>
  <c r="BU95" i="7"/>
  <c r="BU112" i="7" s="1"/>
  <c r="CE97" i="7"/>
  <c r="BW98" i="7" l="1"/>
  <c r="CD98" i="7"/>
  <c r="CF98" i="7" l="1"/>
  <c r="BX98" i="7"/>
  <c r="BW96" i="7"/>
  <c r="CE98" i="7"/>
  <c r="CE96" i="7" s="1"/>
  <c r="CE95" i="7" s="1"/>
  <c r="CD96" i="7"/>
  <c r="BV95" i="7"/>
  <c r="CF96" i="7" l="1"/>
  <c r="BX96" i="7"/>
  <c r="K7" i="12"/>
  <c r="CE112" i="7"/>
  <c r="BW95" i="7"/>
  <c r="BV112" i="7"/>
  <c r="CD112" i="7" s="1"/>
  <c r="CD95" i="7"/>
  <c r="J7" i="12" s="1"/>
  <c r="J10" i="12" s="1"/>
  <c r="K10" i="12" s="1"/>
  <c r="BX95" i="7" l="1"/>
  <c r="CF95" i="7"/>
  <c r="BW112" i="7"/>
  <c r="J12" i="12"/>
  <c r="G11" i="12"/>
  <c r="I11" i="12"/>
  <c r="I12" i="12"/>
  <c r="F11" i="12"/>
  <c r="F12" i="12"/>
  <c r="K12" i="12"/>
  <c r="K11" i="12" s="1"/>
  <c r="H11" i="12"/>
  <c r="H12" i="12"/>
  <c r="G12" i="12"/>
  <c r="J11" i="12"/>
  <c r="F77" i="9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BX112" i="7" l="1"/>
  <c r="CF112" i="7"/>
  <c r="F112" i="9"/>
  <c r="F113" i="9" s="1"/>
  <c r="F119" i="9" s="1"/>
  <c r="M104" i="1"/>
  <c r="M112" i="1" s="1"/>
  <c r="P95" i="1" l="1"/>
  <c r="P5" i="1"/>
  <c r="C8" i="12"/>
  <c r="P111" i="1"/>
  <c r="O112" i="1"/>
  <c r="P53" i="1"/>
  <c r="M114" i="1"/>
  <c r="O104" i="1"/>
  <c r="P104" i="1"/>
  <c r="C10" i="12" l="1"/>
  <c r="D8" i="12" s="1"/>
  <c r="D5" i="12" l="1"/>
  <c r="D9" i="12"/>
  <c r="D6" i="12"/>
  <c r="D10" i="12"/>
  <c r="D7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gc.rocio</author>
    <author>Usuario</author>
  </authors>
  <commentList>
    <comment ref="I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personas
m2
km
</t>
        </r>
      </text>
    </comment>
    <comment ref="K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mes
día
</t>
        </r>
      </text>
    </comment>
    <comment ref="G13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Equipamiento para:
1 Unidad central red
3 unidades regionales
60 unidades locales</t>
        </r>
      </text>
    </comment>
    <comment ref="G2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PUEDE SER 15</t>
        </r>
      </text>
    </comment>
    <comment ref="G31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Sistema de gestión de laboratorios operando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2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Red de laboratorios instalada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3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Cobertura de análisis de diagnósticos y control de vacunas incrementadas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41" authorId="0" shapeId="0" xr:uid="{00000000-0006-0000-0400-000008000000}">
      <text>
        <r>
          <rPr>
            <sz val="9"/>
            <color indexed="81"/>
            <rFont val="Tahoma"/>
            <family val="2"/>
          </rPr>
          <t>ver con que sistema va funcionar
incorporar una consultoría inicial</t>
        </r>
      </text>
    </comment>
    <comment ref="O41" authorId="0" shapeId="0" xr:uid="{00000000-0006-0000-0400-000009000000}">
      <text>
        <r>
          <rPr>
            <sz val="9"/>
            <color indexed="81"/>
            <rFont val="Tahoma"/>
            <family val="2"/>
          </rPr>
          <t>ver con que sistema va funcionar
incorporar una consultoría inicial</t>
        </r>
      </text>
    </comment>
    <comment ref="G52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incluye la creación de la Unidad de Gestión Ambiental 
USD 20.000</t>
        </r>
      </text>
    </comment>
    <comment ref="M80" authorId="1" shapeId="0" xr:uid="{00000000-0006-0000-0400-00000B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revisar con el IICA. Incluye 22.400 para gastos operativos de la APP</t>
        </r>
      </text>
    </comment>
    <comment ref="G89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Incluye. Módulo de SIGOR para Ganado Menor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gc.rocio</author>
  </authors>
  <commentList>
    <comment ref="I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 xml:space="preserve">personas
m2
km
</t>
        </r>
      </text>
    </comment>
    <comment ref="K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 xml:space="preserve">mes
día
</t>
        </r>
      </text>
    </comment>
  </commentList>
</comments>
</file>

<file path=xl/sharedStrings.xml><?xml version="1.0" encoding="utf-8"?>
<sst xmlns="http://schemas.openxmlformats.org/spreadsheetml/2006/main" count="2116" uniqueCount="756">
  <si>
    <t>Cantidad</t>
  </si>
  <si>
    <t>Total Gs.</t>
  </si>
  <si>
    <t>Tecnico en SIG - Coordinador Gral</t>
  </si>
  <si>
    <t>Tecnico en SIG - Supervisor en Gabinete</t>
  </si>
  <si>
    <t>Tecnico en SIG - Supervisor de Campo</t>
  </si>
  <si>
    <t>Tecnico en SIG - Coordinador de Campo</t>
  </si>
  <si>
    <t>Tecnicos en SIG - Gabinete</t>
  </si>
  <si>
    <t>Supervisores de Campo</t>
  </si>
  <si>
    <t>Viaticos - Tecnicos actualizadores de Campo</t>
  </si>
  <si>
    <t>Viaticos - Conductores de Vehiculos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</si>
  <si>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</si>
  <si>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</si>
  <si>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</si>
  <si>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</si>
  <si>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</si>
  <si>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</si>
  <si>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</si>
  <si>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</si>
  <si>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</si>
  <si>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</si>
  <si>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</si>
  <si>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</si>
  <si>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</si>
  <si>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</si>
  <si>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</si>
  <si>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</si>
  <si>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</si>
  <si>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</si>
  <si>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T1</t>
  </si>
  <si>
    <t>T2</t>
  </si>
  <si>
    <t>T3</t>
  </si>
  <si>
    <t>T4</t>
  </si>
  <si>
    <t>t1</t>
  </si>
  <si>
    <t>t2</t>
  </si>
  <si>
    <t>t3</t>
  </si>
  <si>
    <t>t4</t>
  </si>
  <si>
    <t>Tipo de cambio</t>
  </si>
  <si>
    <t>Local</t>
  </si>
  <si>
    <t>Catering</t>
  </si>
  <si>
    <t>Total</t>
  </si>
  <si>
    <t xml:space="preserve">D.C.E.A. / ASIGNACIONES COMPLEMENTARIAS </t>
  </si>
  <si>
    <t>REMUNERACION EXTRAORDINARIA</t>
  </si>
  <si>
    <t>PLAN FINANCIERO PRIMER 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</si>
  <si>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</si>
  <si>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</si>
  <si>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</si>
  <si>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</si>
  <si>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</si>
  <si>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</si>
  <si>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</si>
  <si>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</si>
  <si>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</t>
  </si>
  <si>
    <t>OCTUBRE</t>
  </si>
  <si>
    <t>NOV</t>
  </si>
  <si>
    <t>DIC</t>
  </si>
  <si>
    <t>Presupuesto</t>
  </si>
  <si>
    <t>PLAN FINANCIERO SEGUNDO AÑO</t>
  </si>
  <si>
    <t>PLAN FINANCIERO TERCERO, CUARTO Y QUINTO AÑO</t>
  </si>
  <si>
    <t>REMUNERACION ADICIONAL</t>
  </si>
  <si>
    <t>EDT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</si>
  <si>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</si>
  <si>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</si>
  <si>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</si>
  <si>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</si>
  <si>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</si>
  <si>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</si>
  <si>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</si>
  <si>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</si>
  <si>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</si>
  <si>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</si>
  <si>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</si>
  <si>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</si>
  <si>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</si>
  <si>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</si>
  <si>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</si>
  <si>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</si>
  <si>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</si>
  <si>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</si>
  <si>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</si>
  <si>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</si>
  <si>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</si>
  <si>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</si>
  <si>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</si>
  <si>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</si>
  <si>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</si>
  <si>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</si>
  <si>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</si>
  <si>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</si>
  <si>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</si>
  <si>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</si>
  <si>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</si>
  <si>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</si>
  <si>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</si>
  <si>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</si>
  <si>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</si>
  <si>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</si>
  <si>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</si>
  <si>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</si>
  <si>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</si>
  <si>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</si>
  <si>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</si>
  <si>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</si>
  <si>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AÑO 1</t>
  </si>
  <si>
    <t>AÑO 2</t>
  </si>
  <si>
    <t>AÑO 3</t>
  </si>
  <si>
    <t>AÑO 4</t>
  </si>
  <si>
    <t>AÑO 5</t>
  </si>
  <si>
    <t>Tiempo</t>
  </si>
  <si>
    <t>Unidad de Medida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</si>
  <si>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</si>
  <si>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</si>
  <si>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</si>
  <si>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</si>
  <si>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</si>
  <si>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</si>
  <si>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</si>
  <si>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</si>
  <si>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</si>
  <si>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</si>
  <si>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</si>
  <si>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</si>
  <si>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Observación:  calculo establecido sobre la base del mayor salario de Jefes de Departamentos (Gs. 6.900.000) x una carga mensual de 32 horas, para un total de 30 personas</t>
  </si>
  <si>
    <t>Total USD.</t>
  </si>
  <si>
    <t>Tipo</t>
  </si>
  <si>
    <t>Modalidad</t>
  </si>
  <si>
    <t>Comp 1</t>
  </si>
  <si>
    <t>PLAN FINANCIERO PRIMER Y SEGUNDO AÑO</t>
  </si>
  <si>
    <t xml:space="preserve"> </t>
  </si>
  <si>
    <t>Observación:  calculo establecido sobre la base del mayor salario de Jefes de Departamentos (Gs. 6.900.000) x una carga mensual de 32 horas, para un total de 10 personas por año.</t>
  </si>
  <si>
    <t>Observación:  calculo establecido sobre la base del mayor salario de Jefes de Departamentos (Gs. 6.900.000) x una carga mensual de 32 horas, para un total de 15 personas</t>
  </si>
  <si>
    <t>Salario Base</t>
  </si>
  <si>
    <t>DCEA</t>
  </si>
  <si>
    <t>OG</t>
  </si>
  <si>
    <t>GRATIFICACION POR SERVICIOS ESPECIALES (PRIMERO Y SEGUNDO AÑO)</t>
  </si>
  <si>
    <t>GRATIFICACION POR SERVICIOS ESPECIALES  (TERCERO, CUARTO Y QUINTO)</t>
  </si>
  <si>
    <t>PERSONAL QUE REALIZARA TAREAS ADICIONALES Y COBRARAN RE. (PRIMERO Y SEGUNDO AÑO).</t>
  </si>
  <si>
    <t xml:space="preserve">Dirección </t>
  </si>
  <si>
    <t>Cantidad a ser vinculada</t>
  </si>
  <si>
    <t>Cargo</t>
  </si>
  <si>
    <t>Dedicación al proyecto</t>
  </si>
  <si>
    <t>Función</t>
  </si>
  <si>
    <t>Plazo a comisionar</t>
  </si>
  <si>
    <t>Objeto de gasto</t>
  </si>
  <si>
    <t>Valor diario</t>
  </si>
  <si>
    <t>Monto</t>
  </si>
  <si>
    <t>Coordinador Cartografia</t>
  </si>
  <si>
    <t>Experiencia en operativos censales en el área de cartografía</t>
  </si>
  <si>
    <t>DGEEC Y OTRAS INSTITUCIONES</t>
  </si>
  <si>
    <t>Supervisor Cartografía</t>
  </si>
  <si>
    <t>Auxiliar de cartografia</t>
  </si>
  <si>
    <t>Experiencia en manejo de cartografia digital</t>
  </si>
  <si>
    <t>123 / 145</t>
  </si>
  <si>
    <t>Coordinador Censos</t>
  </si>
  <si>
    <t>Experiencias en operativo de censos y gestión de personal</t>
  </si>
  <si>
    <t>Sub coordinador de bloques</t>
  </si>
  <si>
    <t>DCEA y MAG</t>
  </si>
  <si>
    <t>Auxiliar para  Censo</t>
  </si>
  <si>
    <t>Experiencia en actividades inherentes al censo</t>
  </si>
  <si>
    <t>Coordinador Administrativo</t>
  </si>
  <si>
    <t>Experiencia en área de administración</t>
  </si>
  <si>
    <t>DCEA Administración</t>
  </si>
  <si>
    <t>Auxiliar administrativo</t>
  </si>
  <si>
    <t xml:space="preserve">DCEA </t>
  </si>
  <si>
    <t>Coordinador Informatico</t>
  </si>
  <si>
    <t>Experiencia área de informática</t>
  </si>
  <si>
    <t>DCEA Informática.</t>
  </si>
  <si>
    <t>Auxiliar informático</t>
  </si>
  <si>
    <t>Auxiliar Estadística</t>
  </si>
  <si>
    <t>Experiencia análisis de datos</t>
  </si>
  <si>
    <t>PERSONAL QUE REALIZARA TAREAS ADICIONALES Y COBRARAN RE (TERCERO, CUARTO Y QUINTO AÑO).</t>
  </si>
  <si>
    <t>Auxiliar de cartografía</t>
  </si>
  <si>
    <t>Experiencias en actividades censales y encuestas</t>
  </si>
  <si>
    <t>Auxiliar de censos.</t>
  </si>
  <si>
    <t>Auxiliar informática</t>
  </si>
  <si>
    <t>PERSONAL QUE REALIZARA TAREAS ADICIONALES Y COBRARAN RA. (PRIMERO Y SEGUNDO AÑO).</t>
  </si>
  <si>
    <t>PERSONAL MIEMBRO QUE PRESTARÁ SERVICIO EN LA UTEP, GRATIFICACION ESPECIAL (PRIMERO Y SEGUNDO AÑO).</t>
  </si>
  <si>
    <t>DCEA Y OTRAS INSTITUC IONES</t>
  </si>
  <si>
    <t>COORDINADOR GENERAL</t>
  </si>
  <si>
    <t>Encargado gestion del proyecto</t>
  </si>
  <si>
    <t>AUXILIAR DE ADQUISICIONES</t>
  </si>
  <si>
    <t>Apoyo al proceso de adquisicion</t>
  </si>
  <si>
    <t>AUXILIAR DE FINANCIERO</t>
  </si>
  <si>
    <t>Apoyo gestión área financiera</t>
  </si>
  <si>
    <t>AUXILIAR DE PLANIFICACION</t>
  </si>
  <si>
    <t>Apoyo en planificación</t>
  </si>
  <si>
    <t>AUXILIAR DE ADMINISTRACION</t>
  </si>
  <si>
    <t>PERSONAL MIEMBRO QUE PRESTARÁ SERVICIO EN LA UTEP, GRATIFICACION ESPECIAL (TERCERO, CUARTO Y QUINTO AÑO).</t>
  </si>
  <si>
    <t>Adiconal</t>
  </si>
  <si>
    <t>Extrat</t>
  </si>
  <si>
    <t>Cuadro de Costo Detallado</t>
  </si>
  <si>
    <t>COMP.</t>
  </si>
  <si>
    <t>Desarrollo e instalación de un sistema informático para Gestión de Laboratorio.</t>
  </si>
  <si>
    <t>Creación de la Red de Laboratorios del SENACSA – DIGELAB. Capacitación de un profesional 30 días</t>
  </si>
  <si>
    <t>Obras</t>
  </si>
  <si>
    <t>Programa de modernización organizacional</t>
  </si>
  <si>
    <t>Administración y supervisión del programa</t>
  </si>
  <si>
    <t>Unidad Ejecutora</t>
  </si>
  <si>
    <t>Evaluaciones</t>
  </si>
  <si>
    <t>Auditoria Externa</t>
  </si>
  <si>
    <t>Imprevistos</t>
  </si>
  <si>
    <t>Evaluación Intermedia</t>
  </si>
  <si>
    <t>Evaluación Final</t>
  </si>
  <si>
    <t>Auditoria Externa del Programa</t>
  </si>
  <si>
    <t>Coordinador Componente 1</t>
  </si>
  <si>
    <t>Especialista en Planificación y Monitoreo</t>
  </si>
  <si>
    <t>Especialista en Adquisiciones y Contrataciones</t>
  </si>
  <si>
    <t>Especialista Financiero</t>
  </si>
  <si>
    <t>Componente 1 - Gestión del Riesgo Sanitario</t>
  </si>
  <si>
    <t>Coordinador General del Programa</t>
  </si>
  <si>
    <t>Control de Movimientos</t>
  </si>
  <si>
    <t>FC</t>
  </si>
  <si>
    <t>meses</t>
  </si>
  <si>
    <t>persona</t>
  </si>
  <si>
    <t>Incrementar controles de productos biológicos y producción de reactivos. Capacitación de dos profesionales de SENACSA</t>
  </si>
  <si>
    <t>Bienes</t>
  </si>
  <si>
    <t xml:space="preserve">mes </t>
  </si>
  <si>
    <t>semanas</t>
  </si>
  <si>
    <t>CI</t>
  </si>
  <si>
    <t>3CV</t>
  </si>
  <si>
    <t>SNC</t>
  </si>
  <si>
    <t>B</t>
  </si>
  <si>
    <t>CP</t>
  </si>
  <si>
    <t>SBE</t>
  </si>
  <si>
    <t>mes</t>
  </si>
  <si>
    <t>firma</t>
  </si>
  <si>
    <t>personas</t>
  </si>
  <si>
    <t>kits</t>
  </si>
  <si>
    <t>años</t>
  </si>
  <si>
    <t>Año 1</t>
  </si>
  <si>
    <t>Año 3</t>
  </si>
  <si>
    <t>Actividad</t>
  </si>
  <si>
    <t>Año 2</t>
  </si>
  <si>
    <t>Año 4</t>
  </si>
  <si>
    <t>Año 5</t>
  </si>
  <si>
    <t>Consultoría</t>
  </si>
  <si>
    <t>Vacunas</t>
  </si>
  <si>
    <t>Toma de muestra de hallazgos de matadero y envío a laboratorio</t>
  </si>
  <si>
    <t>Consultoría para elaborar la caracterización</t>
  </si>
  <si>
    <t>Seminario taller para caracterización</t>
  </si>
  <si>
    <t>Seminario</t>
  </si>
  <si>
    <t>Capacitaciones</t>
  </si>
  <si>
    <t>Años</t>
  </si>
  <si>
    <t>Anexo Plan de Segurización</t>
  </si>
  <si>
    <t>Licencia</t>
  </si>
  <si>
    <t>Meses</t>
  </si>
  <si>
    <t>Consultoría caracterización de riesgo vulnerabilidad</t>
  </si>
  <si>
    <t>Seminario taller de caracterización riesgo vulnerabilidad</t>
  </si>
  <si>
    <t>Formación Banco de vacunas de Fiebre aftosa</t>
  </si>
  <si>
    <t>Consultoría propuesta sistemas de información</t>
  </si>
  <si>
    <t>Taller de trabajo</t>
  </si>
  <si>
    <t>Simulacro</t>
  </si>
  <si>
    <t>Equipos</t>
  </si>
  <si>
    <t>Programa</t>
  </si>
  <si>
    <t>Seminario Taller caracterización de riesgo externo</t>
  </si>
  <si>
    <t>Consultoría proyecto Estación cuarentenaria y diseño puestos de control internacional</t>
  </si>
  <si>
    <t>Diseño para adecuación puestos de control interno</t>
  </si>
  <si>
    <t>Equipamientos puntos de ingreso y puestos de control</t>
  </si>
  <si>
    <t>Consultoría para establecimiento sistema de certificación de granjas bajo control oficial</t>
  </si>
  <si>
    <t>Operación del sistema de monitoreo con envío de muestras</t>
  </si>
  <si>
    <t>Taller</t>
  </si>
  <si>
    <t>Muestras</t>
  </si>
  <si>
    <t>Seminario taller sobre gestión de riesgo de IA y NC</t>
  </si>
  <si>
    <t>Elaboración plan de trabajo de asistencia</t>
  </si>
  <si>
    <t>Adquisición vacunas</t>
  </si>
  <si>
    <t>Adquisición de Antiparasitarios</t>
  </si>
  <si>
    <t>Distribución y aplicación</t>
  </si>
  <si>
    <t>Antiparasitarios</t>
  </si>
  <si>
    <t>Jornadas</t>
  </si>
  <si>
    <t>Expertos</t>
  </si>
  <si>
    <t>Contratación Expertos</t>
  </si>
  <si>
    <t>Realización Taller</t>
  </si>
  <si>
    <t>Unidades Regionales</t>
  </si>
  <si>
    <t>Unidades de Atención Zonal</t>
  </si>
  <si>
    <t>Puntos de Ingresos</t>
  </si>
  <si>
    <t>Controles Móviles</t>
  </si>
  <si>
    <t>sistema</t>
  </si>
  <si>
    <t xml:space="preserve">PROGRAMA DE GESTIÓN DEL RIESGO EN SANIDAD ANIMAL PR-L1148 </t>
  </si>
  <si>
    <t>C/U USD</t>
  </si>
  <si>
    <t>C/U Gs.</t>
  </si>
  <si>
    <t>|</t>
  </si>
  <si>
    <t>Evaluaciones y Auditoria Externas</t>
  </si>
  <si>
    <t>Mes
1</t>
  </si>
  <si>
    <t>Mes
2</t>
  </si>
  <si>
    <t>Mes
3</t>
  </si>
  <si>
    <t>Mes
4</t>
  </si>
  <si>
    <t>Mes
5</t>
  </si>
  <si>
    <t>Mes
6</t>
  </si>
  <si>
    <t>Mes
7</t>
  </si>
  <si>
    <t>Mes
8</t>
  </si>
  <si>
    <t>Mes
9</t>
  </si>
  <si>
    <t>Mes
10</t>
  </si>
  <si>
    <t>Mes
11</t>
  </si>
  <si>
    <t>Mes
12</t>
  </si>
  <si>
    <t>Mes
13</t>
  </si>
  <si>
    <t>Mes
14</t>
  </si>
  <si>
    <t>Mes
15</t>
  </si>
  <si>
    <t>Mes
16</t>
  </si>
  <si>
    <t>Mes
17</t>
  </si>
  <si>
    <t>Mes
18</t>
  </si>
  <si>
    <t>Mes
19</t>
  </si>
  <si>
    <t>Mes
20</t>
  </si>
  <si>
    <t>Mes
21</t>
  </si>
  <si>
    <t>Mes
22</t>
  </si>
  <si>
    <t>Mes
23</t>
  </si>
  <si>
    <t>Mes
24</t>
  </si>
  <si>
    <t>Mes
25</t>
  </si>
  <si>
    <t>Mes
26</t>
  </si>
  <si>
    <t>Mes
27</t>
  </si>
  <si>
    <t>Mes
28</t>
  </si>
  <si>
    <t>Mes
29</t>
  </si>
  <si>
    <t>Mes
30</t>
  </si>
  <si>
    <t>Mes
31</t>
  </si>
  <si>
    <t>Mes
32</t>
  </si>
  <si>
    <t>Mes
33</t>
  </si>
  <si>
    <t>Mes
34</t>
  </si>
  <si>
    <t>Mes
35</t>
  </si>
  <si>
    <t>Mes
36</t>
  </si>
  <si>
    <t>Mes
37</t>
  </si>
  <si>
    <t>Mes
38</t>
  </si>
  <si>
    <t>Mes
39</t>
  </si>
  <si>
    <t>Mes
40</t>
  </si>
  <si>
    <t>Mes
41</t>
  </si>
  <si>
    <t>Mes
42</t>
  </si>
  <si>
    <t>Mes
43</t>
  </si>
  <si>
    <t>Mes
44</t>
  </si>
  <si>
    <t>Mes
45</t>
  </si>
  <si>
    <t>Mes
46</t>
  </si>
  <si>
    <t>Mes
47</t>
  </si>
  <si>
    <t>Mes
48</t>
  </si>
  <si>
    <t>Mes
49</t>
  </si>
  <si>
    <t>Mes
50</t>
  </si>
  <si>
    <t>Mes
51</t>
  </si>
  <si>
    <t>Mes
52</t>
  </si>
  <si>
    <t>Mes
53</t>
  </si>
  <si>
    <t>Mes
54</t>
  </si>
  <si>
    <t>Mes
55</t>
  </si>
  <si>
    <t>Mes
56</t>
  </si>
  <si>
    <t>Mes
57</t>
  </si>
  <si>
    <t>Mes
58</t>
  </si>
  <si>
    <t>Mes
59</t>
  </si>
  <si>
    <t>Mes
60</t>
  </si>
  <si>
    <t>-</t>
  </si>
  <si>
    <t>TOTAL</t>
  </si>
  <si>
    <t>PLAN DE ADQUISICIONES GLOBAL</t>
  </si>
  <si>
    <t>(Expresado en USD.)</t>
  </si>
  <si>
    <t>Período comprendido:  Año 1 a Año 5</t>
  </si>
  <si>
    <t>INFORMACIÓN PARA CARGA INICIAL DEL PLAN DE ADQUISICIONES (EN CURSO Y/O ULTIMO PRESENTADO)</t>
  </si>
  <si>
    <t>OBRAS</t>
  </si>
  <si>
    <t>Unidad Ejecutora:</t>
  </si>
  <si>
    <t>Actividad: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</si>
  <si>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</si>
  <si>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</si>
  <si>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</si>
  <si>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</si>
  <si>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</si>
  <si>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</si>
  <si>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</si>
  <si>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</si>
  <si>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</si>
  <si>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</si>
  <si>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</si>
  <si>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</si>
  <si>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</si>
  <si>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TOTAL OBRAS</t>
  </si>
  <si>
    <t>BIENES</t>
  </si>
  <si>
    <t>Método de Adquisición
(Seleccionar una de las opciones):</t>
  </si>
  <si>
    <t>TOTAL BIENES</t>
  </si>
  <si>
    <t>SERVICIOS DE NO CONSULTORÍA</t>
  </si>
  <si>
    <t>Documento de Licitación</t>
  </si>
  <si>
    <t>TOTAL DE SERVICIOS DE NO CONSULTORIA</t>
  </si>
  <si>
    <t>CONSULTORÍAS FIRMAS</t>
  </si>
  <si>
    <t>Aviso de Expresiones de Interés</t>
  </si>
  <si>
    <t>TOTAL CONSULTORIAS FIRMAS</t>
  </si>
  <si>
    <t>CONSULTORÍAS INDIVIDUOS</t>
  </si>
  <si>
    <t>Cantidad Estimada de Consultores :</t>
  </si>
  <si>
    <t>No Objeción a los TDRs de la Actividad</t>
  </si>
  <si>
    <t>Firma Contrato</t>
  </si>
  <si>
    <t>Exante</t>
  </si>
  <si>
    <t>TOTAL CONSULTORIAS INDIVIDUALES</t>
  </si>
  <si>
    <t>CAPACITACIÓN</t>
  </si>
  <si>
    <t>Plan de Capacitación Anual (PCA)</t>
  </si>
  <si>
    <t>Fin de la Actividad</t>
  </si>
  <si>
    <t>TOTAL CAPACITACIÓN</t>
  </si>
  <si>
    <t>SUBPROYECTOS</t>
  </si>
  <si>
    <t>Objeto de la Transferencia:</t>
  </si>
  <si>
    <t>Cantidad Estimada de Subproyectos:</t>
  </si>
  <si>
    <t>Firma del Contrato / Convenio por Adjudicación de los Subproyectos</t>
  </si>
  <si>
    <t>Fecha de 
Transferencia</t>
  </si>
  <si>
    <t>TOTAL SUBPROYECTOS</t>
  </si>
  <si>
    <t>TOTAL DEL PLAN DE ADQUISICIONES</t>
  </si>
  <si>
    <t>TOTAL TRANSFERENCIAS</t>
  </si>
  <si>
    <t>TOTAL VIATICOS</t>
  </si>
  <si>
    <t>Viaticos y Gratificaciones</t>
  </si>
  <si>
    <t>TOTAL GRATIFICACIONES</t>
  </si>
  <si>
    <t>TOTAL IMPREVISTOS</t>
  </si>
  <si>
    <t>Diferencia</t>
  </si>
  <si>
    <t>PLAN DE ADQUISICIONES INICIAL</t>
  </si>
  <si>
    <t>Tipo Licitación</t>
  </si>
  <si>
    <t>Fecha Estimada</t>
  </si>
  <si>
    <t>Monto Estimado</t>
  </si>
  <si>
    <t>Servicios de no consultoría</t>
  </si>
  <si>
    <t>Firmas</t>
  </si>
  <si>
    <t>Individuos</t>
  </si>
  <si>
    <t>Subproyectos</t>
  </si>
  <si>
    <t>Total PA</t>
  </si>
  <si>
    <t xml:space="preserve">Total </t>
  </si>
  <si>
    <t>Imprevisto</t>
  </si>
  <si>
    <t>Acumulado</t>
  </si>
  <si>
    <t>Por año</t>
  </si>
  <si>
    <t>SBCC</t>
  </si>
  <si>
    <t>LPI</t>
  </si>
  <si>
    <t>SENACSA</t>
  </si>
  <si>
    <t>Modelado y rediseño de todos los procesos de negocio vinculados a las tramitaciones; revisión de costos y tiempos; diseño de indicadores y medición de línea de base y Plan de fortalecimiento de capacidades</t>
  </si>
  <si>
    <t>capacitaciones</t>
  </si>
  <si>
    <t>Planes Nacionales de desarrollo para ovinos, caprinos y suinos: convenio con IICA o similar</t>
  </si>
  <si>
    <t>Apoyo técnico a certificaciones</t>
  </si>
  <si>
    <t>Congresos anuales de ganado menor</t>
  </si>
  <si>
    <t>congresos</t>
  </si>
  <si>
    <t>Elaboración de Términos de referencia y borrador de contrato para firma</t>
  </si>
  <si>
    <t>Vigilancia de predios (revisación, toma de muestras, respuesta inmediata)</t>
  </si>
  <si>
    <t>Vigilancia de faena</t>
  </si>
  <si>
    <t>Elaboración de Términos de referencia y borrador de contrato para firmas: capac. Técnicos, capac. Productores</t>
  </si>
  <si>
    <t>Contratación firma consultora para capacitación de técnicos (90 tec. Oficiales, 90 privados, 90 acreditación)</t>
  </si>
  <si>
    <t>Contratación firma consultora para capacitación de productores (800 suinos y 800 en ovinos-caprinos)</t>
  </si>
  <si>
    <t>Adquisición de equipos</t>
  </si>
  <si>
    <t>Consultoría para establecimiento de la red (incluye diseño)</t>
  </si>
  <si>
    <t>Desarrollo de sistemas de gestión de información (incluye capacitación)</t>
  </si>
  <si>
    <t>Software</t>
  </si>
  <si>
    <t>Consultoría de caracterización de riesgo externo y perfeccionamiento de procedimientos de inspección, decomisos y comunicación a usuarios</t>
  </si>
  <si>
    <t xml:space="preserve">Diseño </t>
  </si>
  <si>
    <t>Seminario y  taller ( elaboración de procedimientos e instructivos) para adopción sistema</t>
  </si>
  <si>
    <t>reactivos</t>
  </si>
  <si>
    <t>Consultoría para gestión de riesgo y auto declaración de IA y NC(incluye taller)</t>
  </si>
  <si>
    <t>establecimientos</t>
  </si>
  <si>
    <t>años (desde el año 2)</t>
  </si>
  <si>
    <t>Consultoría para elaboración diagnóstico situación y elaboración de programa</t>
  </si>
  <si>
    <t>insumos</t>
  </si>
  <si>
    <t>Adquisición de equipamiento para DIGELAB.57 ítems</t>
  </si>
  <si>
    <t>ítem</t>
  </si>
  <si>
    <t>días</t>
  </si>
  <si>
    <t>depósitos</t>
  </si>
  <si>
    <t>Insumos de ejercicios de simulación</t>
  </si>
  <si>
    <t>Contratación de los servicios de saneamiento de establecimientos infectados</t>
  </si>
  <si>
    <t>vehículos de laboratorio</t>
  </si>
  <si>
    <t>día</t>
  </si>
  <si>
    <t>Diseño y desarrollo de nuevas prestaciones del SIGOR, plan de seguridad de sistemas y firma electrónica</t>
  </si>
  <si>
    <t>consultoría</t>
  </si>
  <si>
    <t>Evaluación de Impacto</t>
  </si>
  <si>
    <t>Unidades Locales</t>
  </si>
  <si>
    <t>cursos</t>
  </si>
  <si>
    <t>Desarrollo e implementación del sistema</t>
  </si>
  <si>
    <t>Diseño del SISA integrado</t>
  </si>
  <si>
    <t>Integración de información generadas en diferentes áreas para accesibilidad en tiempo real para la toma de decisiones</t>
  </si>
  <si>
    <t>Plan de mejora de los servicios vinculados a la apertura y habilitaciones de mercados.</t>
  </si>
  <si>
    <t xml:space="preserve">Infraestructura de comunicaciones y equipamiento de unidades zonales para mejorar la disponibilidad, previendo sistemas de redundancia. </t>
  </si>
  <si>
    <t>Adquisición de nuevas licencias de Bases de Datos</t>
  </si>
  <si>
    <t xml:space="preserve">Componente 2: Ampliación de los servicios </t>
  </si>
  <si>
    <t>C-1</t>
  </si>
  <si>
    <t>C-2</t>
  </si>
  <si>
    <t>E-A</t>
  </si>
  <si>
    <t>Imp</t>
  </si>
  <si>
    <t>A-S</t>
  </si>
  <si>
    <t>1.1</t>
  </si>
  <si>
    <t>2.2</t>
  </si>
  <si>
    <t>1.2</t>
  </si>
  <si>
    <t>1.9</t>
  </si>
  <si>
    <t>1.3</t>
  </si>
  <si>
    <t>1.4</t>
  </si>
  <si>
    <t>1.5</t>
  </si>
  <si>
    <t>1.6</t>
  </si>
  <si>
    <t>1.7</t>
  </si>
  <si>
    <t>1.8</t>
  </si>
  <si>
    <t>2.1</t>
  </si>
  <si>
    <t>2.3</t>
  </si>
  <si>
    <t>2.4</t>
  </si>
  <si>
    <t>3.1</t>
  </si>
  <si>
    <t>4.1</t>
  </si>
  <si>
    <t>4.2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</si>
  <si>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</si>
  <si>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</si>
  <si>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</si>
  <si>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</si>
  <si>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</si>
  <si>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</si>
  <si>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</si>
  <si>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</si>
  <si>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1.3.1</t>
  </si>
  <si>
    <t>1.3.2</t>
  </si>
  <si>
    <t>1.3.3</t>
  </si>
  <si>
    <t>1.3.4</t>
  </si>
  <si>
    <t>1.3.5</t>
  </si>
  <si>
    <t>1.4.1</t>
  </si>
  <si>
    <t>1.6.1</t>
  </si>
  <si>
    <t>1.7.1</t>
  </si>
  <si>
    <t>1.4.2</t>
  </si>
  <si>
    <t>1.4.3</t>
  </si>
  <si>
    <t>1.4.4</t>
  </si>
  <si>
    <t>1.4.5</t>
  </si>
  <si>
    <t>1.5.1</t>
  </si>
  <si>
    <t>1.5.2</t>
  </si>
  <si>
    <t>1.5.3</t>
  </si>
  <si>
    <t>1.5.4</t>
  </si>
  <si>
    <t>1.6.2</t>
  </si>
  <si>
    <t>1.6.3</t>
  </si>
  <si>
    <t>1.6.4</t>
  </si>
  <si>
    <t>1.7.2</t>
  </si>
  <si>
    <t>1.7.3</t>
  </si>
  <si>
    <t>1.7.4</t>
  </si>
  <si>
    <t>1.8.1</t>
  </si>
  <si>
    <t>1.8.2</t>
  </si>
  <si>
    <t>1.8.3</t>
  </si>
  <si>
    <t>1.9.1</t>
  </si>
  <si>
    <t>1.9.2</t>
  </si>
  <si>
    <t>2.1.1</t>
  </si>
  <si>
    <t>2.3.3</t>
  </si>
  <si>
    <t>2.2.2</t>
  </si>
  <si>
    <t>2.1.2</t>
  </si>
  <si>
    <t>2.1.3</t>
  </si>
  <si>
    <t>2.1.4</t>
  </si>
  <si>
    <t>2.1.5</t>
  </si>
  <si>
    <t>2.2.1</t>
  </si>
  <si>
    <t>Diseño y Difusión - Declaración Jurada y Planillas de Exist. y Trat. Sanitarios</t>
  </si>
  <si>
    <t>Análisis de datos - Declaración Jurada y Planillas de Exist. y Trat. Sanitarios</t>
  </si>
  <si>
    <t>2.2.3</t>
  </si>
  <si>
    <t>2.2.4</t>
  </si>
  <si>
    <t>2.2.5</t>
  </si>
  <si>
    <t>2.3.1</t>
  </si>
  <si>
    <t>2.3.2</t>
  </si>
  <si>
    <t>2.3.4</t>
  </si>
  <si>
    <t>2.4.1</t>
  </si>
  <si>
    <t>2.4.2</t>
  </si>
  <si>
    <t>2.4.3</t>
  </si>
  <si>
    <t>3.1.1</t>
  </si>
  <si>
    <t>4.1.1</t>
  </si>
  <si>
    <t>3.1.2</t>
  </si>
  <si>
    <t>3.1.4</t>
  </si>
  <si>
    <t>3.1.5</t>
  </si>
  <si>
    <t>3.1.6</t>
  </si>
  <si>
    <t>3.1.7</t>
  </si>
  <si>
    <t>4.1.2</t>
  </si>
  <si>
    <t>4.1.3</t>
  </si>
  <si>
    <t>4.2.1</t>
  </si>
  <si>
    <t>A-E</t>
  </si>
  <si>
    <t>SCC</t>
  </si>
  <si>
    <t>Especialista Socioambiental</t>
  </si>
  <si>
    <t>IMP</t>
  </si>
  <si>
    <t>O</t>
  </si>
  <si>
    <t>Instrumentar registro</t>
  </si>
  <si>
    <t>Talleres de sensibilización</t>
  </si>
  <si>
    <t>Plan de implementación</t>
  </si>
  <si>
    <t>1.4.6</t>
  </si>
  <si>
    <t>1.4.7</t>
  </si>
  <si>
    <t>1.6.5</t>
  </si>
  <si>
    <t>2.2.6</t>
  </si>
  <si>
    <t>M 1</t>
  </si>
  <si>
    <t>M 2</t>
  </si>
  <si>
    <t>M 3</t>
  </si>
  <si>
    <t>M 4</t>
  </si>
  <si>
    <t>M 5</t>
  </si>
  <si>
    <t>M 6</t>
  </si>
  <si>
    <t>M 7</t>
  </si>
  <si>
    <t>M 8</t>
  </si>
  <si>
    <t>M 9</t>
  </si>
  <si>
    <t>M 10</t>
  </si>
  <si>
    <t>M 11</t>
  </si>
  <si>
    <t>M 12</t>
  </si>
  <si>
    <t>M 13</t>
  </si>
  <si>
    <t>M 14</t>
  </si>
  <si>
    <t>M 15</t>
  </si>
  <si>
    <t>M 16</t>
  </si>
  <si>
    <t>M 17</t>
  </si>
  <si>
    <t>M 18</t>
  </si>
  <si>
    <t>M 19</t>
  </si>
  <si>
    <t>M 20</t>
  </si>
  <si>
    <t>M 21</t>
  </si>
  <si>
    <t>M 22</t>
  </si>
  <si>
    <t>M 23</t>
  </si>
  <si>
    <t>M 24</t>
  </si>
  <si>
    <t>M 25</t>
  </si>
  <si>
    <t>M 26</t>
  </si>
  <si>
    <t>M 27</t>
  </si>
  <si>
    <t>M 28</t>
  </si>
  <si>
    <t>M 29</t>
  </si>
  <si>
    <t>M 30</t>
  </si>
  <si>
    <t>M 31</t>
  </si>
  <si>
    <t>M 32</t>
  </si>
  <si>
    <t>M 33</t>
  </si>
  <si>
    <t>M 34</t>
  </si>
  <si>
    <t>M 35</t>
  </si>
  <si>
    <t>M 36</t>
  </si>
  <si>
    <t>M 37</t>
  </si>
  <si>
    <t>M 38</t>
  </si>
  <si>
    <t>M 39</t>
  </si>
  <si>
    <t>M 40</t>
  </si>
  <si>
    <t>M 41</t>
  </si>
  <si>
    <t>M 42</t>
  </si>
  <si>
    <t>M 43</t>
  </si>
  <si>
    <t>M 44</t>
  </si>
  <si>
    <t>M 45</t>
  </si>
  <si>
    <t>M 46</t>
  </si>
  <si>
    <t>M 47</t>
  </si>
  <si>
    <t>M 48</t>
  </si>
  <si>
    <t>M 49</t>
  </si>
  <si>
    <t>M 50</t>
  </si>
  <si>
    <t>M 51</t>
  </si>
  <si>
    <t>M 52</t>
  </si>
  <si>
    <t>M 53</t>
  </si>
  <si>
    <t>M 54</t>
  </si>
  <si>
    <t>M 55</t>
  </si>
  <si>
    <t>M 56</t>
  </si>
  <si>
    <t>M 57</t>
  </si>
  <si>
    <t>M 58</t>
  </si>
  <si>
    <t>M 59</t>
  </si>
  <si>
    <t>M 60</t>
  </si>
  <si>
    <t>Tra</t>
  </si>
  <si>
    <t>SD</t>
  </si>
  <si>
    <t>Equipo</t>
  </si>
  <si>
    <t>Mueb</t>
  </si>
  <si>
    <t>Vacun</t>
  </si>
  <si>
    <t>Vehi</t>
  </si>
  <si>
    <t>Mov Int</t>
  </si>
  <si>
    <t>Insumos</t>
  </si>
  <si>
    <t>Clasif</t>
  </si>
  <si>
    <t>lab</t>
  </si>
  <si>
    <t>Sistema</t>
  </si>
  <si>
    <t>Comp 1 y 2</t>
  </si>
  <si>
    <t>Edición y difusión de materiales</t>
  </si>
  <si>
    <t>Aud</t>
  </si>
  <si>
    <t>Eva</t>
  </si>
  <si>
    <t>Capac</t>
  </si>
  <si>
    <t>Fiscalización de obras</t>
  </si>
  <si>
    <t>Comp 2</t>
  </si>
  <si>
    <t>Eval y Auditoria</t>
  </si>
  <si>
    <t>Adminis y Superv</t>
  </si>
  <si>
    <t>Contratación de firma constructora para la construcción de obras para SENACSA</t>
  </si>
  <si>
    <t>Contratación de servicio de apoyo logístico para capacitaciones, talleres y seminarios</t>
  </si>
  <si>
    <t>TOTAL CAPACITACIONES</t>
  </si>
  <si>
    <t xml:space="preserve">Imprevistos </t>
  </si>
  <si>
    <t>T3 - Año 1</t>
  </si>
  <si>
    <t>T1 - Año 2</t>
  </si>
  <si>
    <t>Descripción adicional: Item EDT</t>
  </si>
  <si>
    <t>T2 - Año 2</t>
  </si>
  <si>
    <t>T1 - Año 3</t>
  </si>
  <si>
    <t>T1 - Año 4</t>
  </si>
  <si>
    <t>T2 - Año 3</t>
  </si>
  <si>
    <t>T2 - Año 4</t>
  </si>
  <si>
    <t>T1 - Año 5</t>
  </si>
  <si>
    <t>T2 - Año 1</t>
  </si>
  <si>
    <t>T4 - Año 4</t>
  </si>
  <si>
    <t>T3 - Año 2</t>
  </si>
  <si>
    <t>T2 - Año 5</t>
  </si>
  <si>
    <t>T4 - Año 3</t>
  </si>
  <si>
    <t>T3 - Año 3</t>
  </si>
  <si>
    <t>T4 - Año 2</t>
  </si>
  <si>
    <t>T4 - Año 1</t>
  </si>
  <si>
    <t>T3 - Año 5</t>
  </si>
  <si>
    <t>T1 - Año  2</t>
  </si>
  <si>
    <t>T 2 - Año 2</t>
  </si>
  <si>
    <t>n/a</t>
  </si>
  <si>
    <t>T1 - Año 1</t>
  </si>
  <si>
    <t>x Tiempo</t>
  </si>
  <si>
    <t>X Prod</t>
  </si>
  <si>
    <t>Obra</t>
  </si>
  <si>
    <t>Transf</t>
  </si>
  <si>
    <t>INDICE</t>
  </si>
  <si>
    <t>DETALLE</t>
  </si>
  <si>
    <t>OBSERVACIONES</t>
  </si>
  <si>
    <t>Estructura Desglosada de Trabajo</t>
  </si>
  <si>
    <t>Proyección de ejecución anual y acumulado</t>
  </si>
  <si>
    <t>CC Detallado</t>
  </si>
  <si>
    <t>Cronograma</t>
  </si>
  <si>
    <t>Cronograma del Programa</t>
  </si>
  <si>
    <t>PEP</t>
  </si>
  <si>
    <t>Plan de Ejecución del Proyecto</t>
  </si>
  <si>
    <t>Mensual y Anual</t>
  </si>
  <si>
    <t>PA</t>
  </si>
  <si>
    <t>Plan de Adquisiciones</t>
  </si>
  <si>
    <t>PAI</t>
  </si>
  <si>
    <t>Plan de Adquisición Inicial</t>
  </si>
  <si>
    <t xml:space="preserve">Técnicos para laboratorio </t>
  </si>
  <si>
    <t>Desarrollo de software para Trazabilidad</t>
  </si>
  <si>
    <t>funcionario SENACSA</t>
  </si>
  <si>
    <t>Equipamiento de depósitos de productos de emergencia</t>
  </si>
  <si>
    <t>Contratación de firma para de desarrollo de cursos (nivel estratégico, táctico, operativo)</t>
  </si>
  <si>
    <t>Consultoría para formulación de Planes Sanitarios</t>
  </si>
  <si>
    <t>Vacunación brucelosis caprina</t>
  </si>
  <si>
    <t>Coordinador Técnico</t>
  </si>
  <si>
    <t>Monitoreo seroepidemiológico Influenza Aviar y molecular para New Castle</t>
  </si>
  <si>
    <t>semana</t>
  </si>
  <si>
    <t>MDR</t>
  </si>
  <si>
    <t>Matriz de Resultado</t>
  </si>
  <si>
    <t>CC Gral</t>
  </si>
  <si>
    <t>Cuadro de Costo General</t>
  </si>
  <si>
    <t>POA año 1</t>
  </si>
  <si>
    <t>Plan Operativo Año 1</t>
  </si>
  <si>
    <t xml:space="preserve">CUADRO DE COSTO GLOBAL </t>
  </si>
  <si>
    <t>En millones de USD</t>
  </si>
  <si>
    <t>%</t>
  </si>
  <si>
    <t>Total por año en millones de USD</t>
  </si>
  <si>
    <t>PLAN OPERATIVO DEL AÑO 1 (POA - 1)</t>
  </si>
  <si>
    <t>Concepto</t>
  </si>
  <si>
    <t>Total Proyetco</t>
  </si>
  <si>
    <t>Meta año 1</t>
  </si>
  <si>
    <t>Medio de Verificación</t>
  </si>
  <si>
    <t>Responsable</t>
  </si>
  <si>
    <t>Contrato Firmado</t>
  </si>
  <si>
    <t>Coord. Comp. 1</t>
  </si>
  <si>
    <t>Inici de proceso licitatorio</t>
  </si>
  <si>
    <t>PBC elaborado</t>
  </si>
  <si>
    <t>Esp. Adquisiciones</t>
  </si>
  <si>
    <t xml:space="preserve">Contratación de Consultoria </t>
  </si>
  <si>
    <t>Coord. Comp. 2</t>
  </si>
  <si>
    <t>Coord. Gral.</t>
  </si>
  <si>
    <t>2.5</t>
  </si>
  <si>
    <t>2.5.1</t>
  </si>
  <si>
    <t>2.5.2</t>
  </si>
  <si>
    <t>2.5.3</t>
  </si>
  <si>
    <t>Inversiones para cubrir brecha de capacidades (capacitaciones al personal, contratación de técnicos, etc.)</t>
  </si>
  <si>
    <t>Kits y materiales (938 para ovinos, 4.583 de suinos, 730 de caprinos)</t>
  </si>
  <si>
    <t>2.3.5</t>
  </si>
  <si>
    <t>2.3.6</t>
  </si>
  <si>
    <t>2.3.7</t>
  </si>
  <si>
    <t>2.3.8</t>
  </si>
  <si>
    <t>2.3.9</t>
  </si>
  <si>
    <t>2.3.10</t>
  </si>
  <si>
    <t>2.4.4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</si>
  <si>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</si>
  <si>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</si>
  <si>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</si>
  <si>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</si>
  <si>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</si>
  <si>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</si>
  <si>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</si>
  <si>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</si>
  <si>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LPN</t>
  </si>
  <si>
    <t>Item EDT</t>
  </si>
  <si>
    <t>Fecha actualización</t>
  </si>
  <si>
    <t xml:space="preserve">Producto 1: SISA ampliado en su prestaciones e integrado a SIGOR </t>
  </si>
  <si>
    <t>Producto 4: Programa de mantenimiento de status libre de aftosa (Simulacros realizados)</t>
  </si>
  <si>
    <t>Producto 2: Unidad de vigilancia sanitaria implementada</t>
  </si>
  <si>
    <t>Producto 5: Laboratorio Nacional de SENACSA fortalecido y red de laboratorios funcionando</t>
  </si>
  <si>
    <t>Producto 6: Infraestructura edilicia mejorada e integrada a la red</t>
  </si>
  <si>
    <t>Producto 7: Sistema informático para gestión de trazabilidad individual implementado</t>
  </si>
  <si>
    <t>Producto 8: Programas de prevención, control y erradicación de brucelosis operando</t>
  </si>
  <si>
    <t>Producto 9: Personal estratégico capacitado para nuevo modelo de gestión de Senacsa</t>
  </si>
  <si>
    <t>Producto 10: Registros de stock ovinos y caprinos  señalados y control de movimientos funcionando</t>
  </si>
  <si>
    <t>Producto 11: Planes sanitarios con vigilancia epidemiológica implementados en ovinos, caprinos y porcinos</t>
  </si>
  <si>
    <t>Producto 12: Población de aves y cerdos bajo programas de vigilancia y certificación</t>
  </si>
  <si>
    <t xml:space="preserve">Producto 13:  APP de ganado menor operando </t>
  </si>
  <si>
    <t>Producto 14: Técnicos y productores capacitados en sanidad aplicada a ovinos, caprinos y porcinos</t>
  </si>
  <si>
    <t>Producto 15: Eficiencia en la prestación de servicios a usuarios mejorada</t>
  </si>
  <si>
    <t>Producto 3: Control en puntos de ingreso funcionando de
acuerdo a estándares internacionales.</t>
  </si>
  <si>
    <t>3.1.8</t>
  </si>
  <si>
    <t>Elaboración de SIGAS</t>
  </si>
  <si>
    <t>PROYECTO DE MEJORAMIENTO Y AMPLIACIÓN  DE LOS SERVICIOS DE SANIDAD ANIMAL EN PARAGUAY PR-L1148</t>
  </si>
  <si>
    <t xml:space="preserve">PROYECTO DE MEJORAMIENTO Y AMPLIACIÓN  DE LOS SERVICIOS DE SANIDAD ANIMAL EN PARAGUAY PR-L1148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</si>
</sst>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$_-;\-* #,##0.00\ _$_-;_-* &quot;-&quot;??\ _$_-;_-@_-"/>
    <numFmt numFmtId="165" formatCode="_-* #,##0\ _$_-;\-* #,##0\ _$_-;_-* &quot;-&quot;??\ _$_-;_-@_-"/>
    <numFmt numFmtId="166" formatCode="[$USD]\ #,##0.00"/>
    <numFmt numFmtId="167" formatCode="_(* #,##0_);_(* \(#,##0\);_(* &quot;-&quot;??_);_(@_)"/>
    <numFmt numFmtId="168" formatCode="dd/mm/yy;@"/>
    <numFmt numFmtId="169" formatCode="0.0%"/>
    <numFmt numFmtId="170" formatCode="_(* #,##0.00_);_(* \(#,##0.00\);_(* &quot;-&quot;_);_(@_)"/>
    <numFmt numFmtId="171" formatCode="_-* #,##0.000\ _$_-;\-* #,##0.000\ _$_-;_-* &quot;-&quot;??\ _$_-;_-@_-"/>
    <numFmt numFmtId="172" formatCode="dd\-mm\-yy;@"/>
  </numFmts>
  <fonts count="4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CC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Gadugi"/>
      <family val="2"/>
    </font>
    <font>
      <b/>
      <sz val="10"/>
      <color theme="0"/>
      <name val="Gadugi"/>
      <family val="2"/>
    </font>
    <font>
      <sz val="10"/>
      <color theme="0"/>
      <name val="Gadugi"/>
      <family val="2"/>
    </font>
    <font>
      <b/>
      <sz val="10"/>
      <name val="Gadugi"/>
      <family val="2"/>
    </font>
    <font>
      <sz val="10"/>
      <name val="Gadugi"/>
      <family val="2"/>
    </font>
    <font>
      <sz val="9"/>
      <color theme="1"/>
      <name val="Gadugi"/>
      <family val="2"/>
    </font>
    <font>
      <sz val="9"/>
      <name val="Gadugi"/>
      <family val="2"/>
    </font>
    <font>
      <b/>
      <sz val="9"/>
      <color theme="0"/>
      <name val="Gadugi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theme="1"/>
      <name val="Gadugi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Gadugi"/>
      <family val="2"/>
    </font>
    <font>
      <sz val="10"/>
      <color theme="0" tint="-0.249977111117893"/>
      <name val="Gadugi"/>
      <family val="2"/>
    </font>
    <font>
      <b/>
      <sz val="9"/>
      <color rgb="FFFFFFFF"/>
      <name val="Gadugi"/>
      <family val="2"/>
    </font>
    <font>
      <sz val="9"/>
      <color rgb="FFFFFFFF"/>
      <name val="Gadugi"/>
      <family val="2"/>
    </font>
    <font>
      <sz val="9"/>
      <color rgb="FF000000"/>
      <name val="Gadugi"/>
      <family val="2"/>
    </font>
    <font>
      <vertAlign val="superscript"/>
      <sz val="9"/>
      <color theme="1"/>
      <name val="Gadugi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Gadugi"/>
      <family val="2"/>
    </font>
    <font>
      <b/>
      <sz val="11"/>
      <color theme="0"/>
      <name val="Gadugi"/>
      <family val="2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rgb="FF0000CC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2" fillId="0" borderId="0"/>
    <xf numFmtId="166" fontId="9" fillId="0" borderId="0"/>
    <xf numFmtId="43" fontId="9" fillId="0" borderId="0" applyFont="0" applyFill="0" applyBorder="0" applyAlignment="0" applyProtection="0"/>
    <xf numFmtId="166" fontId="9" fillId="0" borderId="0"/>
    <xf numFmtId="166" fontId="9" fillId="0" borderId="0"/>
    <xf numFmtId="166" fontId="10" fillId="0" borderId="0"/>
    <xf numFmtId="41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0" fillId="0" borderId="0"/>
    <xf numFmtId="166" fontId="2" fillId="0" borderId="0"/>
    <xf numFmtId="44" fontId="21" fillId="0" borderId="0" applyFont="0" applyFill="0" applyBorder="0" applyAlignment="0" applyProtection="0"/>
    <xf numFmtId="166" fontId="2" fillId="0" borderId="0"/>
    <xf numFmtId="166" fontId="2" fillId="0" borderId="0"/>
    <xf numFmtId="0" fontId="36" fillId="0" borderId="0" applyNumberFormat="0" applyFill="0" applyBorder="0" applyAlignment="0" applyProtection="0"/>
  </cellStyleXfs>
  <cellXfs count="469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1" xfId="0" applyFont="1" applyBorder="1"/>
    <xf numFmtId="0" fontId="3" fillId="2" borderId="1" xfId="0" applyFont="1" applyFill="1" applyBorder="1"/>
    <xf numFmtId="41" fontId="6" fillId="3" borderId="0" xfId="2" applyNumberFormat="1" applyFont="1" applyFill="1" applyBorder="1" applyAlignment="1">
      <alignment vertical="center"/>
    </xf>
    <xf numFmtId="41" fontId="8" fillId="9" borderId="13" xfId="2" applyNumberFormat="1" applyFont="1" applyFill="1" applyBorder="1" applyAlignment="1">
      <alignment horizontal="center" vertical="center"/>
    </xf>
    <xf numFmtId="41" fontId="8" fillId="9" borderId="14" xfId="2" applyNumberFormat="1" applyFont="1" applyFill="1" applyBorder="1" applyAlignment="1">
      <alignment horizontal="center" vertical="center"/>
    </xf>
    <xf numFmtId="41" fontId="8" fillId="9" borderId="12" xfId="2" applyNumberFormat="1" applyFont="1" applyFill="1" applyBorder="1" applyAlignment="1">
      <alignment horizontal="center" vertical="center"/>
    </xf>
    <xf numFmtId="41" fontId="6" fillId="0" borderId="11" xfId="2" applyNumberFormat="1" applyFont="1" applyBorder="1" applyAlignment="1">
      <alignment horizontal="center" vertical="center" wrapText="1"/>
    </xf>
    <xf numFmtId="41" fontId="6" fillId="3" borderId="11" xfId="2" applyNumberFormat="1" applyFont="1" applyFill="1" applyBorder="1" applyAlignment="1">
      <alignment horizontal="center" vertical="center" wrapText="1"/>
    </xf>
    <xf numFmtId="41" fontId="8" fillId="7" borderId="11" xfId="2" applyNumberFormat="1" applyFont="1" applyFill="1" applyBorder="1" applyAlignment="1">
      <alignment horizontal="center" vertical="center" wrapText="1"/>
    </xf>
    <xf numFmtId="41" fontId="6" fillId="8" borderId="12" xfId="2" applyNumberFormat="1" applyFont="1" applyFill="1" applyBorder="1" applyAlignment="1">
      <alignment horizontal="center" vertical="center"/>
    </xf>
    <xf numFmtId="41" fontId="6" fillId="8" borderId="13" xfId="2" applyNumberFormat="1" applyFont="1" applyFill="1" applyBorder="1" applyAlignment="1">
      <alignment horizontal="center" vertical="center"/>
    </xf>
    <xf numFmtId="41" fontId="6" fillId="8" borderId="14" xfId="2" applyNumberFormat="1" applyFont="1" applyFill="1" applyBorder="1" applyAlignment="1">
      <alignment horizontal="center" vertical="center"/>
    </xf>
    <xf numFmtId="165" fontId="2" fillId="0" borderId="0" xfId="1" applyNumberFormat="1" applyFont="1"/>
    <xf numFmtId="0" fontId="5" fillId="0" borderId="3" xfId="0" applyFont="1" applyBorder="1" applyAlignment="1"/>
    <xf numFmtId="165" fontId="5" fillId="0" borderId="5" xfId="1" applyNumberFormat="1" applyFont="1" applyBorder="1" applyAlignment="1"/>
    <xf numFmtId="165" fontId="5" fillId="0" borderId="6" xfId="1" applyNumberFormat="1" applyFont="1" applyBorder="1" applyAlignment="1"/>
    <xf numFmtId="3" fontId="5" fillId="0" borderId="3" xfId="0" applyNumberFormat="1" applyFont="1" applyBorder="1" applyAlignment="1"/>
    <xf numFmtId="3" fontId="11" fillId="0" borderId="3" xfId="0" applyNumberFormat="1" applyFont="1" applyBorder="1" applyAlignment="1"/>
    <xf numFmtId="165" fontId="11" fillId="0" borderId="5" xfId="1" applyNumberFormat="1" applyFont="1" applyBorder="1" applyAlignment="1"/>
    <xf numFmtId="165" fontId="11" fillId="0" borderId="6" xfId="1" applyNumberFormat="1" applyFont="1" applyBorder="1" applyAlignment="1"/>
    <xf numFmtId="3" fontId="11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4" borderId="1" xfId="1" applyNumberFormat="1" applyFont="1" applyFill="1" applyBorder="1" applyAlignment="1">
      <alignment horizontal="center"/>
    </xf>
    <xf numFmtId="165" fontId="0" fillId="0" borderId="0" xfId="0" applyNumberFormat="1"/>
    <xf numFmtId="3" fontId="0" fillId="0" borderId="4" xfId="0" applyNumberFormat="1" applyBorder="1" applyAlignment="1"/>
    <xf numFmtId="165" fontId="2" fillId="0" borderId="7" xfId="1" applyNumberFormat="1" applyFont="1" applyBorder="1" applyAlignment="1"/>
    <xf numFmtId="165" fontId="2" fillId="0" borderId="8" xfId="1" applyNumberFormat="1" applyFont="1" applyBorder="1" applyAlignment="1"/>
    <xf numFmtId="3" fontId="0" fillId="0" borderId="2" xfId="0" applyNumberForma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5" fontId="2" fillId="0" borderId="9" xfId="1" applyNumberFormat="1" applyFont="1" applyBorder="1" applyAlignment="1">
      <alignment horizontal="center"/>
    </xf>
    <xf numFmtId="165" fontId="0" fillId="0" borderId="0" xfId="0" applyNumberFormat="1" applyFill="1"/>
    <xf numFmtId="0" fontId="0" fillId="0" borderId="2" xfId="0" applyBorder="1"/>
    <xf numFmtId="165" fontId="2" fillId="0" borderId="0" xfId="1" applyNumberFormat="1" applyFont="1" applyBorder="1"/>
    <xf numFmtId="165" fontId="2" fillId="0" borderId="9" xfId="1" applyNumberFormat="1" applyFont="1" applyBorder="1"/>
    <xf numFmtId="0" fontId="0" fillId="0" borderId="0" xfId="0" applyBorder="1"/>
    <xf numFmtId="0" fontId="0" fillId="0" borderId="9" xfId="0" applyBorder="1"/>
    <xf numFmtId="165" fontId="2" fillId="4" borderId="0" xfId="1" applyNumberFormat="1" applyFont="1" applyFill="1"/>
    <xf numFmtId="0" fontId="11" fillId="0" borderId="0" xfId="0" applyFont="1"/>
    <xf numFmtId="165" fontId="12" fillId="0" borderId="0" xfId="1" applyNumberFormat="1" applyFont="1"/>
    <xf numFmtId="165" fontId="2" fillId="0" borderId="0" xfId="1" applyNumberFormat="1" applyFont="1" applyAlignment="1">
      <alignment horizontal="center"/>
    </xf>
    <xf numFmtId="165" fontId="11" fillId="0" borderId="0" xfId="1" applyNumberFormat="1" applyFont="1"/>
    <xf numFmtId="0" fontId="3" fillId="0" borderId="0" xfId="0" applyFont="1" applyAlignment="1">
      <alignment vertical="top"/>
    </xf>
    <xf numFmtId="0" fontId="3" fillId="3" borderId="0" xfId="0" applyFont="1" applyFill="1" applyAlignment="1">
      <alignment vertical="top"/>
    </xf>
    <xf numFmtId="9" fontId="25" fillId="3" borderId="0" xfId="10" applyFont="1" applyFill="1" applyAlignment="1">
      <alignment horizontal="center" vertical="top"/>
    </xf>
    <xf numFmtId="0" fontId="26" fillId="3" borderId="0" xfId="0" applyFont="1" applyFill="1" applyAlignment="1">
      <alignment vertical="top"/>
    </xf>
    <xf numFmtId="0" fontId="26" fillId="0" borderId="0" xfId="0" applyFont="1" applyAlignment="1">
      <alignment vertical="top"/>
    </xf>
    <xf numFmtId="0" fontId="24" fillId="11" borderId="11" xfId="0" applyFont="1" applyFill="1" applyBorder="1" applyAlignment="1">
      <alignment horizontal="center" vertical="top" wrapText="1"/>
    </xf>
    <xf numFmtId="0" fontId="24" fillId="11" borderId="11" xfId="0" applyFont="1" applyFill="1" applyBorder="1" applyAlignment="1">
      <alignment vertical="top" wrapText="1"/>
    </xf>
    <xf numFmtId="0" fontId="24" fillId="11" borderId="11" xfId="0" applyFont="1" applyFill="1" applyBorder="1" applyAlignment="1">
      <alignment horizontal="center" vertical="top"/>
    </xf>
    <xf numFmtId="165" fontId="24" fillId="11" borderId="11" xfId="1" applyNumberFormat="1" applyFont="1" applyFill="1" applyBorder="1" applyAlignment="1">
      <alignment horizontal="left" vertical="top" wrapText="1"/>
    </xf>
    <xf numFmtId="165" fontId="24" fillId="11" borderId="11" xfId="1" applyNumberFormat="1" applyFont="1" applyFill="1" applyBorder="1" applyAlignment="1">
      <alignment horizontal="center" vertical="top"/>
    </xf>
    <xf numFmtId="9" fontId="24" fillId="3" borderId="0" xfId="10" applyFont="1" applyFill="1" applyAlignment="1">
      <alignment horizontal="center" vertical="top"/>
    </xf>
    <xf numFmtId="0" fontId="27" fillId="3" borderId="0" xfId="0" applyFont="1" applyFill="1" applyAlignment="1">
      <alignment vertical="top"/>
    </xf>
    <xf numFmtId="0" fontId="27" fillId="0" borderId="0" xfId="0" applyFont="1" applyAlignment="1">
      <alignment vertical="top"/>
    </xf>
    <xf numFmtId="0" fontId="27" fillId="6" borderId="11" xfId="0" applyFont="1" applyFill="1" applyBorder="1" applyAlignment="1">
      <alignment horizontal="center" vertical="top" wrapText="1"/>
    </xf>
    <xf numFmtId="0" fontId="24" fillId="6" borderId="11" xfId="0" applyFont="1" applyFill="1" applyBorder="1" applyAlignment="1">
      <alignment horizontal="center" vertical="top" wrapText="1"/>
    </xf>
    <xf numFmtId="0" fontId="24" fillId="6" borderId="11" xfId="0" applyFont="1" applyFill="1" applyBorder="1" applyAlignment="1">
      <alignment horizontal="left" vertical="top" wrapText="1"/>
    </xf>
    <xf numFmtId="3" fontId="27" fillId="6" borderId="11" xfId="0" applyNumberFormat="1" applyFont="1" applyFill="1" applyBorder="1" applyAlignment="1">
      <alignment horizontal="center" vertical="top"/>
    </xf>
    <xf numFmtId="9" fontId="28" fillId="3" borderId="0" xfId="10" applyFont="1" applyFill="1" applyAlignment="1">
      <alignment horizontal="center" vertical="top"/>
    </xf>
    <xf numFmtId="41" fontId="26" fillId="3" borderId="0" xfId="0" applyNumberFormat="1" applyFont="1" applyFill="1" applyAlignment="1">
      <alignment vertical="top"/>
    </xf>
    <xf numFmtId="0" fontId="25" fillId="3" borderId="0" xfId="0" applyFont="1" applyFill="1" applyAlignment="1">
      <alignment vertical="top"/>
    </xf>
    <xf numFmtId="0" fontId="25" fillId="0" borderId="0" xfId="0" applyFont="1" applyAlignment="1">
      <alignment vertical="top"/>
    </xf>
    <xf numFmtId="0" fontId="26" fillId="0" borderId="11" xfId="0" applyFont="1" applyBorder="1" applyAlignment="1">
      <alignment horizontal="right" vertical="top" wrapText="1"/>
    </xf>
    <xf numFmtId="3" fontId="26" fillId="0" borderId="11" xfId="0" applyNumberFormat="1" applyFont="1" applyBorder="1" applyAlignment="1">
      <alignment horizontal="center" vertical="top"/>
    </xf>
    <xf numFmtId="0" fontId="26" fillId="0" borderId="11" xfId="0" applyFont="1" applyBorder="1" applyAlignment="1">
      <alignment horizontal="center" vertical="top"/>
    </xf>
    <xf numFmtId="41" fontId="26" fillId="0" borderId="11" xfId="2" applyFont="1" applyBorder="1" applyAlignment="1">
      <alignment horizontal="right" vertical="top"/>
    </xf>
    <xf numFmtId="0" fontId="26" fillId="0" borderId="11" xfId="0" applyFont="1" applyBorder="1" applyAlignment="1">
      <alignment horizontal="center" vertical="top" wrapText="1"/>
    </xf>
    <xf numFmtId="0" fontId="26" fillId="3" borderId="11" xfId="0" applyFont="1" applyFill="1" applyBorder="1" applyAlignment="1">
      <alignment horizontal="center" vertical="top" wrapText="1"/>
    </xf>
    <xf numFmtId="3" fontId="26" fillId="0" borderId="11" xfId="0" applyNumberFormat="1" applyFont="1" applyBorder="1" applyAlignment="1">
      <alignment horizontal="center" vertical="top" wrapText="1"/>
    </xf>
    <xf numFmtId="0" fontId="26" fillId="3" borderId="11" xfId="0" applyFont="1" applyFill="1" applyBorder="1" applyAlignment="1">
      <alignment horizontal="right" vertical="top" wrapText="1"/>
    </xf>
    <xf numFmtId="3" fontId="26" fillId="3" borderId="11" xfId="0" applyNumberFormat="1" applyFont="1" applyFill="1" applyBorder="1" applyAlignment="1">
      <alignment horizontal="center" vertical="top"/>
    </xf>
    <xf numFmtId="9" fontId="26" fillId="3" borderId="0" xfId="10" applyFont="1" applyFill="1" applyAlignment="1">
      <alignment horizontal="center" vertical="top"/>
    </xf>
    <xf numFmtId="41" fontId="27" fillId="6" borderId="11" xfId="2" applyFont="1" applyFill="1" applyBorder="1" applyAlignment="1">
      <alignment horizontal="right" vertical="top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center" vertical="top"/>
    </xf>
    <xf numFmtId="165" fontId="26" fillId="0" borderId="0" xfId="1" applyNumberFormat="1" applyFont="1" applyAlignment="1">
      <alignment horizontal="right" vertical="top"/>
    </xf>
    <xf numFmtId="165" fontId="28" fillId="0" borderId="0" xfId="1" applyNumberFormat="1" applyFont="1" applyAlignment="1">
      <alignment horizontal="right" vertical="top"/>
    </xf>
    <xf numFmtId="41" fontId="3" fillId="0" borderId="0" xfId="2" applyFont="1" applyAlignment="1">
      <alignment vertical="top"/>
    </xf>
    <xf numFmtId="0" fontId="27" fillId="3" borderId="15" xfId="0" applyFont="1" applyFill="1" applyBorder="1" applyAlignment="1">
      <alignment horizontal="center" vertical="top" wrapText="1"/>
    </xf>
    <xf numFmtId="0" fontId="24" fillId="3" borderId="15" xfId="0" applyFont="1" applyFill="1" applyBorder="1" applyAlignment="1">
      <alignment horizontal="center" vertical="top" wrapText="1"/>
    </xf>
    <xf numFmtId="41" fontId="3" fillId="3" borderId="0" xfId="2" applyFont="1" applyFill="1" applyAlignment="1">
      <alignment vertical="top"/>
    </xf>
    <xf numFmtId="41" fontId="26" fillId="3" borderId="0" xfId="2" applyFont="1" applyFill="1" applyAlignment="1">
      <alignment vertical="top"/>
    </xf>
    <xf numFmtId="165" fontId="27" fillId="7" borderId="11" xfId="1" applyNumberFormat="1" applyFont="1" applyFill="1" applyBorder="1" applyAlignment="1">
      <alignment horizontal="right" vertical="top"/>
    </xf>
    <xf numFmtId="165" fontId="24" fillId="11" borderId="0" xfId="1" applyNumberFormat="1" applyFont="1" applyFill="1" applyBorder="1" applyAlignment="1">
      <alignment horizontal="center" vertical="top"/>
    </xf>
    <xf numFmtId="0" fontId="24" fillId="7" borderId="0" xfId="0" applyFont="1" applyFill="1" applyBorder="1" applyAlignment="1">
      <alignment horizontal="center" vertical="top" wrapText="1"/>
    </xf>
    <xf numFmtId="0" fontId="24" fillId="3" borderId="0" xfId="0" applyFont="1" applyFill="1" applyBorder="1" applyAlignment="1">
      <alignment horizontal="center" vertical="top" wrapText="1"/>
    </xf>
    <xf numFmtId="41" fontId="24" fillId="6" borderId="11" xfId="2" applyFont="1" applyFill="1" applyBorder="1" applyAlignment="1">
      <alignment horizontal="right" vertical="top"/>
    </xf>
    <xf numFmtId="41" fontId="26" fillId="14" borderId="11" xfId="2" applyFont="1" applyFill="1" applyBorder="1" applyAlignment="1">
      <alignment horizontal="right" vertical="top"/>
    </xf>
    <xf numFmtId="41" fontId="24" fillId="11" borderId="17" xfId="2" applyFont="1" applyFill="1" applyBorder="1" applyAlignment="1">
      <alignment horizontal="center" vertical="center" wrapText="1"/>
    </xf>
    <xf numFmtId="166" fontId="13" fillId="0" borderId="0" xfId="3" applyFont="1" applyAlignment="1">
      <alignment horizontal="center" vertical="center"/>
    </xf>
    <xf numFmtId="167" fontId="13" fillId="0" borderId="0" xfId="5" applyNumberFormat="1" applyFont="1" applyAlignment="1">
      <alignment horizontal="center" vertical="center"/>
    </xf>
    <xf numFmtId="168" fontId="13" fillId="0" borderId="0" xfId="3" applyNumberFormat="1" applyFont="1" applyAlignment="1">
      <alignment horizontal="center" vertical="center"/>
    </xf>
    <xf numFmtId="166" fontId="13" fillId="0" borderId="0" xfId="3" applyFont="1" applyAlignment="1">
      <alignment horizontal="left" vertical="center"/>
    </xf>
    <xf numFmtId="166" fontId="13" fillId="3" borderId="0" xfId="3" applyFont="1" applyFill="1" applyBorder="1" applyAlignment="1">
      <alignment horizontal="center" vertical="center"/>
    </xf>
    <xf numFmtId="166" fontId="29" fillId="0" borderId="0" xfId="4" applyFont="1" applyAlignment="1"/>
    <xf numFmtId="166" fontId="13" fillId="0" borderId="0" xfId="3" applyFont="1" applyAlignment="1">
      <alignment horizontal="left" vertical="center" wrapText="1"/>
    </xf>
    <xf numFmtId="166" fontId="17" fillId="0" borderId="2" xfId="6" applyFont="1" applyBorder="1" applyAlignment="1">
      <alignment vertical="center"/>
    </xf>
    <xf numFmtId="166" fontId="13" fillId="0" borderId="1" xfId="3" applyFont="1" applyFill="1" applyBorder="1" applyAlignment="1">
      <alignment horizontal="center" vertical="center"/>
    </xf>
    <xf numFmtId="166" fontId="13" fillId="3" borderId="0" xfId="3" applyFont="1" applyFill="1" applyAlignment="1">
      <alignment horizontal="center" vertical="center"/>
    </xf>
    <xf numFmtId="166" fontId="17" fillId="0" borderId="21" xfId="6" applyFont="1" applyFill="1" applyBorder="1" applyAlignment="1">
      <alignment horizontal="center" vertical="center" wrapText="1"/>
    </xf>
    <xf numFmtId="166" fontId="17" fillId="0" borderId="0" xfId="6" applyFont="1" applyFill="1" applyBorder="1" applyAlignment="1">
      <alignment horizontal="left" vertical="center" wrapText="1"/>
    </xf>
    <xf numFmtId="166" fontId="17" fillId="0" borderId="0" xfId="6" applyFont="1" applyFill="1" applyBorder="1" applyAlignment="1">
      <alignment horizontal="center" vertical="center" wrapText="1"/>
    </xf>
    <xf numFmtId="166" fontId="13" fillId="15" borderId="0" xfId="3" applyFont="1" applyFill="1" applyAlignment="1">
      <alignment horizontal="center" vertical="center"/>
    </xf>
    <xf numFmtId="166" fontId="17" fillId="0" borderId="7" xfId="6" applyFont="1" applyFill="1" applyBorder="1" applyAlignment="1">
      <alignment horizontal="center" vertical="center" wrapText="1"/>
    </xf>
    <xf numFmtId="166" fontId="17" fillId="0" borderId="0" xfId="3" applyFont="1" applyAlignment="1">
      <alignment horizontal="center" vertical="center"/>
    </xf>
    <xf numFmtId="166" fontId="17" fillId="0" borderId="0" xfId="3" applyFont="1" applyAlignment="1">
      <alignment horizontal="left" vertical="center" wrapText="1"/>
    </xf>
    <xf numFmtId="166" fontId="17" fillId="0" borderId="0" xfId="3" applyFont="1" applyAlignment="1">
      <alignment horizontal="left" vertical="center"/>
    </xf>
    <xf numFmtId="167" fontId="17" fillId="0" borderId="0" xfId="5" applyNumberFormat="1" applyFont="1" applyAlignment="1">
      <alignment horizontal="center" vertical="center"/>
    </xf>
    <xf numFmtId="168" fontId="17" fillId="0" borderId="0" xfId="3" applyNumberFormat="1" applyFont="1" applyAlignment="1">
      <alignment horizontal="center" vertical="center"/>
    </xf>
    <xf numFmtId="166" fontId="17" fillId="13" borderId="3" xfId="6" applyFont="1" applyFill="1" applyBorder="1" applyAlignment="1">
      <alignment horizontal="center" vertical="center" wrapText="1"/>
    </xf>
    <xf numFmtId="166" fontId="13" fillId="0" borderId="0" xfId="3" applyFont="1" applyFill="1" applyAlignment="1">
      <alignment horizontal="center" vertical="center"/>
    </xf>
    <xf numFmtId="167" fontId="17" fillId="13" borderId="22" xfId="6" applyNumberFormat="1" applyFont="1" applyFill="1" applyBorder="1" applyAlignment="1">
      <alignment vertical="center" wrapText="1"/>
    </xf>
    <xf numFmtId="169" fontId="13" fillId="0" borderId="0" xfId="10" applyNumberFormat="1" applyFont="1" applyAlignment="1">
      <alignment horizontal="center" vertical="center"/>
    </xf>
    <xf numFmtId="167" fontId="16" fillId="13" borderId="22" xfId="6" applyNumberFormat="1" applyFont="1" applyFill="1" applyBorder="1" applyAlignment="1">
      <alignment vertical="center" wrapText="1"/>
    </xf>
    <xf numFmtId="167" fontId="30" fillId="0" borderId="0" xfId="5" applyNumberFormat="1" applyFont="1" applyAlignment="1">
      <alignment horizontal="center" vertical="center"/>
    </xf>
    <xf numFmtId="167" fontId="19" fillId="0" borderId="0" xfId="5" applyNumberFormat="1" applyFont="1" applyAlignment="1">
      <alignment vertical="center"/>
    </xf>
    <xf numFmtId="166" fontId="18" fillId="0" borderId="0" xfId="12" applyFont="1" applyAlignment="1">
      <alignment vertical="center"/>
    </xf>
    <xf numFmtId="166" fontId="19" fillId="0" borderId="0" xfId="4" applyNumberFormat="1" applyFont="1" applyAlignment="1">
      <alignment horizontal="center" vertical="center"/>
    </xf>
    <xf numFmtId="166" fontId="19" fillId="0" borderId="0" xfId="4" applyNumberFormat="1" applyFont="1" applyAlignment="1">
      <alignment vertical="center"/>
    </xf>
    <xf numFmtId="166" fontId="31" fillId="16" borderId="17" xfId="4" applyNumberFormat="1" applyFont="1" applyFill="1" applyBorder="1" applyAlignment="1">
      <alignment horizontal="center" vertical="center" wrapText="1"/>
    </xf>
    <xf numFmtId="167" fontId="31" fillId="16" borderId="17" xfId="5" applyNumberFormat="1" applyFont="1" applyFill="1" applyBorder="1" applyAlignment="1">
      <alignment horizontal="center" vertical="center" wrapText="1"/>
    </xf>
    <xf numFmtId="166" fontId="23" fillId="0" borderId="0" xfId="12" applyFont="1" applyAlignment="1">
      <alignment vertical="center"/>
    </xf>
    <xf numFmtId="166" fontId="31" fillId="2" borderId="17" xfId="4" applyNumberFormat="1" applyFont="1" applyFill="1" applyBorder="1" applyAlignment="1">
      <alignment horizontal="center" vertical="center" wrapText="1"/>
    </xf>
    <xf numFmtId="166" fontId="32" fillId="2" borderId="17" xfId="4" applyNumberFormat="1" applyFont="1" applyFill="1" applyBorder="1" applyAlignment="1">
      <alignment horizontal="center" vertical="center" wrapText="1"/>
    </xf>
    <xf numFmtId="166" fontId="32" fillId="2" borderId="17" xfId="4" applyNumberFormat="1" applyFont="1" applyFill="1" applyBorder="1" applyAlignment="1">
      <alignment horizontal="justify" vertical="center" wrapText="1"/>
    </xf>
    <xf numFmtId="167" fontId="18" fillId="0" borderId="0" xfId="5" applyNumberFormat="1" applyFont="1" applyAlignment="1">
      <alignment vertical="center"/>
    </xf>
    <xf numFmtId="3" fontId="33" fillId="3" borderId="17" xfId="4" applyNumberFormat="1" applyFont="1" applyFill="1" applyBorder="1" applyAlignment="1">
      <alignment vertical="center" wrapText="1"/>
    </xf>
    <xf numFmtId="166" fontId="33" fillId="0" borderId="17" xfId="4" applyNumberFormat="1" applyFont="1" applyBorder="1" applyAlignment="1">
      <alignment horizontal="center" vertical="center" wrapText="1"/>
    </xf>
    <xf numFmtId="167" fontId="33" fillId="0" borderId="17" xfId="5" applyNumberFormat="1" applyFont="1" applyBorder="1" applyAlignment="1">
      <alignment horizontal="center" vertical="center" wrapText="1"/>
    </xf>
    <xf numFmtId="167" fontId="31" fillId="2" borderId="17" xfId="5" applyNumberFormat="1" applyFont="1" applyFill="1" applyBorder="1" applyAlignment="1">
      <alignment horizontal="center" vertical="center" wrapText="1"/>
    </xf>
    <xf numFmtId="166" fontId="18" fillId="0" borderId="17" xfId="4" applyNumberFormat="1" applyFont="1" applyBorder="1" applyAlignment="1">
      <alignment horizontal="center" vertical="center" wrapText="1"/>
    </xf>
    <xf numFmtId="3" fontId="33" fillId="0" borderId="17" xfId="4" applyNumberFormat="1" applyFont="1" applyBorder="1" applyAlignment="1">
      <alignment vertical="center" wrapText="1"/>
    </xf>
    <xf numFmtId="3" fontId="18" fillId="3" borderId="17" xfId="4" applyNumberFormat="1" applyFont="1" applyFill="1" applyBorder="1" applyAlignment="1">
      <alignment vertical="center" wrapText="1"/>
    </xf>
    <xf numFmtId="166" fontId="20" fillId="2" borderId="17" xfId="4" applyNumberFormat="1" applyFont="1" applyFill="1" applyBorder="1" applyAlignment="1">
      <alignment horizontal="justify" vertical="center" wrapText="1"/>
    </xf>
    <xf numFmtId="166" fontId="20" fillId="2" borderId="17" xfId="4" applyNumberFormat="1" applyFont="1" applyFill="1" applyBorder="1" applyAlignment="1">
      <alignment horizontal="center" vertical="center" wrapText="1"/>
    </xf>
    <xf numFmtId="167" fontId="18" fillId="3" borderId="0" xfId="5" applyNumberFormat="1" applyFont="1" applyFill="1" applyAlignment="1">
      <alignment vertical="center"/>
    </xf>
    <xf numFmtId="3" fontId="33" fillId="3" borderId="17" xfId="4" applyNumberFormat="1" applyFont="1" applyFill="1" applyBorder="1" applyAlignment="1">
      <alignment horizontal="justify" vertical="center" wrapText="1"/>
    </xf>
    <xf numFmtId="167" fontId="33" fillId="0" borderId="17" xfId="5" applyNumberFormat="1" applyFont="1" applyBorder="1" applyAlignment="1">
      <alignment horizontal="right" vertical="center" wrapText="1"/>
    </xf>
    <xf numFmtId="166" fontId="18" fillId="3" borderId="17" xfId="4" applyNumberFormat="1" applyFont="1" applyFill="1" applyBorder="1" applyAlignment="1">
      <alignment horizontal="center" vertical="center" wrapText="1"/>
    </xf>
    <xf numFmtId="167" fontId="33" fillId="3" borderId="17" xfId="5" applyNumberFormat="1" applyFont="1" applyFill="1" applyBorder="1" applyAlignment="1">
      <alignment vertical="center" wrapText="1"/>
    </xf>
    <xf numFmtId="166" fontId="18" fillId="3" borderId="0" xfId="12" applyFont="1" applyFill="1" applyAlignment="1">
      <alignment vertical="center"/>
    </xf>
    <xf numFmtId="3" fontId="33" fillId="3" borderId="0" xfId="4" applyNumberFormat="1" applyFont="1" applyFill="1" applyBorder="1" applyAlignment="1">
      <alignment vertical="center" wrapText="1"/>
    </xf>
    <xf numFmtId="166" fontId="18" fillId="0" borderId="0" xfId="4" applyNumberFormat="1" applyFont="1" applyBorder="1" applyAlignment="1">
      <alignment horizontal="center" vertical="center" wrapText="1"/>
    </xf>
    <xf numFmtId="167" fontId="33" fillId="3" borderId="0" xfId="5" applyNumberFormat="1" applyFont="1" applyFill="1" applyBorder="1" applyAlignment="1">
      <alignment vertical="center" wrapText="1"/>
    </xf>
    <xf numFmtId="166" fontId="34" fillId="0" borderId="0" xfId="4" applyNumberFormat="1" applyFont="1" applyAlignment="1">
      <alignment horizontal="justify" vertical="center"/>
    </xf>
    <xf numFmtId="0" fontId="3" fillId="0" borderId="0" xfId="0" applyFont="1" applyAlignment="1">
      <alignment vertical="center"/>
    </xf>
    <xf numFmtId="41" fontId="26" fillId="3" borderId="11" xfId="2" applyFont="1" applyFill="1" applyBorder="1" applyAlignment="1">
      <alignment horizontal="right" vertical="top"/>
    </xf>
    <xf numFmtId="41" fontId="26" fillId="3" borderId="11" xfId="2" applyFont="1" applyFill="1" applyBorder="1" applyAlignment="1">
      <alignment horizontal="center" vertical="top"/>
    </xf>
    <xf numFmtId="41" fontId="26" fillId="0" borderId="11" xfId="2" applyFont="1" applyBorder="1" applyAlignment="1">
      <alignment horizontal="center" vertical="top" wrapText="1"/>
    </xf>
    <xf numFmtId="41" fontId="26" fillId="3" borderId="11" xfId="2" applyFont="1" applyFill="1" applyBorder="1" applyAlignment="1">
      <alignment horizontal="center" vertical="top" wrapText="1"/>
    </xf>
    <xf numFmtId="41" fontId="24" fillId="3" borderId="15" xfId="2" applyFont="1" applyFill="1" applyBorder="1" applyAlignment="1">
      <alignment horizontal="center" vertical="top" wrapText="1"/>
    </xf>
    <xf numFmtId="41" fontId="24" fillId="11" borderId="11" xfId="2" applyFont="1" applyFill="1" applyBorder="1" applyAlignment="1">
      <alignment horizontal="center" vertical="top"/>
    </xf>
    <xf numFmtId="41" fontId="28" fillId="0" borderId="0" xfId="2" applyFont="1" applyAlignment="1">
      <alignment horizontal="right" vertical="top"/>
    </xf>
    <xf numFmtId="41" fontId="26" fillId="0" borderId="0" xfId="2" applyFont="1" applyAlignment="1">
      <alignment horizontal="right" vertical="top"/>
    </xf>
    <xf numFmtId="9" fontId="35" fillId="0" borderId="0" xfId="10" applyNumberFormat="1" applyFont="1" applyAlignment="1">
      <alignment horizontal="center"/>
    </xf>
    <xf numFmtId="0" fontId="3" fillId="0" borderId="0" xfId="0" applyFont="1"/>
    <xf numFmtId="0" fontId="3" fillId="3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165" fontId="3" fillId="0" borderId="0" xfId="1" applyNumberFormat="1" applyFont="1" applyAlignment="1">
      <alignment horizontal="right" vertical="center"/>
    </xf>
    <xf numFmtId="0" fontId="26" fillId="0" borderId="11" xfId="0" applyFont="1" applyBorder="1" applyAlignment="1">
      <alignment horizontal="left" vertical="top" wrapText="1" indent="2"/>
    </xf>
    <xf numFmtId="41" fontId="24" fillId="11" borderId="11" xfId="2" applyFont="1" applyFill="1" applyBorder="1" applyAlignment="1">
      <alignment horizontal="left" vertical="top" wrapText="1"/>
    </xf>
    <xf numFmtId="41" fontId="26" fillId="0" borderId="0" xfId="2" applyFont="1" applyAlignment="1">
      <alignment horizontal="right" vertical="top" wrapText="1"/>
    </xf>
    <xf numFmtId="0" fontId="24" fillId="3" borderId="16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24" fillId="11" borderId="1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0" fontId="3" fillId="0" borderId="0" xfId="10" applyNumberFormat="1" applyFont="1" applyAlignment="1">
      <alignment vertical="top"/>
    </xf>
    <xf numFmtId="10" fontId="3" fillId="3" borderId="0" xfId="10" applyNumberFormat="1" applyFont="1" applyFill="1" applyAlignment="1">
      <alignment vertical="top"/>
    </xf>
    <xf numFmtId="10" fontId="25" fillId="3" borderId="0" xfId="10" applyNumberFormat="1" applyFont="1" applyFill="1" applyAlignment="1">
      <alignment horizontal="center" vertical="top"/>
    </xf>
    <xf numFmtId="10" fontId="24" fillId="3" borderId="0" xfId="10" applyNumberFormat="1" applyFont="1" applyFill="1" applyAlignment="1">
      <alignment horizontal="center" vertical="top"/>
    </xf>
    <xf numFmtId="10" fontId="28" fillId="3" borderId="0" xfId="10" applyNumberFormat="1" applyFont="1" applyFill="1" applyAlignment="1">
      <alignment horizontal="center" vertical="top"/>
    </xf>
    <xf numFmtId="10" fontId="25" fillId="3" borderId="0" xfId="10" applyNumberFormat="1" applyFont="1" applyFill="1" applyAlignment="1">
      <alignment horizontal="left" vertical="top" indent="1"/>
    </xf>
    <xf numFmtId="0" fontId="26" fillId="3" borderId="0" xfId="0" applyFont="1" applyFill="1" applyAlignment="1">
      <alignment horizontal="left" vertical="top" indent="1"/>
    </xf>
    <xf numFmtId="0" fontId="26" fillId="0" borderId="0" xfId="0" applyFont="1" applyAlignment="1">
      <alignment horizontal="left" vertical="top" indent="1"/>
    </xf>
    <xf numFmtId="0" fontId="26" fillId="0" borderId="11" xfId="0" applyFont="1" applyBorder="1" applyAlignment="1">
      <alignment horizontal="left" vertical="top" indent="1"/>
    </xf>
    <xf numFmtId="41" fontId="26" fillId="0" borderId="11" xfId="2" applyFont="1" applyBorder="1" applyAlignment="1">
      <alignment horizontal="left" vertical="top" indent="1"/>
    </xf>
    <xf numFmtId="0" fontId="25" fillId="15" borderId="11" xfId="0" applyFont="1" applyFill="1" applyBorder="1" applyAlignment="1">
      <alignment horizontal="center" vertical="top" wrapText="1"/>
    </xf>
    <xf numFmtId="0" fontId="25" fillId="15" borderId="11" xfId="0" applyFont="1" applyFill="1" applyBorder="1" applyAlignment="1">
      <alignment horizontal="left" vertical="top" wrapText="1"/>
    </xf>
    <xf numFmtId="3" fontId="25" fillId="15" borderId="11" xfId="0" applyNumberFormat="1" applyFont="1" applyFill="1" applyBorder="1" applyAlignment="1">
      <alignment horizontal="center" vertical="top"/>
    </xf>
    <xf numFmtId="41" fontId="25" fillId="15" borderId="11" xfId="2" applyFont="1" applyFill="1" applyBorder="1" applyAlignment="1">
      <alignment horizontal="right" vertical="top"/>
    </xf>
    <xf numFmtId="0" fontId="26" fillId="15" borderId="11" xfId="0" applyFont="1" applyFill="1" applyBorder="1" applyAlignment="1">
      <alignment horizontal="center" vertical="top" wrapText="1"/>
    </xf>
    <xf numFmtId="0" fontId="25" fillId="15" borderId="11" xfId="0" applyFont="1" applyFill="1" applyBorder="1" applyAlignment="1">
      <alignment horizontal="right" vertical="top" wrapText="1"/>
    </xf>
    <xf numFmtId="0" fontId="26" fillId="15" borderId="11" xfId="0" applyFont="1" applyFill="1" applyBorder="1" applyAlignment="1">
      <alignment horizontal="right" vertical="top" wrapText="1"/>
    </xf>
    <xf numFmtId="0" fontId="26" fillId="14" borderId="11" xfId="0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right" vertical="top" wrapText="1"/>
    </xf>
    <xf numFmtId="0" fontId="27" fillId="6" borderId="11" xfId="0" applyFont="1" applyFill="1" applyBorder="1" applyAlignment="1">
      <alignment horizontal="right" vertical="top" wrapText="1"/>
    </xf>
    <xf numFmtId="41" fontId="27" fillId="3" borderId="11" xfId="2" applyFont="1" applyFill="1" applyBorder="1" applyAlignment="1">
      <alignment vertical="top"/>
    </xf>
    <xf numFmtId="41" fontId="26" fillId="3" borderId="11" xfId="2" applyFont="1" applyFill="1" applyBorder="1" applyAlignment="1">
      <alignment vertical="top"/>
    </xf>
    <xf numFmtId="41" fontId="26" fillId="5" borderId="11" xfId="2" applyFont="1" applyFill="1" applyBorder="1" applyAlignment="1">
      <alignment vertical="top"/>
    </xf>
    <xf numFmtId="41" fontId="26" fillId="12" borderId="11" xfId="2" applyFont="1" applyFill="1" applyBorder="1" applyAlignment="1">
      <alignment vertical="top"/>
    </xf>
    <xf numFmtId="41" fontId="27" fillId="5" borderId="11" xfId="2" applyFont="1" applyFill="1" applyBorder="1" applyAlignment="1">
      <alignment vertical="top"/>
    </xf>
    <xf numFmtId="41" fontId="27" fillId="12" borderId="11" xfId="2" applyFont="1" applyFill="1" applyBorder="1" applyAlignment="1">
      <alignment vertical="top"/>
    </xf>
    <xf numFmtId="41" fontId="26" fillId="0" borderId="11" xfId="2" applyFont="1" applyBorder="1" applyAlignment="1">
      <alignment vertical="top"/>
    </xf>
    <xf numFmtId="41" fontId="25" fillId="3" borderId="0" xfId="2" applyFont="1" applyFill="1" applyAlignment="1">
      <alignment vertical="top"/>
    </xf>
    <xf numFmtId="41" fontId="24" fillId="11" borderId="17" xfId="2" applyFont="1" applyFill="1" applyBorder="1" applyAlignment="1">
      <alignment horizontal="center" vertical="top" wrapText="1"/>
    </xf>
    <xf numFmtId="41" fontId="24" fillId="3" borderId="0" xfId="2" applyFont="1" applyFill="1" applyAlignment="1">
      <alignment vertical="top"/>
    </xf>
    <xf numFmtId="0" fontId="24" fillId="3" borderId="0" xfId="0" applyFont="1" applyFill="1" applyAlignment="1">
      <alignment vertical="top"/>
    </xf>
    <xf numFmtId="0" fontId="24" fillId="0" borderId="0" xfId="0" applyFont="1" applyAlignment="1">
      <alignment vertical="top"/>
    </xf>
    <xf numFmtId="0" fontId="26" fillId="3" borderId="11" xfId="0" applyFont="1" applyFill="1" applyBorder="1" applyAlignment="1">
      <alignment horizontal="left" vertical="top" wrapText="1" indent="2"/>
    </xf>
    <xf numFmtId="41" fontId="25" fillId="3" borderId="0" xfId="2" applyFont="1" applyFill="1" applyAlignment="1">
      <alignment horizontal="center" vertical="top"/>
    </xf>
    <xf numFmtId="170" fontId="26" fillId="0" borderId="11" xfId="2" applyNumberFormat="1" applyFont="1" applyBorder="1" applyAlignment="1">
      <alignment horizontal="left" vertical="top" indent="1"/>
    </xf>
    <xf numFmtId="41" fontId="25" fillId="3" borderId="11" xfId="2" applyFont="1" applyFill="1" applyBorder="1" applyAlignment="1">
      <alignment horizontal="right" vertical="top"/>
    </xf>
    <xf numFmtId="41" fontId="25" fillId="12" borderId="11" xfId="2" applyFont="1" applyFill="1" applyBorder="1" applyAlignment="1">
      <alignment horizontal="right" vertical="top"/>
    </xf>
    <xf numFmtId="166" fontId="17" fillId="0" borderId="11" xfId="6" applyFont="1" applyBorder="1" applyAlignment="1">
      <alignment horizontal="center" vertical="center"/>
    </xf>
    <xf numFmtId="166" fontId="17" fillId="3" borderId="11" xfId="6" applyFont="1" applyFill="1" applyBorder="1" applyAlignment="1">
      <alignment horizontal="center" vertical="center"/>
    </xf>
    <xf numFmtId="166" fontId="13" fillId="3" borderId="11" xfId="3" applyFont="1" applyFill="1" applyBorder="1" applyAlignment="1">
      <alignment horizontal="center" vertical="center"/>
    </xf>
    <xf numFmtId="166" fontId="13" fillId="0" borderId="11" xfId="3" applyFont="1" applyBorder="1" applyAlignment="1">
      <alignment horizontal="center" vertical="center"/>
    </xf>
    <xf numFmtId="166" fontId="16" fillId="15" borderId="11" xfId="6" applyFont="1" applyFill="1" applyBorder="1" applyAlignment="1">
      <alignment horizontal="center" vertical="center" wrapText="1"/>
    </xf>
    <xf numFmtId="168" fontId="16" fillId="15" borderId="11" xfId="6" applyNumberFormat="1" applyFont="1" applyFill="1" applyBorder="1" applyAlignment="1">
      <alignment horizontal="center" vertical="center" wrapText="1"/>
    </xf>
    <xf numFmtId="166" fontId="16" fillId="15" borderId="11" xfId="6" applyFont="1" applyFill="1" applyBorder="1" applyAlignment="1">
      <alignment horizontal="left" vertical="center" wrapText="1"/>
    </xf>
    <xf numFmtId="166" fontId="17" fillId="3" borderId="11" xfId="6" applyFont="1" applyFill="1" applyBorder="1" applyAlignment="1">
      <alignment horizontal="center" vertical="center" wrapText="1"/>
    </xf>
    <xf numFmtId="3" fontId="17" fillId="3" borderId="11" xfId="8" applyNumberFormat="1" applyFont="1" applyFill="1" applyBorder="1" applyAlignment="1">
      <alignment horizontal="left" vertical="center" wrapText="1"/>
    </xf>
    <xf numFmtId="167" fontId="17" fillId="0" borderId="11" xfId="5" applyNumberFormat="1" applyFont="1" applyFill="1" applyBorder="1" applyAlignment="1">
      <alignment horizontal="center" vertical="center" wrapText="1"/>
    </xf>
    <xf numFmtId="167" fontId="17" fillId="3" borderId="11" xfId="5" applyNumberFormat="1" applyFont="1" applyFill="1" applyBorder="1" applyAlignment="1">
      <alignment horizontal="center" vertical="center" wrapText="1"/>
    </xf>
    <xf numFmtId="37" fontId="17" fillId="0" borderId="11" xfId="9" applyNumberFormat="1" applyFont="1" applyBorder="1" applyAlignment="1">
      <alignment horizontal="center" vertical="center"/>
    </xf>
    <xf numFmtId="167" fontId="17" fillId="0" borderId="11" xfId="5" applyNumberFormat="1" applyFont="1" applyFill="1" applyBorder="1" applyAlignment="1">
      <alignment vertical="center" wrapText="1"/>
    </xf>
    <xf numFmtId="9" fontId="17" fillId="3" borderId="11" xfId="6" applyNumberFormat="1" applyFont="1" applyFill="1" applyBorder="1" applyAlignment="1">
      <alignment horizontal="center" vertical="center" wrapText="1"/>
    </xf>
    <xf numFmtId="9" fontId="17" fillId="3" borderId="11" xfId="10" applyFont="1" applyFill="1" applyBorder="1" applyAlignment="1">
      <alignment horizontal="center" vertical="center"/>
    </xf>
    <xf numFmtId="17" fontId="13" fillId="3" borderId="11" xfId="15" applyNumberFormat="1" applyFont="1" applyFill="1" applyBorder="1" applyAlignment="1">
      <alignment horizontal="center" vertical="center"/>
    </xf>
    <xf numFmtId="166" fontId="13" fillId="0" borderId="11" xfId="3" applyFont="1" applyBorder="1" applyAlignment="1">
      <alignment horizontal="left" vertical="center" wrapText="1"/>
    </xf>
    <xf numFmtId="166" fontId="13" fillId="0" borderId="11" xfId="3" applyFont="1" applyBorder="1" applyAlignment="1">
      <alignment horizontal="left" vertical="center"/>
    </xf>
    <xf numFmtId="168" fontId="13" fillId="0" borderId="11" xfId="3" applyNumberFormat="1" applyFont="1" applyBorder="1" applyAlignment="1">
      <alignment horizontal="center" vertical="center"/>
    </xf>
    <xf numFmtId="3" fontId="17" fillId="0" borderId="11" xfId="6" applyNumberFormat="1" applyFont="1" applyFill="1" applyBorder="1" applyAlignment="1">
      <alignment horizontal="center" vertical="center" wrapText="1"/>
    </xf>
    <xf numFmtId="167" fontId="16" fillId="13" borderId="11" xfId="6" applyNumberFormat="1" applyFont="1" applyFill="1" applyBorder="1" applyAlignment="1">
      <alignment horizontal="center" vertical="center" wrapText="1"/>
    </xf>
    <xf numFmtId="166" fontId="17" fillId="13" borderId="11" xfId="6" applyFont="1" applyFill="1" applyBorder="1" applyAlignment="1">
      <alignment horizontal="center" vertical="center" wrapText="1"/>
    </xf>
    <xf numFmtId="166" fontId="15" fillId="16" borderId="11" xfId="6" applyFont="1" applyFill="1" applyBorder="1" applyAlignment="1">
      <alignment vertical="center"/>
    </xf>
    <xf numFmtId="166" fontId="17" fillId="0" borderId="11" xfId="6" applyFont="1" applyFill="1" applyBorder="1" applyAlignment="1">
      <alignment horizontal="left" vertical="center" wrapText="1"/>
    </xf>
    <xf numFmtId="17" fontId="13" fillId="3" borderId="11" xfId="14" applyNumberFormat="1" applyFont="1" applyFill="1" applyBorder="1" applyAlignment="1">
      <alignment horizontal="center" vertical="center"/>
    </xf>
    <xf numFmtId="167" fontId="16" fillId="15" borderId="11" xfId="5" applyNumberFormat="1" applyFont="1" applyFill="1" applyBorder="1" applyAlignment="1">
      <alignment horizontal="center" vertical="center" wrapText="1"/>
    </xf>
    <xf numFmtId="167" fontId="17" fillId="3" borderId="11" xfId="5" applyNumberFormat="1" applyFont="1" applyFill="1" applyBorder="1" applyAlignment="1">
      <alignment vertical="center" wrapText="1"/>
    </xf>
    <xf numFmtId="166" fontId="17" fillId="3" borderId="11" xfId="6" applyFont="1" applyFill="1" applyBorder="1" applyAlignment="1">
      <alignment vertical="center" wrapText="1"/>
    </xf>
    <xf numFmtId="167" fontId="29" fillId="13" borderId="11" xfId="3" applyNumberFormat="1" applyFont="1" applyFill="1" applyBorder="1" applyAlignment="1">
      <alignment horizontal="left" vertical="center"/>
    </xf>
    <xf numFmtId="166" fontId="13" fillId="13" borderId="11" xfId="3" applyFont="1" applyFill="1" applyBorder="1" applyAlignment="1">
      <alignment horizontal="center" vertical="center"/>
    </xf>
    <xf numFmtId="167" fontId="17" fillId="3" borderId="11" xfId="5" applyNumberFormat="1" applyFont="1" applyFill="1" applyBorder="1" applyAlignment="1">
      <alignment vertical="center"/>
    </xf>
    <xf numFmtId="168" fontId="13" fillId="13" borderId="11" xfId="3" applyNumberFormat="1" applyFont="1" applyFill="1" applyBorder="1" applyAlignment="1">
      <alignment horizontal="center" vertical="center"/>
    </xf>
    <xf numFmtId="17" fontId="13" fillId="0" borderId="11" xfId="15" applyNumberFormat="1" applyFont="1" applyBorder="1" applyAlignment="1">
      <alignment horizontal="center" vertical="center"/>
    </xf>
    <xf numFmtId="167" fontId="29" fillId="13" borderId="11" xfId="3" applyNumberFormat="1" applyFont="1" applyFill="1" applyBorder="1" applyAlignment="1">
      <alignment horizontal="center" vertical="center"/>
    </xf>
    <xf numFmtId="166" fontId="17" fillId="3" borderId="11" xfId="6" applyFont="1" applyFill="1" applyBorder="1" applyAlignment="1">
      <alignment horizontal="left" vertical="center" wrapText="1"/>
    </xf>
    <xf numFmtId="166" fontId="17" fillId="3" borderId="11" xfId="6" applyFont="1" applyFill="1" applyBorder="1" applyAlignment="1">
      <alignment horizontal="center" vertical="center" wrapText="1"/>
    </xf>
    <xf numFmtId="37" fontId="17" fillId="0" borderId="26" xfId="9" applyNumberFormat="1" applyFont="1" applyBorder="1" applyAlignment="1">
      <alignment horizontal="center" vertical="center"/>
    </xf>
    <xf numFmtId="9" fontId="17" fillId="3" borderId="26" xfId="6" applyNumberFormat="1" applyFont="1" applyFill="1" applyBorder="1" applyAlignment="1">
      <alignment horizontal="center" vertical="center" wrapText="1"/>
    </xf>
    <xf numFmtId="9" fontId="17" fillId="3" borderId="26" xfId="10" applyFont="1" applyFill="1" applyBorder="1" applyAlignment="1">
      <alignment horizontal="center" vertical="center"/>
    </xf>
    <xf numFmtId="166" fontId="17" fillId="0" borderId="26" xfId="6" applyFont="1" applyBorder="1" applyAlignment="1">
      <alignment horizontal="center" vertical="center"/>
    </xf>
    <xf numFmtId="17" fontId="13" fillId="3" borderId="26" xfId="15" applyNumberFormat="1" applyFont="1" applyFill="1" applyBorder="1" applyAlignment="1">
      <alignment horizontal="center" vertical="center"/>
    </xf>
    <xf numFmtId="166" fontId="17" fillId="3" borderId="26" xfId="6" applyFont="1" applyFill="1" applyBorder="1" applyAlignment="1">
      <alignment horizontal="center" vertical="center" wrapText="1"/>
    </xf>
    <xf numFmtId="166" fontId="14" fillId="16" borderId="11" xfId="6" applyFont="1" applyFill="1" applyBorder="1" applyAlignment="1">
      <alignment vertical="center" wrapText="1"/>
    </xf>
    <xf numFmtId="166" fontId="17" fillId="0" borderId="11" xfId="6" applyFont="1" applyBorder="1" applyAlignment="1">
      <alignment horizontal="left" vertical="center" wrapText="1"/>
    </xf>
    <xf numFmtId="166" fontId="13" fillId="3" borderId="11" xfId="3" applyFont="1" applyFill="1" applyBorder="1" applyAlignment="1">
      <alignment horizontal="left" vertical="center"/>
    </xf>
    <xf numFmtId="166" fontId="17" fillId="0" borderId="11" xfId="6" applyFont="1" applyBorder="1" applyAlignment="1">
      <alignment horizontal="left" vertical="center"/>
    </xf>
    <xf numFmtId="166" fontId="17" fillId="13" borderId="11" xfId="6" applyFont="1" applyFill="1" applyBorder="1" applyAlignment="1">
      <alignment horizontal="left" vertical="center" wrapText="1"/>
    </xf>
    <xf numFmtId="166" fontId="14" fillId="16" borderId="11" xfId="6" applyFont="1" applyFill="1" applyBorder="1" applyAlignment="1">
      <alignment horizontal="left" vertical="center" wrapText="1"/>
    </xf>
    <xf numFmtId="168" fontId="13" fillId="13" borderId="11" xfId="3" applyNumberFormat="1" applyFont="1" applyFill="1" applyBorder="1" applyAlignment="1">
      <alignment horizontal="left" vertical="center"/>
    </xf>
    <xf numFmtId="166" fontId="17" fillId="0" borderId="11" xfId="6" applyFont="1" applyBorder="1" applyAlignment="1">
      <alignment horizontal="center" vertical="center" wrapText="1"/>
    </xf>
    <xf numFmtId="3" fontId="17" fillId="3" borderId="11" xfId="8" applyNumberFormat="1" applyFont="1" applyFill="1" applyBorder="1" applyAlignment="1">
      <alignment horizontal="left" vertical="top" wrapText="1"/>
    </xf>
    <xf numFmtId="166" fontId="17" fillId="13" borderId="24" xfId="6" applyFont="1" applyFill="1" applyBorder="1" applyAlignment="1">
      <alignment vertical="center" wrapText="1"/>
    </xf>
    <xf numFmtId="166" fontId="13" fillId="0" borderId="0" xfId="3" applyFont="1" applyFill="1" applyBorder="1" applyAlignment="1">
      <alignment horizontal="center" vertical="center"/>
    </xf>
    <xf numFmtId="49" fontId="17" fillId="3" borderId="11" xfId="6" applyNumberFormat="1" applyFont="1" applyFill="1" applyBorder="1" applyAlignment="1">
      <alignment horizontal="center" vertical="center" wrapText="1"/>
    </xf>
    <xf numFmtId="166" fontId="17" fillId="3" borderId="11" xfId="6" applyFont="1" applyFill="1" applyBorder="1" applyAlignment="1">
      <alignment horizontal="right" vertical="center" wrapText="1"/>
    </xf>
    <xf numFmtId="168" fontId="13" fillId="13" borderId="11" xfId="3" applyNumberFormat="1" applyFont="1" applyFill="1" applyBorder="1" applyAlignment="1">
      <alignment vertical="center"/>
    </xf>
    <xf numFmtId="3" fontId="17" fillId="3" borderId="26" xfId="8" applyNumberFormat="1" applyFont="1" applyFill="1" applyBorder="1" applyAlignment="1">
      <alignment horizontal="left" vertical="top" wrapText="1"/>
    </xf>
    <xf numFmtId="167" fontId="17" fillId="3" borderId="26" xfId="5" applyNumberFormat="1" applyFont="1" applyFill="1" applyBorder="1" applyAlignment="1">
      <alignment horizontal="center" vertical="center" wrapText="1"/>
    </xf>
    <xf numFmtId="166" fontId="13" fillId="0" borderId="26" xfId="3" applyFont="1" applyBorder="1" applyAlignment="1">
      <alignment vertical="center" wrapText="1"/>
    </xf>
    <xf numFmtId="166" fontId="17" fillId="3" borderId="26" xfId="6" applyFont="1" applyFill="1" applyBorder="1" applyAlignment="1">
      <alignment horizontal="center" vertical="center"/>
    </xf>
    <xf numFmtId="0" fontId="37" fillId="2" borderId="22" xfId="0" applyFont="1" applyFill="1" applyBorder="1"/>
    <xf numFmtId="0" fontId="36" fillId="20" borderId="22" xfId="16" applyFill="1" applyBorder="1"/>
    <xf numFmtId="0" fontId="12" fillId="20" borderId="22" xfId="16" applyFont="1" applyFill="1" applyBorder="1"/>
    <xf numFmtId="41" fontId="26" fillId="0" borderId="0" xfId="2" applyFont="1" applyAlignment="1">
      <alignment horizontal="center" vertical="top"/>
    </xf>
    <xf numFmtId="0" fontId="38" fillId="3" borderId="0" xfId="0" applyFont="1" applyFill="1" applyBorder="1" applyAlignment="1">
      <alignment horizontal="center" vertical="center" wrapText="1"/>
    </xf>
    <xf numFmtId="0" fontId="38" fillId="3" borderId="0" xfId="0" applyFont="1" applyFill="1" applyAlignment="1">
      <alignment horizontal="center" vertical="center" wrapText="1"/>
    </xf>
    <xf numFmtId="0" fontId="3" fillId="3" borderId="0" xfId="0" applyFont="1" applyFill="1"/>
    <xf numFmtId="0" fontId="35" fillId="3" borderId="0" xfId="0" applyFont="1" applyFill="1" applyBorder="1" applyAlignment="1">
      <alignment vertical="top" wrapText="1"/>
    </xf>
    <xf numFmtId="0" fontId="16" fillId="21" borderId="31" xfId="0" applyFont="1" applyFill="1" applyBorder="1" applyAlignment="1">
      <alignment horizontal="center" vertical="center" wrapText="1"/>
    </xf>
    <xf numFmtId="171" fontId="16" fillId="21" borderId="22" xfId="1" applyNumberFormat="1" applyFont="1" applyFill="1" applyBorder="1" applyAlignment="1">
      <alignment horizontal="center" vertical="center"/>
    </xf>
    <xf numFmtId="9" fontId="16" fillId="21" borderId="22" xfId="10" applyNumberFormat="1" applyFont="1" applyFill="1" applyBorder="1" applyAlignment="1">
      <alignment horizontal="center" vertical="center"/>
    </xf>
    <xf numFmtId="0" fontId="16" fillId="13" borderId="31" xfId="0" applyFont="1" applyFill="1" applyBorder="1" applyAlignment="1">
      <alignment horizontal="center" vertical="center" wrapText="1"/>
    </xf>
    <xf numFmtId="0" fontId="16" fillId="13" borderId="31" xfId="0" applyFont="1" applyFill="1" applyBorder="1" applyAlignment="1">
      <alignment vertical="center" wrapText="1"/>
    </xf>
    <xf numFmtId="9" fontId="16" fillId="13" borderId="22" xfId="10" applyNumberFormat="1" applyFont="1" applyFill="1" applyBorder="1" applyAlignment="1">
      <alignment horizontal="center" vertical="center"/>
    </xf>
    <xf numFmtId="165" fontId="16" fillId="13" borderId="22" xfId="1" applyNumberFormat="1" applyFont="1" applyFill="1" applyBorder="1" applyAlignment="1">
      <alignment horizontal="right" vertical="center"/>
    </xf>
    <xf numFmtId="165" fontId="16" fillId="21" borderId="22" xfId="1" applyNumberFormat="1" applyFont="1" applyFill="1" applyBorder="1" applyAlignment="1">
      <alignment horizontal="right" vertical="center"/>
    </xf>
    <xf numFmtId="170" fontId="16" fillId="13" borderId="22" xfId="2" applyNumberFormat="1" applyFont="1" applyFill="1" applyBorder="1" applyAlignment="1">
      <alignment horizontal="right" vertical="center"/>
    </xf>
    <xf numFmtId="170" fontId="16" fillId="21" borderId="22" xfId="2" applyNumberFormat="1" applyFont="1" applyFill="1" applyBorder="1" applyAlignment="1">
      <alignment horizontal="right" vertical="center"/>
    </xf>
    <xf numFmtId="0" fontId="14" fillId="17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41" fontId="24" fillId="6" borderId="0" xfId="2" applyFont="1" applyFill="1" applyBorder="1" applyAlignment="1">
      <alignment horizontal="right" vertical="top"/>
    </xf>
    <xf numFmtId="0" fontId="40" fillId="7" borderId="22" xfId="0" applyFont="1" applyFill="1" applyBorder="1" applyAlignment="1">
      <alignment horizontal="right" vertical="center" wrapText="1"/>
    </xf>
    <xf numFmtId="0" fontId="40" fillId="7" borderId="22" xfId="0" applyFont="1" applyFill="1" applyBorder="1" applyAlignment="1">
      <alignment horizontal="center" vertical="center" wrapText="1"/>
    </xf>
    <xf numFmtId="41" fontId="40" fillId="7" borderId="22" xfId="2" applyFont="1" applyFill="1" applyBorder="1" applyAlignment="1">
      <alignment horizontal="center" vertical="center" wrapText="1"/>
    </xf>
    <xf numFmtId="41" fontId="40" fillId="2" borderId="22" xfId="2" applyNumberFormat="1" applyFont="1" applyFill="1" applyBorder="1" applyAlignment="1">
      <alignment horizontal="center" vertical="center"/>
    </xf>
    <xf numFmtId="41" fontId="7" fillId="20" borderId="22" xfId="2" applyNumberFormat="1" applyFont="1" applyFill="1" applyBorder="1" applyAlignment="1">
      <alignment horizontal="center" vertical="center" wrapText="1"/>
    </xf>
    <xf numFmtId="0" fontId="42" fillId="20" borderId="22" xfId="16" applyFont="1" applyFill="1" applyBorder="1"/>
    <xf numFmtId="3" fontId="26" fillId="3" borderId="11" xfId="0" applyNumberFormat="1" applyFont="1" applyFill="1" applyBorder="1" applyAlignment="1">
      <alignment horizontal="center" vertical="top" wrapText="1"/>
    </xf>
    <xf numFmtId="0" fontId="26" fillId="3" borderId="11" xfId="0" applyFont="1" applyFill="1" applyBorder="1" applyAlignment="1">
      <alignment horizontal="center" vertical="top"/>
    </xf>
    <xf numFmtId="41" fontId="26" fillId="0" borderId="11" xfId="2" applyNumberFormat="1" applyFont="1" applyBorder="1" applyAlignment="1">
      <alignment horizontal="center" vertical="top" wrapText="1"/>
    </xf>
    <xf numFmtId="3" fontId="25" fillId="3" borderId="0" xfId="0" applyNumberFormat="1" applyFont="1" applyFill="1" applyAlignment="1">
      <alignment vertical="top"/>
    </xf>
    <xf numFmtId="9" fontId="25" fillId="3" borderId="0" xfId="10" applyFont="1" applyFill="1" applyAlignment="1">
      <alignment vertical="top"/>
    </xf>
    <xf numFmtId="10" fontId="26" fillId="3" borderId="0" xfId="10" applyNumberFormat="1" applyFont="1" applyFill="1" applyAlignment="1">
      <alignment horizontal="center" vertical="top"/>
    </xf>
    <xf numFmtId="170" fontId="26" fillId="0" borderId="11" xfId="2" applyNumberFormat="1" applyFont="1" applyBorder="1" applyAlignment="1">
      <alignment horizontal="right" vertical="top"/>
    </xf>
    <xf numFmtId="3" fontId="25" fillId="3" borderId="11" xfId="0" applyNumberFormat="1" applyFont="1" applyFill="1" applyBorder="1" applyAlignment="1">
      <alignment horizontal="center" vertical="top"/>
    </xf>
    <xf numFmtId="3" fontId="33" fillId="3" borderId="17" xfId="4" applyNumberFormat="1" applyFont="1" applyFill="1" applyBorder="1" applyAlignment="1">
      <alignment horizontal="center" vertical="center" wrapText="1"/>
    </xf>
    <xf numFmtId="3" fontId="33" fillId="0" borderId="17" xfId="4" applyNumberFormat="1" applyFont="1" applyBorder="1" applyAlignment="1">
      <alignment horizontal="center" vertical="center" wrapText="1"/>
    </xf>
    <xf numFmtId="3" fontId="18" fillId="3" borderId="17" xfId="4" applyNumberFormat="1" applyFont="1" applyFill="1" applyBorder="1" applyAlignment="1">
      <alignment horizontal="center" vertical="center" wrapText="1"/>
    </xf>
    <xf numFmtId="3" fontId="33" fillId="3" borderId="0" xfId="4" applyNumberFormat="1" applyFont="1" applyFill="1" applyBorder="1" applyAlignment="1">
      <alignment horizontal="center" vertical="center" wrapText="1"/>
    </xf>
    <xf numFmtId="166" fontId="34" fillId="0" borderId="0" xfId="4" applyNumberFormat="1" applyFont="1" applyAlignment="1">
      <alignment horizontal="center" vertical="center"/>
    </xf>
    <xf numFmtId="167" fontId="19" fillId="3" borderId="11" xfId="5" applyNumberFormat="1" applyFont="1" applyFill="1" applyBorder="1" applyAlignment="1">
      <alignment horizontal="center" vertical="center" wrapText="1"/>
    </xf>
    <xf numFmtId="166" fontId="19" fillId="3" borderId="11" xfId="6" applyFont="1" applyFill="1" applyBorder="1" applyAlignment="1">
      <alignment horizontal="center" vertical="center" wrapText="1"/>
    </xf>
    <xf numFmtId="166" fontId="19" fillId="3" borderId="26" xfId="6" applyFont="1" applyFill="1" applyBorder="1" applyAlignment="1">
      <alignment horizontal="center" vertical="center" wrapText="1"/>
    </xf>
    <xf numFmtId="166" fontId="23" fillId="0" borderId="0" xfId="4" applyFont="1" applyAlignment="1">
      <alignment horizontal="center" vertical="center"/>
    </xf>
    <xf numFmtId="166" fontId="23" fillId="0" borderId="0" xfId="4" applyFont="1" applyAlignment="1">
      <alignment vertical="center"/>
    </xf>
    <xf numFmtId="3" fontId="19" fillId="3" borderId="26" xfId="8" applyNumberFormat="1" applyFont="1" applyFill="1" applyBorder="1" applyAlignment="1">
      <alignment horizontal="left" vertical="center" wrapText="1"/>
    </xf>
    <xf numFmtId="3" fontId="19" fillId="3" borderId="11" xfId="8" applyNumberFormat="1" applyFont="1" applyFill="1" applyBorder="1" applyAlignment="1">
      <alignment horizontal="left" vertical="center" wrapText="1"/>
    </xf>
    <xf numFmtId="0" fontId="37" fillId="2" borderId="0" xfId="0" applyFont="1" applyFill="1" applyBorder="1"/>
    <xf numFmtId="41" fontId="25" fillId="5" borderId="11" xfId="2" applyFont="1" applyFill="1" applyBorder="1" applyAlignment="1">
      <alignment horizontal="right" vertical="top"/>
    </xf>
    <xf numFmtId="172" fontId="37" fillId="2" borderId="0" xfId="0" applyNumberFormat="1" applyFont="1" applyFill="1" applyBorder="1" applyAlignment="1">
      <alignment horizontal="center"/>
    </xf>
    <xf numFmtId="9" fontId="14" fillId="17" borderId="22" xfId="10" applyFont="1" applyFill="1" applyBorder="1" applyAlignment="1">
      <alignment horizontal="center" vertical="center"/>
    </xf>
    <xf numFmtId="9" fontId="14" fillId="18" borderId="22" xfId="10" applyFont="1" applyFill="1" applyBorder="1" applyAlignment="1">
      <alignment horizontal="center" vertical="center"/>
    </xf>
    <xf numFmtId="0" fontId="37" fillId="19" borderId="0" xfId="0" applyFont="1" applyFill="1" applyAlignment="1">
      <alignment horizontal="center"/>
    </xf>
    <xf numFmtId="0" fontId="16" fillId="21" borderId="32" xfId="0" applyFont="1" applyFill="1" applyBorder="1" applyAlignment="1">
      <alignment horizontal="center" vertical="center" wrapText="1"/>
    </xf>
    <xf numFmtId="0" fontId="16" fillId="21" borderId="31" xfId="0" applyFont="1" applyFill="1" applyBorder="1" applyAlignment="1">
      <alignment horizontal="center" vertical="center" wrapText="1"/>
    </xf>
    <xf numFmtId="0" fontId="14" fillId="16" borderId="0" xfId="0" applyFont="1" applyFill="1" applyBorder="1" applyAlignment="1">
      <alignment horizontal="center" vertical="center" wrapText="1"/>
    </xf>
    <xf numFmtId="0" fontId="38" fillId="7" borderId="0" xfId="0" applyFont="1" applyFill="1" applyBorder="1" applyAlignment="1">
      <alignment horizontal="center" vertical="center" wrapText="1"/>
    </xf>
    <xf numFmtId="0" fontId="39" fillId="16" borderId="33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top" wrapText="1"/>
    </xf>
    <xf numFmtId="0" fontId="24" fillId="7" borderId="15" xfId="0" applyFont="1" applyFill="1" applyBorder="1" applyAlignment="1">
      <alignment horizontal="center" vertical="top" wrapText="1"/>
    </xf>
    <xf numFmtId="0" fontId="24" fillId="7" borderId="12" xfId="0" applyFont="1" applyFill="1" applyBorder="1" applyAlignment="1">
      <alignment horizontal="center" vertical="top" wrapText="1"/>
    </xf>
    <xf numFmtId="0" fontId="24" fillId="7" borderId="13" xfId="0" applyFont="1" applyFill="1" applyBorder="1" applyAlignment="1">
      <alignment horizontal="center" vertical="top" wrapText="1"/>
    </xf>
    <xf numFmtId="0" fontId="24" fillId="7" borderId="14" xfId="0" applyFont="1" applyFill="1" applyBorder="1" applyAlignment="1">
      <alignment horizontal="center" vertical="top" wrapText="1"/>
    </xf>
    <xf numFmtId="41" fontId="24" fillId="7" borderId="18" xfId="2" applyFont="1" applyFill="1" applyBorder="1" applyAlignment="1">
      <alignment horizontal="center" vertical="top"/>
    </xf>
    <xf numFmtId="41" fontId="24" fillId="7" borderId="19" xfId="2" applyFont="1" applyFill="1" applyBorder="1" applyAlignment="1">
      <alignment horizontal="center" vertical="top"/>
    </xf>
    <xf numFmtId="41" fontId="24" fillId="7" borderId="20" xfId="2" applyFont="1" applyFill="1" applyBorder="1" applyAlignment="1">
      <alignment horizontal="center" vertical="top"/>
    </xf>
    <xf numFmtId="0" fontId="41" fillId="7" borderId="23" xfId="0" applyFont="1" applyFill="1" applyBorder="1" applyAlignment="1">
      <alignment horizontal="center" vertical="top" wrapText="1"/>
    </xf>
    <xf numFmtId="0" fontId="41" fillId="7" borderId="0" xfId="0" applyFont="1" applyFill="1" applyBorder="1" applyAlignment="1">
      <alignment horizontal="center" vertical="top" wrapText="1"/>
    </xf>
    <xf numFmtId="41" fontId="40" fillId="6" borderId="22" xfId="2" applyNumberFormat="1" applyFont="1" applyFill="1" applyBorder="1" applyAlignment="1">
      <alignment horizontal="center" vertical="center"/>
    </xf>
    <xf numFmtId="41" fontId="40" fillId="2" borderId="22" xfId="2" applyNumberFormat="1" applyFont="1" applyFill="1" applyBorder="1" applyAlignment="1">
      <alignment horizontal="center" vertical="center" wrapText="1"/>
    </xf>
    <xf numFmtId="41" fontId="40" fillId="2" borderId="22" xfId="2" applyNumberFormat="1" applyFont="1" applyFill="1" applyBorder="1" applyAlignment="1">
      <alignment horizontal="center" vertical="center"/>
    </xf>
    <xf numFmtId="0" fontId="37" fillId="7" borderId="0" xfId="0" applyFont="1" applyFill="1" applyBorder="1" applyAlignment="1">
      <alignment horizontal="center" vertical="center" wrapText="1"/>
    </xf>
    <xf numFmtId="0" fontId="37" fillId="7" borderId="34" xfId="0" applyFont="1" applyFill="1" applyBorder="1" applyAlignment="1">
      <alignment horizontal="center" vertical="center" wrapText="1"/>
    </xf>
    <xf numFmtId="0" fontId="37" fillId="7" borderId="33" xfId="0" applyFont="1" applyFill="1" applyBorder="1" applyAlignment="1">
      <alignment horizontal="center" vertical="center" wrapText="1"/>
    </xf>
    <xf numFmtId="0" fontId="37" fillId="7" borderId="35" xfId="0" applyFont="1" applyFill="1" applyBorder="1" applyAlignment="1">
      <alignment horizontal="center" vertical="center" wrapText="1"/>
    </xf>
    <xf numFmtId="166" fontId="16" fillId="13" borderId="11" xfId="6" applyFont="1" applyFill="1" applyBorder="1" applyAlignment="1">
      <alignment horizontal="right" vertical="center" wrapText="1"/>
    </xf>
    <xf numFmtId="166" fontId="16" fillId="15" borderId="11" xfId="6" applyFont="1" applyFill="1" applyBorder="1" applyAlignment="1">
      <alignment horizontal="center" vertical="center" wrapText="1"/>
    </xf>
    <xf numFmtId="166" fontId="16" fillId="15" borderId="11" xfId="6" applyFont="1" applyFill="1" applyBorder="1" applyAlignment="1">
      <alignment horizontal="left" vertical="center" wrapText="1"/>
    </xf>
    <xf numFmtId="167" fontId="16" fillId="15" borderId="11" xfId="5" applyNumberFormat="1" applyFont="1" applyFill="1" applyBorder="1" applyAlignment="1">
      <alignment horizontal="center" vertical="center" wrapText="1"/>
    </xf>
    <xf numFmtId="166" fontId="16" fillId="15" borderId="11" xfId="6" applyFont="1" applyFill="1" applyBorder="1" applyAlignment="1">
      <alignment horizontal="center" vertical="center"/>
    </xf>
    <xf numFmtId="168" fontId="16" fillId="15" borderId="11" xfId="6" applyNumberFormat="1" applyFont="1" applyFill="1" applyBorder="1" applyAlignment="1">
      <alignment horizontal="center" vertical="center" wrapText="1"/>
    </xf>
    <xf numFmtId="166" fontId="16" fillId="15" borderId="24" xfId="6" applyFont="1" applyFill="1" applyBorder="1" applyAlignment="1">
      <alignment horizontal="center" vertical="center" wrapText="1"/>
    </xf>
    <xf numFmtId="166" fontId="16" fillId="15" borderId="25" xfId="6" applyFont="1" applyFill="1" applyBorder="1" applyAlignment="1">
      <alignment horizontal="center" vertical="center" wrapText="1"/>
    </xf>
    <xf numFmtId="166" fontId="16" fillId="15" borderId="16" xfId="6" applyFont="1" applyFill="1" applyBorder="1" applyAlignment="1">
      <alignment horizontal="center" vertical="center" wrapText="1"/>
    </xf>
    <xf numFmtId="166" fontId="16" fillId="15" borderId="15" xfId="6" applyFont="1" applyFill="1" applyBorder="1" applyAlignment="1">
      <alignment horizontal="center" vertical="center" wrapText="1"/>
    </xf>
    <xf numFmtId="166" fontId="14" fillId="16" borderId="12" xfId="6" applyFont="1" applyFill="1" applyBorder="1" applyAlignment="1">
      <alignment horizontal="center" vertical="center" wrapText="1"/>
    </xf>
    <xf numFmtId="166" fontId="14" fillId="16" borderId="13" xfId="6" applyFont="1" applyFill="1" applyBorder="1" applyAlignment="1">
      <alignment horizontal="center" vertical="center" wrapText="1"/>
    </xf>
    <xf numFmtId="166" fontId="14" fillId="16" borderId="14" xfId="6" applyFont="1" applyFill="1" applyBorder="1" applyAlignment="1">
      <alignment horizontal="center" vertical="center" wrapText="1"/>
    </xf>
    <xf numFmtId="37" fontId="17" fillId="0" borderId="26" xfId="9" applyNumberFormat="1" applyFont="1" applyBorder="1" applyAlignment="1">
      <alignment horizontal="center" vertical="center"/>
    </xf>
    <xf numFmtId="37" fontId="17" fillId="0" borderId="30" xfId="9" applyNumberFormat="1" applyFont="1" applyBorder="1" applyAlignment="1">
      <alignment horizontal="center" vertical="center"/>
    </xf>
    <xf numFmtId="166" fontId="16" fillId="15" borderId="11" xfId="6" applyFont="1" applyFill="1" applyBorder="1" applyAlignment="1">
      <alignment vertical="center"/>
    </xf>
    <xf numFmtId="166" fontId="29" fillId="13" borderId="11" xfId="3" applyFont="1" applyFill="1" applyBorder="1" applyAlignment="1">
      <alignment horizontal="right" vertical="center"/>
    </xf>
    <xf numFmtId="168" fontId="13" fillId="13" borderId="11" xfId="3" applyNumberFormat="1" applyFont="1" applyFill="1" applyBorder="1" applyAlignment="1">
      <alignment horizontal="center" vertical="center"/>
    </xf>
    <xf numFmtId="166" fontId="17" fillId="13" borderId="22" xfId="6" applyFont="1" applyFill="1" applyBorder="1" applyAlignment="1">
      <alignment horizontal="right" vertical="center" wrapText="1"/>
    </xf>
    <xf numFmtId="166" fontId="17" fillId="13" borderId="11" xfId="3" applyFont="1" applyFill="1" applyBorder="1" applyAlignment="1">
      <alignment horizontal="center" vertical="center"/>
    </xf>
    <xf numFmtId="168" fontId="16" fillId="15" borderId="24" xfId="6" applyNumberFormat="1" applyFont="1" applyFill="1" applyBorder="1" applyAlignment="1">
      <alignment horizontal="center" vertical="center" wrapText="1"/>
    </xf>
    <xf numFmtId="168" fontId="16" fillId="15" borderId="25" xfId="6" applyNumberFormat="1" applyFont="1" applyFill="1" applyBorder="1" applyAlignment="1">
      <alignment horizontal="center" vertical="center" wrapText="1"/>
    </xf>
    <xf numFmtId="168" fontId="16" fillId="15" borderId="16" xfId="6" applyNumberFormat="1" applyFont="1" applyFill="1" applyBorder="1" applyAlignment="1">
      <alignment horizontal="center" vertical="center" wrapText="1"/>
    </xf>
    <xf numFmtId="168" fontId="16" fillId="15" borderId="15" xfId="6" applyNumberFormat="1" applyFont="1" applyFill="1" applyBorder="1" applyAlignment="1">
      <alignment horizontal="center" vertical="center" wrapText="1"/>
    </xf>
    <xf numFmtId="166" fontId="16" fillId="15" borderId="26" xfId="6" applyFont="1" applyFill="1" applyBorder="1" applyAlignment="1">
      <alignment horizontal="center" vertical="center" wrapText="1"/>
    </xf>
    <xf numFmtId="166" fontId="16" fillId="15" borderId="27" xfId="6" applyFont="1" applyFill="1" applyBorder="1" applyAlignment="1">
      <alignment horizontal="center" vertical="center" wrapText="1"/>
    </xf>
    <xf numFmtId="166" fontId="13" fillId="13" borderId="22" xfId="3" applyFont="1" applyFill="1" applyBorder="1" applyAlignment="1">
      <alignment horizontal="right" vertical="center"/>
    </xf>
    <xf numFmtId="166" fontId="29" fillId="13" borderId="22" xfId="3" applyFont="1" applyFill="1" applyBorder="1" applyAlignment="1">
      <alignment horizontal="right" vertical="center"/>
    </xf>
    <xf numFmtId="166" fontId="16" fillId="15" borderId="23" xfId="6" applyFont="1" applyFill="1" applyBorder="1" applyAlignment="1">
      <alignment horizontal="center" vertical="center" wrapText="1"/>
    </xf>
    <xf numFmtId="166" fontId="17" fillId="0" borderId="26" xfId="6" applyFont="1" applyFill="1" applyBorder="1" applyAlignment="1">
      <alignment horizontal="left" vertical="center" wrapText="1"/>
    </xf>
    <xf numFmtId="166" fontId="17" fillId="0" borderId="30" xfId="6" applyFont="1" applyFill="1" applyBorder="1" applyAlignment="1">
      <alignment horizontal="left" vertical="center" wrapText="1"/>
    </xf>
    <xf numFmtId="166" fontId="17" fillId="0" borderId="27" xfId="6" applyFont="1" applyFill="1" applyBorder="1" applyAlignment="1">
      <alignment horizontal="left" vertical="center" wrapText="1"/>
    </xf>
    <xf numFmtId="166" fontId="17" fillId="3" borderId="26" xfId="6" applyFont="1" applyFill="1" applyBorder="1" applyAlignment="1">
      <alignment horizontal="center" vertical="center" wrapText="1"/>
    </xf>
    <xf numFmtId="166" fontId="17" fillId="3" borderId="30" xfId="6" applyFont="1" applyFill="1" applyBorder="1" applyAlignment="1">
      <alignment horizontal="center" vertical="center" wrapText="1"/>
    </xf>
    <xf numFmtId="166" fontId="17" fillId="3" borderId="27" xfId="6" applyFont="1" applyFill="1" applyBorder="1" applyAlignment="1">
      <alignment horizontal="center" vertical="center" wrapText="1"/>
    </xf>
    <xf numFmtId="167" fontId="17" fillId="0" borderId="26" xfId="5" applyNumberFormat="1" applyFont="1" applyFill="1" applyBorder="1" applyAlignment="1">
      <alignment horizontal="center" vertical="center" wrapText="1"/>
    </xf>
    <xf numFmtId="167" fontId="17" fillId="0" borderId="30" xfId="5" applyNumberFormat="1" applyFont="1" applyFill="1" applyBorder="1" applyAlignment="1">
      <alignment horizontal="center" vertical="center" wrapText="1"/>
    </xf>
    <xf numFmtId="167" fontId="17" fillId="0" borderId="27" xfId="5" applyNumberFormat="1" applyFont="1" applyFill="1" applyBorder="1" applyAlignment="1">
      <alignment horizontal="center" vertical="center" wrapText="1"/>
    </xf>
    <xf numFmtId="3" fontId="17" fillId="0" borderId="26" xfId="5" applyNumberFormat="1" applyFont="1" applyFill="1" applyBorder="1" applyAlignment="1">
      <alignment horizontal="center" vertical="center" wrapText="1"/>
    </xf>
    <xf numFmtId="3" fontId="17" fillId="0" borderId="30" xfId="5" applyNumberFormat="1" applyFont="1" applyFill="1" applyBorder="1" applyAlignment="1">
      <alignment horizontal="center" vertical="center" wrapText="1"/>
    </xf>
    <xf numFmtId="3" fontId="17" fillId="0" borderId="27" xfId="5" applyNumberFormat="1" applyFont="1" applyFill="1" applyBorder="1" applyAlignment="1">
      <alignment horizontal="center" vertical="center" wrapText="1"/>
    </xf>
    <xf numFmtId="9" fontId="17" fillId="3" borderId="26" xfId="6" applyNumberFormat="1" applyFont="1" applyFill="1" applyBorder="1" applyAlignment="1">
      <alignment horizontal="center" vertical="center" wrapText="1"/>
    </xf>
    <xf numFmtId="9" fontId="17" fillId="3" borderId="30" xfId="6" applyNumberFormat="1" applyFont="1" applyFill="1" applyBorder="1" applyAlignment="1">
      <alignment horizontal="center" vertical="center" wrapText="1"/>
    </xf>
    <xf numFmtId="9" fontId="17" fillId="3" borderId="27" xfId="6" applyNumberFormat="1" applyFont="1" applyFill="1" applyBorder="1" applyAlignment="1">
      <alignment horizontal="center" vertical="center" wrapText="1"/>
    </xf>
    <xf numFmtId="9" fontId="17" fillId="3" borderId="26" xfId="10" applyFont="1" applyFill="1" applyBorder="1" applyAlignment="1">
      <alignment horizontal="center" vertical="center"/>
    </xf>
    <xf numFmtId="9" fontId="17" fillId="3" borderId="30" xfId="10" applyFont="1" applyFill="1" applyBorder="1" applyAlignment="1">
      <alignment horizontal="center" vertical="center"/>
    </xf>
    <xf numFmtId="9" fontId="17" fillId="3" borderId="27" xfId="10" applyFont="1" applyFill="1" applyBorder="1" applyAlignment="1">
      <alignment horizontal="center" vertical="center"/>
    </xf>
    <xf numFmtId="166" fontId="17" fillId="0" borderId="26" xfId="6" applyFont="1" applyBorder="1" applyAlignment="1">
      <alignment horizontal="center" vertical="center"/>
    </xf>
    <xf numFmtId="166" fontId="17" fillId="0" borderId="30" xfId="6" applyFont="1" applyBorder="1" applyAlignment="1">
      <alignment horizontal="center" vertical="center"/>
    </xf>
    <xf numFmtId="166" fontId="17" fillId="0" borderId="27" xfId="6" applyFont="1" applyBorder="1" applyAlignment="1">
      <alignment horizontal="center" vertical="center"/>
    </xf>
    <xf numFmtId="17" fontId="13" fillId="3" borderId="26" xfId="15" applyNumberFormat="1" applyFont="1" applyFill="1" applyBorder="1" applyAlignment="1">
      <alignment horizontal="center" vertical="center"/>
    </xf>
    <xf numFmtId="17" fontId="13" fillId="3" borderId="30" xfId="15" applyNumberFormat="1" applyFont="1" applyFill="1" applyBorder="1" applyAlignment="1">
      <alignment horizontal="center" vertical="center"/>
    </xf>
    <xf numFmtId="17" fontId="13" fillId="3" borderId="27" xfId="15" applyNumberFormat="1" applyFont="1" applyFill="1" applyBorder="1" applyAlignment="1">
      <alignment horizontal="center" vertical="center"/>
    </xf>
    <xf numFmtId="166" fontId="17" fillId="0" borderId="26" xfId="6" applyFont="1" applyFill="1" applyBorder="1" applyAlignment="1">
      <alignment horizontal="center" vertical="center" wrapText="1"/>
    </xf>
    <xf numFmtId="166" fontId="17" fillId="0" borderId="30" xfId="6" applyFont="1" applyFill="1" applyBorder="1" applyAlignment="1">
      <alignment horizontal="center" vertical="center" wrapText="1"/>
    </xf>
    <xf numFmtId="3" fontId="17" fillId="3" borderId="26" xfId="8" applyNumberFormat="1" applyFont="1" applyFill="1" applyBorder="1" applyAlignment="1">
      <alignment horizontal="left" vertical="top" wrapText="1"/>
    </xf>
    <xf numFmtId="3" fontId="17" fillId="3" borderId="27" xfId="8" applyNumberFormat="1" applyFont="1" applyFill="1" applyBorder="1" applyAlignment="1">
      <alignment horizontal="left" vertical="top" wrapText="1"/>
    </xf>
    <xf numFmtId="167" fontId="17" fillId="3" borderId="26" xfId="5" applyNumberFormat="1" applyFont="1" applyFill="1" applyBorder="1" applyAlignment="1">
      <alignment horizontal="center" vertical="center" wrapText="1"/>
    </xf>
    <xf numFmtId="167" fontId="17" fillId="3" borderId="30" xfId="5" applyNumberFormat="1" applyFont="1" applyFill="1" applyBorder="1" applyAlignment="1">
      <alignment horizontal="center" vertical="center" wrapText="1"/>
    </xf>
    <xf numFmtId="166" fontId="17" fillId="3" borderId="26" xfId="6" applyFont="1" applyFill="1" applyBorder="1" applyAlignment="1">
      <alignment horizontal="center" vertical="center"/>
    </xf>
    <xf numFmtId="166" fontId="17" fillId="3" borderId="30" xfId="6" applyFont="1" applyFill="1" applyBorder="1" applyAlignment="1">
      <alignment horizontal="center" vertical="center"/>
    </xf>
    <xf numFmtId="3" fontId="17" fillId="3" borderId="26" xfId="8" applyNumberFormat="1" applyFont="1" applyFill="1" applyBorder="1" applyAlignment="1">
      <alignment horizontal="center" vertical="center" wrapText="1"/>
    </xf>
    <xf numFmtId="3" fontId="17" fillId="3" borderId="30" xfId="8" applyNumberFormat="1" applyFont="1" applyFill="1" applyBorder="1" applyAlignment="1">
      <alignment horizontal="center" vertical="center" wrapText="1"/>
    </xf>
    <xf numFmtId="166" fontId="17" fillId="0" borderId="24" xfId="6" applyFont="1" applyBorder="1" applyAlignment="1">
      <alignment horizontal="center" vertical="center" wrapText="1"/>
    </xf>
    <xf numFmtId="166" fontId="17" fillId="0" borderId="23" xfId="6" applyFont="1" applyBorder="1" applyAlignment="1">
      <alignment horizontal="center" vertical="center" wrapText="1"/>
    </xf>
    <xf numFmtId="166" fontId="17" fillId="0" borderId="16" xfId="6" applyFont="1" applyBorder="1" applyAlignment="1">
      <alignment horizontal="center" vertical="center" wrapText="1"/>
    </xf>
    <xf numFmtId="166" fontId="14" fillId="16" borderId="0" xfId="4" applyFont="1" applyFill="1" applyAlignment="1">
      <alignment horizontal="center"/>
    </xf>
    <xf numFmtId="166" fontId="13" fillId="0" borderId="26" xfId="3" applyFont="1" applyBorder="1" applyAlignment="1">
      <alignment horizontal="left" vertical="center" wrapText="1"/>
    </xf>
    <xf numFmtId="166" fontId="13" fillId="0" borderId="27" xfId="3" applyFont="1" applyBorder="1" applyAlignment="1">
      <alignment horizontal="left" vertical="center" wrapText="1"/>
    </xf>
    <xf numFmtId="37" fontId="17" fillId="0" borderId="27" xfId="9" applyNumberFormat="1" applyFont="1" applyBorder="1" applyAlignment="1">
      <alignment horizontal="center" vertical="center"/>
    </xf>
    <xf numFmtId="166" fontId="13" fillId="0" borderId="26" xfId="3" applyFont="1" applyBorder="1" applyAlignment="1">
      <alignment horizontal="center" vertical="center"/>
    </xf>
    <xf numFmtId="166" fontId="13" fillId="0" borderId="27" xfId="3" applyFont="1" applyBorder="1" applyAlignment="1">
      <alignment horizontal="center" vertical="center"/>
    </xf>
    <xf numFmtId="167" fontId="17" fillId="3" borderId="27" xfId="5" applyNumberFormat="1" applyFont="1" applyFill="1" applyBorder="1" applyAlignment="1">
      <alignment horizontal="center" vertical="center" wrapText="1"/>
    </xf>
    <xf numFmtId="168" fontId="13" fillId="0" borderId="26" xfId="3" applyNumberFormat="1" applyFont="1" applyBorder="1" applyAlignment="1">
      <alignment horizontal="center" vertical="center"/>
    </xf>
    <xf numFmtId="168" fontId="13" fillId="0" borderId="27" xfId="3" applyNumberFormat="1" applyFont="1" applyBorder="1" applyAlignment="1">
      <alignment horizontal="center" vertical="center"/>
    </xf>
    <xf numFmtId="17" fontId="13" fillId="3" borderId="12" xfId="15" applyNumberFormat="1" applyFont="1" applyFill="1" applyBorder="1" applyAlignment="1">
      <alignment horizontal="center" vertical="center"/>
    </xf>
    <xf numFmtId="17" fontId="13" fillId="3" borderId="14" xfId="15" applyNumberFormat="1" applyFont="1" applyFill="1" applyBorder="1" applyAlignment="1">
      <alignment horizontal="center" vertical="center"/>
    </xf>
    <xf numFmtId="17" fontId="13" fillId="3" borderId="24" xfId="15" applyNumberFormat="1" applyFont="1" applyFill="1" applyBorder="1" applyAlignment="1">
      <alignment horizontal="center" vertical="center"/>
    </xf>
    <xf numFmtId="17" fontId="13" fillId="3" borderId="28" xfId="15" applyNumberFormat="1" applyFont="1" applyFill="1" applyBorder="1" applyAlignment="1">
      <alignment horizontal="center" vertical="center"/>
    </xf>
    <xf numFmtId="17" fontId="13" fillId="3" borderId="16" xfId="15" applyNumberFormat="1" applyFont="1" applyFill="1" applyBorder="1" applyAlignment="1">
      <alignment horizontal="center" vertical="center"/>
    </xf>
    <xf numFmtId="17" fontId="13" fillId="3" borderId="29" xfId="15" applyNumberFormat="1" applyFont="1" applyFill="1" applyBorder="1" applyAlignment="1">
      <alignment horizontal="center" vertical="center"/>
    </xf>
    <xf numFmtId="166" fontId="13" fillId="3" borderId="24" xfId="3" applyFont="1" applyFill="1" applyBorder="1" applyAlignment="1">
      <alignment horizontal="center" vertical="center"/>
    </xf>
    <xf numFmtId="166" fontId="13" fillId="3" borderId="28" xfId="3" applyFont="1" applyFill="1" applyBorder="1" applyAlignment="1">
      <alignment horizontal="center" vertical="center"/>
    </xf>
    <xf numFmtId="166" fontId="20" fillId="16" borderId="0" xfId="4" applyFont="1" applyFill="1" applyAlignment="1">
      <alignment horizontal="center" vertical="center"/>
    </xf>
    <xf numFmtId="166" fontId="33" fillId="0" borderId="36" xfId="4" applyNumberFormat="1" applyFont="1" applyBorder="1" applyAlignment="1">
      <alignment horizontal="left" vertical="center" wrapText="1"/>
    </xf>
    <xf numFmtId="166" fontId="33" fillId="0" borderId="37" xfId="4" applyNumberFormat="1" applyFont="1" applyBorder="1" applyAlignment="1">
      <alignment horizontal="left" vertical="center" wrapText="1"/>
    </xf>
    <xf numFmtId="166" fontId="33" fillId="0" borderId="38" xfId="4" applyNumberFormat="1" applyFont="1" applyBorder="1" applyAlignment="1">
      <alignment horizontal="left" vertical="center" wrapText="1"/>
    </xf>
    <xf numFmtId="166" fontId="33" fillId="3" borderId="36" xfId="4" applyNumberFormat="1" applyFont="1" applyFill="1" applyBorder="1" applyAlignment="1">
      <alignment horizontal="center" vertical="center" wrapText="1"/>
    </xf>
    <xf numFmtId="166" fontId="33" fillId="3" borderId="37" xfId="4" applyNumberFormat="1" applyFont="1" applyFill="1" applyBorder="1" applyAlignment="1">
      <alignment horizontal="center" vertical="center" wrapText="1"/>
    </xf>
    <xf numFmtId="166" fontId="33" fillId="3" borderId="38" xfId="4" applyNumberFormat="1" applyFont="1" applyFill="1" applyBorder="1" applyAlignment="1">
      <alignment horizontal="center" vertical="center" wrapText="1"/>
    </xf>
    <xf numFmtId="166" fontId="18" fillId="0" borderId="36" xfId="4" applyNumberFormat="1" applyFont="1" applyBorder="1" applyAlignment="1">
      <alignment horizontal="center" vertical="center" wrapText="1"/>
    </xf>
    <xf numFmtId="166" fontId="18" fillId="0" borderId="37" xfId="4" applyNumberFormat="1" applyFont="1" applyBorder="1" applyAlignment="1">
      <alignment horizontal="center" vertical="center" wrapText="1"/>
    </xf>
    <xf numFmtId="166" fontId="18" fillId="0" borderId="38" xfId="4" applyNumberFormat="1" applyFont="1" applyBorder="1" applyAlignment="1">
      <alignment horizontal="center" vertical="center" wrapText="1"/>
    </xf>
    <xf numFmtId="167" fontId="33" fillId="0" borderId="36" xfId="5" applyNumberFormat="1" applyFont="1" applyBorder="1" applyAlignment="1">
      <alignment horizontal="center" vertical="center" wrapText="1"/>
    </xf>
    <xf numFmtId="167" fontId="33" fillId="0" borderId="37" xfId="5" applyNumberFormat="1" applyFont="1" applyBorder="1" applyAlignment="1">
      <alignment horizontal="center" vertical="center" wrapText="1"/>
    </xf>
    <xf numFmtId="167" fontId="33" fillId="0" borderId="38" xfId="5" applyNumberFormat="1" applyFont="1" applyBorder="1" applyAlignment="1">
      <alignment horizontal="center" vertical="center" wrapText="1"/>
    </xf>
    <xf numFmtId="3" fontId="19" fillId="3" borderId="26" xfId="8" applyNumberFormat="1" applyFont="1" applyFill="1" applyBorder="1" applyAlignment="1">
      <alignment horizontal="left" vertical="center" wrapText="1"/>
    </xf>
    <xf numFmtId="3" fontId="19" fillId="3" borderId="27" xfId="8" applyNumberFormat="1" applyFont="1" applyFill="1" applyBorder="1" applyAlignment="1">
      <alignment horizontal="left" vertical="center" wrapText="1"/>
    </xf>
    <xf numFmtId="166" fontId="19" fillId="3" borderId="26" xfId="6" applyFont="1" applyFill="1" applyBorder="1" applyAlignment="1">
      <alignment horizontal="center" vertical="center" wrapText="1"/>
    </xf>
    <xf numFmtId="166" fontId="19" fillId="3" borderId="30" xfId="6" applyFont="1" applyFill="1" applyBorder="1" applyAlignment="1">
      <alignment horizontal="center" vertical="center" wrapText="1"/>
    </xf>
    <xf numFmtId="166" fontId="33" fillId="0" borderId="39" xfId="4" applyNumberFormat="1" applyFont="1" applyBorder="1" applyAlignment="1">
      <alignment horizontal="center" vertical="center" wrapText="1"/>
    </xf>
    <xf numFmtId="166" fontId="33" fillId="0" borderId="40" xfId="4" applyNumberFormat="1" applyFont="1" applyBorder="1" applyAlignment="1">
      <alignment horizontal="center" vertical="center" wrapText="1"/>
    </xf>
    <xf numFmtId="3" fontId="33" fillId="3" borderId="36" xfId="4" applyNumberFormat="1" applyFont="1" applyFill="1" applyBorder="1" applyAlignment="1">
      <alignment horizontal="left" vertical="center" wrapText="1"/>
    </xf>
    <xf numFmtId="3" fontId="33" fillId="3" borderId="38" xfId="4" applyNumberFormat="1" applyFont="1" applyFill="1" applyBorder="1" applyAlignment="1">
      <alignment horizontal="left" vertical="center" wrapText="1"/>
    </xf>
    <xf numFmtId="166" fontId="19" fillId="3" borderId="27" xfId="6" applyFont="1" applyFill="1" applyBorder="1" applyAlignment="1">
      <alignment horizontal="center" vertical="center" wrapText="1"/>
    </xf>
    <xf numFmtId="166" fontId="33" fillId="0" borderId="36" xfId="4" applyNumberFormat="1" applyFont="1" applyBorder="1" applyAlignment="1">
      <alignment horizontal="center" vertical="center" wrapText="1"/>
    </xf>
    <xf numFmtId="166" fontId="33" fillId="0" borderId="38" xfId="4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3" fontId="5" fillId="0" borderId="3" xfId="0" applyNumberFormat="1" applyFont="1" applyBorder="1" applyAlignment="1">
      <alignment horizontal="left"/>
    </xf>
    <xf numFmtId="3" fontId="5" fillId="0" borderId="5" xfId="0" applyNumberFormat="1" applyFont="1" applyBorder="1" applyAlignment="1">
      <alignment horizontal="left"/>
    </xf>
    <xf numFmtId="3" fontId="5" fillId="0" borderId="6" xfId="0" applyNumberFormat="1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41" fontId="7" fillId="10" borderId="12" xfId="2" applyNumberFormat="1" applyFont="1" applyFill="1" applyBorder="1" applyAlignment="1">
      <alignment horizontal="center" vertical="center"/>
    </xf>
    <xf numFmtId="41" fontId="7" fillId="10" borderId="13" xfId="2" applyNumberFormat="1" applyFont="1" applyFill="1" applyBorder="1" applyAlignment="1">
      <alignment horizontal="center" vertical="center"/>
    </xf>
    <xf numFmtId="41" fontId="7" fillId="10" borderId="14" xfId="2" applyNumberFormat="1" applyFont="1" applyFill="1" applyBorder="1" applyAlignment="1">
      <alignment horizontal="center" vertical="center"/>
    </xf>
    <xf numFmtId="41" fontId="6" fillId="5" borderId="12" xfId="2" applyNumberFormat="1" applyFont="1" applyFill="1" applyBorder="1" applyAlignment="1">
      <alignment horizontal="center" vertical="center"/>
    </xf>
    <xf numFmtId="41" fontId="6" fillId="5" borderId="13" xfId="2" applyNumberFormat="1" applyFont="1" applyFill="1" applyBorder="1" applyAlignment="1">
      <alignment horizontal="center" vertical="center"/>
    </xf>
    <xf numFmtId="41" fontId="6" fillId="5" borderId="14" xfId="2" applyNumberFormat="1" applyFont="1" applyFill="1" applyBorder="1" applyAlignment="1">
      <alignment horizontal="center" vertical="center"/>
    </xf>
    <xf numFmtId="41" fontId="6" fillId="8" borderId="12" xfId="2" applyNumberFormat="1" applyFont="1" applyFill="1" applyBorder="1" applyAlignment="1">
      <alignment horizontal="center" vertical="center"/>
    </xf>
    <xf numFmtId="41" fontId="6" fillId="8" borderId="13" xfId="2" applyNumberFormat="1" applyFont="1" applyFill="1" applyBorder="1" applyAlignment="1">
      <alignment horizontal="center" vertical="center"/>
    </xf>
    <xf numFmtId="41" fontId="6" fillId="8" borderId="14" xfId="2" applyNumberFormat="1" applyFont="1" applyFill="1" applyBorder="1" applyAlignment="1">
      <alignment horizontal="center" vertical="center"/>
    </xf>
  </cellXfs>
  <cellStyles count="17">
    <cellStyle name="Comma" xfId="1" builtinId="3"/>
    <cellStyle name="Comma [0]" xfId="2" builtinId="6"/>
    <cellStyle name="Comma [0] 2" xfId="9" xr:uid="{00000000-0005-0000-0000-000002000000}"/>
    <cellStyle name="Comma 2" xfId="5" xr:uid="{00000000-0005-0000-0000-000003000000}"/>
    <cellStyle name="Hyperlink" xfId="16" builtinId="8"/>
    <cellStyle name="Moneda 2" xfId="13" xr:uid="{00000000-0005-0000-0000-000005000000}"/>
    <cellStyle name="Normal" xfId="0" builtinId="0"/>
    <cellStyle name="Normal 10 2" xfId="12" xr:uid="{00000000-0005-0000-0000-000007000000}"/>
    <cellStyle name="Normal 2" xfId="4" xr:uid="{00000000-0005-0000-0000-000008000000}"/>
    <cellStyle name="Normal 2 2 2" xfId="6" xr:uid="{00000000-0005-0000-0000-000009000000}"/>
    <cellStyle name="Normal 3 2 2" xfId="7" xr:uid="{00000000-0005-0000-0000-00000A000000}"/>
    <cellStyle name="Normal 7" xfId="8" xr:uid="{00000000-0005-0000-0000-00000B000000}"/>
    <cellStyle name="Normal 7 2" xfId="11" xr:uid="{00000000-0005-0000-0000-00000C000000}"/>
    <cellStyle name="Normal 9 2" xfId="3" xr:uid="{00000000-0005-0000-0000-00000D000000}"/>
    <cellStyle name="Normal_9. PA" xfId="15" xr:uid="{00000000-0005-0000-0000-00000E000000}"/>
    <cellStyle name="Normal_PA_1" xfId="14" xr:uid="{00000000-0005-0000-0000-00000F000000}"/>
    <cellStyle name="Percent" xfId="10" builtinId="5"/>
  </cellStyles>
  <dxfs count="0"/>
  <tableStyles count="0" defaultTableStyle="TableStyleMedium9" defaultPivotStyle="PivotStyleLight16"/>
  <colors>
    <mruColors>
      <color rgb="FF0000CC"/>
      <color rgb="FFCC0099"/>
      <color rgb="FF0033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Relationship Id="rId22" Type="http://schemas.openxmlformats.org/officeDocument/2006/relationships/customXml" Target="../customXml/item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Y" sz="1000" b="1">
                <a:solidFill>
                  <a:sysClr val="windowText" lastClr="000000"/>
                </a:solidFill>
              </a:rPr>
              <a:t>Distribución de</a:t>
            </a:r>
            <a:r>
              <a:rPr lang="es-PY" sz="1000" b="1" baseline="0">
                <a:solidFill>
                  <a:sysClr val="windowText" lastClr="000000"/>
                </a:solidFill>
              </a:rPr>
              <a:t> costos del Proyecto</a:t>
            </a:r>
            <a:endParaRPr lang="es-PY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735032776787278E-2"/>
          <c:y val="0.13976992342249353"/>
          <c:w val="0.91226496722321271"/>
          <c:h val="0.5745374875893322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068D-4262-8D03-D68DAAB488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068D-4262-8D03-D68DAAB488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068D-4262-8D03-D68DAAB488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68D-4262-8D03-D68DAAB488D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68D-4262-8D03-D68DAAB488D1}"/>
              </c:ext>
            </c:extLst>
          </c:dPt>
          <c:dLbls>
            <c:dLbl>
              <c:idx val="0"/>
              <c:layout>
                <c:manualLayout>
                  <c:x val="0.10035601839326347"/>
                  <c:y val="-8.82964080718722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68D-4262-8D03-D68DAAB488D1}"/>
                </c:ext>
              </c:extLst>
            </c:dLbl>
            <c:dLbl>
              <c:idx val="1"/>
              <c:layout>
                <c:manualLayout>
                  <c:x val="-4.4833122711512914E-2"/>
                  <c:y val="2.3625300969610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68D-4262-8D03-D68DAAB488D1}"/>
                </c:ext>
              </c:extLst>
            </c:dLbl>
            <c:dLbl>
              <c:idx val="2"/>
              <c:layout>
                <c:manualLayout>
                  <c:x val="-0.10474530961407602"/>
                  <c:y val="-9.3562684829685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68D-4262-8D03-D68DAAB488D1}"/>
                </c:ext>
              </c:extLst>
            </c:dLbl>
            <c:dLbl>
              <c:idx val="3"/>
              <c:layout>
                <c:manualLayout>
                  <c:x val="-4.9782735491396911E-2"/>
                  <c:y val="-3.5281953392189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68D-4262-8D03-D68DAAB488D1}"/>
                </c:ext>
              </c:extLst>
            </c:dLbl>
            <c:dLbl>
              <c:idx val="4"/>
              <c:layout>
                <c:manualLayout>
                  <c:x val="0.15815754512167454"/>
                  <c:y val="-2.1357092760099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8D-4262-8D03-D68DAAB488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'CC Gral'!$B$5:$B$9</c:f>
              <c:strCache>
                <c:ptCount val="5"/>
                <c:pt idx="0">
                  <c:v>Componente 1 - Gestión del Riesgo Sanitario</c:v>
                </c:pt>
                <c:pt idx="1">
                  <c:v>Componente 2: Ampliación de los servicios </c:v>
                </c:pt>
                <c:pt idx="2">
                  <c:v>Administración y supervisión del programa</c:v>
                </c:pt>
                <c:pt idx="3">
                  <c:v>Evaluaciones y Auditoria Externas</c:v>
                </c:pt>
                <c:pt idx="4">
                  <c:v>Imprevisto</c:v>
                </c:pt>
              </c:strCache>
            </c:strRef>
          </c:cat>
          <c:val>
            <c:numRef>
              <c:f>'CC Gral'!$D$5:$D$9</c:f>
              <c:numCache>
                <c:formatCode>0%</c:formatCode>
                <c:ptCount val="5"/>
                <c:pt idx="0">
                  <c:v>0.73433999999999999</c:v>
                </c:pt>
                <c:pt idx="1">
                  <c:v>0.19459333333333334</c:v>
                </c:pt>
                <c:pt idx="2">
                  <c:v>3.7733333333333334E-2</c:v>
                </c:pt>
                <c:pt idx="3">
                  <c:v>2.3333333333333334E-2</c:v>
                </c:pt>
                <c:pt idx="4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D-4262-8D03-D68DAAB48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2537830919294E-2"/>
          <c:y val="0.74689919958352313"/>
          <c:w val="0.9066958296879557"/>
          <c:h val="0.22555259105008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Y" sz="1000" b="1">
                <a:solidFill>
                  <a:sysClr val="windowText" lastClr="000000"/>
                </a:solidFill>
              </a:rPr>
              <a:t>Proyeccción</a:t>
            </a:r>
            <a:r>
              <a:rPr lang="es-PY" sz="1000" b="1" baseline="0">
                <a:solidFill>
                  <a:sysClr val="windowText" lastClr="000000"/>
                </a:solidFill>
              </a:rPr>
              <a:t> de ejecuión acumulado</a:t>
            </a:r>
            <a:endParaRPr lang="es-PY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rgbClr val="0000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>
                <a:solidFill>
                  <a:srgbClr val="0000CC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523269609424898E-2"/>
                  <c:y val="-0.113513537670469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CC-445B-AEB0-01A10243DD68}"/>
                </c:ext>
              </c:extLst>
            </c:dLbl>
            <c:dLbl>
              <c:idx val="1"/>
              <c:layout>
                <c:manualLayout>
                  <c:x val="-4.3338678310603007E-2"/>
                  <c:y val="-9.7297318003259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CC-445B-AEB0-01A10243DD68}"/>
                </c:ext>
              </c:extLst>
            </c:dLbl>
            <c:dLbl>
              <c:idx val="2"/>
              <c:layout>
                <c:manualLayout>
                  <c:x val="-3.8523269609424857E-2"/>
                  <c:y val="-0.105405427836864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C-445B-AEB0-01A10243DD68}"/>
                </c:ext>
              </c:extLst>
            </c:dLbl>
            <c:dLbl>
              <c:idx val="3"/>
              <c:layout>
                <c:manualLayout>
                  <c:x val="-4.0930973960013994E-2"/>
                  <c:y val="-0.105405427836864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CC-445B-AEB0-01A10243DD68}"/>
                </c:ext>
              </c:extLst>
            </c:dLbl>
            <c:dLbl>
              <c:idx val="4"/>
              <c:layout>
                <c:manualLayout>
                  <c:x val="-4.3338678310602959E-2"/>
                  <c:y val="-9.7297318003259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C-445B-AEB0-01A10243DD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'CC Gral'!$F$4:$J$4</c:f>
              <c:strCache>
                <c:ptCount val="5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</c:strCache>
            </c:strRef>
          </c:xVal>
          <c:yVal>
            <c:numRef>
              <c:f>'CC Gral'!$F$12:$J$12</c:f>
              <c:numCache>
                <c:formatCode>0%</c:formatCode>
                <c:ptCount val="5"/>
                <c:pt idx="0">
                  <c:v>7.9410888888888906E-2</c:v>
                </c:pt>
                <c:pt idx="1">
                  <c:v>0.539296</c:v>
                </c:pt>
                <c:pt idx="2">
                  <c:v>0.86607777777777772</c:v>
                </c:pt>
                <c:pt idx="3">
                  <c:v>0.93635555555555561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CC-445B-AEB0-01A10243D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194688"/>
        <c:axId val="685196320"/>
      </c:scatterChart>
      <c:valAx>
        <c:axId val="685194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196320"/>
        <c:crosses val="autoZero"/>
        <c:crossBetween val="midCat"/>
      </c:valAx>
      <c:valAx>
        <c:axId val="68519632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19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</a:rPr>
              <a:t>Proyección</a:t>
            </a:r>
            <a:r>
              <a:rPr lang="en-US" sz="1000" b="1" baseline="0">
                <a:solidFill>
                  <a:sysClr val="windowText" lastClr="000000"/>
                </a:solidFill>
              </a:rPr>
              <a:t> de ejecuión por año</a:t>
            </a:r>
            <a:endParaRPr lang="en-US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400972155839355E-2"/>
                  <c:y val="-0.1285713996464793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74-4259-9650-FB4CDB30BE92}"/>
                </c:ext>
              </c:extLst>
            </c:dLbl>
            <c:dLbl>
              <c:idx val="1"/>
              <c:layout>
                <c:manualLayout>
                  <c:x val="-3.8647350345648437E-2"/>
                  <c:y val="-7.7142839787887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74-4259-9650-FB4CDB30BE92}"/>
                </c:ext>
              </c:extLst>
            </c:dLbl>
            <c:dLbl>
              <c:idx val="2"/>
              <c:layout>
                <c:manualLayout>
                  <c:x val="8.9437639726794738E-3"/>
                  <c:y val="-7.236535292285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74-4259-9650-FB4CDB30BE92}"/>
                </c:ext>
              </c:extLst>
            </c:dLbl>
            <c:dLbl>
              <c:idx val="3"/>
              <c:layout>
                <c:manualLayout>
                  <c:x val="-4.347826913885449E-2"/>
                  <c:y val="-0.102857119717183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74-4259-9650-FB4CDB30BE92}"/>
                </c:ext>
              </c:extLst>
            </c:dLbl>
            <c:dLbl>
              <c:idx val="4"/>
              <c:layout>
                <c:manualLayout>
                  <c:x val="-4.3478269138854581E-2"/>
                  <c:y val="-8.5714266430986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74-4259-9650-FB4CDB30BE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'CC Gral'!$F$4:$J$4</c:f>
              <c:strCache>
                <c:ptCount val="5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</c:strCache>
            </c:strRef>
          </c:xVal>
          <c:yVal>
            <c:numRef>
              <c:f>'CC Gral'!$F$11:$J$11</c:f>
              <c:numCache>
                <c:formatCode>0%</c:formatCode>
                <c:ptCount val="5"/>
                <c:pt idx="0">
                  <c:v>7.9410888888888906E-2</c:v>
                </c:pt>
                <c:pt idx="1">
                  <c:v>0.45988511111111113</c:v>
                </c:pt>
                <c:pt idx="2">
                  <c:v>0.32678177777777778</c:v>
                </c:pt>
                <c:pt idx="3">
                  <c:v>7.0277777777777786E-2</c:v>
                </c:pt>
                <c:pt idx="4">
                  <c:v>6.3644444444444448E-2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4-4259-9650-FB4CDB30B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197952"/>
        <c:axId val="685183808"/>
      </c:scatterChart>
      <c:valAx>
        <c:axId val="685197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183808"/>
        <c:crosses val="autoZero"/>
        <c:crossBetween val="midCat"/>
      </c:valAx>
      <c:valAx>
        <c:axId val="68518380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19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68580</xdr:rowOff>
        </xdr:from>
        <xdr:to>
          <xdr:col>19</xdr:col>
          <xdr:colOff>464820</xdr:colOff>
          <xdr:row>39</xdr:row>
          <xdr:rowOff>22860</xdr:rowOff>
        </xdr:to>
        <xdr:sp macro="" textlink="">
          <xdr:nvSpPr>
            <xdr:cNvPr id="20491" name="Object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1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87086</xdr:colOff>
      <xdr:row>10</xdr:row>
      <xdr:rowOff>207645</xdr:rowOff>
    </xdr:from>
    <xdr:to>
      <xdr:col>3</xdr:col>
      <xdr:colOff>598715</xdr:colOff>
      <xdr:row>30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23282</xdr:colOff>
      <xdr:row>22</xdr:row>
      <xdr:rowOff>27516</xdr:rowOff>
    </xdr:from>
    <xdr:to>
      <xdr:col>10</xdr:col>
      <xdr:colOff>1189566</xdr:colOff>
      <xdr:row>31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16933</xdr:colOff>
      <xdr:row>12</xdr:row>
      <xdr:rowOff>135466</xdr:rowOff>
    </xdr:from>
    <xdr:to>
      <xdr:col>11</xdr:col>
      <xdr:colOff>8465</xdr:colOff>
      <xdr:row>21</xdr:row>
      <xdr:rowOff>38099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Visio_Drawing.vsd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showGridLines="0" zoomScale="120" zoomScaleNormal="120" workbookViewId="0">
      <selection sqref="A1:C1"/>
    </sheetView>
  </sheetViews>
  <sheetFormatPr defaultColWidth="9.109375" defaultRowHeight="14.4" x14ac:dyDescent="0.3"/>
  <cols>
    <col min="1" max="1" width="13.5546875" customWidth="1"/>
    <col min="2" max="2" width="29" customWidth="1"/>
    <col min="3" max="3" width="37.44140625" customWidth="1"/>
    <col min="6" max="6" width="17.44140625" bestFit="1" customWidth="1"/>
    <col min="7" max="7" width="10.88671875" customWidth="1"/>
  </cols>
  <sheetData>
    <row r="1" spans="1:7" ht="15" thickBot="1" x14ac:dyDescent="0.35">
      <c r="A1" s="323" t="s">
        <v>754</v>
      </c>
      <c r="B1" s="323"/>
      <c r="C1" s="323"/>
      <c r="F1" s="318" t="s">
        <v>736</v>
      </c>
      <c r="G1" s="320">
        <v>43102</v>
      </c>
    </row>
    <row r="2" spans="1:7" s="42" customFormat="1" ht="15.6" thickTop="1" thickBot="1" x14ac:dyDescent="0.35">
      <c r="A2" s="271" t="s">
        <v>664</v>
      </c>
      <c r="B2" s="271" t="s">
        <v>665</v>
      </c>
      <c r="C2" s="271" t="s">
        <v>666</v>
      </c>
    </row>
    <row r="3" spans="1:7" ht="15.6" thickTop="1" thickBot="1" x14ac:dyDescent="0.35">
      <c r="A3" s="271" t="s">
        <v>59</v>
      </c>
      <c r="B3" s="272" t="s">
        <v>667</v>
      </c>
      <c r="C3" s="272"/>
    </row>
    <row r="4" spans="1:7" ht="15.6" thickTop="1" thickBot="1" x14ac:dyDescent="0.35">
      <c r="A4" s="271" t="s">
        <v>689</v>
      </c>
      <c r="B4" s="272" t="s">
        <v>690</v>
      </c>
      <c r="C4" s="272"/>
    </row>
    <row r="5" spans="1:7" ht="15.6" thickTop="1" thickBot="1" x14ac:dyDescent="0.35">
      <c r="A5" s="271" t="s">
        <v>691</v>
      </c>
      <c r="B5" s="272" t="s">
        <v>692</v>
      </c>
      <c r="C5" s="273" t="s">
        <v>668</v>
      </c>
    </row>
    <row r="6" spans="1:7" ht="15.6" thickTop="1" thickBot="1" x14ac:dyDescent="0.35">
      <c r="A6" s="271" t="s">
        <v>669</v>
      </c>
      <c r="B6" s="272" t="s">
        <v>189</v>
      </c>
      <c r="C6" s="272"/>
    </row>
    <row r="7" spans="1:7" ht="15.6" thickTop="1" thickBot="1" x14ac:dyDescent="0.35">
      <c r="A7" s="271" t="s">
        <v>670</v>
      </c>
      <c r="B7" s="272" t="s">
        <v>671</v>
      </c>
      <c r="C7" s="272"/>
    </row>
    <row r="8" spans="1:7" ht="15.6" thickTop="1" thickBot="1" x14ac:dyDescent="0.35">
      <c r="A8" s="271" t="s">
        <v>672</v>
      </c>
      <c r="B8" s="272" t="s">
        <v>673</v>
      </c>
      <c r="C8" s="273" t="s">
        <v>674</v>
      </c>
    </row>
    <row r="9" spans="1:7" ht="15.6" thickTop="1" thickBot="1" x14ac:dyDescent="0.35">
      <c r="A9" s="271" t="s">
        <v>693</v>
      </c>
      <c r="B9" s="297" t="s">
        <v>694</v>
      </c>
      <c r="C9" s="273"/>
    </row>
    <row r="10" spans="1:7" ht="15.6" thickTop="1" thickBot="1" x14ac:dyDescent="0.35">
      <c r="A10" s="271" t="s">
        <v>675</v>
      </c>
      <c r="B10" s="272" t="s">
        <v>676</v>
      </c>
      <c r="C10" s="272"/>
    </row>
    <row r="11" spans="1:7" ht="15.6" thickTop="1" thickBot="1" x14ac:dyDescent="0.35">
      <c r="A11" s="271" t="s">
        <v>677</v>
      </c>
      <c r="B11" s="272" t="s">
        <v>678</v>
      </c>
      <c r="C11" s="272"/>
    </row>
    <row r="12" spans="1:7" ht="15" thickTop="1" x14ac:dyDescent="0.3"/>
  </sheetData>
  <mergeCells count="1">
    <mergeCell ref="A1:C1"/>
  </mergeCells>
  <hyperlinks>
    <hyperlink ref="B6" location="'CC detallado'!A1" display="Cuadro de Costo Detallado" xr:uid="{00000000-0004-0000-0000-000000000000}"/>
    <hyperlink ref="B8" location="PEP!A1" display="Plan de Ejecución del Proyecto" xr:uid="{00000000-0004-0000-0000-000001000000}"/>
    <hyperlink ref="B10" location="PA!A1" display="Plan de Adquisiciones" xr:uid="{00000000-0004-0000-0000-000002000000}"/>
    <hyperlink ref="B11" location="PAI!A1" display="Plan de Adquisición Inicial" xr:uid="{00000000-0004-0000-0000-000003000000}"/>
    <hyperlink ref="B7" location="Cronograma!A1" display="Cronograma del Programa" xr:uid="{00000000-0004-0000-0000-000004000000}"/>
    <hyperlink ref="B3" location="EDT!A1" display="Estructura Desglosada de Trabajo" xr:uid="{00000000-0004-0000-0000-000005000000}"/>
    <hyperlink ref="B5" location="Resumen!A1" display="Cuadro de Costo General" xr:uid="{00000000-0004-0000-0000-000006000000}"/>
    <hyperlink ref="B9" location="'POA año 1'!A1" display="Plan Operativo Año 1" xr:uid="{00000000-0004-0000-0000-000007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87"/>
  <sheetViews>
    <sheetView showGridLines="0" tabSelected="1" zoomScale="90" zoomScaleNormal="90" workbookViewId="0">
      <pane xSplit="2" ySplit="6" topLeftCell="C73" activePane="bottomRight" state="frozen"/>
      <selection pane="topRight" activeCell="B1" sqref="B1"/>
      <selection pane="bottomLeft" activeCell="A7" sqref="A7"/>
      <selection pane="bottomRight" activeCell="B96" sqref="B96"/>
    </sheetView>
  </sheetViews>
  <sheetFormatPr defaultColWidth="9.109375" defaultRowHeight="12" outlineLevelRow="1" x14ac:dyDescent="0.3"/>
  <cols>
    <col min="1" max="1" width="8.21875" style="124" bestFit="1" customWidth="1"/>
    <col min="2" max="2" width="71.88671875" style="125" customWidth="1"/>
    <col min="3" max="3" width="18.109375" style="124" customWidth="1"/>
    <col min="4" max="4" width="14.33203125" style="125" customWidth="1"/>
    <col min="5" max="5" width="14.33203125" style="122" customWidth="1"/>
    <col min="6" max="6" width="16.5546875" style="123" customWidth="1"/>
    <col min="7" max="7" width="12.88671875" style="123" customWidth="1"/>
    <col min="8" max="8" width="14.44140625" style="123" customWidth="1"/>
    <col min="9" max="16384" width="9.109375" style="123"/>
  </cols>
  <sheetData>
    <row r="1" spans="1:6" ht="13.2" customHeight="1" x14ac:dyDescent="0.3">
      <c r="A1" s="429" t="s">
        <v>754</v>
      </c>
      <c r="B1" s="429"/>
      <c r="C1" s="429"/>
      <c r="D1" s="429"/>
      <c r="E1" s="429"/>
    </row>
    <row r="2" spans="1:6" ht="13.2" customHeight="1" x14ac:dyDescent="0.3">
      <c r="A2" s="429" t="s">
        <v>396</v>
      </c>
      <c r="B2" s="429"/>
      <c r="C2" s="429"/>
      <c r="D2" s="429"/>
      <c r="E2" s="429"/>
    </row>
    <row r="3" spans="1:6" x14ac:dyDescent="0.3">
      <c r="A3" s="314"/>
      <c r="B3" s="315" t="s">
        <v>344</v>
      </c>
    </row>
    <row r="4" spans="1:6" x14ac:dyDescent="0.3">
      <c r="A4" s="314"/>
      <c r="B4" s="315" t="s">
        <v>345</v>
      </c>
    </row>
    <row r="6" spans="1:6" s="128" customFormat="1" ht="24" x14ac:dyDescent="0.3">
      <c r="A6" s="126" t="s">
        <v>735</v>
      </c>
      <c r="B6" s="126" t="s">
        <v>230</v>
      </c>
      <c r="C6" s="126" t="s">
        <v>397</v>
      </c>
      <c r="D6" s="126" t="s">
        <v>398</v>
      </c>
      <c r="E6" s="127" t="s">
        <v>399</v>
      </c>
    </row>
    <row r="7" spans="1:6" x14ac:dyDescent="0.3">
      <c r="A7" s="129"/>
      <c r="B7" s="129" t="s">
        <v>193</v>
      </c>
      <c r="C7" s="130"/>
      <c r="D7" s="130"/>
      <c r="E7" s="136">
        <f>E8</f>
        <v>3380000</v>
      </c>
      <c r="F7" s="132"/>
    </row>
    <row r="8" spans="1:6" outlineLevel="1" x14ac:dyDescent="0.3">
      <c r="A8" s="134" t="str">
        <f>PA!D10</f>
        <v>1.6.1</v>
      </c>
      <c r="B8" s="430" t="str">
        <f>PA!C10</f>
        <v>Contratación de firma constructora para la construcción de obras para SENACSA</v>
      </c>
      <c r="C8" s="433" t="str">
        <f>PA!E10</f>
        <v>LPI</v>
      </c>
      <c r="D8" s="436" t="str">
        <f>PA!M10</f>
        <v>T3 - Año 1</v>
      </c>
      <c r="E8" s="439">
        <f>PA!H10</f>
        <v>3380000</v>
      </c>
    </row>
    <row r="9" spans="1:6" outlineLevel="1" x14ac:dyDescent="0.3">
      <c r="A9" s="134" t="str">
        <f>PA!D11</f>
        <v>1.6.2</v>
      </c>
      <c r="B9" s="431"/>
      <c r="C9" s="434"/>
      <c r="D9" s="437"/>
      <c r="E9" s="440"/>
    </row>
    <row r="10" spans="1:6" outlineLevel="1" x14ac:dyDescent="0.3">
      <c r="A10" s="134" t="str">
        <f>PA!D12</f>
        <v>1.6.3</v>
      </c>
      <c r="B10" s="432"/>
      <c r="C10" s="435"/>
      <c r="D10" s="438"/>
      <c r="E10" s="441"/>
    </row>
    <row r="11" spans="1:6" x14ac:dyDescent="0.3">
      <c r="A11" s="129"/>
      <c r="B11" s="129" t="s">
        <v>214</v>
      </c>
      <c r="C11" s="130"/>
      <c r="D11" s="131"/>
      <c r="E11" s="136">
        <f>SUM(E12:E26)</f>
        <v>3862500</v>
      </c>
      <c r="F11" s="132"/>
    </row>
    <row r="12" spans="1:6" outlineLevel="1" x14ac:dyDescent="0.3">
      <c r="A12" s="306" t="str">
        <f>PA!D18</f>
        <v>1.2.2</v>
      </c>
      <c r="B12" s="133" t="str">
        <f>PA!C18</f>
        <v>Adquisición de equipos</v>
      </c>
      <c r="C12" s="311" t="str">
        <f>PA!E18</f>
        <v>LPI</v>
      </c>
      <c r="D12" s="134" t="str">
        <f>PA!M18</f>
        <v>T1 - Año 2</v>
      </c>
      <c r="E12" s="135">
        <f>PA!H18</f>
        <v>330000</v>
      </c>
      <c r="F12" s="132"/>
    </row>
    <row r="13" spans="1:6" outlineLevel="1" x14ac:dyDescent="0.3">
      <c r="A13" s="306" t="str">
        <f>PA!D19</f>
        <v>1.3.5</v>
      </c>
      <c r="B13" s="133" t="str">
        <f>PA!C19</f>
        <v>Equipamientos puntos de ingreso y puestos de control</v>
      </c>
      <c r="C13" s="311" t="str">
        <f>PA!E19</f>
        <v>LPN</v>
      </c>
      <c r="D13" s="134" t="str">
        <f>PA!M19</f>
        <v>T1 - Año 4</v>
      </c>
      <c r="E13" s="135">
        <f>PA!H19</f>
        <v>100000</v>
      </c>
      <c r="F13" s="132"/>
    </row>
    <row r="14" spans="1:6" outlineLevel="1" x14ac:dyDescent="0.3">
      <c r="A14" s="306" t="str">
        <f>PA!D20</f>
        <v>1.4.5</v>
      </c>
      <c r="B14" s="133" t="str">
        <f>PA!C20</f>
        <v>Equipamiento de depósitos de productos de emergencia</v>
      </c>
      <c r="C14" s="311" t="str">
        <f>PA!E20</f>
        <v>SBE</v>
      </c>
      <c r="D14" s="134" t="str">
        <f>PA!M20</f>
        <v>T1 - Año 4</v>
      </c>
      <c r="E14" s="135">
        <f>PA!H20</f>
        <v>60000</v>
      </c>
      <c r="F14" s="132"/>
    </row>
    <row r="15" spans="1:6" outlineLevel="1" x14ac:dyDescent="0.3">
      <c r="A15" s="306" t="str">
        <f>PA!D21</f>
        <v>1.4.6</v>
      </c>
      <c r="B15" s="133" t="str">
        <f>PA!C21</f>
        <v>Insumos de ejercicios de simulación</v>
      </c>
      <c r="C15" s="311" t="str">
        <f>PA!E21</f>
        <v>LPN</v>
      </c>
      <c r="D15" s="134" t="str">
        <f>PA!M21</f>
        <v>T2 - Año 1</v>
      </c>
      <c r="E15" s="135">
        <f>PA!H21</f>
        <v>150000</v>
      </c>
      <c r="F15" s="132"/>
    </row>
    <row r="16" spans="1:6" outlineLevel="1" x14ac:dyDescent="0.3">
      <c r="A16" s="306" t="str">
        <f>PA!D22</f>
        <v>1.4.7</v>
      </c>
      <c r="B16" s="133" t="str">
        <f>PA!C22</f>
        <v>Formación Banco de vacunas de Fiebre aftosa</v>
      </c>
      <c r="C16" s="311" t="str">
        <f>PA!E22</f>
        <v>LPI</v>
      </c>
      <c r="D16" s="134" t="str">
        <f>PA!M22</f>
        <v>T4 - Año 4</v>
      </c>
      <c r="E16" s="135">
        <f>PA!H22</f>
        <v>100000</v>
      </c>
      <c r="F16" s="132"/>
    </row>
    <row r="17" spans="1:6" outlineLevel="1" x14ac:dyDescent="0.3">
      <c r="A17" s="306" t="str">
        <f>PA!D23</f>
        <v>1.5.3</v>
      </c>
      <c r="B17" s="133" t="str">
        <f>PA!C23</f>
        <v>Adquisición de equipamiento para DIGELAB.57 ítems</v>
      </c>
      <c r="C17" s="311" t="str">
        <f>PA!E23</f>
        <v>LPI</v>
      </c>
      <c r="D17" s="134" t="str">
        <f>PA!M23</f>
        <v>T3 - Año 1</v>
      </c>
      <c r="E17" s="135">
        <f>PA!H23</f>
        <v>2307500</v>
      </c>
      <c r="F17" s="132"/>
    </row>
    <row r="18" spans="1:6" outlineLevel="1" x14ac:dyDescent="0.3">
      <c r="A18" s="306" t="str">
        <f>PA!D24</f>
        <v>1.6.5</v>
      </c>
      <c r="B18" s="133" t="str">
        <f>PA!C24</f>
        <v>Controles Móviles</v>
      </c>
      <c r="C18" s="311" t="str">
        <f>PA!E24</f>
        <v>LPI</v>
      </c>
      <c r="D18" s="134" t="str">
        <f>PA!M24</f>
        <v>T1 - Año 2</v>
      </c>
      <c r="E18" s="135">
        <f>PA!H24</f>
        <v>300000</v>
      </c>
      <c r="F18" s="132"/>
    </row>
    <row r="19" spans="1:6" outlineLevel="1" x14ac:dyDescent="0.3">
      <c r="A19" s="306" t="str">
        <f>PA!D25</f>
        <v>1.8.3</v>
      </c>
      <c r="B19" s="133" t="str">
        <f>PA!C25</f>
        <v>Toma de muestra de hallazgos de matadero y envío a laboratorio</v>
      </c>
      <c r="C19" s="312" t="str">
        <f>PA!E25</f>
        <v>CP</v>
      </c>
      <c r="D19" s="134" t="str">
        <f>PA!M25</f>
        <v>T2 - Año 3</v>
      </c>
      <c r="E19" s="135">
        <f>PA!H25</f>
        <v>20000</v>
      </c>
      <c r="F19" s="132"/>
    </row>
    <row r="20" spans="1:6" outlineLevel="1" x14ac:dyDescent="0.3">
      <c r="A20" s="306" t="str">
        <f>PA!D26</f>
        <v>2.2.5</v>
      </c>
      <c r="B20" s="133" t="str">
        <f>PA!C26</f>
        <v>Vacunación brucelosis caprina</v>
      </c>
      <c r="C20" s="312" t="str">
        <f>PA!E26</f>
        <v>LPN</v>
      </c>
      <c r="D20" s="134" t="str">
        <f>PA!M26</f>
        <v>T4 - Año 2</v>
      </c>
      <c r="E20" s="135">
        <f>PA!H26</f>
        <v>95000</v>
      </c>
      <c r="F20" s="132"/>
    </row>
    <row r="21" spans="1:6" outlineLevel="1" x14ac:dyDescent="0.3">
      <c r="A21" s="306" t="str">
        <f>PA!D27</f>
        <v>2.2.6</v>
      </c>
      <c r="B21" s="133" t="str">
        <f>PA!C27</f>
        <v>Kits y materiales (938 para ovinos, 4.583 de suinos, 730 de caprinos)</v>
      </c>
      <c r="C21" s="312" t="str">
        <f>PA!E27</f>
        <v>LPI</v>
      </c>
      <c r="D21" s="134" t="str">
        <f>PA!M27</f>
        <v>T1 - Año 3</v>
      </c>
      <c r="E21" s="135">
        <f>PA!H27</f>
        <v>250000</v>
      </c>
      <c r="F21" s="132"/>
    </row>
    <row r="22" spans="1:6" outlineLevel="1" x14ac:dyDescent="0.3">
      <c r="A22" s="306" t="str">
        <f>PA!D28</f>
        <v>2.3.6</v>
      </c>
      <c r="B22" s="133" t="str">
        <f>PA!C28</f>
        <v>Monitoreo seroepidemiológico Influenza Aviar y molecular para New Castle</v>
      </c>
      <c r="C22" s="312" t="str">
        <f>PA!E28</f>
        <v>CP</v>
      </c>
      <c r="D22" s="134" t="str">
        <f>PA!M28</f>
        <v>T1 - Año 2</v>
      </c>
      <c r="E22" s="135">
        <f>PA!H28</f>
        <v>50000</v>
      </c>
      <c r="F22" s="132"/>
    </row>
    <row r="23" spans="1:6" outlineLevel="1" x14ac:dyDescent="0.3">
      <c r="A23" s="306" t="str">
        <f>PA!D29</f>
        <v>2.3.8</v>
      </c>
      <c r="B23" s="448" t="str">
        <f>PA!C29</f>
        <v>Adquisición vacunas</v>
      </c>
      <c r="C23" s="444" t="str">
        <f>PA!E29</f>
        <v>CP</v>
      </c>
      <c r="D23" s="451" t="str">
        <f>PA!M29</f>
        <v>T2 - Año 3</v>
      </c>
      <c r="E23" s="439">
        <f>PA!H29</f>
        <v>15000</v>
      </c>
      <c r="F23" s="132"/>
    </row>
    <row r="24" spans="1:6" ht="12" customHeight="1" outlineLevel="1" x14ac:dyDescent="0.3">
      <c r="A24" s="306" t="str">
        <f>PA!D30</f>
        <v>2.3.9</v>
      </c>
      <c r="B24" s="449"/>
      <c r="C24" s="450"/>
      <c r="D24" s="452"/>
      <c r="E24" s="441"/>
      <c r="F24" s="132"/>
    </row>
    <row r="25" spans="1:6" ht="24" outlineLevel="1" x14ac:dyDescent="0.3">
      <c r="A25" s="306" t="str">
        <f>PA!D31</f>
        <v>2.6.6</v>
      </c>
      <c r="B25" s="133" t="str">
        <f>PA!C31</f>
        <v xml:space="preserve">Infraestructura de comunicaciones y equipamiento de unidades zonales para mejorar la disponibilidad, previendo sistemas de redundancia. </v>
      </c>
      <c r="C25" s="312" t="str">
        <f>PA!E31</f>
        <v>SBE</v>
      </c>
      <c r="D25" s="134" t="str">
        <f>PA!M31</f>
        <v>T2 - Año 1</v>
      </c>
      <c r="E25" s="135">
        <f>PA!H31</f>
        <v>60000</v>
      </c>
      <c r="F25" s="132"/>
    </row>
    <row r="26" spans="1:6" outlineLevel="1" x14ac:dyDescent="0.3">
      <c r="A26" s="306" t="str">
        <f>PA!D32</f>
        <v>2.6.7</v>
      </c>
      <c r="B26" s="133" t="str">
        <f>PA!C32</f>
        <v>Adquisición de nuevas licencias de Bases de Datos</v>
      </c>
      <c r="C26" s="312" t="str">
        <f>PA!E32</f>
        <v>SBE</v>
      </c>
      <c r="D26" s="134" t="str">
        <f>PA!M32</f>
        <v>T2 - Año 1</v>
      </c>
      <c r="E26" s="135">
        <f>PA!H32</f>
        <v>25000</v>
      </c>
      <c r="F26" s="132"/>
    </row>
    <row r="27" spans="1:6" x14ac:dyDescent="0.3">
      <c r="A27" s="129"/>
      <c r="B27" s="129" t="s">
        <v>400</v>
      </c>
      <c r="C27" s="130"/>
      <c r="D27" s="130"/>
      <c r="E27" s="136">
        <f>SUM(E28:E31)</f>
        <v>895500</v>
      </c>
      <c r="F27" s="132"/>
    </row>
    <row r="28" spans="1:6" outlineLevel="1" x14ac:dyDescent="0.3">
      <c r="A28" s="307"/>
      <c r="B28" s="138" t="str">
        <f>PA!C38</f>
        <v>Contratación de servicio de apoyo logístico para capacitaciones, talleres y seminarios</v>
      </c>
      <c r="C28" s="145" t="str">
        <f>PA!E38</f>
        <v>LPI</v>
      </c>
      <c r="D28" s="145" t="str">
        <f>PA!M38</f>
        <v>T2 - Año 1</v>
      </c>
      <c r="E28" s="135">
        <f>PA!H38</f>
        <v>285500</v>
      </c>
      <c r="F28" s="132"/>
    </row>
    <row r="29" spans="1:6" outlineLevel="1" x14ac:dyDescent="0.3">
      <c r="A29" s="307" t="str">
        <f>PA!D49</f>
        <v>1.7.4</v>
      </c>
      <c r="B29" s="138" t="str">
        <f>PA!C49</f>
        <v>Edición y difusión de materiales</v>
      </c>
      <c r="C29" s="145" t="str">
        <f>PA!E49</f>
        <v>SBE</v>
      </c>
      <c r="D29" s="145" t="str">
        <f>PA!M49</f>
        <v>T4 - Año 1</v>
      </c>
      <c r="E29" s="135">
        <f>PA!H49</f>
        <v>50000</v>
      </c>
      <c r="F29" s="132"/>
    </row>
    <row r="30" spans="1:6" outlineLevel="1" x14ac:dyDescent="0.3">
      <c r="A30" s="307" t="str">
        <f>PA!D50</f>
        <v>1.8.1</v>
      </c>
      <c r="B30" s="138" t="str">
        <f>PA!C51</f>
        <v>Operación del sistema de monitoreo con envío de muestras</v>
      </c>
      <c r="C30" s="145" t="str">
        <f>PA!E50</f>
        <v>LPI</v>
      </c>
      <c r="D30" s="145" t="str">
        <f>PA!M49</f>
        <v>T4 - Año 1</v>
      </c>
      <c r="E30" s="135">
        <f>PA!H51</f>
        <v>20000</v>
      </c>
      <c r="F30" s="132"/>
    </row>
    <row r="31" spans="1:6" outlineLevel="1" x14ac:dyDescent="0.3">
      <c r="A31" s="307" t="str">
        <f>PA!D51</f>
        <v>2.3.3</v>
      </c>
      <c r="B31" s="138" t="str">
        <f>PA!C50</f>
        <v>Contratación de los servicios de saneamiento de establecimientos infectados</v>
      </c>
      <c r="C31" s="145" t="str">
        <f>PA!E50</f>
        <v>LPI</v>
      </c>
      <c r="D31" s="145" t="str">
        <f>PA!M51</f>
        <v>T3 - Año 2</v>
      </c>
      <c r="E31" s="135">
        <f>PA!H50</f>
        <v>540000</v>
      </c>
      <c r="F31" s="132"/>
    </row>
    <row r="32" spans="1:6" x14ac:dyDescent="0.3">
      <c r="A32" s="129"/>
      <c r="B32" s="129" t="s">
        <v>401</v>
      </c>
      <c r="C32" s="130"/>
      <c r="D32" s="131"/>
      <c r="E32" s="136">
        <f>SUM(E33:E47)</f>
        <v>4535500</v>
      </c>
      <c r="F32" s="132"/>
    </row>
    <row r="33" spans="1:6" outlineLevel="1" x14ac:dyDescent="0.3">
      <c r="A33" s="306" t="str">
        <f>PA!D57</f>
        <v>1.1.2</v>
      </c>
      <c r="B33" s="316" t="str">
        <f>PA!C57</f>
        <v>Desarrollo e implementación del sistema</v>
      </c>
      <c r="C33" s="313" t="str">
        <f>PA!E57</f>
        <v>SCC</v>
      </c>
      <c r="D33" s="134" t="str">
        <f>PA!L57</f>
        <v>T4 - Año 1</v>
      </c>
      <c r="E33" s="135">
        <f>PA!G57</f>
        <v>180000</v>
      </c>
      <c r="F33" s="132"/>
    </row>
    <row r="34" spans="1:6" outlineLevel="1" x14ac:dyDescent="0.3">
      <c r="A34" s="306" t="str">
        <f>PA!D58</f>
        <v>1.2.4</v>
      </c>
      <c r="B34" s="317" t="str">
        <f>PA!C58</f>
        <v>Desarrollo de sistemas de gestión de información (incluye capacitación)</v>
      </c>
      <c r="C34" s="312" t="str">
        <f>PA!E58</f>
        <v>SCC</v>
      </c>
      <c r="D34" s="134" t="str">
        <f>PA!L58</f>
        <v>T1 - Año 2</v>
      </c>
      <c r="E34" s="135">
        <f>PA!G58</f>
        <v>100000</v>
      </c>
      <c r="F34" s="132"/>
    </row>
    <row r="35" spans="1:6" outlineLevel="1" x14ac:dyDescent="0.3">
      <c r="A35" s="306" t="str">
        <f>PA!D59</f>
        <v>1.5.1</v>
      </c>
      <c r="B35" s="317" t="str">
        <f>PA!C59</f>
        <v>Desarrollo e instalación de un sistema informático para Gestión de Laboratorio.</v>
      </c>
      <c r="C35" s="312" t="str">
        <f>PA!E59</f>
        <v>SBCC</v>
      </c>
      <c r="D35" s="134" t="str">
        <f>PA!L59</f>
        <v>T2 - Año 1</v>
      </c>
      <c r="E35" s="135">
        <f>PA!G59</f>
        <v>250000</v>
      </c>
      <c r="F35" s="132"/>
    </row>
    <row r="36" spans="1:6" outlineLevel="1" x14ac:dyDescent="0.3">
      <c r="A36" s="306" t="str">
        <f>PA!D60</f>
        <v>1.6.4</v>
      </c>
      <c r="B36" s="317" t="str">
        <f>PA!C60</f>
        <v>Fiscalización de obras</v>
      </c>
      <c r="C36" s="312" t="str">
        <f>PA!E60</f>
        <v>SBCC</v>
      </c>
      <c r="D36" s="134" t="str">
        <f>PA!L60</f>
        <v>T2 - Año 1</v>
      </c>
      <c r="E36" s="135">
        <f>PA!G60</f>
        <v>236600.00000000003</v>
      </c>
      <c r="F36" s="132"/>
    </row>
    <row r="37" spans="1:6" outlineLevel="1" x14ac:dyDescent="0.3">
      <c r="A37" s="306" t="str">
        <f>PA!D61</f>
        <v>1.7.1</v>
      </c>
      <c r="B37" s="317" t="str">
        <f>PA!C61</f>
        <v>Desarrollo de software para Trazabilidad</v>
      </c>
      <c r="C37" s="312" t="str">
        <f>PA!E61</f>
        <v>SBCC</v>
      </c>
      <c r="D37" s="134" t="str">
        <f>PA!L61</f>
        <v>T2 - Año 1</v>
      </c>
      <c r="E37" s="135">
        <f>PA!G61</f>
        <v>1830000</v>
      </c>
      <c r="F37" s="132"/>
    </row>
    <row r="38" spans="1:6" outlineLevel="1" x14ac:dyDescent="0.3">
      <c r="A38" s="306" t="str">
        <f>PA!D62</f>
        <v>1.9.1</v>
      </c>
      <c r="B38" s="317" t="str">
        <f>PA!C62</f>
        <v>Contratación de firma para de desarrollo de cursos (nivel estratégico, táctico, operativo)</v>
      </c>
      <c r="C38" s="312" t="str">
        <f>PA!E62</f>
        <v>SBCC</v>
      </c>
      <c r="D38" s="134" t="str">
        <f>PA!L62</f>
        <v>T3 - Año 1</v>
      </c>
      <c r="E38" s="135">
        <f>PA!G62</f>
        <v>100000</v>
      </c>
      <c r="F38" s="132"/>
    </row>
    <row r="39" spans="1:6" outlineLevel="1" x14ac:dyDescent="0.3">
      <c r="A39" s="306" t="str">
        <f>PA!D63</f>
        <v>1.9.2</v>
      </c>
      <c r="B39" s="317" t="str">
        <f>PA!C63</f>
        <v>Programa de modernización organizacional</v>
      </c>
      <c r="C39" s="312" t="str">
        <f>PA!E63</f>
        <v>SBCC</v>
      </c>
      <c r="D39" s="134" t="str">
        <f>PA!L63</f>
        <v>T3 - Año 1</v>
      </c>
      <c r="E39" s="135">
        <f>PA!G63</f>
        <v>300000</v>
      </c>
      <c r="F39" s="132"/>
    </row>
    <row r="40" spans="1:6" outlineLevel="1" x14ac:dyDescent="0.3">
      <c r="A40" s="306" t="str">
        <f>PA!D64</f>
        <v>2.1.2</v>
      </c>
      <c r="B40" s="317" t="str">
        <f>PA!C64</f>
        <v>Instrumentar registro</v>
      </c>
      <c r="C40" s="312" t="str">
        <f>PA!E64</f>
        <v>SBCC</v>
      </c>
      <c r="D40" s="134" t="str">
        <f>PA!L64</f>
        <v>T3 - Año 1</v>
      </c>
      <c r="E40" s="135">
        <f>PA!G64</f>
        <v>303900</v>
      </c>
      <c r="F40" s="132"/>
    </row>
    <row r="41" spans="1:6" ht="36" outlineLevel="1" x14ac:dyDescent="0.3">
      <c r="A41" s="306" t="str">
        <f>PA!D65</f>
        <v>2.6.1</v>
      </c>
      <c r="B41" s="317" t="str">
        <f>PA!C65</f>
        <v>Modelado y rediseño de todos los procesos de negocio vinculados a las tramitaciones; revisión de costos y tiempos; diseño de indicadores y medición de línea de base y Plan de fortalecimiento de capacidades</v>
      </c>
      <c r="C41" s="312" t="str">
        <f>PA!E65</f>
        <v>SBCC</v>
      </c>
      <c r="D41" s="134" t="str">
        <f>PA!L65</f>
        <v>T2 - Año 1</v>
      </c>
      <c r="E41" s="135">
        <f>PA!G65</f>
        <v>180000</v>
      </c>
      <c r="F41" s="132"/>
    </row>
    <row r="42" spans="1:6" ht="12" customHeight="1" outlineLevel="1" x14ac:dyDescent="0.3">
      <c r="A42" s="306" t="str">
        <f>PA!D66</f>
        <v>2.6.2</v>
      </c>
      <c r="B42" s="442" t="str">
        <f>PA!C66</f>
        <v>Diseño y desarrollo de nuevas prestaciones del SIGOR, plan de seguridad de sistemas y firma electrónica</v>
      </c>
      <c r="C42" s="444" t="str">
        <f>PA!E66</f>
        <v>SBCC</v>
      </c>
      <c r="D42" s="446" t="str">
        <f>PA!L66</f>
        <v>T4 - Año 1</v>
      </c>
      <c r="E42" s="439">
        <f>PA!G66</f>
        <v>705000</v>
      </c>
      <c r="F42" s="132"/>
    </row>
    <row r="43" spans="1:6" ht="12" customHeight="1" outlineLevel="1" x14ac:dyDescent="0.3">
      <c r="A43" s="306" t="str">
        <f>PA!D67</f>
        <v>2.6.3</v>
      </c>
      <c r="B43" s="443">
        <f>PA!C67</f>
        <v>0</v>
      </c>
      <c r="C43" s="445">
        <f>PA!E67</f>
        <v>0</v>
      </c>
      <c r="D43" s="447"/>
      <c r="E43" s="441"/>
      <c r="F43" s="132"/>
    </row>
    <row r="44" spans="1:6" outlineLevel="1" x14ac:dyDescent="0.3">
      <c r="A44" s="306" t="str">
        <f>PA!D68</f>
        <v>4.1.1</v>
      </c>
      <c r="B44" s="317" t="str">
        <f>PA!C68</f>
        <v>Evaluación Intermedia</v>
      </c>
      <c r="C44" s="312" t="str">
        <f>PA!E68</f>
        <v>SCC</v>
      </c>
      <c r="D44" s="134" t="str">
        <f>PA!L68</f>
        <v>T1 - Año 3</v>
      </c>
      <c r="E44" s="135">
        <f>PA!G68</f>
        <v>20000</v>
      </c>
      <c r="F44" s="132"/>
    </row>
    <row r="45" spans="1:6" outlineLevel="1" x14ac:dyDescent="0.3">
      <c r="A45" s="306" t="str">
        <f>PA!D69</f>
        <v>4.1.2</v>
      </c>
      <c r="B45" s="317" t="str">
        <f>PA!C69</f>
        <v>Evaluación Final</v>
      </c>
      <c r="C45" s="312" t="str">
        <f>PA!E69</f>
        <v>SCC</v>
      </c>
      <c r="D45" s="134" t="str">
        <f>PA!L69</f>
        <v>T1 - Año 5</v>
      </c>
      <c r="E45" s="135">
        <f>PA!G69</f>
        <v>30000</v>
      </c>
      <c r="F45" s="132"/>
    </row>
    <row r="46" spans="1:6" outlineLevel="1" x14ac:dyDescent="0.3">
      <c r="A46" s="306" t="str">
        <f>PA!D70</f>
        <v>4.1.3</v>
      </c>
      <c r="B46" s="317" t="str">
        <f>PA!C70</f>
        <v>Evaluación de Impacto</v>
      </c>
      <c r="C46" s="312" t="str">
        <f>PA!E70</f>
        <v>SCC</v>
      </c>
      <c r="D46" s="134" t="str">
        <f>PA!L70</f>
        <v>T1 - Año 5</v>
      </c>
      <c r="E46" s="135">
        <f>PA!G70</f>
        <v>100000</v>
      </c>
      <c r="F46" s="132"/>
    </row>
    <row r="47" spans="1:6" outlineLevel="1" x14ac:dyDescent="0.3">
      <c r="A47" s="306" t="str">
        <f>PA!D71</f>
        <v>4.2.1</v>
      </c>
      <c r="B47" s="317" t="str">
        <f>PA!C71</f>
        <v>Auditoria Externa del Programa</v>
      </c>
      <c r="C47" s="312" t="str">
        <f>PA!E71</f>
        <v>SBCC</v>
      </c>
      <c r="D47" s="134" t="str">
        <f>PA!L71</f>
        <v>T2 - Año 1</v>
      </c>
      <c r="E47" s="135">
        <f>PA!G71</f>
        <v>200000</v>
      </c>
      <c r="F47" s="132"/>
    </row>
    <row r="48" spans="1:6" x14ac:dyDescent="0.3">
      <c r="A48" s="129"/>
      <c r="B48" s="129" t="s">
        <v>402</v>
      </c>
      <c r="C48" s="131"/>
      <c r="D48" s="131"/>
      <c r="E48" s="136">
        <f>SUM(E49:E77)</f>
        <v>1232500</v>
      </c>
      <c r="F48" s="132"/>
    </row>
    <row r="49" spans="1:5" outlineLevel="1" x14ac:dyDescent="0.3">
      <c r="A49" s="308" t="str">
        <f>PA!D77</f>
        <v>1.1.1</v>
      </c>
      <c r="B49" s="139" t="str">
        <f>PA!C77</f>
        <v>Diseño del SISA integrado</v>
      </c>
      <c r="C49" s="137" t="str">
        <f>PA!E77</f>
        <v>3CV</v>
      </c>
      <c r="D49" s="137" t="str">
        <f>PA!M77</f>
        <v>T2 - Año 1</v>
      </c>
      <c r="E49" s="135">
        <f>PA!G77</f>
        <v>30000</v>
      </c>
    </row>
    <row r="50" spans="1:5" outlineLevel="1" x14ac:dyDescent="0.3">
      <c r="A50" s="308" t="str">
        <f>PA!D78</f>
        <v>1.1.3</v>
      </c>
      <c r="B50" s="139" t="str">
        <f>PA!C78</f>
        <v>Contratación Expertos</v>
      </c>
      <c r="C50" s="137" t="str">
        <f>PA!E78</f>
        <v>3CV</v>
      </c>
      <c r="D50" s="137" t="str">
        <f>PA!M78</f>
        <v>T1 - Año 3</v>
      </c>
      <c r="E50" s="135">
        <f>PA!G78</f>
        <v>8000</v>
      </c>
    </row>
    <row r="51" spans="1:5" outlineLevel="1" x14ac:dyDescent="0.3">
      <c r="A51" s="308" t="str">
        <f>PA!D79</f>
        <v>1.2.1</v>
      </c>
      <c r="B51" s="139" t="str">
        <f>PA!C79</f>
        <v>Consultoría para establecimiento de la red (incluye diseño)</v>
      </c>
      <c r="C51" s="137" t="str">
        <f>PA!E79</f>
        <v>3CV</v>
      </c>
      <c r="D51" s="137" t="str">
        <f>PA!M79</f>
        <v>T4 - Año 1</v>
      </c>
      <c r="E51" s="135">
        <f>PA!G79</f>
        <v>30000</v>
      </c>
    </row>
    <row r="52" spans="1:5" outlineLevel="1" x14ac:dyDescent="0.3">
      <c r="A52" s="308" t="str">
        <f>PA!D80</f>
        <v>1.2.3</v>
      </c>
      <c r="B52" s="139" t="str">
        <f>PA!C80</f>
        <v>Consultoría propuesta sistemas de información</v>
      </c>
      <c r="C52" s="137" t="str">
        <f>PA!E80</f>
        <v>3CV</v>
      </c>
      <c r="D52" s="137" t="str">
        <f>PA!M80</f>
        <v>T4 - Año 1</v>
      </c>
      <c r="E52" s="135">
        <f>PA!G80</f>
        <v>20000</v>
      </c>
    </row>
    <row r="53" spans="1:5" ht="24" outlineLevel="1" x14ac:dyDescent="0.3">
      <c r="A53" s="308" t="str">
        <f>PA!D81</f>
        <v>1.3.1</v>
      </c>
      <c r="B53" s="139" t="str">
        <f>PA!C81</f>
        <v>Consultoría de caracterización de riesgo externo y perfeccionamiento de procedimientos de inspección, decomisos y comunicación a usuarios</v>
      </c>
      <c r="C53" s="137" t="str">
        <f>PA!E81</f>
        <v>3CV</v>
      </c>
      <c r="D53" s="137" t="str">
        <f>PA!M81</f>
        <v>T2 - Año 2</v>
      </c>
      <c r="E53" s="135">
        <f>PA!G81</f>
        <v>20000</v>
      </c>
    </row>
    <row r="54" spans="1:5" outlineLevel="1" x14ac:dyDescent="0.3">
      <c r="A54" s="308" t="str">
        <f>PA!D82</f>
        <v>1.3.3</v>
      </c>
      <c r="B54" s="139" t="str">
        <f>PA!C82</f>
        <v>Consultoría proyecto Estación cuarentenaria y diseño puestos de control internacional</v>
      </c>
      <c r="C54" s="137" t="str">
        <f>PA!E82</f>
        <v>3CV</v>
      </c>
      <c r="D54" s="137" t="str">
        <f>PA!M82</f>
        <v>T1 - Año 3</v>
      </c>
      <c r="E54" s="135">
        <f>PA!G82</f>
        <v>10000</v>
      </c>
    </row>
    <row r="55" spans="1:5" outlineLevel="1" x14ac:dyDescent="0.3">
      <c r="A55" s="308" t="str">
        <f>PA!D83</f>
        <v>1.3.4</v>
      </c>
      <c r="B55" s="139" t="str">
        <f>PA!C83</f>
        <v>Diseño para adecuación puestos de control interno</v>
      </c>
      <c r="C55" s="137" t="str">
        <f>PA!E83</f>
        <v>3CV</v>
      </c>
      <c r="D55" s="137" t="str">
        <f>PA!M83</f>
        <v>T1 - Año 3</v>
      </c>
      <c r="E55" s="135">
        <f>PA!G83</f>
        <v>40000</v>
      </c>
    </row>
    <row r="56" spans="1:5" outlineLevel="1" x14ac:dyDescent="0.3">
      <c r="A56" s="308" t="str">
        <f>PA!D84</f>
        <v>1.4.1</v>
      </c>
      <c r="B56" s="139" t="str">
        <f>PA!C84</f>
        <v>Consultoría para elaborar la caracterización</v>
      </c>
      <c r="C56" s="137" t="str">
        <f>PA!E84</f>
        <v>3CV</v>
      </c>
      <c r="D56" s="137">
        <f>PA!M84</f>
        <v>0</v>
      </c>
      <c r="E56" s="135">
        <f>PA!G84</f>
        <v>40000</v>
      </c>
    </row>
    <row r="57" spans="1:5" outlineLevel="1" x14ac:dyDescent="0.3">
      <c r="A57" s="308" t="str">
        <f>PA!D85</f>
        <v>1.4.3</v>
      </c>
      <c r="B57" s="139" t="str">
        <f>PA!C85</f>
        <v>Consultoría caracterización de riesgo vulnerabilidad</v>
      </c>
      <c r="C57" s="137" t="str">
        <f>PA!E85</f>
        <v>3CV</v>
      </c>
      <c r="D57" s="137" t="str">
        <f>PA!M85</f>
        <v>T3 - Año 1</v>
      </c>
      <c r="E57" s="135">
        <f>PA!G85</f>
        <v>20000</v>
      </c>
    </row>
    <row r="58" spans="1:5" ht="24" outlineLevel="1" x14ac:dyDescent="0.3">
      <c r="A58" s="308" t="str">
        <f>PA!D86</f>
        <v>1.5.2</v>
      </c>
      <c r="B58" s="139" t="str">
        <f>PA!C86</f>
        <v>Creación de la Red de Laboratorios del SENACSA – DIGELAB. Capacitación de un profesional 30 días</v>
      </c>
      <c r="C58" s="137" t="str">
        <f>PA!E86</f>
        <v>3CV</v>
      </c>
      <c r="D58" s="137" t="str">
        <f>PA!M86</f>
        <v>T3 - Año 1</v>
      </c>
      <c r="E58" s="135">
        <f>PA!G86</f>
        <v>6500</v>
      </c>
    </row>
    <row r="59" spans="1:5" ht="24" outlineLevel="1" x14ac:dyDescent="0.3">
      <c r="A59" s="308" t="str">
        <f>PA!D87</f>
        <v>1.5.4</v>
      </c>
      <c r="B59" s="139" t="str">
        <f>PA!C87</f>
        <v>Incrementar controles de productos biológicos y producción de reactivos. Capacitación de dos profesionales de SENACSA</v>
      </c>
      <c r="C59" s="137" t="str">
        <f>PA!E87</f>
        <v>3CV</v>
      </c>
      <c r="D59" s="137" t="str">
        <f>PA!M87</f>
        <v>T3 - Año 1</v>
      </c>
      <c r="E59" s="135">
        <f>PA!G87</f>
        <v>126000</v>
      </c>
    </row>
    <row r="60" spans="1:5" outlineLevel="1" x14ac:dyDescent="0.3">
      <c r="A60" s="308" t="str">
        <f>PA!D88</f>
        <v>1.7.2</v>
      </c>
      <c r="B60" s="139" t="str">
        <f>PA!C88</f>
        <v>Plan de implementación</v>
      </c>
      <c r="C60" s="137" t="str">
        <f>PA!E88</f>
        <v>3CV</v>
      </c>
      <c r="D60" s="137" t="str">
        <f>PA!M88</f>
        <v>T4 - Año 1</v>
      </c>
      <c r="E60" s="135">
        <f>PA!G88</f>
        <v>40000</v>
      </c>
    </row>
    <row r="61" spans="1:5" outlineLevel="1" x14ac:dyDescent="0.3">
      <c r="A61" s="308" t="str">
        <f>PA!D89</f>
        <v>1.8.2</v>
      </c>
      <c r="B61" s="139" t="str">
        <f>PA!C89</f>
        <v>Consultoría para elaboración diagnóstico situación y elaboración de programa</v>
      </c>
      <c r="C61" s="137" t="str">
        <f>PA!E89</f>
        <v>3CV</v>
      </c>
      <c r="D61" s="137" t="str">
        <f>PA!M89</f>
        <v>T3 - Año 3</v>
      </c>
      <c r="E61" s="135">
        <f>PA!G89</f>
        <v>20000</v>
      </c>
    </row>
    <row r="62" spans="1:5" outlineLevel="1" x14ac:dyDescent="0.3">
      <c r="A62" s="308" t="str">
        <f>PA!D90</f>
        <v>2.1.1</v>
      </c>
      <c r="B62" s="139" t="str">
        <f>PA!C90</f>
        <v>Elaboración de Términos de referencia y borrador de contrato para firma</v>
      </c>
      <c r="C62" s="137" t="str">
        <f>PA!E90</f>
        <v>3CV</v>
      </c>
      <c r="D62" s="137" t="str">
        <f>PA!M90</f>
        <v>T2 - Año 1</v>
      </c>
      <c r="E62" s="135">
        <f>PA!G90</f>
        <v>10000</v>
      </c>
    </row>
    <row r="63" spans="1:5" outlineLevel="1" x14ac:dyDescent="0.3">
      <c r="A63" s="308" t="str">
        <f>PA!D91</f>
        <v>2.1.3</v>
      </c>
      <c r="B63" s="139" t="str">
        <f>PA!C91</f>
        <v>Diseño y Difusión - Declaración Jurada y Planillas de Exist. y Trat. Sanitarios</v>
      </c>
      <c r="C63" s="137" t="str">
        <f>PA!E91</f>
        <v>3CV</v>
      </c>
      <c r="D63" s="137" t="str">
        <f>PA!M91</f>
        <v>T4 - Año 2</v>
      </c>
      <c r="E63" s="135">
        <f>PA!G91</f>
        <v>5000</v>
      </c>
    </row>
    <row r="64" spans="1:5" outlineLevel="1" x14ac:dyDescent="0.3">
      <c r="A64" s="308" t="str">
        <f>PA!D92</f>
        <v>2.1.4</v>
      </c>
      <c r="B64" s="139" t="str">
        <f>PA!C92</f>
        <v>Análisis de datos - Declaración Jurada y Planillas de Exist. y Trat. Sanitarios</v>
      </c>
      <c r="C64" s="137" t="str">
        <f>PA!E92</f>
        <v>3CV</v>
      </c>
      <c r="D64" s="137" t="str">
        <f>PA!M92</f>
        <v>T3 - Año 3</v>
      </c>
      <c r="E64" s="135">
        <f>PA!G92</f>
        <v>18000</v>
      </c>
    </row>
    <row r="65" spans="1:6" outlineLevel="1" x14ac:dyDescent="0.3">
      <c r="A65" s="308" t="str">
        <f>PA!D93</f>
        <v>2.1.5</v>
      </c>
      <c r="B65" s="139" t="str">
        <f>PA!C93</f>
        <v>Control de Movimientos</v>
      </c>
      <c r="C65" s="137" t="str">
        <f>PA!E93</f>
        <v>3CV</v>
      </c>
      <c r="D65" s="137" t="str">
        <f>PA!M93</f>
        <v>T4 - Año 2</v>
      </c>
      <c r="E65" s="135">
        <f>PA!G93</f>
        <v>2000</v>
      </c>
    </row>
    <row r="66" spans="1:6" outlineLevel="1" x14ac:dyDescent="0.3">
      <c r="A66" s="308" t="str">
        <f>PA!D94</f>
        <v>2.2.1</v>
      </c>
      <c r="B66" s="139" t="str">
        <f>PA!C94</f>
        <v xml:space="preserve">Técnicos para laboratorio </v>
      </c>
      <c r="C66" s="137" t="str">
        <f>PA!E94</f>
        <v>3CV</v>
      </c>
      <c r="D66" s="137" t="str">
        <f>PA!M94</f>
        <v>T2 - Año 1</v>
      </c>
      <c r="E66" s="135">
        <f>PA!G94</f>
        <v>48000</v>
      </c>
    </row>
    <row r="67" spans="1:6" outlineLevel="1" x14ac:dyDescent="0.3">
      <c r="A67" s="308" t="str">
        <f>PA!D95</f>
        <v>2.2.2</v>
      </c>
      <c r="B67" s="139" t="str">
        <f>PA!C95</f>
        <v>Consultoría para formulación de Planes Sanitarios</v>
      </c>
      <c r="C67" s="137" t="str">
        <f>PA!E95</f>
        <v>3CV</v>
      </c>
      <c r="D67" s="137" t="str">
        <f>PA!M95</f>
        <v>T2 - Año 1</v>
      </c>
      <c r="E67" s="135">
        <f>PA!G95</f>
        <v>20000</v>
      </c>
    </row>
    <row r="68" spans="1:6" outlineLevel="1" x14ac:dyDescent="0.3">
      <c r="A68" s="308" t="str">
        <f>PA!D96</f>
        <v>2.3.1</v>
      </c>
      <c r="B68" s="139" t="str">
        <f>PA!C96</f>
        <v>Consultoría para establecimiento sistema de certificación de granjas bajo control oficial</v>
      </c>
      <c r="C68" s="137" t="str">
        <f>PA!E96</f>
        <v>3CV</v>
      </c>
      <c r="D68" s="137" t="str">
        <f>PA!M96</f>
        <v>T1 - Año 2</v>
      </c>
      <c r="E68" s="135">
        <f>PA!G96</f>
        <v>10000</v>
      </c>
    </row>
    <row r="69" spans="1:6" outlineLevel="1" x14ac:dyDescent="0.3">
      <c r="A69" s="308" t="str">
        <f>PA!D97</f>
        <v>2.3.4</v>
      </c>
      <c r="B69" s="139" t="str">
        <f>PA!C97</f>
        <v>Consultoría para gestión de riesgo y auto declaración de IA y NC(incluye taller)</v>
      </c>
      <c r="C69" s="137" t="str">
        <f>PA!E97</f>
        <v>3CV</v>
      </c>
      <c r="D69" s="137" t="str">
        <f>PA!M97</f>
        <v>T2 - Año 1</v>
      </c>
      <c r="E69" s="135">
        <f>PA!G97</f>
        <v>15000</v>
      </c>
    </row>
    <row r="70" spans="1:6" outlineLevel="1" x14ac:dyDescent="0.3">
      <c r="A70" s="308" t="str">
        <f>PA!D98</f>
        <v>2.4.1</v>
      </c>
      <c r="B70" s="139" t="str">
        <f>PA!C98</f>
        <v>Coordinador Técnico</v>
      </c>
      <c r="C70" s="137" t="str">
        <f>PA!E98</f>
        <v>3CV</v>
      </c>
      <c r="D70" s="137" t="str">
        <f>PA!M98</f>
        <v>T1 - Año 1</v>
      </c>
      <c r="E70" s="135">
        <f>PA!G98</f>
        <v>112000</v>
      </c>
    </row>
    <row r="71" spans="1:6" ht="24" outlineLevel="1" x14ac:dyDescent="0.3">
      <c r="A71" s="308" t="str">
        <f>PA!D99</f>
        <v>2.5.1</v>
      </c>
      <c r="B71" s="139" t="str">
        <f>PA!C99</f>
        <v>Elaboración de Términos de referencia y borrador de contrato para firmas: capac. Técnicos, capac. Productores</v>
      </c>
      <c r="C71" s="137" t="str">
        <f>PA!E99</f>
        <v>3CV</v>
      </c>
      <c r="D71" s="137" t="str">
        <f>PA!M99</f>
        <v>T1 - Año 2</v>
      </c>
      <c r="E71" s="135">
        <f>PA!G99</f>
        <v>10000</v>
      </c>
    </row>
    <row r="72" spans="1:6" outlineLevel="1" x14ac:dyDescent="0.3">
      <c r="A72" s="308" t="str">
        <f>PA!D100</f>
        <v>2.6.4</v>
      </c>
      <c r="B72" s="139" t="str">
        <f>PA!C100</f>
        <v>Plan de mejora de los servicios vinculados a la apertura y habilitaciones de mercados.</v>
      </c>
      <c r="C72" s="137" t="str">
        <f>PA!E100</f>
        <v>3CV</v>
      </c>
      <c r="D72" s="137" t="str">
        <f>PA!M100</f>
        <v>T2 - Año 1</v>
      </c>
      <c r="E72" s="135">
        <f>PA!G100</f>
        <v>30000</v>
      </c>
    </row>
    <row r="73" spans="1:6" outlineLevel="1" x14ac:dyDescent="0.3">
      <c r="A73" s="308" t="str">
        <f>PA!D101</f>
        <v>3.1.1</v>
      </c>
      <c r="B73" s="139" t="str">
        <f>PA!C101</f>
        <v>Coordinador General del Programa</v>
      </c>
      <c r="C73" s="137" t="str">
        <f>PA!E101</f>
        <v>3CV</v>
      </c>
      <c r="D73" s="137" t="str">
        <f>PA!M101</f>
        <v>T1 - Año 1</v>
      </c>
      <c r="E73" s="135">
        <f>PA!G101</f>
        <v>150000</v>
      </c>
    </row>
    <row r="74" spans="1:6" outlineLevel="1" x14ac:dyDescent="0.3">
      <c r="A74" s="308" t="str">
        <f>PA!D102</f>
        <v>3.1.2</v>
      </c>
      <c r="B74" s="139" t="str">
        <f>PA!C102</f>
        <v>Coordinador Componente 1</v>
      </c>
      <c r="C74" s="137" t="str">
        <f>PA!E102</f>
        <v>3CV</v>
      </c>
      <c r="D74" s="137" t="str">
        <f>PA!M102</f>
        <v>T1 - Año 1</v>
      </c>
      <c r="E74" s="135">
        <f>PA!G102</f>
        <v>118000</v>
      </c>
    </row>
    <row r="75" spans="1:6" outlineLevel="1" x14ac:dyDescent="0.3">
      <c r="A75" s="308" t="str">
        <f>PA!D103</f>
        <v>3.1.4</v>
      </c>
      <c r="B75" s="139" t="str">
        <f>PA!C103</f>
        <v>Especialista en Planificación y Monitoreo</v>
      </c>
      <c r="C75" s="137" t="str">
        <f>PA!E103</f>
        <v>3CV</v>
      </c>
      <c r="D75" s="137" t="str">
        <f>PA!M103</f>
        <v>T1 - Año 1</v>
      </c>
      <c r="E75" s="135">
        <f>PA!G103</f>
        <v>106000</v>
      </c>
    </row>
    <row r="76" spans="1:6" outlineLevel="1" x14ac:dyDescent="0.3">
      <c r="A76" s="308" t="str">
        <f>PA!D104</f>
        <v>3.1.5</v>
      </c>
      <c r="B76" s="139" t="str">
        <f>PA!C104</f>
        <v>Especialista en Adquisiciones y Contrataciones</v>
      </c>
      <c r="C76" s="137" t="str">
        <f>PA!E104</f>
        <v>3CV</v>
      </c>
      <c r="D76" s="137" t="str">
        <f>PA!M104</f>
        <v>T1 - Año 1</v>
      </c>
      <c r="E76" s="135">
        <f>PA!G104</f>
        <v>96000</v>
      </c>
    </row>
    <row r="77" spans="1:6" outlineLevel="1" x14ac:dyDescent="0.3">
      <c r="A77" s="308" t="str">
        <f>PA!D105</f>
        <v>3.1.7</v>
      </c>
      <c r="B77" s="139" t="str">
        <f>PA!C105</f>
        <v>Especialista Socioambiental</v>
      </c>
      <c r="C77" s="137" t="str">
        <f>PA!E105</f>
        <v>3CV</v>
      </c>
      <c r="D77" s="137" t="str">
        <f>PA!M105</f>
        <v>T1 - Año 1</v>
      </c>
      <c r="E77" s="135">
        <f>PA!G105</f>
        <v>72000</v>
      </c>
    </row>
    <row r="78" spans="1:6" outlineLevel="1" x14ac:dyDescent="0.3">
      <c r="A78" s="308" t="str">
        <f>PA!D106</f>
        <v>3.1.8</v>
      </c>
      <c r="B78" s="139" t="str">
        <f>PA!C106</f>
        <v>Elaboración de SIGAS</v>
      </c>
      <c r="C78" s="137" t="str">
        <f>PA!E106</f>
        <v>3CV</v>
      </c>
      <c r="D78" s="137" t="str">
        <f>PA!M106</f>
        <v>T1 - Año 1</v>
      </c>
      <c r="E78" s="135">
        <f>PA!G106</f>
        <v>24000</v>
      </c>
    </row>
    <row r="79" spans="1:6" x14ac:dyDescent="0.3">
      <c r="A79" s="141"/>
      <c r="B79" s="141" t="s">
        <v>240</v>
      </c>
      <c r="C79" s="141"/>
      <c r="D79" s="140"/>
      <c r="E79" s="136">
        <f>SUM(E80:E81)</f>
        <v>670000</v>
      </c>
      <c r="F79" s="142"/>
    </row>
    <row r="80" spans="1:6" ht="24" outlineLevel="1" x14ac:dyDescent="0.3">
      <c r="A80" s="306" t="str">
        <f>PA!D112</f>
        <v>2.5.2</v>
      </c>
      <c r="B80" s="143" t="str">
        <f>PA!C112</f>
        <v>Contratación firma consultora para capacitación de técnicos (90 tec. Oficiales, 90 privados, 90 acreditación)</v>
      </c>
      <c r="C80" s="137" t="str">
        <f>PA!E112</f>
        <v>SBCC</v>
      </c>
      <c r="D80" s="137" t="str">
        <f>PA!M112</f>
        <v>T 2 - Año 2</v>
      </c>
      <c r="E80" s="144">
        <f>PA!G112</f>
        <v>335000</v>
      </c>
      <c r="F80" s="142"/>
    </row>
    <row r="81" spans="1:6" ht="24" outlineLevel="1" x14ac:dyDescent="0.3">
      <c r="A81" s="306" t="str">
        <f>PA!D113</f>
        <v>2.5.3</v>
      </c>
      <c r="B81" s="143" t="str">
        <f>PA!C113</f>
        <v>Contratación firma consultora para capacitación de productores (800 suinos y 800 en ovinos-caprinos)</v>
      </c>
      <c r="C81" s="137" t="str">
        <f>PA!E113</f>
        <v>SBCC</v>
      </c>
      <c r="D81" s="137" t="str">
        <f>PA!M113</f>
        <v>T1 - Año 3</v>
      </c>
      <c r="E81" s="144">
        <f>PA!G113</f>
        <v>335000</v>
      </c>
      <c r="F81" s="142"/>
    </row>
    <row r="82" spans="1:6" x14ac:dyDescent="0.3">
      <c r="A82" s="141"/>
      <c r="B82" s="141" t="s">
        <v>403</v>
      </c>
      <c r="C82" s="141"/>
      <c r="D82" s="140"/>
      <c r="E82" s="136">
        <f>SUM(E83:E83)</f>
        <v>250000</v>
      </c>
      <c r="F82" s="142"/>
    </row>
    <row r="83" spans="1:6" s="147" customFormat="1" outlineLevel="1" x14ac:dyDescent="0.3">
      <c r="A83" s="306" t="str">
        <f>PA!D119</f>
        <v>2.4.2</v>
      </c>
      <c r="B83" s="133" t="str">
        <f>PA!C119</f>
        <v>Planes Nacionales de desarrollo para ovinos, caprinos y suinos: convenio con IICA o similar</v>
      </c>
      <c r="C83" s="137" t="s">
        <v>658</v>
      </c>
      <c r="D83" s="145" t="str">
        <f>PA!L119</f>
        <v>T2 - Año 2</v>
      </c>
      <c r="E83" s="146">
        <f>PA!G119</f>
        <v>250000</v>
      </c>
      <c r="F83" s="142"/>
    </row>
    <row r="84" spans="1:6" x14ac:dyDescent="0.3">
      <c r="A84" s="309"/>
      <c r="B84" s="148"/>
      <c r="C84" s="149"/>
      <c r="D84" s="149"/>
      <c r="E84" s="150"/>
      <c r="F84" s="142"/>
    </row>
    <row r="85" spans="1:6" x14ac:dyDescent="0.3">
      <c r="D85" s="125" t="s">
        <v>404</v>
      </c>
      <c r="E85" s="122">
        <f>E82+E48+E32+E27+E7+E11+E79</f>
        <v>14826000</v>
      </c>
    </row>
    <row r="86" spans="1:6" ht="13.8" x14ac:dyDescent="0.3">
      <c r="A86" s="310"/>
      <c r="B86" s="151"/>
      <c r="D86" s="125" t="s">
        <v>637</v>
      </c>
      <c r="E86" s="122">
        <f>'CC detallado'!M111</f>
        <v>150000</v>
      </c>
    </row>
    <row r="87" spans="1:6" x14ac:dyDescent="0.3">
      <c r="D87" s="125" t="s">
        <v>405</v>
      </c>
      <c r="E87" s="122">
        <f>SUM(E85:E86)</f>
        <v>14976000</v>
      </c>
    </row>
  </sheetData>
  <mergeCells count="14">
    <mergeCell ref="B42:B43"/>
    <mergeCell ref="C42:C43"/>
    <mergeCell ref="D42:D43"/>
    <mergeCell ref="E42:E43"/>
    <mergeCell ref="B23:B24"/>
    <mergeCell ref="C23:C24"/>
    <mergeCell ref="D23:D24"/>
    <mergeCell ref="E23:E24"/>
    <mergeCell ref="A1:E1"/>
    <mergeCell ref="A2:E2"/>
    <mergeCell ref="B8:B10"/>
    <mergeCell ref="C8:C10"/>
    <mergeCell ref="D8:D10"/>
    <mergeCell ref="E8:E10"/>
  </mergeCells>
  <hyperlinks>
    <hyperlink ref="B32" location="_ftn1" display="_ftn1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5"/>
  <sheetViews>
    <sheetView showGridLines="0" zoomScale="120" zoomScaleNormal="120" workbookViewId="0">
      <selection activeCell="A3" sqref="A3"/>
    </sheetView>
  </sheetViews>
  <sheetFormatPr defaultColWidth="11.44140625" defaultRowHeight="13.8" x14ac:dyDescent="0.3"/>
  <cols>
    <col min="1" max="1" width="32" style="2" customWidth="1"/>
    <col min="2" max="2" width="13.109375" style="2" customWidth="1"/>
    <col min="3" max="10" width="6.109375" style="2" bestFit="1" customWidth="1"/>
    <col min="11" max="13" width="7.109375" style="2" bestFit="1" customWidth="1"/>
    <col min="14" max="19" width="6.6640625" style="2" bestFit="1" customWidth="1"/>
    <col min="20" max="16384" width="11.44140625" style="2"/>
  </cols>
  <sheetData>
    <row r="1" spans="1:19" x14ac:dyDescent="0.3">
      <c r="B1" s="453" t="s">
        <v>32</v>
      </c>
      <c r="C1" s="453"/>
      <c r="D1" s="453"/>
      <c r="E1" s="453" t="s">
        <v>33</v>
      </c>
      <c r="F1" s="453"/>
      <c r="G1" s="453"/>
      <c r="H1" s="453" t="s">
        <v>34</v>
      </c>
      <c r="I1" s="453"/>
      <c r="J1" s="453"/>
      <c r="K1" s="453" t="s">
        <v>35</v>
      </c>
      <c r="L1" s="453"/>
      <c r="M1" s="453"/>
      <c r="N1" s="453" t="s">
        <v>32</v>
      </c>
      <c r="O1" s="453"/>
      <c r="P1" s="453"/>
      <c r="Q1" s="453" t="s">
        <v>33</v>
      </c>
      <c r="R1" s="453"/>
      <c r="S1" s="453"/>
    </row>
    <row r="2" spans="1:19" x14ac:dyDescent="0.3">
      <c r="A2" s="3"/>
      <c r="B2" s="3" t="s">
        <v>10</v>
      </c>
      <c r="C2" s="3" t="s">
        <v>11</v>
      </c>
      <c r="D2" s="3" t="s">
        <v>12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20</v>
      </c>
      <c r="M2" s="3" t="s">
        <v>21</v>
      </c>
      <c r="N2" s="3" t="s">
        <v>22</v>
      </c>
      <c r="O2" s="3" t="s">
        <v>23</v>
      </c>
      <c r="P2" s="3" t="s">
        <v>24</v>
      </c>
      <c r="Q2" s="3" t="s">
        <v>25</v>
      </c>
      <c r="R2" s="3" t="s">
        <v>26</v>
      </c>
      <c r="S2" s="3" t="s">
        <v>27</v>
      </c>
    </row>
    <row r="3" spans="1:19" x14ac:dyDescent="0.3">
      <c r="A3" s="1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"/>
      <c r="O3" s="3"/>
    </row>
    <row r="4" spans="1:19" x14ac:dyDescent="0.3">
      <c r="A4" s="1" t="s">
        <v>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3"/>
      <c r="P4" s="3"/>
    </row>
    <row r="5" spans="1:19" x14ac:dyDescent="0.3">
      <c r="A5" s="1" t="s">
        <v>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3"/>
      <c r="P5" s="3"/>
    </row>
    <row r="6" spans="1:19" x14ac:dyDescent="0.3">
      <c r="A6" s="1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"/>
      <c r="P6" s="3"/>
    </row>
    <row r="7" spans="1:19" ht="27.6" x14ac:dyDescent="0.3">
      <c r="A7" s="1" t="s">
        <v>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"/>
      <c r="P7" s="3"/>
    </row>
    <row r="8" spans="1:19" x14ac:dyDescent="0.3">
      <c r="A8" s="1" t="s">
        <v>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3"/>
      <c r="P8" s="3"/>
    </row>
    <row r="9" spans="1:19" ht="27.6" x14ac:dyDescent="0.3">
      <c r="A9" s="1" t="s">
        <v>3</v>
      </c>
      <c r="C9" s="3"/>
      <c r="D9" s="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9" x14ac:dyDescent="0.3">
      <c r="A10" s="1" t="s">
        <v>6</v>
      </c>
      <c r="C10" s="3"/>
      <c r="D10" s="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4" spans="1:19" x14ac:dyDescent="0.3">
      <c r="A14" s="2" t="s">
        <v>37</v>
      </c>
    </row>
    <row r="15" spans="1:19" x14ac:dyDescent="0.3">
      <c r="A15" s="2" t="s">
        <v>38</v>
      </c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K128"/>
  <sheetViews>
    <sheetView showGridLines="0" topLeftCell="A96" zoomScale="70" zoomScaleNormal="70" workbookViewId="0">
      <selection activeCell="A126" sqref="A126"/>
    </sheetView>
  </sheetViews>
  <sheetFormatPr defaultColWidth="11.6640625" defaultRowHeight="14.4" x14ac:dyDescent="0.3"/>
  <cols>
    <col min="2" max="10" width="11.6640625" style="15"/>
    <col min="11" max="11" width="15.33203125" style="15" bestFit="1" customWidth="1"/>
    <col min="12" max="13" width="11.6640625" style="15"/>
    <col min="62" max="62" width="19" customWidth="1"/>
    <col min="63" max="63" width="19.33203125" customWidth="1"/>
  </cols>
  <sheetData>
    <row r="1" spans="1:15" x14ac:dyDescent="0.3">
      <c r="F1" s="15">
        <f>E6/30</f>
        <v>925333.33333333337</v>
      </c>
    </row>
    <row r="2" spans="1:15" ht="15.6" x14ac:dyDescent="0.3">
      <c r="A2" s="16" t="s">
        <v>40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  <c r="N2">
        <v>5929</v>
      </c>
    </row>
    <row r="3" spans="1:15" ht="15.6" x14ac:dyDescent="0.3">
      <c r="A3" s="19" t="s">
        <v>41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5" ht="15.75" customHeight="1" x14ac:dyDescent="0.3">
      <c r="A4" s="20" t="s">
        <v>42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5" x14ac:dyDescent="0.3">
      <c r="A5" s="23" t="s">
        <v>43</v>
      </c>
      <c r="B5" s="24" t="s">
        <v>44</v>
      </c>
      <c r="C5" s="24" t="s">
        <v>45</v>
      </c>
      <c r="D5" s="24" t="s">
        <v>46</v>
      </c>
      <c r="E5" s="24" t="s">
        <v>47</v>
      </c>
      <c r="F5" s="24" t="s">
        <v>48</v>
      </c>
      <c r="G5" s="24" t="s">
        <v>49</v>
      </c>
      <c r="H5" s="24" t="s">
        <v>50</v>
      </c>
      <c r="I5" s="24" t="s">
        <v>51</v>
      </c>
      <c r="J5" s="24" t="s">
        <v>52</v>
      </c>
      <c r="K5" s="24" t="s">
        <v>53</v>
      </c>
      <c r="L5" s="24" t="s">
        <v>54</v>
      </c>
      <c r="M5" s="24" t="s">
        <v>55</v>
      </c>
    </row>
    <row r="6" spans="1:15" x14ac:dyDescent="0.3">
      <c r="A6" s="25">
        <f t="shared" ref="A6:K6" si="0">$J$72</f>
        <v>27760000</v>
      </c>
      <c r="B6" s="25">
        <f t="shared" si="0"/>
        <v>27760000</v>
      </c>
      <c r="C6" s="25">
        <f t="shared" si="0"/>
        <v>27760000</v>
      </c>
      <c r="D6" s="25">
        <f t="shared" si="0"/>
        <v>27760000</v>
      </c>
      <c r="E6" s="25">
        <f t="shared" si="0"/>
        <v>27760000</v>
      </c>
      <c r="F6" s="25">
        <f t="shared" si="0"/>
        <v>27760000</v>
      </c>
      <c r="G6" s="25">
        <f t="shared" si="0"/>
        <v>27760000</v>
      </c>
      <c r="H6" s="25">
        <f t="shared" si="0"/>
        <v>27760000</v>
      </c>
      <c r="I6" s="25">
        <f t="shared" si="0"/>
        <v>27760000</v>
      </c>
      <c r="J6" s="25">
        <f t="shared" si="0"/>
        <v>27760000</v>
      </c>
      <c r="K6" s="25">
        <f t="shared" si="0"/>
        <v>27760000</v>
      </c>
      <c r="L6" s="26">
        <f>$K$6*2</f>
        <v>55520000</v>
      </c>
      <c r="M6" s="27">
        <f>SUM(A6:L6)</f>
        <v>360880000</v>
      </c>
      <c r="O6" s="28"/>
    </row>
    <row r="7" spans="1:15" x14ac:dyDescent="0.3">
      <c r="A7" s="26">
        <f>A6/$N$2</f>
        <v>4682.0711755776692</v>
      </c>
      <c r="B7" s="26">
        <f>B6/$N$2</f>
        <v>4682.0711755776692</v>
      </c>
      <c r="C7" s="26">
        <f t="shared" ref="C7:M7" si="1">C6/$N$2</f>
        <v>4682.0711755776692</v>
      </c>
      <c r="D7" s="26">
        <f t="shared" si="1"/>
        <v>4682.0711755776692</v>
      </c>
      <c r="E7" s="26">
        <f t="shared" si="1"/>
        <v>4682.0711755776692</v>
      </c>
      <c r="F7" s="26">
        <f t="shared" si="1"/>
        <v>4682.0711755776692</v>
      </c>
      <c r="G7" s="26">
        <f t="shared" si="1"/>
        <v>4682.0711755776692</v>
      </c>
      <c r="H7" s="26">
        <f t="shared" si="1"/>
        <v>4682.0711755776692</v>
      </c>
      <c r="I7" s="26">
        <f t="shared" si="1"/>
        <v>4682.0711755776692</v>
      </c>
      <c r="J7" s="26">
        <f t="shared" si="1"/>
        <v>4682.0711755776692</v>
      </c>
      <c r="K7" s="26">
        <f t="shared" si="1"/>
        <v>4682.0711755776692</v>
      </c>
      <c r="L7" s="26">
        <f t="shared" si="1"/>
        <v>9364.1423511553385</v>
      </c>
      <c r="M7" s="26">
        <f t="shared" si="1"/>
        <v>60866.925282509699</v>
      </c>
    </row>
    <row r="8" spans="1:15" x14ac:dyDescent="0.3">
      <c r="A8" s="29" t="s">
        <v>121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1:15" x14ac:dyDescent="0.3">
      <c r="A9" s="32"/>
      <c r="B9" s="33"/>
      <c r="C9" s="33"/>
      <c r="D9" s="33"/>
      <c r="E9" s="33"/>
      <c r="F9" s="33"/>
      <c r="G9" s="33"/>
      <c r="H9" s="33">
        <v>6900000</v>
      </c>
      <c r="I9" s="33">
        <f>((H9/30)/8)</f>
        <v>28750</v>
      </c>
      <c r="J9" s="33">
        <f>I9*0.5</f>
        <v>14375</v>
      </c>
      <c r="K9" s="33">
        <f>I9+J9</f>
        <v>43125</v>
      </c>
      <c r="L9" s="33">
        <f>K9*32</f>
        <v>1380000</v>
      </c>
      <c r="M9" s="34"/>
    </row>
    <row r="10" spans="1:15" ht="15.6" x14ac:dyDescent="0.3">
      <c r="A10" s="19" t="s">
        <v>41</v>
      </c>
      <c r="B10" s="17"/>
      <c r="C10" s="17"/>
      <c r="D10" s="17"/>
      <c r="E10" s="17"/>
      <c r="F10" s="17"/>
      <c r="G10" s="17"/>
      <c r="H10" s="17">
        <f>L9*30</f>
        <v>41400000</v>
      </c>
      <c r="I10" s="17"/>
      <c r="J10" s="17">
        <f>L10/2</f>
        <v>41400000</v>
      </c>
      <c r="K10" s="17"/>
      <c r="L10" s="17">
        <f>L9*60</f>
        <v>82800000</v>
      </c>
      <c r="M10" s="18"/>
    </row>
    <row r="11" spans="1:15" x14ac:dyDescent="0.3">
      <c r="A11" s="20" t="s">
        <v>56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5" x14ac:dyDescent="0.3">
      <c r="A12" s="23" t="s">
        <v>43</v>
      </c>
      <c r="B12" s="24" t="s">
        <v>44</v>
      </c>
      <c r="C12" s="24" t="s">
        <v>45</v>
      </c>
      <c r="D12" s="24" t="s">
        <v>46</v>
      </c>
      <c r="E12" s="24" t="s">
        <v>47</v>
      </c>
      <c r="F12" s="24" t="s">
        <v>48</v>
      </c>
      <c r="G12" s="24" t="s">
        <v>49</v>
      </c>
      <c r="H12" s="24" t="s">
        <v>50</v>
      </c>
      <c r="I12" s="24" t="s">
        <v>51</v>
      </c>
      <c r="J12" s="24" t="s">
        <v>52</v>
      </c>
      <c r="K12" s="24" t="s">
        <v>53</v>
      </c>
      <c r="L12" s="24" t="s">
        <v>54</v>
      </c>
      <c r="M12" s="24" t="s">
        <v>55</v>
      </c>
    </row>
    <row r="13" spans="1:15" x14ac:dyDescent="0.3">
      <c r="A13" s="25">
        <f t="shared" ref="A13:K13" si="2">$J$72</f>
        <v>27760000</v>
      </c>
      <c r="B13" s="25">
        <f t="shared" si="2"/>
        <v>27760000</v>
      </c>
      <c r="C13" s="25">
        <f t="shared" si="2"/>
        <v>27760000</v>
      </c>
      <c r="D13" s="25">
        <f t="shared" si="2"/>
        <v>27760000</v>
      </c>
      <c r="E13" s="25">
        <f t="shared" si="2"/>
        <v>27760000</v>
      </c>
      <c r="F13" s="25">
        <f t="shared" si="2"/>
        <v>27760000</v>
      </c>
      <c r="G13" s="25">
        <f t="shared" si="2"/>
        <v>27760000</v>
      </c>
      <c r="H13" s="25">
        <f t="shared" si="2"/>
        <v>27760000</v>
      </c>
      <c r="I13" s="25">
        <f t="shared" si="2"/>
        <v>27760000</v>
      </c>
      <c r="J13" s="25">
        <f t="shared" si="2"/>
        <v>27760000</v>
      </c>
      <c r="K13" s="25">
        <f t="shared" si="2"/>
        <v>27760000</v>
      </c>
      <c r="L13" s="26">
        <f>$K$13*2</f>
        <v>55520000</v>
      </c>
      <c r="M13" s="27">
        <f>SUM(A13:L13)</f>
        <v>360880000</v>
      </c>
      <c r="N13" s="28"/>
    </row>
    <row r="14" spans="1:15" x14ac:dyDescent="0.3">
      <c r="A14" s="26">
        <f>A13/$N$2</f>
        <v>4682.0711755776692</v>
      </c>
      <c r="B14" s="26">
        <f>B13/$N$2</f>
        <v>4682.0711755776692</v>
      </c>
      <c r="C14" s="26">
        <f t="shared" ref="C14:M14" si="3">C13/$N$2</f>
        <v>4682.0711755776692</v>
      </c>
      <c r="D14" s="26">
        <f t="shared" si="3"/>
        <v>4682.0711755776692</v>
      </c>
      <c r="E14" s="26">
        <f t="shared" si="3"/>
        <v>4682.0711755776692</v>
      </c>
      <c r="F14" s="26">
        <f t="shared" si="3"/>
        <v>4682.0711755776692</v>
      </c>
      <c r="G14" s="26">
        <f t="shared" si="3"/>
        <v>4682.0711755776692</v>
      </c>
      <c r="H14" s="26">
        <f t="shared" si="3"/>
        <v>4682.0711755776692</v>
      </c>
      <c r="I14" s="26">
        <f t="shared" si="3"/>
        <v>4682.0711755776692</v>
      </c>
      <c r="J14" s="26">
        <f t="shared" si="3"/>
        <v>4682.0711755776692</v>
      </c>
      <c r="K14" s="26">
        <f t="shared" si="3"/>
        <v>4682.0711755776692</v>
      </c>
      <c r="L14" s="26">
        <f t="shared" si="3"/>
        <v>9364.1423511553385</v>
      </c>
      <c r="M14" s="26">
        <f t="shared" si="3"/>
        <v>60866.925282509699</v>
      </c>
      <c r="N14" s="28"/>
      <c r="O14" s="28"/>
    </row>
    <row r="15" spans="1:15" x14ac:dyDescent="0.3">
      <c r="A15" s="29" t="s">
        <v>121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1:15" x14ac:dyDescent="0.3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4"/>
    </row>
    <row r="17" spans="1:15" ht="15.6" x14ac:dyDescent="0.3">
      <c r="A17" s="19" t="s">
        <v>41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</row>
    <row r="18" spans="1:15" x14ac:dyDescent="0.3">
      <c r="A18" s="20" t="s">
        <v>57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2"/>
      <c r="O18" s="35"/>
    </row>
    <row r="19" spans="1:15" x14ac:dyDescent="0.3">
      <c r="A19" s="23" t="s">
        <v>43</v>
      </c>
      <c r="B19" s="24" t="s">
        <v>44</v>
      </c>
      <c r="C19" s="24" t="s">
        <v>45</v>
      </c>
      <c r="D19" s="24" t="s">
        <v>46</v>
      </c>
      <c r="E19" s="24" t="s">
        <v>47</v>
      </c>
      <c r="F19" s="24" t="s">
        <v>48</v>
      </c>
      <c r="G19" s="24" t="s">
        <v>49</v>
      </c>
      <c r="H19" s="24" t="s">
        <v>50</v>
      </c>
      <c r="I19" s="24" t="s">
        <v>51</v>
      </c>
      <c r="J19" s="24" t="s">
        <v>52</v>
      </c>
      <c r="K19" s="24" t="s">
        <v>53</v>
      </c>
      <c r="L19" s="24" t="s">
        <v>54</v>
      </c>
      <c r="M19" s="24" t="s">
        <v>55</v>
      </c>
    </row>
    <row r="20" spans="1:15" x14ac:dyDescent="0.3">
      <c r="A20" s="25">
        <f t="shared" ref="A20:K20" si="4">$J$81*3</f>
        <v>18000000</v>
      </c>
      <c r="B20" s="25">
        <f t="shared" si="4"/>
        <v>18000000</v>
      </c>
      <c r="C20" s="25">
        <f t="shared" si="4"/>
        <v>18000000</v>
      </c>
      <c r="D20" s="25">
        <f t="shared" si="4"/>
        <v>18000000</v>
      </c>
      <c r="E20" s="25">
        <f t="shared" si="4"/>
        <v>18000000</v>
      </c>
      <c r="F20" s="25">
        <f t="shared" si="4"/>
        <v>18000000</v>
      </c>
      <c r="G20" s="25">
        <f t="shared" si="4"/>
        <v>18000000</v>
      </c>
      <c r="H20" s="25">
        <f t="shared" si="4"/>
        <v>18000000</v>
      </c>
      <c r="I20" s="25">
        <f t="shared" si="4"/>
        <v>18000000</v>
      </c>
      <c r="J20" s="25">
        <f t="shared" si="4"/>
        <v>18000000</v>
      </c>
      <c r="K20" s="25">
        <f t="shared" si="4"/>
        <v>18000000</v>
      </c>
      <c r="L20" s="26">
        <f>$K$20*2</f>
        <v>36000000</v>
      </c>
      <c r="M20" s="26">
        <f>SUM(A20:L20)</f>
        <v>234000000</v>
      </c>
    </row>
    <row r="21" spans="1:15" x14ac:dyDescent="0.3">
      <c r="A21" s="26">
        <f>A20/$N$2</f>
        <v>3035.9251138471918</v>
      </c>
      <c r="B21" s="26">
        <f>B20/$N$2</f>
        <v>3035.9251138471918</v>
      </c>
      <c r="C21" s="26">
        <f t="shared" ref="C21:L21" si="5">C20/$N$2</f>
        <v>3035.9251138471918</v>
      </c>
      <c r="D21" s="26">
        <f t="shared" si="5"/>
        <v>3035.9251138471918</v>
      </c>
      <c r="E21" s="26">
        <f t="shared" si="5"/>
        <v>3035.9251138471918</v>
      </c>
      <c r="F21" s="26">
        <f t="shared" si="5"/>
        <v>3035.9251138471918</v>
      </c>
      <c r="G21" s="26">
        <f t="shared" si="5"/>
        <v>3035.9251138471918</v>
      </c>
      <c r="H21" s="26">
        <f t="shared" si="5"/>
        <v>3035.9251138471918</v>
      </c>
      <c r="I21" s="26">
        <f t="shared" si="5"/>
        <v>3035.9251138471918</v>
      </c>
      <c r="J21" s="26">
        <f t="shared" si="5"/>
        <v>3035.9251138471918</v>
      </c>
      <c r="K21" s="26">
        <f t="shared" si="5"/>
        <v>3035.9251138471918</v>
      </c>
      <c r="L21" s="26">
        <f t="shared" si="5"/>
        <v>6071.8502276943836</v>
      </c>
      <c r="M21" s="26">
        <f>M20/$N$2</f>
        <v>39467.02648001349</v>
      </c>
      <c r="O21" s="28"/>
    </row>
    <row r="22" spans="1:15" x14ac:dyDescent="0.3">
      <c r="A22" s="29" t="s">
        <v>128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</row>
    <row r="23" spans="1:15" x14ac:dyDescent="0.3">
      <c r="A23" s="32"/>
      <c r="B23" s="33"/>
      <c r="C23" s="33"/>
      <c r="D23" s="33"/>
      <c r="E23" s="33"/>
      <c r="F23" s="33"/>
      <c r="G23" s="33"/>
      <c r="H23" s="33">
        <f>E20/L9</f>
        <v>13.043478260869565</v>
      </c>
      <c r="I23" s="33"/>
      <c r="J23" s="33"/>
      <c r="K23" s="33"/>
      <c r="L23" s="33"/>
      <c r="M23" s="34"/>
      <c r="N23" s="28"/>
      <c r="O23" s="28"/>
    </row>
    <row r="24" spans="1:15" ht="15.6" x14ac:dyDescent="0.3">
      <c r="A24" s="19" t="s">
        <v>58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</row>
    <row r="25" spans="1:15" x14ac:dyDescent="0.3">
      <c r="A25" s="20" t="s">
        <v>42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2"/>
    </row>
    <row r="26" spans="1:15" x14ac:dyDescent="0.3">
      <c r="A26" s="23" t="s">
        <v>43</v>
      </c>
      <c r="B26" s="24" t="s">
        <v>44</v>
      </c>
      <c r="C26" s="24" t="s">
        <v>45</v>
      </c>
      <c r="D26" s="24" t="s">
        <v>46</v>
      </c>
      <c r="E26" s="24" t="s">
        <v>47</v>
      </c>
      <c r="F26" s="24" t="s">
        <v>48</v>
      </c>
      <c r="G26" s="24" t="s">
        <v>49</v>
      </c>
      <c r="H26" s="24" t="s">
        <v>50</v>
      </c>
      <c r="I26" s="24" t="s">
        <v>51</v>
      </c>
      <c r="J26" s="24" t="s">
        <v>52</v>
      </c>
      <c r="K26" s="24" t="s">
        <v>53</v>
      </c>
      <c r="L26" s="24" t="s">
        <v>54</v>
      </c>
      <c r="M26" s="24" t="s">
        <v>55</v>
      </c>
    </row>
    <row r="27" spans="1:15" x14ac:dyDescent="0.3">
      <c r="A27" s="25">
        <f t="shared" ref="A27:K27" si="6">$J$100</f>
        <v>27760000</v>
      </c>
      <c r="B27" s="25">
        <f t="shared" si="6"/>
        <v>27760000</v>
      </c>
      <c r="C27" s="25">
        <f t="shared" si="6"/>
        <v>27760000</v>
      </c>
      <c r="D27" s="25">
        <f t="shared" si="6"/>
        <v>27760000</v>
      </c>
      <c r="E27" s="25">
        <f t="shared" si="6"/>
        <v>27760000</v>
      </c>
      <c r="F27" s="25">
        <f t="shared" si="6"/>
        <v>27760000</v>
      </c>
      <c r="G27" s="25">
        <f t="shared" si="6"/>
        <v>27760000</v>
      </c>
      <c r="H27" s="25">
        <f t="shared" si="6"/>
        <v>27760000</v>
      </c>
      <c r="I27" s="25">
        <f t="shared" si="6"/>
        <v>27760000</v>
      </c>
      <c r="J27" s="25">
        <f t="shared" si="6"/>
        <v>27760000</v>
      </c>
      <c r="K27" s="25">
        <f t="shared" si="6"/>
        <v>27760000</v>
      </c>
      <c r="L27" s="26">
        <f>K27*2</f>
        <v>55520000</v>
      </c>
      <c r="M27" s="26">
        <f>SUM(A27:L27)</f>
        <v>360880000</v>
      </c>
    </row>
    <row r="28" spans="1:15" x14ac:dyDescent="0.3">
      <c r="A28" s="26">
        <f>A27/$N$2</f>
        <v>4682.0711755776692</v>
      </c>
      <c r="B28" s="26">
        <f>B27/$N$2</f>
        <v>4682.0711755776692</v>
      </c>
      <c r="C28" s="26">
        <f t="shared" ref="C28:M28" si="7">C27/$N$2</f>
        <v>4682.0711755776692</v>
      </c>
      <c r="D28" s="26">
        <f t="shared" si="7"/>
        <v>4682.0711755776692</v>
      </c>
      <c r="E28" s="26">
        <f t="shared" si="7"/>
        <v>4682.0711755776692</v>
      </c>
      <c r="F28" s="26">
        <f t="shared" si="7"/>
        <v>4682.0711755776692</v>
      </c>
      <c r="G28" s="26">
        <f t="shared" si="7"/>
        <v>4682.0711755776692</v>
      </c>
      <c r="H28" s="26">
        <f t="shared" si="7"/>
        <v>4682.0711755776692</v>
      </c>
      <c r="I28" s="26">
        <f t="shared" si="7"/>
        <v>4682.0711755776692</v>
      </c>
      <c r="J28" s="26">
        <f t="shared" si="7"/>
        <v>4682.0711755776692</v>
      </c>
      <c r="K28" s="26">
        <f t="shared" si="7"/>
        <v>4682.0711755776692</v>
      </c>
      <c r="L28" s="26">
        <f t="shared" si="7"/>
        <v>9364.1423511553385</v>
      </c>
      <c r="M28" s="26">
        <f t="shared" si="7"/>
        <v>60866.925282509699</v>
      </c>
    </row>
    <row r="29" spans="1:15" x14ac:dyDescent="0.3">
      <c r="A29" s="29" t="s">
        <v>129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1"/>
    </row>
    <row r="30" spans="1:15" x14ac:dyDescent="0.3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8"/>
    </row>
    <row r="31" spans="1:15" ht="15.6" x14ac:dyDescent="0.3">
      <c r="A31" s="19" t="s">
        <v>58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</row>
    <row r="32" spans="1:15" x14ac:dyDescent="0.3">
      <c r="A32" s="20" t="s">
        <v>56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2"/>
    </row>
    <row r="33" spans="1:13" x14ac:dyDescent="0.3">
      <c r="A33" s="23" t="s">
        <v>43</v>
      </c>
      <c r="B33" s="24" t="s">
        <v>44</v>
      </c>
      <c r="C33" s="24" t="s">
        <v>45</v>
      </c>
      <c r="D33" s="24" t="s">
        <v>46</v>
      </c>
      <c r="E33" s="24" t="s">
        <v>47</v>
      </c>
      <c r="F33" s="24" t="s">
        <v>48</v>
      </c>
      <c r="G33" s="24" t="s">
        <v>49</v>
      </c>
      <c r="H33" s="24" t="s">
        <v>50</v>
      </c>
      <c r="I33" s="24" t="s">
        <v>51</v>
      </c>
      <c r="J33" s="24" t="s">
        <v>52</v>
      </c>
      <c r="K33" s="24" t="s">
        <v>53</v>
      </c>
      <c r="L33" s="24" t="s">
        <v>54</v>
      </c>
      <c r="M33" s="24" t="s">
        <v>55</v>
      </c>
    </row>
    <row r="34" spans="1:13" x14ac:dyDescent="0.3">
      <c r="A34" s="25">
        <f t="shared" ref="A34:K34" si="8">$J$100</f>
        <v>27760000</v>
      </c>
      <c r="B34" s="25">
        <f t="shared" si="8"/>
        <v>27760000</v>
      </c>
      <c r="C34" s="25">
        <f t="shared" si="8"/>
        <v>27760000</v>
      </c>
      <c r="D34" s="25">
        <f t="shared" si="8"/>
        <v>27760000</v>
      </c>
      <c r="E34" s="25">
        <f t="shared" si="8"/>
        <v>27760000</v>
      </c>
      <c r="F34" s="25">
        <f t="shared" si="8"/>
        <v>27760000</v>
      </c>
      <c r="G34" s="25">
        <f t="shared" si="8"/>
        <v>27760000</v>
      </c>
      <c r="H34" s="25">
        <f t="shared" si="8"/>
        <v>27760000</v>
      </c>
      <c r="I34" s="25">
        <f t="shared" si="8"/>
        <v>27760000</v>
      </c>
      <c r="J34" s="25">
        <f t="shared" si="8"/>
        <v>27760000</v>
      </c>
      <c r="K34" s="25">
        <f t="shared" si="8"/>
        <v>27760000</v>
      </c>
      <c r="L34" s="26">
        <f>$K$34*2</f>
        <v>55520000</v>
      </c>
      <c r="M34" s="26">
        <f>SUM(A34:L34)</f>
        <v>360880000</v>
      </c>
    </row>
    <row r="35" spans="1:13" x14ac:dyDescent="0.3">
      <c r="A35" s="26">
        <f>A34/$N$2</f>
        <v>4682.0711755776692</v>
      </c>
      <c r="B35" s="26">
        <f>B34/$N$2</f>
        <v>4682.0711755776692</v>
      </c>
      <c r="C35" s="26">
        <f t="shared" ref="C35:M35" si="9">C34/$N$2</f>
        <v>4682.0711755776692</v>
      </c>
      <c r="D35" s="26">
        <f t="shared" si="9"/>
        <v>4682.0711755776692</v>
      </c>
      <c r="E35" s="26">
        <f t="shared" si="9"/>
        <v>4682.0711755776692</v>
      </c>
      <c r="F35" s="26">
        <f t="shared" si="9"/>
        <v>4682.0711755776692</v>
      </c>
      <c r="G35" s="26">
        <f t="shared" si="9"/>
        <v>4682.0711755776692</v>
      </c>
      <c r="H35" s="26">
        <f t="shared" si="9"/>
        <v>4682.0711755776692</v>
      </c>
      <c r="I35" s="26">
        <f t="shared" si="9"/>
        <v>4682.0711755776692</v>
      </c>
      <c r="J35" s="26">
        <f t="shared" si="9"/>
        <v>4682.0711755776692</v>
      </c>
      <c r="K35" s="26">
        <f t="shared" si="9"/>
        <v>4682.0711755776692</v>
      </c>
      <c r="L35" s="26">
        <f t="shared" si="9"/>
        <v>9364.1423511553385</v>
      </c>
      <c r="M35" s="26">
        <f t="shared" si="9"/>
        <v>60866.925282509699</v>
      </c>
    </row>
    <row r="36" spans="1:13" x14ac:dyDescent="0.3">
      <c r="A36" s="29" t="s">
        <v>129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1"/>
    </row>
    <row r="37" spans="1:13" x14ac:dyDescent="0.3">
      <c r="A37" s="3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8"/>
    </row>
    <row r="39" spans="1:13" ht="15.6" x14ac:dyDescent="0.3">
      <c r="A39" s="454" t="s">
        <v>133</v>
      </c>
      <c r="B39" s="455"/>
      <c r="C39" s="455"/>
      <c r="D39" s="455"/>
      <c r="E39" s="455"/>
      <c r="F39" s="455"/>
      <c r="G39" s="455"/>
      <c r="H39" s="455"/>
      <c r="I39" s="455"/>
      <c r="J39" s="455"/>
      <c r="K39" s="455"/>
      <c r="L39" s="455"/>
      <c r="M39" s="456"/>
    </row>
    <row r="40" spans="1:13" x14ac:dyDescent="0.3">
      <c r="A40" s="457" t="s">
        <v>126</v>
      </c>
      <c r="B40" s="458"/>
      <c r="C40" s="458"/>
      <c r="D40" s="458"/>
      <c r="E40" s="458"/>
      <c r="F40" s="458"/>
      <c r="G40" s="458"/>
      <c r="H40" s="458"/>
      <c r="I40" s="458"/>
      <c r="J40" s="458"/>
      <c r="K40" s="458"/>
      <c r="L40" s="458"/>
      <c r="M40" s="459"/>
    </row>
    <row r="41" spans="1:13" x14ac:dyDescent="0.3">
      <c r="A41" s="23" t="s">
        <v>43</v>
      </c>
      <c r="B41" s="23" t="s">
        <v>44</v>
      </c>
      <c r="C41" s="23" t="s">
        <v>45</v>
      </c>
      <c r="D41" s="23" t="s">
        <v>46</v>
      </c>
      <c r="E41" s="23" t="s">
        <v>47</v>
      </c>
      <c r="F41" s="23" t="s">
        <v>48</v>
      </c>
      <c r="G41" s="23" t="s">
        <v>49</v>
      </c>
      <c r="H41" s="23" t="s">
        <v>50</v>
      </c>
      <c r="I41" s="23" t="s">
        <v>51</v>
      </c>
      <c r="J41" s="23" t="s">
        <v>52</v>
      </c>
      <c r="K41" s="23" t="s">
        <v>53</v>
      </c>
      <c r="L41" s="23" t="s">
        <v>54</v>
      </c>
      <c r="M41" s="23" t="s">
        <v>55</v>
      </c>
    </row>
    <row r="42" spans="1:13" x14ac:dyDescent="0.3">
      <c r="A42" s="25">
        <f t="shared" ref="A42:K42" si="10">$J$110</f>
        <v>52800000</v>
      </c>
      <c r="B42" s="25">
        <f t="shared" si="10"/>
        <v>52800000</v>
      </c>
      <c r="C42" s="25">
        <f t="shared" si="10"/>
        <v>52800000</v>
      </c>
      <c r="D42" s="25">
        <f t="shared" si="10"/>
        <v>52800000</v>
      </c>
      <c r="E42" s="25">
        <f t="shared" si="10"/>
        <v>52800000</v>
      </c>
      <c r="F42" s="25">
        <f t="shared" si="10"/>
        <v>52800000</v>
      </c>
      <c r="G42" s="25">
        <f t="shared" si="10"/>
        <v>52800000</v>
      </c>
      <c r="H42" s="25">
        <f t="shared" si="10"/>
        <v>52800000</v>
      </c>
      <c r="I42" s="25">
        <f t="shared" si="10"/>
        <v>52800000</v>
      </c>
      <c r="J42" s="25">
        <f t="shared" si="10"/>
        <v>52800000</v>
      </c>
      <c r="K42" s="25">
        <f t="shared" si="10"/>
        <v>52800000</v>
      </c>
      <c r="L42" s="25">
        <f>$K$42*4</f>
        <v>211200000</v>
      </c>
      <c r="M42" s="25">
        <f>SUM(B42:L42)</f>
        <v>739200000</v>
      </c>
    </row>
    <row r="43" spans="1:13" x14ac:dyDescent="0.3">
      <c r="A43" s="26">
        <f>A42/$N$2</f>
        <v>8905.3803339517617</v>
      </c>
      <c r="B43" s="26">
        <f>B42/$N$2</f>
        <v>8905.3803339517617</v>
      </c>
      <c r="C43" s="26">
        <f>C42/$N$2</f>
        <v>8905.3803339517617</v>
      </c>
      <c r="D43" s="26">
        <f t="shared" ref="D43:M43" si="11">D42/$N$2</f>
        <v>8905.3803339517617</v>
      </c>
      <c r="E43" s="26">
        <f t="shared" si="11"/>
        <v>8905.3803339517617</v>
      </c>
      <c r="F43" s="26">
        <f t="shared" si="11"/>
        <v>8905.3803339517617</v>
      </c>
      <c r="G43" s="26">
        <f t="shared" si="11"/>
        <v>8905.3803339517617</v>
      </c>
      <c r="H43" s="26">
        <f t="shared" si="11"/>
        <v>8905.3803339517617</v>
      </c>
      <c r="I43" s="26">
        <f t="shared" si="11"/>
        <v>8905.3803339517617</v>
      </c>
      <c r="J43" s="26">
        <f t="shared" si="11"/>
        <v>8905.3803339517617</v>
      </c>
      <c r="K43" s="26">
        <f t="shared" si="11"/>
        <v>8905.3803339517617</v>
      </c>
      <c r="L43" s="26">
        <f t="shared" si="11"/>
        <v>35621.521335807047</v>
      </c>
      <c r="M43" s="26">
        <f t="shared" si="11"/>
        <v>124675.32467532468</v>
      </c>
    </row>
    <row r="44" spans="1:13" x14ac:dyDescent="0.3">
      <c r="A44" s="36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40"/>
    </row>
    <row r="45" spans="1:13" ht="15.6" x14ac:dyDescent="0.3">
      <c r="A45" s="454" t="s">
        <v>134</v>
      </c>
      <c r="B45" s="455"/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6"/>
    </row>
    <row r="46" spans="1:13" x14ac:dyDescent="0.3">
      <c r="A46" s="457" t="s">
        <v>57</v>
      </c>
      <c r="B46" s="458"/>
      <c r="C46" s="458"/>
      <c r="D46" s="458"/>
      <c r="E46" s="458"/>
      <c r="F46" s="458"/>
      <c r="G46" s="458"/>
      <c r="H46" s="458"/>
      <c r="I46" s="458"/>
      <c r="J46" s="458"/>
      <c r="K46" s="458"/>
      <c r="L46" s="458"/>
      <c r="M46" s="459"/>
    </row>
    <row r="47" spans="1:13" x14ac:dyDescent="0.3">
      <c r="A47" s="23" t="s">
        <v>43</v>
      </c>
      <c r="B47" s="23" t="s">
        <v>44</v>
      </c>
      <c r="C47" s="23" t="s">
        <v>45</v>
      </c>
      <c r="D47" s="23" t="s">
        <v>46</v>
      </c>
      <c r="E47" s="23" t="s">
        <v>47</v>
      </c>
      <c r="F47" s="23" t="s">
        <v>48</v>
      </c>
      <c r="G47" s="23" t="s">
        <v>49</v>
      </c>
      <c r="H47" s="23" t="s">
        <v>50</v>
      </c>
      <c r="I47" s="23" t="s">
        <v>51</v>
      </c>
      <c r="J47" s="23" t="s">
        <v>52</v>
      </c>
      <c r="K47" s="23" t="s">
        <v>53</v>
      </c>
      <c r="L47" s="23" t="s">
        <v>54</v>
      </c>
      <c r="M47" s="23" t="s">
        <v>55</v>
      </c>
    </row>
    <row r="48" spans="1:13" x14ac:dyDescent="0.3">
      <c r="A48" s="25">
        <f t="shared" ref="A48:K48" si="12">$J$116</f>
        <v>14400000</v>
      </c>
      <c r="B48" s="25">
        <f t="shared" si="12"/>
        <v>14400000</v>
      </c>
      <c r="C48" s="25">
        <f t="shared" si="12"/>
        <v>14400000</v>
      </c>
      <c r="D48" s="25">
        <f t="shared" si="12"/>
        <v>14400000</v>
      </c>
      <c r="E48" s="25">
        <f t="shared" si="12"/>
        <v>14400000</v>
      </c>
      <c r="F48" s="25">
        <f t="shared" si="12"/>
        <v>14400000</v>
      </c>
      <c r="G48" s="25">
        <f t="shared" si="12"/>
        <v>14400000</v>
      </c>
      <c r="H48" s="25">
        <f t="shared" si="12"/>
        <v>14400000</v>
      </c>
      <c r="I48" s="25">
        <f t="shared" si="12"/>
        <v>14400000</v>
      </c>
      <c r="J48" s="25">
        <f t="shared" si="12"/>
        <v>14400000</v>
      </c>
      <c r="K48" s="25">
        <f t="shared" si="12"/>
        <v>14400000</v>
      </c>
      <c r="L48" s="25">
        <f>$K$48*6</f>
        <v>86400000</v>
      </c>
      <c r="M48" s="25">
        <f>SUM(B48:L48)</f>
        <v>230400000</v>
      </c>
    </row>
    <row r="49" spans="1:15" x14ac:dyDescent="0.3">
      <c r="A49" s="26">
        <f>A48/$N$2</f>
        <v>2428.7400910777533</v>
      </c>
      <c r="B49" s="26">
        <f>B48/$N$2</f>
        <v>2428.7400910777533</v>
      </c>
      <c r="C49" s="26">
        <f t="shared" ref="C49:K49" si="13">C48/$N$2</f>
        <v>2428.7400910777533</v>
      </c>
      <c r="D49" s="26">
        <f t="shared" si="13"/>
        <v>2428.7400910777533</v>
      </c>
      <c r="E49" s="26">
        <f t="shared" si="13"/>
        <v>2428.7400910777533</v>
      </c>
      <c r="F49" s="26">
        <f t="shared" si="13"/>
        <v>2428.7400910777533</v>
      </c>
      <c r="G49" s="26">
        <f t="shared" si="13"/>
        <v>2428.7400910777533</v>
      </c>
      <c r="H49" s="26">
        <f t="shared" si="13"/>
        <v>2428.7400910777533</v>
      </c>
      <c r="I49" s="26">
        <f t="shared" si="13"/>
        <v>2428.7400910777533</v>
      </c>
      <c r="J49" s="26">
        <f t="shared" si="13"/>
        <v>2428.7400910777533</v>
      </c>
      <c r="K49" s="26">
        <f t="shared" si="13"/>
        <v>2428.7400910777533</v>
      </c>
      <c r="L49" s="26">
        <f>L48/$N$2</f>
        <v>14572.44054646652</v>
      </c>
      <c r="M49" s="26">
        <f>M48/5800</f>
        <v>39724.137931034486</v>
      </c>
      <c r="N49" s="28"/>
    </row>
    <row r="53" spans="1:15" x14ac:dyDescent="0.3">
      <c r="A53" s="41">
        <f>A7+A14+A21</f>
        <v>12400.06746500253</v>
      </c>
      <c r="B53" s="41">
        <f>B7+B14+B21</f>
        <v>12400.06746500253</v>
      </c>
      <c r="C53" s="41">
        <f t="shared" ref="C53:K53" si="14">C7+C14+C21</f>
        <v>12400.06746500253</v>
      </c>
      <c r="D53" s="41">
        <f t="shared" si="14"/>
        <v>12400.06746500253</v>
      </c>
      <c r="E53" s="41">
        <f>E7+E14+E21</f>
        <v>12400.06746500253</v>
      </c>
      <c r="F53" s="41">
        <f t="shared" si="14"/>
        <v>12400.06746500253</v>
      </c>
      <c r="G53" s="41">
        <f t="shared" si="14"/>
        <v>12400.06746500253</v>
      </c>
      <c r="H53" s="41">
        <f t="shared" si="14"/>
        <v>12400.06746500253</v>
      </c>
      <c r="I53" s="41">
        <f t="shared" si="14"/>
        <v>12400.06746500253</v>
      </c>
      <c r="J53" s="41">
        <f t="shared" si="14"/>
        <v>12400.06746500253</v>
      </c>
      <c r="K53" s="41">
        <f t="shared" si="14"/>
        <v>12400.06746500253</v>
      </c>
      <c r="L53" s="41">
        <f>L7+L14+L21</f>
        <v>24800.134930005061</v>
      </c>
      <c r="M53" s="41">
        <f>SUM(A53:L53)</f>
        <v>161200.87704503289</v>
      </c>
      <c r="N53" s="28">
        <f>K73+K82</f>
        <v>161200.87704503289</v>
      </c>
    </row>
    <row r="54" spans="1:15" x14ac:dyDescent="0.3">
      <c r="A54" s="41">
        <f>A28+A35</f>
        <v>9364.1423511553385</v>
      </c>
      <c r="B54" s="41">
        <f t="shared" ref="B54:K54" si="15">B28+B35</f>
        <v>9364.1423511553385</v>
      </c>
      <c r="C54" s="41">
        <f t="shared" si="15"/>
        <v>9364.1423511553385</v>
      </c>
      <c r="D54" s="41">
        <f t="shared" si="15"/>
        <v>9364.1423511553385</v>
      </c>
      <c r="E54" s="41">
        <f t="shared" si="15"/>
        <v>9364.1423511553385</v>
      </c>
      <c r="F54" s="41">
        <f t="shared" si="15"/>
        <v>9364.1423511553385</v>
      </c>
      <c r="G54" s="41">
        <f t="shared" si="15"/>
        <v>9364.1423511553385</v>
      </c>
      <c r="H54" s="41">
        <f t="shared" si="15"/>
        <v>9364.1423511553385</v>
      </c>
      <c r="I54" s="41">
        <f t="shared" si="15"/>
        <v>9364.1423511553385</v>
      </c>
      <c r="J54" s="41">
        <f t="shared" si="15"/>
        <v>9364.1423511553385</v>
      </c>
      <c r="K54" s="41">
        <f t="shared" si="15"/>
        <v>9364.1423511553385</v>
      </c>
      <c r="L54" s="41">
        <f>L28+L35</f>
        <v>18728.284702310677</v>
      </c>
      <c r="M54" s="41">
        <f>SUM(A54:L54)</f>
        <v>121733.85056501941</v>
      </c>
      <c r="N54" s="28">
        <f>K101</f>
        <v>121733.8505650194</v>
      </c>
    </row>
    <row r="55" spans="1:15" x14ac:dyDescent="0.3">
      <c r="A55" s="41">
        <f>(A43*2)+(A49*3)</f>
        <v>25096.980941136782</v>
      </c>
      <c r="B55" s="41">
        <f>(B43*2)+(B49*3)</f>
        <v>25096.980941136782</v>
      </c>
      <c r="C55" s="41">
        <f>(C43*2)+(C49*3)</f>
        <v>25096.980941136782</v>
      </c>
      <c r="D55" s="41">
        <f t="shared" ref="D55:J55" si="16">(D43*2)+(D49*3)</f>
        <v>25096.980941136782</v>
      </c>
      <c r="E55" s="41">
        <f t="shared" si="16"/>
        <v>25096.980941136782</v>
      </c>
      <c r="F55" s="41">
        <f t="shared" si="16"/>
        <v>25096.980941136782</v>
      </c>
      <c r="G55" s="41">
        <f t="shared" si="16"/>
        <v>25096.980941136782</v>
      </c>
      <c r="H55" s="41">
        <f t="shared" si="16"/>
        <v>25096.980941136782</v>
      </c>
      <c r="I55" s="41">
        <f t="shared" si="16"/>
        <v>25096.980941136782</v>
      </c>
      <c r="J55" s="41">
        <f t="shared" si="16"/>
        <v>25096.980941136782</v>
      </c>
      <c r="K55" s="41">
        <f>(K43*2)+(K49*3)</f>
        <v>25096.980941136782</v>
      </c>
      <c r="L55" s="41">
        <f>L43+L49</f>
        <v>50193.961882273565</v>
      </c>
      <c r="M55" s="41">
        <f>SUM(A55:L55)</f>
        <v>326260.75223477813</v>
      </c>
      <c r="N55" s="28">
        <f>K111+K117</f>
        <v>326260.75223477825</v>
      </c>
      <c r="O55" s="15"/>
    </row>
    <row r="56" spans="1:15" x14ac:dyDescent="0.3">
      <c r="M56" s="15">
        <f>SUM(M53:M55)</f>
        <v>609195.47984483046</v>
      </c>
      <c r="N56" s="28">
        <f>SUM(N53:N55)</f>
        <v>609195.47984483046</v>
      </c>
    </row>
    <row r="57" spans="1:15" x14ac:dyDescent="0.3">
      <c r="A57" s="42" t="s">
        <v>135</v>
      </c>
    </row>
    <row r="58" spans="1:15" x14ac:dyDescent="0.3">
      <c r="A58" t="s">
        <v>136</v>
      </c>
      <c r="B58" s="15" t="s">
        <v>137</v>
      </c>
      <c r="C58" s="15" t="s">
        <v>138</v>
      </c>
      <c r="D58" s="15" t="s">
        <v>130</v>
      </c>
      <c r="E58" s="15" t="s">
        <v>139</v>
      </c>
      <c r="F58" s="15" t="s">
        <v>140</v>
      </c>
      <c r="G58" s="15" t="s">
        <v>141</v>
      </c>
      <c r="H58" s="15" t="s">
        <v>142</v>
      </c>
      <c r="I58" s="15" t="s">
        <v>143</v>
      </c>
      <c r="J58" s="15" t="s">
        <v>144</v>
      </c>
      <c r="K58" s="15" t="s">
        <v>39</v>
      </c>
      <c r="N58" s="28"/>
    </row>
    <row r="59" spans="1:15" x14ac:dyDescent="0.3">
      <c r="A59" t="s">
        <v>131</v>
      </c>
      <c r="B59" s="15">
        <v>1</v>
      </c>
      <c r="C59" s="15" t="s">
        <v>145</v>
      </c>
      <c r="D59" s="15">
        <v>6000000</v>
      </c>
      <c r="E59" s="15">
        <v>100</v>
      </c>
      <c r="F59" s="15" t="s">
        <v>146</v>
      </c>
      <c r="G59" s="15">
        <v>26</v>
      </c>
      <c r="H59" s="15">
        <v>123</v>
      </c>
      <c r="I59" s="43">
        <f t="shared" ref="I59:I71" si="17">(D59/30)/8</f>
        <v>25000</v>
      </c>
      <c r="J59" s="15">
        <f>((I59*1.5)*32)*B59</f>
        <v>1200000</v>
      </c>
      <c r="K59" s="15">
        <f>G59*J59</f>
        <v>31200000</v>
      </c>
    </row>
    <row r="60" spans="1:15" x14ac:dyDescent="0.3">
      <c r="A60" t="s">
        <v>147</v>
      </c>
      <c r="B60" s="15">
        <v>2</v>
      </c>
      <c r="C60" s="15" t="s">
        <v>148</v>
      </c>
      <c r="D60" s="15">
        <v>5000000</v>
      </c>
      <c r="E60" s="15">
        <v>100</v>
      </c>
      <c r="F60" s="15" t="s">
        <v>146</v>
      </c>
      <c r="G60" s="15">
        <v>26</v>
      </c>
      <c r="H60" s="15">
        <v>123</v>
      </c>
      <c r="I60" s="43">
        <f t="shared" si="17"/>
        <v>20833.333333333332</v>
      </c>
      <c r="J60" s="15">
        <f t="shared" ref="J60:J71" si="18">((I60*1.5)*32)*B60</f>
        <v>2000000</v>
      </c>
      <c r="K60" s="15">
        <f t="shared" ref="K60:K71" si="19">G60*J60</f>
        <v>52000000</v>
      </c>
    </row>
    <row r="61" spans="1:15" x14ac:dyDescent="0.3">
      <c r="A61" t="s">
        <v>131</v>
      </c>
      <c r="B61" s="15">
        <v>1</v>
      </c>
      <c r="C61" s="15" t="s">
        <v>149</v>
      </c>
      <c r="D61" s="15">
        <v>4200000</v>
      </c>
      <c r="E61" s="15">
        <v>100</v>
      </c>
      <c r="F61" s="15" t="s">
        <v>150</v>
      </c>
      <c r="G61" s="15">
        <v>26</v>
      </c>
      <c r="H61" s="44" t="s">
        <v>151</v>
      </c>
      <c r="I61" s="43">
        <f t="shared" si="17"/>
        <v>17500</v>
      </c>
      <c r="J61" s="15">
        <f t="shared" si="18"/>
        <v>840000</v>
      </c>
      <c r="K61" s="15">
        <f t="shared" si="19"/>
        <v>21840000</v>
      </c>
    </row>
    <row r="62" spans="1:15" x14ac:dyDescent="0.3">
      <c r="A62" t="s">
        <v>147</v>
      </c>
      <c r="B62" s="15">
        <v>4</v>
      </c>
      <c r="C62" s="15" t="s">
        <v>149</v>
      </c>
      <c r="D62" s="15">
        <v>4200000</v>
      </c>
      <c r="E62" s="15">
        <v>100</v>
      </c>
      <c r="F62" s="15" t="s">
        <v>150</v>
      </c>
      <c r="G62" s="15">
        <v>26</v>
      </c>
      <c r="H62" s="15">
        <v>123</v>
      </c>
      <c r="I62" s="43">
        <f t="shared" si="17"/>
        <v>17500</v>
      </c>
      <c r="J62" s="15">
        <f t="shared" si="18"/>
        <v>3360000</v>
      </c>
      <c r="K62" s="15">
        <f t="shared" si="19"/>
        <v>87360000</v>
      </c>
    </row>
    <row r="63" spans="1:15" x14ac:dyDescent="0.3">
      <c r="A63" t="s">
        <v>131</v>
      </c>
      <c r="B63" s="15">
        <v>1</v>
      </c>
      <c r="C63" s="15" t="s">
        <v>152</v>
      </c>
      <c r="D63" s="15">
        <v>6000000</v>
      </c>
      <c r="E63" s="15">
        <v>100</v>
      </c>
      <c r="F63" s="15" t="s">
        <v>153</v>
      </c>
      <c r="G63" s="15">
        <v>26</v>
      </c>
      <c r="H63" s="15">
        <v>123</v>
      </c>
      <c r="I63" s="43">
        <f t="shared" si="17"/>
        <v>25000</v>
      </c>
      <c r="J63" s="15">
        <f t="shared" si="18"/>
        <v>1200000</v>
      </c>
      <c r="K63" s="15">
        <f t="shared" si="19"/>
        <v>31200000</v>
      </c>
    </row>
    <row r="64" spans="1:15" x14ac:dyDescent="0.3">
      <c r="A64" t="s">
        <v>147</v>
      </c>
      <c r="B64" s="15">
        <v>2</v>
      </c>
      <c r="C64" s="15" t="s">
        <v>154</v>
      </c>
      <c r="D64" s="15">
        <v>5000000</v>
      </c>
      <c r="E64" s="15">
        <v>100</v>
      </c>
      <c r="F64" s="15" t="s">
        <v>153</v>
      </c>
      <c r="G64" s="15">
        <v>26</v>
      </c>
      <c r="H64" s="15">
        <v>123</v>
      </c>
      <c r="I64" s="43">
        <f t="shared" si="17"/>
        <v>20833.333333333332</v>
      </c>
      <c r="J64" s="15">
        <f t="shared" si="18"/>
        <v>2000000</v>
      </c>
      <c r="K64" s="15">
        <f t="shared" si="19"/>
        <v>52000000</v>
      </c>
    </row>
    <row r="65" spans="1:12" x14ac:dyDescent="0.3">
      <c r="A65" t="s">
        <v>155</v>
      </c>
      <c r="B65" s="15">
        <v>4</v>
      </c>
      <c r="C65" s="15" t="s">
        <v>156</v>
      </c>
      <c r="D65" s="15">
        <v>4200000</v>
      </c>
      <c r="E65" s="15">
        <v>100</v>
      </c>
      <c r="F65" s="15" t="s">
        <v>157</v>
      </c>
      <c r="G65" s="15">
        <v>26</v>
      </c>
      <c r="H65" s="15">
        <v>123</v>
      </c>
      <c r="I65" s="43">
        <f t="shared" si="17"/>
        <v>17500</v>
      </c>
      <c r="J65" s="15">
        <f t="shared" si="18"/>
        <v>3360000</v>
      </c>
      <c r="K65" s="15">
        <f t="shared" si="19"/>
        <v>87360000</v>
      </c>
    </row>
    <row r="66" spans="1:12" x14ac:dyDescent="0.3">
      <c r="A66" t="s">
        <v>147</v>
      </c>
      <c r="B66" s="15">
        <v>3</v>
      </c>
      <c r="C66" s="15" t="s">
        <v>156</v>
      </c>
      <c r="D66" s="15">
        <v>4200000</v>
      </c>
      <c r="E66" s="15">
        <v>100</v>
      </c>
      <c r="F66" s="15" t="s">
        <v>157</v>
      </c>
      <c r="G66" s="15">
        <v>26</v>
      </c>
      <c r="H66" s="15">
        <v>123</v>
      </c>
      <c r="I66" s="43">
        <f t="shared" si="17"/>
        <v>17500</v>
      </c>
      <c r="J66" s="15">
        <f t="shared" si="18"/>
        <v>2520000</v>
      </c>
      <c r="K66" s="15">
        <f t="shared" si="19"/>
        <v>65520000</v>
      </c>
    </row>
    <row r="67" spans="1:12" x14ac:dyDescent="0.3">
      <c r="A67" t="s">
        <v>131</v>
      </c>
      <c r="B67" s="15">
        <v>1</v>
      </c>
      <c r="C67" s="15" t="s">
        <v>158</v>
      </c>
      <c r="D67" s="15">
        <v>6000000</v>
      </c>
      <c r="E67" s="15">
        <v>100</v>
      </c>
      <c r="F67" s="15" t="s">
        <v>159</v>
      </c>
      <c r="G67" s="15">
        <v>26</v>
      </c>
      <c r="H67" s="15">
        <v>123</v>
      </c>
      <c r="I67" s="43">
        <f t="shared" si="17"/>
        <v>25000</v>
      </c>
      <c r="J67" s="15">
        <f t="shared" si="18"/>
        <v>1200000</v>
      </c>
      <c r="K67" s="15">
        <f t="shared" si="19"/>
        <v>31200000</v>
      </c>
    </row>
    <row r="68" spans="1:12" x14ac:dyDescent="0.3">
      <c r="A68" t="s">
        <v>160</v>
      </c>
      <c r="B68" s="15">
        <v>3</v>
      </c>
      <c r="C68" s="15" t="s">
        <v>161</v>
      </c>
      <c r="D68" s="15">
        <v>4200000</v>
      </c>
      <c r="E68" s="15">
        <v>100</v>
      </c>
      <c r="F68" s="15" t="s">
        <v>159</v>
      </c>
      <c r="G68" s="15">
        <v>26</v>
      </c>
      <c r="H68" s="15">
        <v>123</v>
      </c>
      <c r="I68" s="43">
        <f t="shared" si="17"/>
        <v>17500</v>
      </c>
      <c r="J68" s="15">
        <f t="shared" si="18"/>
        <v>2520000</v>
      </c>
      <c r="K68" s="15">
        <f t="shared" si="19"/>
        <v>65520000</v>
      </c>
    </row>
    <row r="69" spans="1:12" x14ac:dyDescent="0.3">
      <c r="A69" t="s">
        <v>162</v>
      </c>
      <c r="B69" s="15">
        <v>1</v>
      </c>
      <c r="C69" s="15" t="s">
        <v>163</v>
      </c>
      <c r="D69" s="15">
        <v>6000000</v>
      </c>
      <c r="E69" s="15">
        <v>100</v>
      </c>
      <c r="F69" s="15" t="s">
        <v>164</v>
      </c>
      <c r="G69" s="15">
        <v>26</v>
      </c>
      <c r="H69" s="15">
        <v>123</v>
      </c>
      <c r="I69" s="43">
        <f t="shared" si="17"/>
        <v>25000</v>
      </c>
      <c r="J69" s="15">
        <f t="shared" si="18"/>
        <v>1200000</v>
      </c>
      <c r="K69" s="15">
        <f t="shared" si="19"/>
        <v>31200000</v>
      </c>
    </row>
    <row r="70" spans="1:12" x14ac:dyDescent="0.3">
      <c r="A70" t="s">
        <v>165</v>
      </c>
      <c r="B70" s="15">
        <v>4</v>
      </c>
      <c r="C70" s="15" t="s">
        <v>166</v>
      </c>
      <c r="D70" s="15">
        <v>4200000</v>
      </c>
      <c r="E70" s="15">
        <v>100</v>
      </c>
      <c r="F70" s="15" t="s">
        <v>164</v>
      </c>
      <c r="G70" s="15">
        <v>26</v>
      </c>
      <c r="H70" s="44" t="s">
        <v>151</v>
      </c>
      <c r="I70" s="43">
        <f t="shared" si="17"/>
        <v>17500</v>
      </c>
      <c r="J70" s="15">
        <f>((I70*1.5)*32)*B70</f>
        <v>3360000</v>
      </c>
      <c r="K70" s="15">
        <f t="shared" si="19"/>
        <v>87360000</v>
      </c>
    </row>
    <row r="71" spans="1:12" x14ac:dyDescent="0.3">
      <c r="A71" t="s">
        <v>160</v>
      </c>
      <c r="B71" s="15">
        <v>3</v>
      </c>
      <c r="C71" s="15" t="s">
        <v>167</v>
      </c>
      <c r="D71" s="15">
        <v>5000000</v>
      </c>
      <c r="E71" s="15">
        <v>100</v>
      </c>
      <c r="F71" s="15" t="s">
        <v>168</v>
      </c>
      <c r="G71" s="15">
        <v>26</v>
      </c>
      <c r="H71" s="44" t="s">
        <v>151</v>
      </c>
      <c r="I71" s="43">
        <f t="shared" si="17"/>
        <v>20833.333333333332</v>
      </c>
      <c r="J71" s="15">
        <f t="shared" si="18"/>
        <v>3000000</v>
      </c>
      <c r="K71" s="15">
        <f t="shared" si="19"/>
        <v>78000000</v>
      </c>
    </row>
    <row r="72" spans="1:12" x14ac:dyDescent="0.3">
      <c r="B72" s="15">
        <f>SUM(B59:B71)</f>
        <v>30</v>
      </c>
      <c r="J72" s="15">
        <f>SUM(J59:J71)</f>
        <v>27760000</v>
      </c>
      <c r="K72" s="15">
        <f>SUM(K59:K71)</f>
        <v>721760000</v>
      </c>
    </row>
    <row r="73" spans="1:12" x14ac:dyDescent="0.3">
      <c r="J73" s="45" t="s">
        <v>39</v>
      </c>
      <c r="K73" s="45">
        <f>K72/N2</f>
        <v>121733.8505650194</v>
      </c>
      <c r="L73" s="15">
        <f>K73/11</f>
        <v>11066.713687729036</v>
      </c>
    </row>
    <row r="74" spans="1:12" x14ac:dyDescent="0.3">
      <c r="A74" s="42" t="s">
        <v>169</v>
      </c>
    </row>
    <row r="75" spans="1:12" x14ac:dyDescent="0.3">
      <c r="A75" t="s">
        <v>136</v>
      </c>
      <c r="B75" s="15" t="s">
        <v>137</v>
      </c>
      <c r="C75" s="15" t="s">
        <v>138</v>
      </c>
      <c r="D75" s="15" t="s">
        <v>130</v>
      </c>
      <c r="E75" s="15" t="s">
        <v>139</v>
      </c>
      <c r="F75" s="15" t="s">
        <v>140</v>
      </c>
      <c r="G75" s="15" t="s">
        <v>141</v>
      </c>
      <c r="H75" s="15" t="s">
        <v>142</v>
      </c>
      <c r="I75" s="15" t="s">
        <v>143</v>
      </c>
      <c r="J75" s="15" t="s">
        <v>144</v>
      </c>
      <c r="K75" s="15" t="s">
        <v>39</v>
      </c>
    </row>
    <row r="77" spans="1:12" x14ac:dyDescent="0.3">
      <c r="A77" t="s">
        <v>131</v>
      </c>
      <c r="B77" s="15">
        <v>1</v>
      </c>
      <c r="C77" s="15" t="s">
        <v>170</v>
      </c>
      <c r="D77" s="15">
        <v>5000000</v>
      </c>
      <c r="E77" s="15">
        <v>100</v>
      </c>
      <c r="F77" s="15" t="s">
        <v>171</v>
      </c>
      <c r="G77" s="15">
        <v>39</v>
      </c>
      <c r="H77" s="44" t="s">
        <v>151</v>
      </c>
      <c r="I77" s="43">
        <f>(D77/30)/8</f>
        <v>20833.333333333332</v>
      </c>
      <c r="J77" s="15">
        <f>((I77*1.5)*32)*B77</f>
        <v>1000000</v>
      </c>
      <c r="K77" s="15">
        <f>G77*J77</f>
        <v>39000000</v>
      </c>
    </row>
    <row r="78" spans="1:12" x14ac:dyDescent="0.3">
      <c r="A78" t="s">
        <v>131</v>
      </c>
      <c r="B78" s="15">
        <v>2</v>
      </c>
      <c r="C78" s="15" t="s">
        <v>172</v>
      </c>
      <c r="D78" s="15">
        <v>5000000</v>
      </c>
      <c r="E78" s="15">
        <v>100</v>
      </c>
      <c r="F78" s="15" t="s">
        <v>171</v>
      </c>
      <c r="G78" s="15">
        <v>39</v>
      </c>
      <c r="H78" s="15">
        <v>123</v>
      </c>
      <c r="I78" s="43">
        <f>(D78/30)/8</f>
        <v>20833.333333333332</v>
      </c>
      <c r="J78" s="15">
        <f>((I78*1.5)*32)*B78</f>
        <v>2000000</v>
      </c>
      <c r="K78" s="15">
        <f>G78*J78</f>
        <v>78000000</v>
      </c>
    </row>
    <row r="79" spans="1:12" x14ac:dyDescent="0.3">
      <c r="A79" t="s">
        <v>131</v>
      </c>
      <c r="B79" s="15">
        <v>2</v>
      </c>
      <c r="C79" s="15" t="s">
        <v>173</v>
      </c>
      <c r="D79" s="15">
        <v>5000000</v>
      </c>
      <c r="E79" s="15">
        <v>100</v>
      </c>
      <c r="F79" s="15" t="s">
        <v>171</v>
      </c>
      <c r="G79" s="15">
        <v>39</v>
      </c>
      <c r="H79" s="44" t="s">
        <v>151</v>
      </c>
      <c r="I79" s="43">
        <f>(D79/30)/8</f>
        <v>20833.333333333332</v>
      </c>
      <c r="J79" s="15">
        <f>((I79*1.5)*32)*B79</f>
        <v>2000000</v>
      </c>
      <c r="K79" s="15">
        <f>G79*J79</f>
        <v>78000000</v>
      </c>
    </row>
    <row r="80" spans="1:12" x14ac:dyDescent="0.3">
      <c r="A80" t="s">
        <v>131</v>
      </c>
      <c r="B80" s="15">
        <v>1</v>
      </c>
      <c r="C80" s="15" t="s">
        <v>161</v>
      </c>
      <c r="D80" s="15">
        <v>5000000</v>
      </c>
      <c r="E80" s="15">
        <v>100</v>
      </c>
      <c r="F80" s="15" t="s">
        <v>171</v>
      </c>
      <c r="G80" s="15">
        <v>39</v>
      </c>
      <c r="H80" s="15">
        <v>123</v>
      </c>
      <c r="I80" s="43">
        <f>(D80/30)/8</f>
        <v>20833.333333333332</v>
      </c>
      <c r="J80" s="15">
        <f>((I80*1.5)*32)*B80</f>
        <v>1000000</v>
      </c>
      <c r="K80" s="15">
        <f>G80*J80</f>
        <v>39000000</v>
      </c>
    </row>
    <row r="81" spans="1:12" x14ac:dyDescent="0.3">
      <c r="J81" s="15">
        <f>SUM(J77:J80)</f>
        <v>6000000</v>
      </c>
      <c r="K81" s="15">
        <f>SUM(K77:K80)</f>
        <v>234000000</v>
      </c>
    </row>
    <row r="82" spans="1:12" x14ac:dyDescent="0.3">
      <c r="J82" s="45" t="s">
        <v>39</v>
      </c>
      <c r="K82" s="45">
        <f>K81/N2</f>
        <v>39467.02648001349</v>
      </c>
      <c r="L82" s="15">
        <f>K82/11</f>
        <v>3587.9114981830444</v>
      </c>
    </row>
    <row r="85" spans="1:12" x14ac:dyDescent="0.3">
      <c r="A85" s="42" t="s">
        <v>174</v>
      </c>
    </row>
    <row r="86" spans="1:12" x14ac:dyDescent="0.3">
      <c r="A86" t="s">
        <v>136</v>
      </c>
      <c r="B86" s="15" t="s">
        <v>137</v>
      </c>
      <c r="C86" s="15" t="s">
        <v>138</v>
      </c>
      <c r="D86" s="15" t="s">
        <v>130</v>
      </c>
      <c r="E86" s="15" t="s">
        <v>139</v>
      </c>
      <c r="F86" s="15" t="s">
        <v>140</v>
      </c>
      <c r="G86" s="15" t="s">
        <v>141</v>
      </c>
      <c r="H86" s="15" t="s">
        <v>142</v>
      </c>
      <c r="I86" s="15" t="s">
        <v>143</v>
      </c>
      <c r="J86" s="15" t="s">
        <v>144</v>
      </c>
      <c r="K86" s="15" t="s">
        <v>39</v>
      </c>
    </row>
    <row r="87" spans="1:12" x14ac:dyDescent="0.3">
      <c r="A87" t="s">
        <v>131</v>
      </c>
      <c r="B87" s="15">
        <v>1</v>
      </c>
      <c r="C87" s="15" t="s">
        <v>145</v>
      </c>
      <c r="D87" s="15">
        <v>6000000</v>
      </c>
      <c r="E87" s="15">
        <v>100</v>
      </c>
      <c r="F87" s="15" t="s">
        <v>146</v>
      </c>
      <c r="G87" s="15">
        <v>26</v>
      </c>
      <c r="H87" s="15">
        <v>123</v>
      </c>
      <c r="I87" s="43">
        <f t="shared" ref="I87:I99" si="20">(D87/30)/8</f>
        <v>25000</v>
      </c>
      <c r="J87" s="15">
        <f>((I87*1.5)*32)*B87</f>
        <v>1200000</v>
      </c>
      <c r="K87" s="15">
        <f>G87*J87</f>
        <v>31200000</v>
      </c>
    </row>
    <row r="88" spans="1:12" x14ac:dyDescent="0.3">
      <c r="A88" t="s">
        <v>147</v>
      </c>
      <c r="B88" s="15">
        <v>2</v>
      </c>
      <c r="C88" s="15" t="s">
        <v>148</v>
      </c>
      <c r="D88" s="15">
        <v>5000000</v>
      </c>
      <c r="E88" s="15">
        <v>100</v>
      </c>
      <c r="F88" s="15" t="s">
        <v>146</v>
      </c>
      <c r="G88" s="15">
        <v>26</v>
      </c>
      <c r="H88" s="15">
        <v>123</v>
      </c>
      <c r="I88" s="43">
        <f t="shared" si="20"/>
        <v>20833.333333333332</v>
      </c>
      <c r="J88" s="15">
        <f t="shared" ref="J88:J99" si="21">((I88*1.5)*32)*B88</f>
        <v>2000000</v>
      </c>
      <c r="K88" s="15">
        <f t="shared" ref="K88:K99" si="22">G88*J88</f>
        <v>52000000</v>
      </c>
    </row>
    <row r="89" spans="1:12" x14ac:dyDescent="0.3">
      <c r="A89" t="s">
        <v>131</v>
      </c>
      <c r="B89" s="15">
        <v>1</v>
      </c>
      <c r="C89" s="15" t="s">
        <v>149</v>
      </c>
      <c r="D89" s="15">
        <v>4200000</v>
      </c>
      <c r="E89" s="15">
        <v>100</v>
      </c>
      <c r="F89" s="15" t="s">
        <v>150</v>
      </c>
      <c r="G89" s="15">
        <v>26</v>
      </c>
      <c r="H89" s="44" t="s">
        <v>151</v>
      </c>
      <c r="I89" s="43">
        <f t="shared" si="20"/>
        <v>17500</v>
      </c>
      <c r="J89" s="15">
        <f t="shared" si="21"/>
        <v>840000</v>
      </c>
      <c r="K89" s="15">
        <f t="shared" si="22"/>
        <v>21840000</v>
      </c>
    </row>
    <row r="90" spans="1:12" x14ac:dyDescent="0.3">
      <c r="A90" t="s">
        <v>147</v>
      </c>
      <c r="B90" s="15">
        <v>4</v>
      </c>
      <c r="C90" s="15" t="s">
        <v>149</v>
      </c>
      <c r="D90" s="15">
        <v>4200000</v>
      </c>
      <c r="E90" s="15">
        <v>100</v>
      </c>
      <c r="F90" s="15" t="s">
        <v>150</v>
      </c>
      <c r="G90" s="15">
        <v>26</v>
      </c>
      <c r="H90" s="15">
        <v>123</v>
      </c>
      <c r="I90" s="43">
        <f t="shared" si="20"/>
        <v>17500</v>
      </c>
      <c r="J90" s="15">
        <f t="shared" si="21"/>
        <v>3360000</v>
      </c>
      <c r="K90" s="15">
        <f t="shared" si="22"/>
        <v>87360000</v>
      </c>
    </row>
    <row r="91" spans="1:12" x14ac:dyDescent="0.3">
      <c r="A91" t="s">
        <v>131</v>
      </c>
      <c r="B91" s="15">
        <v>1</v>
      </c>
      <c r="C91" s="15" t="s">
        <v>152</v>
      </c>
      <c r="D91" s="15">
        <v>6000000</v>
      </c>
      <c r="E91" s="15">
        <v>100</v>
      </c>
      <c r="F91" s="15" t="s">
        <v>153</v>
      </c>
      <c r="G91" s="15">
        <v>26</v>
      </c>
      <c r="H91" s="15">
        <v>123</v>
      </c>
      <c r="I91" s="43">
        <f t="shared" si="20"/>
        <v>25000</v>
      </c>
      <c r="J91" s="15">
        <f t="shared" si="21"/>
        <v>1200000</v>
      </c>
      <c r="K91" s="15">
        <f t="shared" si="22"/>
        <v>31200000</v>
      </c>
    </row>
    <row r="92" spans="1:12" x14ac:dyDescent="0.3">
      <c r="A92" t="s">
        <v>147</v>
      </c>
      <c r="B92" s="15">
        <v>2</v>
      </c>
      <c r="C92" s="15" t="s">
        <v>154</v>
      </c>
      <c r="D92" s="15">
        <v>5000000</v>
      </c>
      <c r="E92" s="15">
        <v>100</v>
      </c>
      <c r="F92" s="15" t="s">
        <v>153</v>
      </c>
      <c r="G92" s="15">
        <v>26</v>
      </c>
      <c r="H92" s="15">
        <v>123</v>
      </c>
      <c r="I92" s="43">
        <f t="shared" si="20"/>
        <v>20833.333333333332</v>
      </c>
      <c r="J92" s="15">
        <f t="shared" si="21"/>
        <v>2000000</v>
      </c>
      <c r="K92" s="15">
        <f t="shared" si="22"/>
        <v>52000000</v>
      </c>
    </row>
    <row r="93" spans="1:12" x14ac:dyDescent="0.3">
      <c r="A93" t="s">
        <v>155</v>
      </c>
      <c r="B93" s="15">
        <v>4</v>
      </c>
      <c r="C93" s="15" t="s">
        <v>156</v>
      </c>
      <c r="D93" s="15">
        <v>4200000</v>
      </c>
      <c r="E93" s="15">
        <v>100</v>
      </c>
      <c r="F93" s="15" t="s">
        <v>157</v>
      </c>
      <c r="G93" s="15">
        <v>26</v>
      </c>
      <c r="H93" s="15">
        <v>123</v>
      </c>
      <c r="I93" s="43">
        <f t="shared" si="20"/>
        <v>17500</v>
      </c>
      <c r="J93" s="15">
        <f t="shared" si="21"/>
        <v>3360000</v>
      </c>
      <c r="K93" s="15">
        <f t="shared" si="22"/>
        <v>87360000</v>
      </c>
    </row>
    <row r="94" spans="1:12" x14ac:dyDescent="0.3">
      <c r="A94" t="s">
        <v>147</v>
      </c>
      <c r="B94" s="15">
        <v>3</v>
      </c>
      <c r="C94" s="15" t="s">
        <v>156</v>
      </c>
      <c r="D94" s="15">
        <v>4200000</v>
      </c>
      <c r="E94" s="15">
        <v>100</v>
      </c>
      <c r="F94" s="15" t="s">
        <v>157</v>
      </c>
      <c r="G94" s="15">
        <v>26</v>
      </c>
      <c r="H94" s="15">
        <v>123</v>
      </c>
      <c r="I94" s="43">
        <f t="shared" si="20"/>
        <v>17500</v>
      </c>
      <c r="J94" s="15">
        <f t="shared" si="21"/>
        <v>2520000</v>
      </c>
      <c r="K94" s="15">
        <f t="shared" si="22"/>
        <v>65520000</v>
      </c>
    </row>
    <row r="95" spans="1:12" x14ac:dyDescent="0.3">
      <c r="A95" t="s">
        <v>131</v>
      </c>
      <c r="B95" s="15">
        <v>1</v>
      </c>
      <c r="C95" s="15" t="s">
        <v>158</v>
      </c>
      <c r="D95" s="15">
        <v>6000000</v>
      </c>
      <c r="E95" s="15">
        <v>100</v>
      </c>
      <c r="F95" s="15" t="s">
        <v>159</v>
      </c>
      <c r="G95" s="15">
        <v>26</v>
      </c>
      <c r="H95" s="15">
        <v>123</v>
      </c>
      <c r="I95" s="43">
        <f t="shared" si="20"/>
        <v>25000</v>
      </c>
      <c r="J95" s="15">
        <f t="shared" si="21"/>
        <v>1200000</v>
      </c>
      <c r="K95" s="15">
        <f t="shared" si="22"/>
        <v>31200000</v>
      </c>
    </row>
    <row r="96" spans="1:12" x14ac:dyDescent="0.3">
      <c r="A96" t="s">
        <v>160</v>
      </c>
      <c r="B96" s="15">
        <v>3</v>
      </c>
      <c r="C96" s="15" t="s">
        <v>161</v>
      </c>
      <c r="D96" s="15">
        <v>4200000</v>
      </c>
      <c r="E96" s="15">
        <v>100</v>
      </c>
      <c r="F96" s="15" t="s">
        <v>159</v>
      </c>
      <c r="G96" s="15">
        <v>26</v>
      </c>
      <c r="H96" s="15">
        <v>123</v>
      </c>
      <c r="I96" s="43">
        <f t="shared" si="20"/>
        <v>17500</v>
      </c>
      <c r="J96" s="15">
        <f t="shared" si="21"/>
        <v>2520000</v>
      </c>
      <c r="K96" s="15">
        <f t="shared" si="22"/>
        <v>65520000</v>
      </c>
    </row>
    <row r="97" spans="1:14" x14ac:dyDescent="0.3">
      <c r="A97" t="s">
        <v>162</v>
      </c>
      <c r="B97" s="15">
        <v>1</v>
      </c>
      <c r="C97" s="15" t="s">
        <v>163</v>
      </c>
      <c r="D97" s="15">
        <v>6000000</v>
      </c>
      <c r="E97" s="15">
        <v>100</v>
      </c>
      <c r="F97" s="15" t="s">
        <v>164</v>
      </c>
      <c r="G97" s="15">
        <v>26</v>
      </c>
      <c r="H97" s="15">
        <v>123</v>
      </c>
      <c r="I97" s="43">
        <f t="shared" si="20"/>
        <v>25000</v>
      </c>
      <c r="J97" s="15">
        <f t="shared" si="21"/>
        <v>1200000</v>
      </c>
      <c r="K97" s="15">
        <f t="shared" si="22"/>
        <v>31200000</v>
      </c>
    </row>
    <row r="98" spans="1:14" x14ac:dyDescent="0.3">
      <c r="A98" t="s">
        <v>165</v>
      </c>
      <c r="B98" s="15">
        <v>4</v>
      </c>
      <c r="C98" s="15" t="s">
        <v>166</v>
      </c>
      <c r="D98" s="15">
        <v>4200000</v>
      </c>
      <c r="E98" s="15">
        <v>100</v>
      </c>
      <c r="F98" s="15" t="s">
        <v>164</v>
      </c>
      <c r="G98" s="15">
        <v>26</v>
      </c>
      <c r="H98" s="44" t="s">
        <v>151</v>
      </c>
      <c r="I98" s="43">
        <f t="shared" si="20"/>
        <v>17500</v>
      </c>
      <c r="J98" s="15">
        <f t="shared" si="21"/>
        <v>3360000</v>
      </c>
      <c r="K98" s="15">
        <f t="shared" si="22"/>
        <v>87360000</v>
      </c>
    </row>
    <row r="99" spans="1:14" x14ac:dyDescent="0.3">
      <c r="A99" t="s">
        <v>160</v>
      </c>
      <c r="B99" s="15">
        <v>3</v>
      </c>
      <c r="C99" s="15" t="s">
        <v>167</v>
      </c>
      <c r="D99" s="15">
        <v>5000000</v>
      </c>
      <c r="E99" s="15">
        <v>100</v>
      </c>
      <c r="F99" s="15" t="s">
        <v>168</v>
      </c>
      <c r="G99" s="15">
        <v>26</v>
      </c>
      <c r="H99" s="44" t="s">
        <v>151</v>
      </c>
      <c r="I99" s="43">
        <f t="shared" si="20"/>
        <v>20833.333333333332</v>
      </c>
      <c r="J99" s="15">
        <f t="shared" si="21"/>
        <v>3000000</v>
      </c>
      <c r="K99" s="15">
        <f t="shared" si="22"/>
        <v>78000000</v>
      </c>
    </row>
    <row r="100" spans="1:14" x14ac:dyDescent="0.3">
      <c r="B100" s="15">
        <f>SUM(B87:B99)</f>
        <v>30</v>
      </c>
      <c r="J100" s="15">
        <f>SUM(J87:J99)</f>
        <v>27760000</v>
      </c>
      <c r="K100" s="15">
        <f>SUM(K87:K99)</f>
        <v>721760000</v>
      </c>
    </row>
    <row r="101" spans="1:14" x14ac:dyDescent="0.3">
      <c r="J101" s="45" t="s">
        <v>39</v>
      </c>
      <c r="K101" s="45">
        <f>K100/N2</f>
        <v>121733.8505650194</v>
      </c>
    </row>
    <row r="103" spans="1:14" x14ac:dyDescent="0.3">
      <c r="A103" s="42" t="s">
        <v>175</v>
      </c>
    </row>
    <row r="104" spans="1:14" x14ac:dyDescent="0.3">
      <c r="A104" t="s">
        <v>136</v>
      </c>
      <c r="B104" s="15" t="s">
        <v>137</v>
      </c>
      <c r="C104" s="15" t="s">
        <v>138</v>
      </c>
      <c r="D104" s="15" t="s">
        <v>130</v>
      </c>
      <c r="E104" s="15" t="s">
        <v>139</v>
      </c>
      <c r="F104" s="15" t="s">
        <v>140</v>
      </c>
      <c r="G104" s="15" t="s">
        <v>141</v>
      </c>
      <c r="H104" s="15" t="s">
        <v>142</v>
      </c>
      <c r="I104" s="15" t="s">
        <v>143</v>
      </c>
      <c r="J104" s="15" t="s">
        <v>144</v>
      </c>
      <c r="K104" s="15" t="s">
        <v>39</v>
      </c>
    </row>
    <row r="105" spans="1:14" x14ac:dyDescent="0.3">
      <c r="A105" t="s">
        <v>176</v>
      </c>
      <c r="B105" s="15">
        <v>1</v>
      </c>
      <c r="C105" s="15" t="s">
        <v>177</v>
      </c>
      <c r="D105" s="15">
        <v>12000000</v>
      </c>
      <c r="E105" s="15">
        <v>100</v>
      </c>
      <c r="F105" s="15" t="s">
        <v>178</v>
      </c>
      <c r="G105" s="15">
        <v>26</v>
      </c>
      <c r="H105" s="15">
        <v>137</v>
      </c>
      <c r="J105" s="15">
        <f>(D105*0.8)*B105</f>
        <v>9600000</v>
      </c>
      <c r="K105" s="15">
        <f>J105*G105</f>
        <v>249600000</v>
      </c>
    </row>
    <row r="106" spans="1:14" x14ac:dyDescent="0.3">
      <c r="A106" t="s">
        <v>176</v>
      </c>
      <c r="B106" s="15">
        <v>2</v>
      </c>
      <c r="C106" s="15" t="s">
        <v>179</v>
      </c>
      <c r="D106" s="15">
        <v>8000000</v>
      </c>
      <c r="E106" s="15">
        <v>100</v>
      </c>
      <c r="F106" s="15" t="s">
        <v>180</v>
      </c>
      <c r="G106" s="15">
        <v>26</v>
      </c>
      <c r="H106" s="15">
        <v>137</v>
      </c>
      <c r="J106" s="15">
        <f>(D106*0.6)*B106</f>
        <v>9600000</v>
      </c>
      <c r="K106" s="15">
        <f>J106*G106</f>
        <v>249600000</v>
      </c>
    </row>
    <row r="107" spans="1:14" x14ac:dyDescent="0.3">
      <c r="A107" t="s">
        <v>176</v>
      </c>
      <c r="B107" s="15">
        <v>2</v>
      </c>
      <c r="C107" s="15" t="s">
        <v>181</v>
      </c>
      <c r="D107" s="15">
        <v>8000000</v>
      </c>
      <c r="E107" s="15">
        <v>100</v>
      </c>
      <c r="F107" s="15" t="s">
        <v>182</v>
      </c>
      <c r="G107" s="15">
        <v>26</v>
      </c>
      <c r="H107" s="15">
        <v>137</v>
      </c>
      <c r="J107" s="15">
        <f>(D107*0.6)*B107</f>
        <v>9600000</v>
      </c>
      <c r="K107" s="15">
        <f>J107*G107</f>
        <v>249600000</v>
      </c>
    </row>
    <row r="108" spans="1:14" x14ac:dyDescent="0.3">
      <c r="A108" t="s">
        <v>176</v>
      </c>
      <c r="B108" s="15">
        <v>2</v>
      </c>
      <c r="C108" s="15" t="s">
        <v>183</v>
      </c>
      <c r="D108" s="15">
        <v>8000000</v>
      </c>
      <c r="E108" s="15">
        <v>100</v>
      </c>
      <c r="F108" s="15" t="s">
        <v>184</v>
      </c>
      <c r="G108" s="15">
        <v>26</v>
      </c>
      <c r="H108" s="15">
        <v>137</v>
      </c>
      <c r="J108" s="15">
        <f>(D108*0.6)*B108</f>
        <v>9600000</v>
      </c>
      <c r="K108" s="15">
        <f>J108*G108</f>
        <v>249600000</v>
      </c>
    </row>
    <row r="109" spans="1:14" x14ac:dyDescent="0.3">
      <c r="A109" t="s">
        <v>176</v>
      </c>
      <c r="B109" s="15">
        <v>3</v>
      </c>
      <c r="C109" s="15" t="s">
        <v>185</v>
      </c>
      <c r="D109" s="15">
        <v>8000000</v>
      </c>
      <c r="E109" s="15">
        <v>100</v>
      </c>
      <c r="G109" s="15">
        <v>26</v>
      </c>
      <c r="H109" s="15">
        <v>137</v>
      </c>
      <c r="J109" s="15">
        <f>(D109*0.6)*B109</f>
        <v>14400000</v>
      </c>
      <c r="K109" s="15">
        <f>J109*G109</f>
        <v>374400000</v>
      </c>
    </row>
    <row r="110" spans="1:14" x14ac:dyDescent="0.3">
      <c r="B110" s="15">
        <f>SUM(B105:B109)</f>
        <v>10</v>
      </c>
      <c r="J110" s="15">
        <f>SUM(J105:J109)</f>
        <v>52800000</v>
      </c>
      <c r="K110" s="15">
        <f>SUM(K105:K109)</f>
        <v>1372800000</v>
      </c>
    </row>
    <row r="111" spans="1:14" x14ac:dyDescent="0.3">
      <c r="J111" s="45" t="s">
        <v>39</v>
      </c>
      <c r="K111" s="45">
        <f>K110/N2</f>
        <v>231539.88868274583</v>
      </c>
      <c r="N111" s="28"/>
    </row>
    <row r="112" spans="1:14" x14ac:dyDescent="0.3">
      <c r="A112" s="42" t="s">
        <v>186</v>
      </c>
    </row>
    <row r="113" spans="1:63" x14ac:dyDescent="0.3">
      <c r="A113" t="s">
        <v>136</v>
      </c>
      <c r="B113" s="15" t="s">
        <v>137</v>
      </c>
      <c r="C113" s="15" t="s">
        <v>138</v>
      </c>
      <c r="D113" s="15" t="s">
        <v>130</v>
      </c>
      <c r="E113" s="15" t="s">
        <v>139</v>
      </c>
      <c r="F113" s="15" t="s">
        <v>140</v>
      </c>
      <c r="G113" s="15" t="s">
        <v>141</v>
      </c>
      <c r="H113" s="15" t="s">
        <v>142</v>
      </c>
      <c r="I113" s="15" t="s">
        <v>143</v>
      </c>
      <c r="J113" s="15" t="s">
        <v>144</v>
      </c>
      <c r="K113" s="15" t="s">
        <v>39</v>
      </c>
    </row>
    <row r="114" spans="1:63" x14ac:dyDescent="0.3">
      <c r="A114" t="s">
        <v>176</v>
      </c>
      <c r="B114" s="15">
        <v>1</v>
      </c>
      <c r="C114" s="15" t="s">
        <v>177</v>
      </c>
      <c r="D114" s="15">
        <v>12000000</v>
      </c>
      <c r="E114" s="15">
        <v>100</v>
      </c>
      <c r="F114" s="15" t="s">
        <v>178</v>
      </c>
      <c r="G114" s="15">
        <v>39</v>
      </c>
      <c r="H114" s="15">
        <v>137</v>
      </c>
      <c r="J114" s="15">
        <f>(D114*0.8)*B114</f>
        <v>9600000</v>
      </c>
      <c r="K114" s="15">
        <f>J114*G114</f>
        <v>374400000</v>
      </c>
    </row>
    <row r="115" spans="1:63" x14ac:dyDescent="0.3">
      <c r="A115" t="s">
        <v>176</v>
      </c>
      <c r="B115" s="15">
        <v>1</v>
      </c>
      <c r="C115" s="15" t="s">
        <v>185</v>
      </c>
      <c r="D115" s="15">
        <v>8000000</v>
      </c>
      <c r="E115" s="15">
        <v>100</v>
      </c>
      <c r="G115" s="15">
        <v>39</v>
      </c>
      <c r="H115" s="15">
        <v>137</v>
      </c>
      <c r="J115" s="15">
        <f>(D115*0.6)*B115</f>
        <v>4800000</v>
      </c>
      <c r="K115" s="15">
        <f>J115*G115</f>
        <v>187200000</v>
      </c>
    </row>
    <row r="116" spans="1:63" x14ac:dyDescent="0.3">
      <c r="J116" s="15">
        <f>SUM(J114:J115)</f>
        <v>14400000</v>
      </c>
      <c r="K116" s="45">
        <f>SUM(K114:K115)</f>
        <v>561600000</v>
      </c>
    </row>
    <row r="117" spans="1:63" x14ac:dyDescent="0.3">
      <c r="J117" s="45" t="s">
        <v>39</v>
      </c>
      <c r="K117" s="45">
        <f>K116/N2</f>
        <v>94720.863552032388</v>
      </c>
      <c r="L117" s="15">
        <f>K111+K117</f>
        <v>326260.75223477825</v>
      </c>
    </row>
    <row r="119" spans="1:63" x14ac:dyDescent="0.3">
      <c r="B119" s="460" t="s">
        <v>102</v>
      </c>
      <c r="C119" s="461"/>
      <c r="D119" s="461"/>
      <c r="E119" s="461"/>
      <c r="F119" s="461"/>
      <c r="G119" s="461"/>
      <c r="H119" s="461"/>
      <c r="I119" s="461"/>
      <c r="J119" s="461"/>
      <c r="K119" s="461"/>
      <c r="L119" s="461"/>
      <c r="M119" s="462"/>
      <c r="N119" s="463" t="s">
        <v>103</v>
      </c>
      <c r="O119" s="464"/>
      <c r="P119" s="464"/>
      <c r="Q119" s="464"/>
      <c r="R119" s="464"/>
      <c r="S119" s="464"/>
      <c r="T119" s="464"/>
      <c r="U119" s="464"/>
      <c r="V119" s="464"/>
      <c r="W119" s="464"/>
      <c r="X119" s="464"/>
      <c r="Y119" s="465"/>
      <c r="Z119" s="463" t="s">
        <v>104</v>
      </c>
      <c r="AA119" s="464"/>
      <c r="AB119" s="464"/>
      <c r="AC119" s="464"/>
      <c r="AD119" s="464"/>
      <c r="AE119" s="464"/>
      <c r="AF119" s="464"/>
      <c r="AG119" s="464"/>
      <c r="AH119" s="464"/>
      <c r="AI119" s="464"/>
      <c r="AJ119" s="464"/>
      <c r="AK119" s="465"/>
      <c r="AL119" s="463" t="s">
        <v>105</v>
      </c>
      <c r="AM119" s="464"/>
      <c r="AN119" s="464"/>
      <c r="AO119" s="464"/>
      <c r="AP119" s="464"/>
      <c r="AQ119" s="464"/>
      <c r="AR119" s="464"/>
      <c r="AS119" s="464"/>
      <c r="AT119" s="464"/>
      <c r="AU119" s="464"/>
      <c r="AV119" s="464"/>
      <c r="AW119" s="465"/>
      <c r="AX119" s="463" t="s">
        <v>106</v>
      </c>
      <c r="AY119" s="464"/>
      <c r="AZ119" s="464"/>
      <c r="BA119" s="464"/>
      <c r="BB119" s="464"/>
      <c r="BC119" s="464"/>
      <c r="BD119" s="464"/>
      <c r="BE119" s="464"/>
      <c r="BF119" s="464"/>
      <c r="BG119" s="464"/>
      <c r="BH119" s="464"/>
      <c r="BI119" s="465"/>
      <c r="BJ119" s="5"/>
    </row>
    <row r="120" spans="1:63" x14ac:dyDescent="0.3">
      <c r="B120" s="466" t="s">
        <v>28</v>
      </c>
      <c r="C120" s="467"/>
      <c r="D120" s="468"/>
      <c r="E120" s="466" t="s">
        <v>29</v>
      </c>
      <c r="F120" s="467"/>
      <c r="G120" s="468"/>
      <c r="H120" s="466" t="s">
        <v>30</v>
      </c>
      <c r="I120" s="467"/>
      <c r="J120" s="468"/>
      <c r="K120" s="466" t="s">
        <v>31</v>
      </c>
      <c r="L120" s="467"/>
      <c r="M120" s="468"/>
      <c r="N120" s="466" t="s">
        <v>28</v>
      </c>
      <c r="O120" s="467"/>
      <c r="P120" s="468"/>
      <c r="Q120" s="466" t="s">
        <v>29</v>
      </c>
      <c r="R120" s="467"/>
      <c r="S120" s="468"/>
      <c r="T120" s="466" t="s">
        <v>30</v>
      </c>
      <c r="U120" s="467"/>
      <c r="V120" s="468"/>
      <c r="W120" s="466" t="s">
        <v>31</v>
      </c>
      <c r="X120" s="467"/>
      <c r="Y120" s="468"/>
      <c r="Z120" s="466" t="s">
        <v>28</v>
      </c>
      <c r="AA120" s="467"/>
      <c r="AB120" s="468"/>
      <c r="AC120" s="466" t="s">
        <v>29</v>
      </c>
      <c r="AD120" s="467"/>
      <c r="AE120" s="468"/>
      <c r="AF120" s="466" t="s">
        <v>30</v>
      </c>
      <c r="AG120" s="467"/>
      <c r="AH120" s="468"/>
      <c r="AI120" s="466" t="s">
        <v>31</v>
      </c>
      <c r="AJ120" s="467"/>
      <c r="AK120" s="468"/>
      <c r="AL120" s="466" t="s">
        <v>28</v>
      </c>
      <c r="AM120" s="467"/>
      <c r="AN120" s="468"/>
      <c r="AO120" s="466" t="s">
        <v>29</v>
      </c>
      <c r="AP120" s="467"/>
      <c r="AQ120" s="468"/>
      <c r="AR120" s="466" t="s">
        <v>30</v>
      </c>
      <c r="AS120" s="467"/>
      <c r="AT120" s="468"/>
      <c r="AU120" s="466" t="s">
        <v>31</v>
      </c>
      <c r="AV120" s="467"/>
      <c r="AW120" s="468"/>
      <c r="AX120" s="466" t="s">
        <v>28</v>
      </c>
      <c r="AY120" s="467"/>
      <c r="AZ120" s="468"/>
      <c r="BA120" s="466" t="s">
        <v>29</v>
      </c>
      <c r="BB120" s="467"/>
      <c r="BC120" s="468"/>
      <c r="BD120" s="466" t="s">
        <v>30</v>
      </c>
      <c r="BE120" s="467"/>
      <c r="BF120" s="468"/>
      <c r="BG120" s="466" t="s">
        <v>31</v>
      </c>
      <c r="BH120" s="467"/>
      <c r="BI120" s="468"/>
      <c r="BJ120" s="5"/>
    </row>
    <row r="121" spans="1:63" x14ac:dyDescent="0.3">
      <c r="B121" s="12" t="s">
        <v>109</v>
      </c>
      <c r="C121" s="12" t="s">
        <v>110</v>
      </c>
      <c r="D121" s="12" t="s">
        <v>111</v>
      </c>
      <c r="E121" s="12" t="s">
        <v>112</v>
      </c>
      <c r="F121" s="13" t="s">
        <v>113</v>
      </c>
      <c r="G121" s="14" t="s">
        <v>114</v>
      </c>
      <c r="H121" s="12" t="s">
        <v>115</v>
      </c>
      <c r="I121" s="13" t="s">
        <v>116</v>
      </c>
      <c r="J121" s="14" t="s">
        <v>117</v>
      </c>
      <c r="K121" s="12" t="s">
        <v>118</v>
      </c>
      <c r="L121" s="13" t="s">
        <v>119</v>
      </c>
      <c r="M121" s="14" t="s">
        <v>120</v>
      </c>
      <c r="N121" s="12" t="s">
        <v>109</v>
      </c>
      <c r="O121" s="12" t="s">
        <v>110</v>
      </c>
      <c r="P121" s="12" t="s">
        <v>111</v>
      </c>
      <c r="Q121" s="12" t="s">
        <v>112</v>
      </c>
      <c r="R121" s="13" t="s">
        <v>113</v>
      </c>
      <c r="S121" s="14" t="s">
        <v>114</v>
      </c>
      <c r="T121" s="12" t="s">
        <v>115</v>
      </c>
      <c r="U121" s="6" t="s">
        <v>116</v>
      </c>
      <c r="V121" s="7" t="s">
        <v>117</v>
      </c>
      <c r="W121" s="8" t="s">
        <v>118</v>
      </c>
      <c r="X121" s="8" t="s">
        <v>119</v>
      </c>
      <c r="Y121" s="8" t="s">
        <v>120</v>
      </c>
      <c r="Z121" s="12" t="s">
        <v>109</v>
      </c>
      <c r="AA121" s="12" t="s">
        <v>110</v>
      </c>
      <c r="AB121" s="12" t="s">
        <v>111</v>
      </c>
      <c r="AC121" s="12" t="s">
        <v>112</v>
      </c>
      <c r="AD121" s="13" t="s">
        <v>113</v>
      </c>
      <c r="AE121" s="14" t="s">
        <v>114</v>
      </c>
      <c r="AF121" s="12" t="s">
        <v>115</v>
      </c>
      <c r="AG121" s="13" t="s">
        <v>116</v>
      </c>
      <c r="AH121" s="14" t="s">
        <v>117</v>
      </c>
      <c r="AI121" s="12" t="s">
        <v>118</v>
      </c>
      <c r="AJ121" s="13" t="s">
        <v>119</v>
      </c>
      <c r="AK121" s="14" t="s">
        <v>120</v>
      </c>
      <c r="AL121" s="12" t="s">
        <v>109</v>
      </c>
      <c r="AM121" s="12" t="s">
        <v>110</v>
      </c>
      <c r="AN121" s="12" t="s">
        <v>111</v>
      </c>
      <c r="AO121" s="12" t="s">
        <v>112</v>
      </c>
      <c r="AP121" s="13" t="s">
        <v>113</v>
      </c>
      <c r="AQ121" s="14" t="s">
        <v>114</v>
      </c>
      <c r="AR121" s="12" t="s">
        <v>115</v>
      </c>
      <c r="AS121" s="13" t="s">
        <v>116</v>
      </c>
      <c r="AT121" s="7" t="s">
        <v>117</v>
      </c>
      <c r="AU121" s="8" t="s">
        <v>118</v>
      </c>
      <c r="AV121" s="13" t="s">
        <v>119</v>
      </c>
      <c r="AW121" s="14" t="s">
        <v>120</v>
      </c>
      <c r="AX121" s="12" t="s">
        <v>109</v>
      </c>
      <c r="AY121" s="12" t="s">
        <v>110</v>
      </c>
      <c r="AZ121" s="12" t="s">
        <v>111</v>
      </c>
      <c r="BA121" s="12" t="s">
        <v>112</v>
      </c>
      <c r="BB121" s="13" t="s">
        <v>113</v>
      </c>
      <c r="BC121" s="14" t="s">
        <v>114</v>
      </c>
      <c r="BD121" s="7" t="s">
        <v>115</v>
      </c>
      <c r="BE121" s="8" t="s">
        <v>116</v>
      </c>
      <c r="BF121" s="14" t="s">
        <v>117</v>
      </c>
      <c r="BG121" s="12" t="s">
        <v>118</v>
      </c>
      <c r="BH121" s="13" t="s">
        <v>119</v>
      </c>
      <c r="BI121" s="14" t="s">
        <v>120</v>
      </c>
      <c r="BJ121" s="5"/>
    </row>
    <row r="122" spans="1:63" x14ac:dyDescent="0.3">
      <c r="B122" s="9" t="s">
        <v>10</v>
      </c>
      <c r="C122" s="9" t="s">
        <v>11</v>
      </c>
      <c r="D122" s="9" t="s">
        <v>12</v>
      </c>
      <c r="E122" s="9" t="s">
        <v>13</v>
      </c>
      <c r="F122" s="9" t="s">
        <v>14</v>
      </c>
      <c r="G122" s="9" t="s">
        <v>15</v>
      </c>
      <c r="H122" s="9" t="s">
        <v>16</v>
      </c>
      <c r="I122" s="9" t="s">
        <v>17</v>
      </c>
      <c r="J122" s="9" t="s">
        <v>18</v>
      </c>
      <c r="K122" s="9" t="s">
        <v>19</v>
      </c>
      <c r="L122" s="9" t="s">
        <v>20</v>
      </c>
      <c r="M122" s="9" t="s">
        <v>21</v>
      </c>
      <c r="N122" s="9" t="s">
        <v>22</v>
      </c>
      <c r="O122" s="9" t="s">
        <v>23</v>
      </c>
      <c r="P122" s="9" t="s">
        <v>24</v>
      </c>
      <c r="Q122" s="9" t="s">
        <v>25</v>
      </c>
      <c r="R122" s="9" t="s">
        <v>26</v>
      </c>
      <c r="S122" s="9" t="s">
        <v>27</v>
      </c>
      <c r="T122" s="9" t="s">
        <v>60</v>
      </c>
      <c r="U122" s="9" t="s">
        <v>61</v>
      </c>
      <c r="V122" s="9" t="s">
        <v>62</v>
      </c>
      <c r="W122" s="9" t="s">
        <v>63</v>
      </c>
      <c r="X122" s="9" t="s">
        <v>64</v>
      </c>
      <c r="Y122" s="9" t="s">
        <v>65</v>
      </c>
      <c r="Z122" s="9" t="s">
        <v>66</v>
      </c>
      <c r="AA122" s="9" t="s">
        <v>67</v>
      </c>
      <c r="AB122" s="9" t="s">
        <v>68</v>
      </c>
      <c r="AC122" s="9" t="s">
        <v>69</v>
      </c>
      <c r="AD122" s="9" t="s">
        <v>70</v>
      </c>
      <c r="AE122" s="9" t="s">
        <v>71</v>
      </c>
      <c r="AF122" s="9" t="s">
        <v>72</v>
      </c>
      <c r="AG122" s="9" t="s">
        <v>73</v>
      </c>
      <c r="AH122" s="9" t="s">
        <v>74</v>
      </c>
      <c r="AI122" s="9" t="s">
        <v>75</v>
      </c>
      <c r="AJ122" s="9" t="s">
        <v>76</v>
      </c>
      <c r="AK122" s="9" t="s">
        <v>77</v>
      </c>
      <c r="AL122" s="9" t="s">
        <v>78</v>
      </c>
      <c r="AM122" s="9" t="s">
        <v>79</v>
      </c>
      <c r="AN122" s="9" t="s">
        <v>80</v>
      </c>
      <c r="AO122" s="9" t="s">
        <v>81</v>
      </c>
      <c r="AP122" s="9" t="s">
        <v>82</v>
      </c>
      <c r="AQ122" s="9" t="s">
        <v>83</v>
      </c>
      <c r="AR122" s="9" t="s">
        <v>84</v>
      </c>
      <c r="AS122" s="9" t="s">
        <v>85</v>
      </c>
      <c r="AT122" s="9" t="s">
        <v>86</v>
      </c>
      <c r="AU122" s="9" t="s">
        <v>87</v>
      </c>
      <c r="AV122" s="9" t="s">
        <v>88</v>
      </c>
      <c r="AW122" s="9" t="s">
        <v>89</v>
      </c>
      <c r="AX122" s="9" t="s">
        <v>90</v>
      </c>
      <c r="AY122" s="9" t="s">
        <v>91</v>
      </c>
      <c r="AZ122" s="9" t="s">
        <v>92</v>
      </c>
      <c r="BA122" s="9" t="s">
        <v>93</v>
      </c>
      <c r="BB122" s="9" t="s">
        <v>94</v>
      </c>
      <c r="BC122" s="9" t="s">
        <v>95</v>
      </c>
      <c r="BD122" s="10" t="s">
        <v>96</v>
      </c>
      <c r="BE122" s="10" t="s">
        <v>97</v>
      </c>
      <c r="BF122" s="9" t="s">
        <v>98</v>
      </c>
      <c r="BG122" s="9" t="s">
        <v>99</v>
      </c>
      <c r="BH122" s="9" t="s">
        <v>100</v>
      </c>
      <c r="BI122" s="9" t="s">
        <v>101</v>
      </c>
      <c r="BJ122" s="11" t="s">
        <v>39</v>
      </c>
    </row>
    <row r="123" spans="1:63" x14ac:dyDescent="0.3">
      <c r="A123" t="s">
        <v>188</v>
      </c>
      <c r="B123" s="15">
        <f>K73/24</f>
        <v>5072.2437735424746</v>
      </c>
      <c r="C123" s="15">
        <f>B123</f>
        <v>5072.2437735424746</v>
      </c>
      <c r="D123" s="15">
        <f t="shared" ref="D123:Y125" si="23">C123</f>
        <v>5072.2437735424746</v>
      </c>
      <c r="E123" s="15">
        <f t="shared" si="23"/>
        <v>5072.2437735424746</v>
      </c>
      <c r="F123" s="15">
        <f t="shared" si="23"/>
        <v>5072.2437735424746</v>
      </c>
      <c r="G123" s="15">
        <f t="shared" si="23"/>
        <v>5072.2437735424746</v>
      </c>
      <c r="H123" s="15">
        <f t="shared" si="23"/>
        <v>5072.2437735424746</v>
      </c>
      <c r="I123" s="15">
        <f t="shared" si="23"/>
        <v>5072.2437735424746</v>
      </c>
      <c r="J123" s="15">
        <f t="shared" si="23"/>
        <v>5072.2437735424746</v>
      </c>
      <c r="K123" s="15">
        <f t="shared" si="23"/>
        <v>5072.2437735424746</v>
      </c>
      <c r="L123" s="15">
        <f t="shared" si="23"/>
        <v>5072.2437735424746</v>
      </c>
      <c r="M123" s="15">
        <f t="shared" si="23"/>
        <v>5072.2437735424746</v>
      </c>
      <c r="N123" s="15">
        <f t="shared" si="23"/>
        <v>5072.2437735424746</v>
      </c>
      <c r="O123" s="15">
        <f t="shared" si="23"/>
        <v>5072.2437735424746</v>
      </c>
      <c r="P123" s="15">
        <f t="shared" si="23"/>
        <v>5072.2437735424746</v>
      </c>
      <c r="Q123" s="15">
        <f t="shared" si="23"/>
        <v>5072.2437735424746</v>
      </c>
      <c r="R123" s="15">
        <f t="shared" si="23"/>
        <v>5072.2437735424746</v>
      </c>
      <c r="S123" s="15">
        <f t="shared" si="23"/>
        <v>5072.2437735424746</v>
      </c>
      <c r="T123" s="15">
        <f t="shared" si="23"/>
        <v>5072.2437735424746</v>
      </c>
      <c r="U123" s="15">
        <f t="shared" si="23"/>
        <v>5072.2437735424746</v>
      </c>
      <c r="V123" s="15">
        <f t="shared" si="23"/>
        <v>5072.2437735424746</v>
      </c>
      <c r="W123" s="15">
        <f t="shared" si="23"/>
        <v>5072.2437735424746</v>
      </c>
      <c r="X123" s="15">
        <f t="shared" si="23"/>
        <v>5072.2437735424746</v>
      </c>
      <c r="Y123" s="15">
        <f t="shared" si="23"/>
        <v>5072.2437735424746</v>
      </c>
      <c r="Z123" s="28">
        <f>K82/36</f>
        <v>1096.3062911114857</v>
      </c>
      <c r="AA123" s="28">
        <f>Z123</f>
        <v>1096.3062911114857</v>
      </c>
      <c r="AB123" s="28">
        <f t="shared" ref="AB123:BI125" si="24">AA123</f>
        <v>1096.3062911114857</v>
      </c>
      <c r="AC123" s="28">
        <f t="shared" si="24"/>
        <v>1096.3062911114857</v>
      </c>
      <c r="AD123" s="28">
        <f t="shared" si="24"/>
        <v>1096.3062911114857</v>
      </c>
      <c r="AE123" s="28">
        <f t="shared" si="24"/>
        <v>1096.3062911114857</v>
      </c>
      <c r="AF123" s="28">
        <f t="shared" si="24"/>
        <v>1096.3062911114857</v>
      </c>
      <c r="AG123" s="28">
        <f t="shared" si="24"/>
        <v>1096.3062911114857</v>
      </c>
      <c r="AH123" s="28">
        <f t="shared" si="24"/>
        <v>1096.3062911114857</v>
      </c>
      <c r="AI123" s="28">
        <f t="shared" si="24"/>
        <v>1096.3062911114857</v>
      </c>
      <c r="AJ123" s="28">
        <f t="shared" si="24"/>
        <v>1096.3062911114857</v>
      </c>
      <c r="AK123" s="28">
        <f t="shared" si="24"/>
        <v>1096.3062911114857</v>
      </c>
      <c r="AL123" s="28">
        <f t="shared" si="24"/>
        <v>1096.3062911114857</v>
      </c>
      <c r="AM123" s="28">
        <f t="shared" si="24"/>
        <v>1096.3062911114857</v>
      </c>
      <c r="AN123" s="28">
        <f t="shared" si="24"/>
        <v>1096.3062911114857</v>
      </c>
      <c r="AO123" s="28">
        <f t="shared" si="24"/>
        <v>1096.3062911114857</v>
      </c>
      <c r="AP123" s="28">
        <f t="shared" si="24"/>
        <v>1096.3062911114857</v>
      </c>
      <c r="AQ123" s="28">
        <f t="shared" si="24"/>
        <v>1096.3062911114857</v>
      </c>
      <c r="AR123" s="28">
        <f t="shared" si="24"/>
        <v>1096.3062911114857</v>
      </c>
      <c r="AS123" s="28">
        <f t="shared" si="24"/>
        <v>1096.3062911114857</v>
      </c>
      <c r="AT123" s="28">
        <f t="shared" si="24"/>
        <v>1096.3062911114857</v>
      </c>
      <c r="AU123" s="28">
        <f t="shared" si="24"/>
        <v>1096.3062911114857</v>
      </c>
      <c r="AV123" s="28">
        <f t="shared" si="24"/>
        <v>1096.3062911114857</v>
      </c>
      <c r="AW123" s="28">
        <f t="shared" si="24"/>
        <v>1096.3062911114857</v>
      </c>
      <c r="AX123" s="28">
        <f t="shared" si="24"/>
        <v>1096.3062911114857</v>
      </c>
      <c r="AY123" s="28">
        <f t="shared" si="24"/>
        <v>1096.3062911114857</v>
      </c>
      <c r="AZ123" s="28">
        <f t="shared" si="24"/>
        <v>1096.3062911114857</v>
      </c>
      <c r="BA123" s="28">
        <f t="shared" si="24"/>
        <v>1096.3062911114857</v>
      </c>
      <c r="BB123" s="28">
        <f t="shared" si="24"/>
        <v>1096.3062911114857</v>
      </c>
      <c r="BC123" s="28">
        <f t="shared" si="24"/>
        <v>1096.3062911114857</v>
      </c>
      <c r="BD123" s="28">
        <f t="shared" si="24"/>
        <v>1096.3062911114857</v>
      </c>
      <c r="BE123" s="28">
        <f t="shared" si="24"/>
        <v>1096.3062911114857</v>
      </c>
      <c r="BF123" s="28">
        <f t="shared" si="24"/>
        <v>1096.3062911114857</v>
      </c>
      <c r="BG123" s="28">
        <f t="shared" si="24"/>
        <v>1096.3062911114857</v>
      </c>
      <c r="BH123" s="28">
        <f t="shared" si="24"/>
        <v>1096.3062911114857</v>
      </c>
      <c r="BI123" s="28">
        <f t="shared" si="24"/>
        <v>1096.3062911114857</v>
      </c>
      <c r="BJ123" s="28">
        <f>SUM(B123:BI123)</f>
        <v>161200.8770450328</v>
      </c>
      <c r="BK123" s="28">
        <f>N53</f>
        <v>161200.87704503289</v>
      </c>
    </row>
    <row r="124" spans="1:63" x14ac:dyDescent="0.3">
      <c r="A124" t="s">
        <v>187</v>
      </c>
      <c r="B124" s="15">
        <f>K101/24</f>
        <v>5072.2437735424746</v>
      </c>
      <c r="C124" s="15">
        <f>B124</f>
        <v>5072.2437735424746</v>
      </c>
      <c r="D124" s="15">
        <f t="shared" si="23"/>
        <v>5072.2437735424746</v>
      </c>
      <c r="E124" s="15">
        <f t="shared" si="23"/>
        <v>5072.2437735424746</v>
      </c>
      <c r="F124" s="15">
        <f t="shared" si="23"/>
        <v>5072.2437735424746</v>
      </c>
      <c r="G124" s="15">
        <f t="shared" si="23"/>
        <v>5072.2437735424746</v>
      </c>
      <c r="H124" s="15">
        <f t="shared" si="23"/>
        <v>5072.2437735424746</v>
      </c>
      <c r="I124" s="15">
        <f t="shared" si="23"/>
        <v>5072.2437735424746</v>
      </c>
      <c r="J124" s="15">
        <f t="shared" si="23"/>
        <v>5072.2437735424746</v>
      </c>
      <c r="K124" s="15">
        <f t="shared" si="23"/>
        <v>5072.2437735424746</v>
      </c>
      <c r="L124" s="15">
        <f t="shared" si="23"/>
        <v>5072.2437735424746</v>
      </c>
      <c r="M124" s="15">
        <f t="shared" si="23"/>
        <v>5072.2437735424746</v>
      </c>
      <c r="N124" s="15">
        <f t="shared" si="23"/>
        <v>5072.2437735424746</v>
      </c>
      <c r="O124" s="15">
        <f t="shared" si="23"/>
        <v>5072.2437735424746</v>
      </c>
      <c r="P124" s="15">
        <f t="shared" si="23"/>
        <v>5072.2437735424746</v>
      </c>
      <c r="Q124" s="15">
        <f t="shared" si="23"/>
        <v>5072.2437735424746</v>
      </c>
      <c r="R124" s="15">
        <f t="shared" si="23"/>
        <v>5072.2437735424746</v>
      </c>
      <c r="S124" s="15">
        <f t="shared" si="23"/>
        <v>5072.2437735424746</v>
      </c>
      <c r="T124" s="15">
        <f t="shared" si="23"/>
        <v>5072.2437735424746</v>
      </c>
      <c r="U124" s="15">
        <f t="shared" si="23"/>
        <v>5072.2437735424746</v>
      </c>
      <c r="V124" s="15">
        <f t="shared" si="23"/>
        <v>5072.2437735424746</v>
      </c>
      <c r="W124" s="15">
        <f t="shared" si="23"/>
        <v>5072.2437735424746</v>
      </c>
      <c r="X124" s="15">
        <f t="shared" si="23"/>
        <v>5072.2437735424746</v>
      </c>
      <c r="Y124" s="15">
        <f t="shared" si="23"/>
        <v>5072.2437735424746</v>
      </c>
      <c r="Z124" s="28">
        <v>0</v>
      </c>
      <c r="AA124" s="28">
        <f>Z124</f>
        <v>0</v>
      </c>
      <c r="AB124" s="28">
        <f t="shared" si="24"/>
        <v>0</v>
      </c>
      <c r="AC124" s="28">
        <f t="shared" si="24"/>
        <v>0</v>
      </c>
      <c r="AD124" s="28">
        <f t="shared" si="24"/>
        <v>0</v>
      </c>
      <c r="AE124" s="28">
        <f t="shared" si="24"/>
        <v>0</v>
      </c>
      <c r="AF124" s="28">
        <f t="shared" si="24"/>
        <v>0</v>
      </c>
      <c r="AG124" s="28">
        <f t="shared" si="24"/>
        <v>0</v>
      </c>
      <c r="AH124" s="28">
        <f t="shared" si="24"/>
        <v>0</v>
      </c>
      <c r="AI124" s="28">
        <f t="shared" si="24"/>
        <v>0</v>
      </c>
      <c r="AJ124" s="28">
        <f t="shared" si="24"/>
        <v>0</v>
      </c>
      <c r="AK124" s="28">
        <f t="shared" si="24"/>
        <v>0</v>
      </c>
      <c r="AL124" s="28">
        <f t="shared" si="24"/>
        <v>0</v>
      </c>
      <c r="AM124" s="28">
        <f t="shared" si="24"/>
        <v>0</v>
      </c>
      <c r="AN124" s="28">
        <f t="shared" si="24"/>
        <v>0</v>
      </c>
      <c r="AO124" s="28">
        <f t="shared" si="24"/>
        <v>0</v>
      </c>
      <c r="AP124" s="28">
        <f t="shared" si="24"/>
        <v>0</v>
      </c>
      <c r="AQ124" s="28">
        <f t="shared" si="24"/>
        <v>0</v>
      </c>
      <c r="AR124" s="28">
        <f t="shared" si="24"/>
        <v>0</v>
      </c>
      <c r="AS124" s="28">
        <f t="shared" si="24"/>
        <v>0</v>
      </c>
      <c r="AT124" s="28">
        <f t="shared" si="24"/>
        <v>0</v>
      </c>
      <c r="AU124" s="28">
        <f t="shared" si="24"/>
        <v>0</v>
      </c>
      <c r="AV124" s="28">
        <f t="shared" si="24"/>
        <v>0</v>
      </c>
      <c r="AW124" s="28">
        <f t="shared" si="24"/>
        <v>0</v>
      </c>
      <c r="AX124" s="28">
        <f t="shared" si="24"/>
        <v>0</v>
      </c>
      <c r="AY124" s="28">
        <f t="shared" si="24"/>
        <v>0</v>
      </c>
      <c r="AZ124" s="28">
        <f t="shared" si="24"/>
        <v>0</v>
      </c>
      <c r="BA124" s="28">
        <f t="shared" si="24"/>
        <v>0</v>
      </c>
      <c r="BB124" s="28">
        <f t="shared" si="24"/>
        <v>0</v>
      </c>
      <c r="BC124" s="28">
        <f t="shared" si="24"/>
        <v>0</v>
      </c>
      <c r="BD124" s="28">
        <f t="shared" si="24"/>
        <v>0</v>
      </c>
      <c r="BE124" s="28">
        <f t="shared" si="24"/>
        <v>0</v>
      </c>
      <c r="BF124" s="28">
        <f t="shared" si="24"/>
        <v>0</v>
      </c>
      <c r="BG124" s="28">
        <f t="shared" si="24"/>
        <v>0</v>
      </c>
      <c r="BH124" s="28">
        <f t="shared" si="24"/>
        <v>0</v>
      </c>
      <c r="BI124" s="28">
        <f t="shared" si="24"/>
        <v>0</v>
      </c>
      <c r="BJ124" s="28">
        <f>SUM(B124:BI124)</f>
        <v>121733.8505650194</v>
      </c>
      <c r="BK124" s="28">
        <f t="shared" ref="BK124:BK126" si="25">N54</f>
        <v>121733.8505650194</v>
      </c>
    </row>
    <row r="125" spans="1:63" x14ac:dyDescent="0.3">
      <c r="A125" t="s">
        <v>187</v>
      </c>
      <c r="B125" s="15">
        <f>K111/24</f>
        <v>9647.495361781077</v>
      </c>
      <c r="C125" s="15">
        <f>B125</f>
        <v>9647.495361781077</v>
      </c>
      <c r="D125" s="15">
        <f t="shared" si="23"/>
        <v>9647.495361781077</v>
      </c>
      <c r="E125" s="15">
        <f t="shared" si="23"/>
        <v>9647.495361781077</v>
      </c>
      <c r="F125" s="15">
        <f t="shared" si="23"/>
        <v>9647.495361781077</v>
      </c>
      <c r="G125" s="15">
        <f t="shared" si="23"/>
        <v>9647.495361781077</v>
      </c>
      <c r="H125" s="15">
        <f t="shared" si="23"/>
        <v>9647.495361781077</v>
      </c>
      <c r="I125" s="15">
        <f t="shared" si="23"/>
        <v>9647.495361781077</v>
      </c>
      <c r="J125" s="15">
        <f t="shared" si="23"/>
        <v>9647.495361781077</v>
      </c>
      <c r="K125" s="15">
        <f t="shared" si="23"/>
        <v>9647.495361781077</v>
      </c>
      <c r="L125" s="15">
        <f t="shared" si="23"/>
        <v>9647.495361781077</v>
      </c>
      <c r="M125" s="15">
        <f t="shared" si="23"/>
        <v>9647.495361781077</v>
      </c>
      <c r="N125" s="15">
        <f t="shared" si="23"/>
        <v>9647.495361781077</v>
      </c>
      <c r="O125" s="15">
        <f t="shared" si="23"/>
        <v>9647.495361781077</v>
      </c>
      <c r="P125" s="15">
        <f t="shared" si="23"/>
        <v>9647.495361781077</v>
      </c>
      <c r="Q125" s="15">
        <f t="shared" si="23"/>
        <v>9647.495361781077</v>
      </c>
      <c r="R125" s="15">
        <f t="shared" si="23"/>
        <v>9647.495361781077</v>
      </c>
      <c r="S125" s="15">
        <f t="shared" si="23"/>
        <v>9647.495361781077</v>
      </c>
      <c r="T125" s="15">
        <f t="shared" si="23"/>
        <v>9647.495361781077</v>
      </c>
      <c r="U125" s="15">
        <f t="shared" si="23"/>
        <v>9647.495361781077</v>
      </c>
      <c r="V125" s="15">
        <f t="shared" si="23"/>
        <v>9647.495361781077</v>
      </c>
      <c r="W125" s="15">
        <f t="shared" si="23"/>
        <v>9647.495361781077</v>
      </c>
      <c r="X125" s="15">
        <f t="shared" si="23"/>
        <v>9647.495361781077</v>
      </c>
      <c r="Y125" s="15">
        <f t="shared" si="23"/>
        <v>9647.495361781077</v>
      </c>
      <c r="Z125" s="28">
        <f>K117/36</f>
        <v>2631.1350986675661</v>
      </c>
      <c r="AA125" s="28">
        <f>Z125</f>
        <v>2631.1350986675661</v>
      </c>
      <c r="AB125" s="28">
        <f t="shared" si="24"/>
        <v>2631.1350986675661</v>
      </c>
      <c r="AC125" s="28">
        <f t="shared" si="24"/>
        <v>2631.1350986675661</v>
      </c>
      <c r="AD125" s="28">
        <f t="shared" si="24"/>
        <v>2631.1350986675661</v>
      </c>
      <c r="AE125" s="28">
        <f t="shared" si="24"/>
        <v>2631.1350986675661</v>
      </c>
      <c r="AF125" s="28">
        <f t="shared" si="24"/>
        <v>2631.1350986675661</v>
      </c>
      <c r="AG125" s="28">
        <f t="shared" si="24"/>
        <v>2631.1350986675661</v>
      </c>
      <c r="AH125" s="28">
        <f t="shared" si="24"/>
        <v>2631.1350986675661</v>
      </c>
      <c r="AI125" s="28">
        <f t="shared" si="24"/>
        <v>2631.1350986675661</v>
      </c>
      <c r="AJ125" s="28">
        <f t="shared" si="24"/>
        <v>2631.1350986675661</v>
      </c>
      <c r="AK125" s="28">
        <f t="shared" si="24"/>
        <v>2631.1350986675661</v>
      </c>
      <c r="AL125" s="28">
        <f t="shared" si="24"/>
        <v>2631.1350986675661</v>
      </c>
      <c r="AM125" s="28">
        <f t="shared" si="24"/>
        <v>2631.1350986675661</v>
      </c>
      <c r="AN125" s="28">
        <f t="shared" si="24"/>
        <v>2631.1350986675661</v>
      </c>
      <c r="AO125" s="28">
        <f t="shared" si="24"/>
        <v>2631.1350986675661</v>
      </c>
      <c r="AP125" s="28">
        <f t="shared" si="24"/>
        <v>2631.1350986675661</v>
      </c>
      <c r="AQ125" s="28">
        <f t="shared" si="24"/>
        <v>2631.1350986675661</v>
      </c>
      <c r="AR125" s="28">
        <f t="shared" si="24"/>
        <v>2631.1350986675661</v>
      </c>
      <c r="AS125" s="28">
        <f t="shared" si="24"/>
        <v>2631.1350986675661</v>
      </c>
      <c r="AT125" s="28">
        <f t="shared" si="24"/>
        <v>2631.1350986675661</v>
      </c>
      <c r="AU125" s="28">
        <f t="shared" si="24"/>
        <v>2631.1350986675661</v>
      </c>
      <c r="AV125" s="28">
        <f t="shared" si="24"/>
        <v>2631.1350986675661</v>
      </c>
      <c r="AW125" s="28">
        <f t="shared" si="24"/>
        <v>2631.1350986675661</v>
      </c>
      <c r="AX125" s="28">
        <f t="shared" si="24"/>
        <v>2631.1350986675661</v>
      </c>
      <c r="AY125" s="28">
        <f t="shared" si="24"/>
        <v>2631.1350986675661</v>
      </c>
      <c r="AZ125" s="28">
        <f t="shared" si="24"/>
        <v>2631.1350986675661</v>
      </c>
      <c r="BA125" s="28">
        <f t="shared" si="24"/>
        <v>2631.1350986675661</v>
      </c>
      <c r="BB125" s="28">
        <f t="shared" si="24"/>
        <v>2631.1350986675661</v>
      </c>
      <c r="BC125" s="28">
        <f t="shared" si="24"/>
        <v>2631.1350986675661</v>
      </c>
      <c r="BD125" s="28">
        <f t="shared" si="24"/>
        <v>2631.1350986675661</v>
      </c>
      <c r="BE125" s="28">
        <f t="shared" si="24"/>
        <v>2631.1350986675661</v>
      </c>
      <c r="BF125" s="28">
        <f t="shared" si="24"/>
        <v>2631.1350986675661</v>
      </c>
      <c r="BG125" s="28">
        <f t="shared" si="24"/>
        <v>2631.1350986675661</v>
      </c>
      <c r="BH125" s="28">
        <f t="shared" si="24"/>
        <v>2631.1350986675661</v>
      </c>
      <c r="BI125" s="28">
        <f t="shared" si="24"/>
        <v>2631.1350986675661</v>
      </c>
      <c r="BJ125" s="28">
        <f>SUM(B125:BI125)</f>
        <v>326260.75223477843</v>
      </c>
      <c r="BK125" s="28">
        <f t="shared" si="25"/>
        <v>326260.75223477825</v>
      </c>
    </row>
    <row r="126" spans="1:63" x14ac:dyDescent="0.3">
      <c r="BJ126" s="28">
        <f>SUM(BJ123:BJ125)</f>
        <v>609195.4798448307</v>
      </c>
      <c r="BK126" s="28">
        <f t="shared" si="25"/>
        <v>609195.47984483046</v>
      </c>
    </row>
    <row r="128" spans="1:63" x14ac:dyDescent="0.3">
      <c r="N128" t="s">
        <v>127</v>
      </c>
    </row>
  </sheetData>
  <mergeCells count="29">
    <mergeCell ref="BA120:BC120"/>
    <mergeCell ref="BD120:BF120"/>
    <mergeCell ref="BG120:BI120"/>
    <mergeCell ref="AL120:AN120"/>
    <mergeCell ref="AO120:AQ120"/>
    <mergeCell ref="AR120:AT120"/>
    <mergeCell ref="AU120:AW120"/>
    <mergeCell ref="AX120:AZ120"/>
    <mergeCell ref="N119:Y119"/>
    <mergeCell ref="Z119:AK119"/>
    <mergeCell ref="AL119:AW119"/>
    <mergeCell ref="AX119:BI119"/>
    <mergeCell ref="B120:D120"/>
    <mergeCell ref="E120:G120"/>
    <mergeCell ref="H120:J120"/>
    <mergeCell ref="K120:M120"/>
    <mergeCell ref="N120:P120"/>
    <mergeCell ref="Q120:S120"/>
    <mergeCell ref="T120:V120"/>
    <mergeCell ref="W120:Y120"/>
    <mergeCell ref="Z120:AB120"/>
    <mergeCell ref="AC120:AE120"/>
    <mergeCell ref="AF120:AH120"/>
    <mergeCell ref="AI120:AK120"/>
    <mergeCell ref="A39:M39"/>
    <mergeCell ref="A40:M40"/>
    <mergeCell ref="A45:M45"/>
    <mergeCell ref="A46:M46"/>
    <mergeCell ref="B119:M119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60" zoomScaleNormal="60" workbookViewId="0">
      <selection activeCell="O47" sqref="O47"/>
    </sheetView>
  </sheetViews>
  <sheetFormatPr defaultColWidth="9.109375" defaultRowHeight="14.4" x14ac:dyDescent="0.3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5" shapeId="20491" r:id="rId4">
          <objectPr defaultSize="0" r:id="rId5">
            <anchor moveWithCells="1">
              <from>
                <xdr:col>0</xdr:col>
                <xdr:colOff>7620</xdr:colOff>
                <xdr:row>0</xdr:row>
                <xdr:rowOff>68580</xdr:rowOff>
              </from>
              <to>
                <xdr:col>19</xdr:col>
                <xdr:colOff>464820</xdr:colOff>
                <xdr:row>39</xdr:row>
                <xdr:rowOff>22860</xdr:rowOff>
              </to>
            </anchor>
          </objectPr>
        </oleObject>
      </mc:Choice>
      <mc:Fallback>
        <oleObject progId="Visio.Drawing.15" shapeId="2049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showGridLines="0" zoomScale="90" zoomScaleNormal="90" workbookViewId="0">
      <selection sqref="A1:K1"/>
    </sheetView>
  </sheetViews>
  <sheetFormatPr defaultColWidth="8.88671875" defaultRowHeight="16.95" customHeight="1" x14ac:dyDescent="0.3"/>
  <cols>
    <col min="1" max="1" width="7" style="162" customWidth="1"/>
    <col min="2" max="2" width="63.6640625" style="162" customWidth="1"/>
    <col min="3" max="3" width="19.6640625" style="162" customWidth="1"/>
    <col min="4" max="4" width="11.33203125" style="162" customWidth="1"/>
    <col min="5" max="5" width="12.77734375" style="162" customWidth="1"/>
    <col min="6" max="11" width="17.5546875" style="162" customWidth="1"/>
    <col min="12" max="16384" width="8.88671875" style="162"/>
  </cols>
  <sheetData>
    <row r="1" spans="1:11" ht="23.4" customHeight="1" x14ac:dyDescent="0.3">
      <c r="A1" s="327" t="s">
        <v>754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1" s="277" customFormat="1" ht="16.95" customHeight="1" x14ac:dyDescent="0.3">
      <c r="A2" s="278"/>
      <c r="B2" s="275"/>
      <c r="C2" s="276"/>
      <c r="D2" s="276"/>
      <c r="E2" s="276"/>
      <c r="F2" s="276"/>
      <c r="G2" s="276"/>
      <c r="H2" s="276"/>
      <c r="I2" s="276"/>
      <c r="J2" s="276"/>
      <c r="K2" s="276"/>
    </row>
    <row r="3" spans="1:11" ht="16.95" customHeight="1" thickBot="1" x14ac:dyDescent="0.35">
      <c r="A3" s="326" t="s">
        <v>695</v>
      </c>
      <c r="B3" s="326"/>
      <c r="C3" s="326"/>
      <c r="D3" s="326"/>
      <c r="E3" s="152"/>
      <c r="F3" s="328" t="s">
        <v>698</v>
      </c>
      <c r="G3" s="328"/>
      <c r="H3" s="328"/>
      <c r="I3" s="328"/>
      <c r="J3" s="328"/>
      <c r="K3" s="328"/>
    </row>
    <row r="4" spans="1:11" ht="16.95" customHeight="1" thickTop="1" thickBot="1" x14ac:dyDescent="0.35">
      <c r="A4" s="279" t="s">
        <v>59</v>
      </c>
      <c r="B4" s="279" t="s">
        <v>696</v>
      </c>
      <c r="C4" s="280" t="s">
        <v>342</v>
      </c>
      <c r="D4" s="281" t="s">
        <v>697</v>
      </c>
      <c r="E4" s="152"/>
      <c r="F4" s="280" t="s">
        <v>102</v>
      </c>
      <c r="G4" s="280" t="s">
        <v>103</v>
      </c>
      <c r="H4" s="280" t="s">
        <v>104</v>
      </c>
      <c r="I4" s="280" t="s">
        <v>105</v>
      </c>
      <c r="J4" s="280" t="s">
        <v>106</v>
      </c>
      <c r="K4" s="280" t="s">
        <v>342</v>
      </c>
    </row>
    <row r="5" spans="1:11" ht="16.95" customHeight="1" thickTop="1" thickBot="1" x14ac:dyDescent="0.35">
      <c r="A5" s="282">
        <v>1</v>
      </c>
      <c r="B5" s="283" t="str">
        <f>'CC detallado'!G5</f>
        <v>Componente 1 - Gestión del Riesgo Sanitario</v>
      </c>
      <c r="C5" s="285">
        <f>'CC detallado'!M5</f>
        <v>11015100</v>
      </c>
      <c r="D5" s="284">
        <f t="shared" ref="D5:D10" si="0">C5/$C$10</f>
        <v>0.73433999999999999</v>
      </c>
      <c r="E5" s="152"/>
      <c r="F5" s="287">
        <f>PEP!BZ5/1000000</f>
        <v>0.79366333333333339</v>
      </c>
      <c r="G5" s="287">
        <f>PEP!CA5/1000000</f>
        <v>5.4948766666666664</v>
      </c>
      <c r="H5" s="287">
        <f>PEP!CB5/1000000</f>
        <v>3.8860600000000001</v>
      </c>
      <c r="I5" s="287">
        <f>PEP!CC5/1000000</f>
        <v>0.42</v>
      </c>
      <c r="J5" s="287">
        <f>PEP!CD5/1000000</f>
        <v>0.26500000000000001</v>
      </c>
      <c r="K5" s="287">
        <f>PEP!CE5/1000000</f>
        <v>10.8596</v>
      </c>
    </row>
    <row r="6" spans="1:11" ht="16.95" customHeight="1" thickTop="1" thickBot="1" x14ac:dyDescent="0.35">
      <c r="A6" s="282">
        <v>2</v>
      </c>
      <c r="B6" s="283" t="str">
        <f>'CC detallado'!G53</f>
        <v xml:space="preserve">Componente 2: Ampliación de los servicios </v>
      </c>
      <c r="C6" s="285">
        <f>'CC detallado'!M53</f>
        <v>2918900</v>
      </c>
      <c r="D6" s="284">
        <f t="shared" si="0"/>
        <v>0.19459333333333334</v>
      </c>
      <c r="E6" s="152"/>
      <c r="F6" s="287">
        <f>PEP!BZ53/1000000</f>
        <v>0.24099999999999999</v>
      </c>
      <c r="G6" s="287">
        <f>PEP!CA53/1000000</f>
        <v>1.2434000000000001</v>
      </c>
      <c r="H6" s="287">
        <f>PEP!CB53/1000000</f>
        <v>0.83566666666666678</v>
      </c>
      <c r="I6" s="287">
        <f>PEP!CC53/1000000</f>
        <v>0.47416666666666668</v>
      </c>
      <c r="J6" s="287">
        <f>PEP!CD53/1000000</f>
        <v>0.28016666666666667</v>
      </c>
      <c r="K6" s="287">
        <f>PEP!CE53/1000000</f>
        <v>3.0743999999999998</v>
      </c>
    </row>
    <row r="7" spans="1:11" ht="16.95" customHeight="1" thickTop="1" thickBot="1" x14ac:dyDescent="0.35">
      <c r="A7" s="282" t="s">
        <v>461</v>
      </c>
      <c r="B7" s="283" t="str">
        <f>'CC detallado'!G95</f>
        <v>Administración y supervisión del programa</v>
      </c>
      <c r="C7" s="285">
        <f>'CC detallado'!M95</f>
        <v>566000</v>
      </c>
      <c r="D7" s="284">
        <f t="shared" si="0"/>
        <v>3.7733333333333334E-2</v>
      </c>
      <c r="E7" s="152"/>
      <c r="F7" s="287">
        <f>PEP!BZ95/1000000</f>
        <v>0.13650000000000001</v>
      </c>
      <c r="G7" s="287">
        <f>PEP!CA95/1000000</f>
        <v>0.12</v>
      </c>
      <c r="H7" s="287">
        <f>PEP!CB95/1000000</f>
        <v>0.12</v>
      </c>
      <c r="I7" s="287">
        <f>PEP!CC95/1000000</f>
        <v>0.12</v>
      </c>
      <c r="J7" s="287">
        <f>PEP!CD95/1000000</f>
        <v>6.9500000000000006E-2</v>
      </c>
      <c r="K7" s="287">
        <f>PEP!CE95/1000000</f>
        <v>0.56599999999999995</v>
      </c>
    </row>
    <row r="8" spans="1:11" ht="16.95" customHeight="1" thickTop="1" thickBot="1" x14ac:dyDescent="0.35">
      <c r="A8" s="282" t="s">
        <v>459</v>
      </c>
      <c r="B8" s="283" t="str">
        <f>'CC detallado'!G104</f>
        <v>Evaluaciones y Auditoria Externas</v>
      </c>
      <c r="C8" s="285">
        <f>'CC detallado'!M104</f>
        <v>350000</v>
      </c>
      <c r="D8" s="284">
        <f t="shared" si="0"/>
        <v>2.3333333333333334E-2</v>
      </c>
      <c r="E8" s="152"/>
      <c r="F8" s="287">
        <f>PEP!BZ104/1000000</f>
        <v>0.02</v>
      </c>
      <c r="G8" s="287">
        <f>PEP!CA104/1000000</f>
        <v>0.04</v>
      </c>
      <c r="H8" s="287">
        <f>PEP!CB104/1000000</f>
        <v>0.06</v>
      </c>
      <c r="I8" s="287">
        <f>PEP!CC104/1000000</f>
        <v>0.04</v>
      </c>
      <c r="J8" s="287">
        <f>PEP!CD104/1000000</f>
        <v>0.19</v>
      </c>
      <c r="K8" s="287">
        <f>PEP!CE104/1000000</f>
        <v>0.35</v>
      </c>
    </row>
    <row r="9" spans="1:11" ht="16.95" customHeight="1" thickTop="1" thickBot="1" x14ac:dyDescent="0.35">
      <c r="A9" s="282" t="s">
        <v>545</v>
      </c>
      <c r="B9" s="283" t="s">
        <v>406</v>
      </c>
      <c r="C9" s="285">
        <f>'CC detallado'!M111</f>
        <v>150000</v>
      </c>
      <c r="D9" s="284">
        <f t="shared" si="0"/>
        <v>0.01</v>
      </c>
      <c r="E9" s="152"/>
      <c r="F9" s="287">
        <f>PEP!BZ111/1000000</f>
        <v>0</v>
      </c>
      <c r="G9" s="287">
        <f>PEP!CA111/1000000</f>
        <v>0</v>
      </c>
      <c r="H9" s="287">
        <f>PEP!CB111/1000000</f>
        <v>0</v>
      </c>
      <c r="I9" s="287">
        <f>PEP!CC111/1000000</f>
        <v>0</v>
      </c>
      <c r="J9" s="287">
        <f>PEP!CD111/1000000</f>
        <v>0.15</v>
      </c>
      <c r="K9" s="287">
        <f>PEP!CE111/1000000</f>
        <v>0.15</v>
      </c>
    </row>
    <row r="10" spans="1:11" ht="16.95" customHeight="1" thickTop="1" thickBot="1" x14ac:dyDescent="0.35">
      <c r="A10" s="324" t="s">
        <v>342</v>
      </c>
      <c r="B10" s="325" t="s">
        <v>39</v>
      </c>
      <c r="C10" s="286">
        <f>SUM(C5:C9)</f>
        <v>15000000</v>
      </c>
      <c r="D10" s="281">
        <f t="shared" si="0"/>
        <v>1</v>
      </c>
      <c r="E10" s="152"/>
      <c r="F10" s="288">
        <f>F5+F6+F7+F9+F8</f>
        <v>1.1911633333333336</v>
      </c>
      <c r="G10" s="288">
        <f>G5+G6+G7+G9+G8</f>
        <v>6.8982766666666668</v>
      </c>
      <c r="H10" s="288">
        <f>H5+H6+H7+H9+H8</f>
        <v>4.9017266666666668</v>
      </c>
      <c r="I10" s="288">
        <f>I5+I6+I7+I9+I8</f>
        <v>1.0541666666666667</v>
      </c>
      <c r="J10" s="288">
        <f>J5+J6+J7+J9+J8</f>
        <v>0.95466666666666677</v>
      </c>
      <c r="K10" s="288">
        <f t="shared" ref="K10" si="1">SUM(F10:J10)</f>
        <v>15</v>
      </c>
    </row>
    <row r="11" spans="1:11" ht="16.95" customHeight="1" thickTop="1" thickBot="1" x14ac:dyDescent="0.35">
      <c r="A11" s="163"/>
      <c r="B11" s="164"/>
      <c r="C11" s="165"/>
      <c r="D11" s="161"/>
      <c r="E11" s="289" t="s">
        <v>408</v>
      </c>
      <c r="F11" s="321">
        <f>F10/$K$10</f>
        <v>7.9410888888888906E-2</v>
      </c>
      <c r="G11" s="321">
        <f>G10/$K$10</f>
        <v>0.45988511111111113</v>
      </c>
      <c r="H11" s="321">
        <f>H10/$K$10</f>
        <v>0.32678177777777778</v>
      </c>
      <c r="I11" s="321">
        <f>I10/$K$10</f>
        <v>7.0277777777777786E-2</v>
      </c>
      <c r="J11" s="321">
        <f>J10/$K$10</f>
        <v>6.3644444444444448E-2</v>
      </c>
      <c r="K11" s="321">
        <f>K12/$K$10</f>
        <v>6.6666666666666666E-2</v>
      </c>
    </row>
    <row r="12" spans="1:11" ht="16.95" customHeight="1" thickTop="1" thickBot="1" x14ac:dyDescent="0.35">
      <c r="A12" s="163"/>
      <c r="B12" s="164"/>
      <c r="C12" s="165"/>
      <c r="D12" s="161"/>
      <c r="E12" s="290" t="s">
        <v>407</v>
      </c>
      <c r="F12" s="322">
        <f>F10/$K$10</f>
        <v>7.9410888888888906E-2</v>
      </c>
      <c r="G12" s="322">
        <f>(F10+G10)/K10</f>
        <v>0.539296</v>
      </c>
      <c r="H12" s="322">
        <f>(F10+G10+H10)/K10</f>
        <v>0.86607777777777772</v>
      </c>
      <c r="I12" s="322">
        <f>(F10+G10+H10+I10)/K10</f>
        <v>0.93635555555555561</v>
      </c>
      <c r="J12" s="322">
        <f>(F10+G10+H10+I10+J10)/K10</f>
        <v>1</v>
      </c>
      <c r="K12" s="322">
        <f>K10/$K$10</f>
        <v>1</v>
      </c>
    </row>
    <row r="13" spans="1:11" ht="16.95" customHeight="1" thickTop="1" x14ac:dyDescent="0.3"/>
  </sheetData>
  <mergeCells count="4">
    <mergeCell ref="A10:B10"/>
    <mergeCell ref="A3:D3"/>
    <mergeCell ref="A1:K1"/>
    <mergeCell ref="F3:K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117"/>
  <sheetViews>
    <sheetView showGridLines="0" zoomScale="90" zoomScaleNormal="90" workbookViewId="0">
      <pane xSplit="7" ySplit="4" topLeftCell="H94" activePane="bottomRight" state="frozen"/>
      <selection pane="topRight" activeCell="G1" sqref="G1"/>
      <selection pane="bottomLeft" activeCell="A5" sqref="A5"/>
      <selection pane="bottomRight" activeCell="J123" sqref="J123"/>
    </sheetView>
  </sheetViews>
  <sheetFormatPr defaultColWidth="11.44140625" defaultRowHeight="13.8" outlineLevelRow="1" outlineLevelCol="1" x14ac:dyDescent="0.3"/>
  <cols>
    <col min="1" max="1" width="7" style="78" customWidth="1"/>
    <col min="2" max="2" width="6.109375" style="79" hidden="1" customWidth="1" outlineLevel="1"/>
    <col min="3" max="5" width="5.5546875" style="79" hidden="1" customWidth="1" outlineLevel="1"/>
    <col min="6" max="6" width="12" style="79" hidden="1" customWidth="1" outlineLevel="1"/>
    <col min="7" max="7" width="56" style="80" customWidth="1" collapsed="1"/>
    <col min="8" max="8" width="8" style="81" customWidth="1" outlineLevel="1"/>
    <col min="9" max="9" width="16.5546875" style="79" customWidth="1" outlineLevel="1"/>
    <col min="10" max="10" width="6.88671875" style="81" customWidth="1" outlineLevel="1"/>
    <col min="11" max="11" width="9.33203125" style="81" customWidth="1" outlineLevel="1"/>
    <col min="12" max="12" width="9.88671875" style="160" customWidth="1" outlineLevel="1"/>
    <col min="13" max="13" width="11.33203125" style="160" bestFit="1" customWidth="1"/>
    <col min="14" max="15" width="15.6640625" style="82" hidden="1" customWidth="1" outlineLevel="1"/>
    <col min="16" max="16" width="12.6640625" style="176" customWidth="1" collapsed="1"/>
    <col min="17" max="35" width="11.44140625" style="49"/>
    <col min="36" max="16384" width="11.44140625" style="50"/>
  </cols>
  <sheetData>
    <row r="1" spans="1:35" s="46" customFormat="1" x14ac:dyDescent="0.3">
      <c r="A1" s="329" t="s">
        <v>754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91"/>
      <c r="O1" s="91"/>
      <c r="P1" s="174"/>
    </row>
    <row r="2" spans="1:35" s="47" customFormat="1" x14ac:dyDescent="0.3">
      <c r="A2" s="192"/>
      <c r="B2" s="85"/>
      <c r="C2" s="85"/>
      <c r="D2" s="85"/>
      <c r="E2" s="86"/>
      <c r="F2" s="86"/>
      <c r="G2" s="86"/>
      <c r="H2" s="86"/>
      <c r="I2" s="86"/>
      <c r="J2" s="86"/>
      <c r="K2" s="86"/>
      <c r="L2" s="157"/>
      <c r="M2" s="157" t="s">
        <v>279</v>
      </c>
      <c r="N2" s="92"/>
      <c r="O2" s="92"/>
      <c r="P2" s="175"/>
    </row>
    <row r="3" spans="1:35" x14ac:dyDescent="0.3">
      <c r="A3" s="331" t="s">
        <v>189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3"/>
      <c r="N3" s="89" t="s">
        <v>36</v>
      </c>
      <c r="O3" s="89">
        <v>5929</v>
      </c>
    </row>
    <row r="4" spans="1:35" s="58" customFormat="1" ht="27.6" x14ac:dyDescent="0.3">
      <c r="A4" s="51" t="s">
        <v>59</v>
      </c>
      <c r="B4" s="51" t="s">
        <v>190</v>
      </c>
      <c r="C4" s="51" t="s">
        <v>132</v>
      </c>
      <c r="D4" s="51" t="s">
        <v>123</v>
      </c>
      <c r="E4" s="51" t="s">
        <v>124</v>
      </c>
      <c r="F4" s="51" t="s">
        <v>622</v>
      </c>
      <c r="G4" s="52" t="s">
        <v>755</v>
      </c>
      <c r="H4" s="51" t="s">
        <v>0</v>
      </c>
      <c r="I4" s="51" t="s">
        <v>108</v>
      </c>
      <c r="J4" s="53" t="s">
        <v>107</v>
      </c>
      <c r="K4" s="51" t="s">
        <v>108</v>
      </c>
      <c r="L4" s="167" t="s">
        <v>277</v>
      </c>
      <c r="M4" s="158" t="s">
        <v>122</v>
      </c>
      <c r="N4" s="90" t="s">
        <v>278</v>
      </c>
      <c r="O4" s="55" t="s">
        <v>1</v>
      </c>
      <c r="P4" s="17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</row>
    <row r="5" spans="1:35" s="58" customFormat="1" x14ac:dyDescent="0.3">
      <c r="A5" s="193">
        <v>1</v>
      </c>
      <c r="B5" s="59" t="s">
        <v>457</v>
      </c>
      <c r="C5" s="60" t="s">
        <v>341</v>
      </c>
      <c r="D5" s="59" t="s">
        <v>341</v>
      </c>
      <c r="E5" s="60" t="s">
        <v>341</v>
      </c>
      <c r="F5" s="60" t="s">
        <v>341</v>
      </c>
      <c r="G5" s="61" t="s">
        <v>207</v>
      </c>
      <c r="H5" s="62"/>
      <c r="I5" s="62"/>
      <c r="J5" s="62"/>
      <c r="K5" s="62"/>
      <c r="L5" s="77"/>
      <c r="M5" s="93">
        <f>M6+M11+M16+M22+M30+M35+M41+M67+M46+M50</f>
        <v>11015100</v>
      </c>
      <c r="N5" s="93"/>
      <c r="O5" s="93">
        <f>O30</f>
        <v>15949010000</v>
      </c>
      <c r="P5" s="178">
        <f>M5/$M$112</f>
        <v>0.73433999999999999</v>
      </c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</row>
    <row r="6" spans="1:35" x14ac:dyDescent="0.3">
      <c r="A6" s="190" t="s">
        <v>462</v>
      </c>
      <c r="B6" s="188" t="s">
        <v>457</v>
      </c>
      <c r="C6" s="188" t="s">
        <v>341</v>
      </c>
      <c r="D6" s="184" t="s">
        <v>341</v>
      </c>
      <c r="E6" s="184" t="s">
        <v>341</v>
      </c>
      <c r="F6" s="184" t="s">
        <v>341</v>
      </c>
      <c r="G6" s="185" t="s">
        <v>737</v>
      </c>
      <c r="H6" s="186"/>
      <c r="I6" s="186"/>
      <c r="J6" s="186"/>
      <c r="K6" s="186"/>
      <c r="L6" s="187"/>
      <c r="M6" s="187">
        <f>SUM(M7:M10)</f>
        <v>258000</v>
      </c>
      <c r="N6" s="187">
        <f t="shared" ref="N6:O10" si="0">L6*$O$3</f>
        <v>0</v>
      </c>
      <c r="O6" s="187">
        <f>SUM(O7:O10)</f>
        <v>1529682000</v>
      </c>
    </row>
    <row r="7" spans="1:35" outlineLevel="1" x14ac:dyDescent="0.3">
      <c r="A7" s="67" t="s">
        <v>478</v>
      </c>
      <c r="B7" s="71">
        <v>1</v>
      </c>
      <c r="C7" s="71">
        <v>145</v>
      </c>
      <c r="D7" s="71" t="s">
        <v>217</v>
      </c>
      <c r="E7" s="72" t="s">
        <v>218</v>
      </c>
      <c r="F7" s="72" t="s">
        <v>661</v>
      </c>
      <c r="G7" s="166" t="s">
        <v>451</v>
      </c>
      <c r="H7" s="69">
        <v>1</v>
      </c>
      <c r="I7" s="69" t="s">
        <v>234</v>
      </c>
      <c r="J7" s="69">
        <v>4</v>
      </c>
      <c r="K7" s="69" t="s">
        <v>211</v>
      </c>
      <c r="L7" s="70">
        <v>30000</v>
      </c>
      <c r="M7" s="70">
        <f>H7*L7</f>
        <v>30000</v>
      </c>
      <c r="N7" s="70">
        <f t="shared" si="0"/>
        <v>177870000</v>
      </c>
      <c r="O7" s="70">
        <f t="shared" si="0"/>
        <v>177870000</v>
      </c>
    </row>
    <row r="8" spans="1:35" outlineLevel="1" x14ac:dyDescent="0.3">
      <c r="A8" s="67" t="s">
        <v>479</v>
      </c>
      <c r="B8" s="71">
        <v>1</v>
      </c>
      <c r="C8" s="71">
        <v>260</v>
      </c>
      <c r="D8" s="71" t="s">
        <v>210</v>
      </c>
      <c r="E8" s="72" t="s">
        <v>543</v>
      </c>
      <c r="F8" s="72" t="s">
        <v>624</v>
      </c>
      <c r="G8" s="166" t="s">
        <v>450</v>
      </c>
      <c r="H8" s="69">
        <v>1</v>
      </c>
      <c r="I8" s="69" t="s">
        <v>252</v>
      </c>
      <c r="J8" s="69">
        <v>12</v>
      </c>
      <c r="K8" s="69" t="s">
        <v>211</v>
      </c>
      <c r="L8" s="70">
        <f>130000+50000</f>
        <v>180000</v>
      </c>
      <c r="M8" s="70">
        <f>H8*L8</f>
        <v>180000</v>
      </c>
      <c r="N8" s="70">
        <f t="shared" si="0"/>
        <v>1067220000</v>
      </c>
      <c r="O8" s="70">
        <f t="shared" si="0"/>
        <v>1067220000</v>
      </c>
    </row>
    <row r="9" spans="1:35" outlineLevel="1" x14ac:dyDescent="0.3">
      <c r="A9" s="67" t="s">
        <v>480</v>
      </c>
      <c r="B9" s="71">
        <v>1</v>
      </c>
      <c r="C9" s="71">
        <v>145</v>
      </c>
      <c r="D9" s="71" t="s">
        <v>217</v>
      </c>
      <c r="E9" s="72" t="s">
        <v>218</v>
      </c>
      <c r="F9" s="72" t="s">
        <v>661</v>
      </c>
      <c r="G9" s="166" t="s">
        <v>269</v>
      </c>
      <c r="H9" s="69">
        <v>2</v>
      </c>
      <c r="I9" s="69" t="s">
        <v>268</v>
      </c>
      <c r="J9" s="69">
        <v>4</v>
      </c>
      <c r="K9" s="69" t="s">
        <v>211</v>
      </c>
      <c r="L9" s="70">
        <v>4000</v>
      </c>
      <c r="M9" s="70">
        <f>H9*L9</f>
        <v>8000</v>
      </c>
      <c r="N9" s="70">
        <f t="shared" si="0"/>
        <v>23716000</v>
      </c>
      <c r="O9" s="70">
        <f t="shared" si="0"/>
        <v>47432000</v>
      </c>
    </row>
    <row r="10" spans="1:35" outlineLevel="1" x14ac:dyDescent="0.3">
      <c r="A10" s="67" t="s">
        <v>481</v>
      </c>
      <c r="B10" s="71">
        <v>1</v>
      </c>
      <c r="C10" s="71">
        <v>280</v>
      </c>
      <c r="D10" s="71" t="s">
        <v>219</v>
      </c>
      <c r="E10" s="72" t="s">
        <v>410</v>
      </c>
      <c r="F10" s="72" t="s">
        <v>259</v>
      </c>
      <c r="G10" s="166" t="s">
        <v>270</v>
      </c>
      <c r="H10" s="69">
        <v>4</v>
      </c>
      <c r="I10" s="69" t="s">
        <v>259</v>
      </c>
      <c r="J10" s="69">
        <v>1</v>
      </c>
      <c r="K10" s="69" t="s">
        <v>688</v>
      </c>
      <c r="L10" s="70">
        <v>10000</v>
      </c>
      <c r="M10" s="70">
        <f>H10*L10</f>
        <v>40000</v>
      </c>
      <c r="N10" s="70">
        <f t="shared" si="0"/>
        <v>59290000</v>
      </c>
      <c r="O10" s="70">
        <f t="shared" si="0"/>
        <v>237160000</v>
      </c>
    </row>
    <row r="11" spans="1:35" x14ac:dyDescent="0.3">
      <c r="A11" s="190" t="s">
        <v>464</v>
      </c>
      <c r="B11" s="188" t="s">
        <v>457</v>
      </c>
      <c r="C11" s="188" t="s">
        <v>341</v>
      </c>
      <c r="D11" s="184" t="s">
        <v>341</v>
      </c>
      <c r="E11" s="184" t="s">
        <v>341</v>
      </c>
      <c r="F11" s="184" t="s">
        <v>341</v>
      </c>
      <c r="G11" s="185" t="s">
        <v>739</v>
      </c>
      <c r="H11" s="186"/>
      <c r="I11" s="186"/>
      <c r="J11" s="186"/>
      <c r="K11" s="186"/>
      <c r="L11" s="187"/>
      <c r="M11" s="187">
        <f>SUM(M12:M15)</f>
        <v>480000</v>
      </c>
      <c r="N11" s="187">
        <f t="shared" ref="N11:N14" si="1">L11*$O$3</f>
        <v>0</v>
      </c>
      <c r="O11" s="187">
        <f>SUM(O12:O15)</f>
        <v>2845920000</v>
      </c>
      <c r="P11" s="207"/>
    </row>
    <row r="12" spans="1:35" outlineLevel="1" x14ac:dyDescent="0.3">
      <c r="A12" s="67" t="s">
        <v>482</v>
      </c>
      <c r="B12" s="71">
        <v>1</v>
      </c>
      <c r="C12" s="71">
        <v>145</v>
      </c>
      <c r="D12" s="71" t="s">
        <v>217</v>
      </c>
      <c r="E12" s="72" t="s">
        <v>218</v>
      </c>
      <c r="F12" s="72" t="s">
        <v>661</v>
      </c>
      <c r="G12" s="166" t="s">
        <v>425</v>
      </c>
      <c r="H12" s="69">
        <v>1</v>
      </c>
      <c r="I12" s="69" t="s">
        <v>234</v>
      </c>
      <c r="J12" s="69"/>
      <c r="K12" s="69"/>
      <c r="L12" s="70">
        <v>30000</v>
      </c>
      <c r="M12" s="70">
        <f>H12*L12</f>
        <v>30000</v>
      </c>
      <c r="N12" s="70">
        <f t="shared" si="1"/>
        <v>177870000</v>
      </c>
      <c r="O12" s="70">
        <f>M12*$O$3</f>
        <v>177870000</v>
      </c>
    </row>
    <row r="13" spans="1:35" outlineLevel="1" x14ac:dyDescent="0.3">
      <c r="A13" s="67" t="s">
        <v>483</v>
      </c>
      <c r="B13" s="71">
        <v>1</v>
      </c>
      <c r="C13" s="71">
        <v>540</v>
      </c>
      <c r="D13" s="71" t="s">
        <v>220</v>
      </c>
      <c r="E13" s="72" t="s">
        <v>410</v>
      </c>
      <c r="F13" s="72" t="s">
        <v>616</v>
      </c>
      <c r="G13" s="166" t="s">
        <v>424</v>
      </c>
      <c r="H13" s="69">
        <v>64</v>
      </c>
      <c r="I13" s="71" t="s">
        <v>448</v>
      </c>
      <c r="J13" s="69"/>
      <c r="K13" s="69"/>
      <c r="L13" s="70">
        <v>330000</v>
      </c>
      <c r="M13" s="70">
        <f>L13</f>
        <v>330000</v>
      </c>
      <c r="N13" s="70">
        <f t="shared" si="1"/>
        <v>1956570000</v>
      </c>
      <c r="O13" s="70">
        <f t="shared" ref="O13:O14" si="2">M13*$O$3</f>
        <v>1956570000</v>
      </c>
    </row>
    <row r="14" spans="1:35" outlineLevel="1" x14ac:dyDescent="0.3">
      <c r="A14" s="67" t="s">
        <v>484</v>
      </c>
      <c r="B14" s="71">
        <v>1</v>
      </c>
      <c r="C14" s="71">
        <v>145</v>
      </c>
      <c r="D14" s="71" t="s">
        <v>217</v>
      </c>
      <c r="E14" s="72" t="s">
        <v>218</v>
      </c>
      <c r="F14" s="72" t="s">
        <v>661</v>
      </c>
      <c r="G14" s="166" t="s">
        <v>248</v>
      </c>
      <c r="H14" s="69">
        <v>1</v>
      </c>
      <c r="I14" s="69" t="s">
        <v>234</v>
      </c>
      <c r="J14" s="69"/>
      <c r="K14" s="69"/>
      <c r="L14" s="70">
        <v>20000</v>
      </c>
      <c r="M14" s="70">
        <f t="shared" ref="M14" si="3">H14*L14</f>
        <v>20000</v>
      </c>
      <c r="N14" s="70">
        <f t="shared" si="1"/>
        <v>118580000</v>
      </c>
      <c r="O14" s="70">
        <f t="shared" si="2"/>
        <v>118580000</v>
      </c>
    </row>
    <row r="15" spans="1:35" ht="27.6" outlineLevel="1" x14ac:dyDescent="0.3">
      <c r="A15" s="67" t="s">
        <v>485</v>
      </c>
      <c r="B15" s="71">
        <v>1</v>
      </c>
      <c r="C15" s="71">
        <v>260</v>
      </c>
      <c r="D15" s="71" t="s">
        <v>210</v>
      </c>
      <c r="E15" s="72" t="s">
        <v>543</v>
      </c>
      <c r="F15" s="72" t="s">
        <v>661</v>
      </c>
      <c r="G15" s="166" t="s">
        <v>426</v>
      </c>
      <c r="H15" s="69">
        <v>1</v>
      </c>
      <c r="I15" s="69" t="s">
        <v>252</v>
      </c>
      <c r="J15" s="69"/>
      <c r="K15" s="69"/>
      <c r="L15" s="70">
        <v>100000</v>
      </c>
      <c r="M15" s="70">
        <f>H15*L15</f>
        <v>100000</v>
      </c>
      <c r="N15" s="70">
        <f t="shared" ref="N15:N49" si="4">L15*$O$3</f>
        <v>592900000</v>
      </c>
      <c r="O15" s="70">
        <f t="shared" ref="O15:O49" si="5">M15*$O$3</f>
        <v>592900000</v>
      </c>
    </row>
    <row r="16" spans="1:35" ht="27.6" x14ac:dyDescent="0.3">
      <c r="A16" s="190" t="s">
        <v>466</v>
      </c>
      <c r="B16" s="188" t="s">
        <v>457</v>
      </c>
      <c r="C16" s="188" t="s">
        <v>341</v>
      </c>
      <c r="D16" s="184" t="s">
        <v>341</v>
      </c>
      <c r="E16" s="184" t="s">
        <v>341</v>
      </c>
      <c r="F16" s="184" t="s">
        <v>341</v>
      </c>
      <c r="G16" s="185" t="s">
        <v>751</v>
      </c>
      <c r="H16" s="186"/>
      <c r="I16" s="186"/>
      <c r="J16" s="186"/>
      <c r="K16" s="186"/>
      <c r="L16" s="187"/>
      <c r="M16" s="187">
        <f>SUM(M17:M21)</f>
        <v>180000</v>
      </c>
      <c r="N16" s="187">
        <f t="shared" ref="N16:O35" si="6">L16*$O$3</f>
        <v>0</v>
      </c>
      <c r="O16" s="187">
        <f>SUM(O17:O21)</f>
        <v>1067220000</v>
      </c>
    </row>
    <row r="17" spans="1:35" ht="41.4" outlineLevel="1" x14ac:dyDescent="0.3">
      <c r="A17" s="67" t="s">
        <v>486</v>
      </c>
      <c r="B17" s="71">
        <v>1</v>
      </c>
      <c r="C17" s="71">
        <v>145</v>
      </c>
      <c r="D17" s="71" t="s">
        <v>217</v>
      </c>
      <c r="E17" s="72" t="s">
        <v>218</v>
      </c>
      <c r="F17" s="72" t="s">
        <v>661</v>
      </c>
      <c r="G17" s="166" t="s">
        <v>428</v>
      </c>
      <c r="H17" s="69">
        <v>1</v>
      </c>
      <c r="I17" s="69" t="s">
        <v>234</v>
      </c>
      <c r="J17" s="69">
        <v>3</v>
      </c>
      <c r="K17" s="69" t="s">
        <v>211</v>
      </c>
      <c r="L17" s="70">
        <v>20000</v>
      </c>
      <c r="M17" s="70">
        <f>H17*L17</f>
        <v>20000</v>
      </c>
      <c r="N17" s="70">
        <f t="shared" si="6"/>
        <v>118580000</v>
      </c>
      <c r="O17" s="70">
        <f t="shared" si="6"/>
        <v>118580000</v>
      </c>
    </row>
    <row r="18" spans="1:35" outlineLevel="1" x14ac:dyDescent="0.3">
      <c r="A18" s="67" t="s">
        <v>487</v>
      </c>
      <c r="B18" s="71">
        <v>1</v>
      </c>
      <c r="C18" s="71">
        <v>280</v>
      </c>
      <c r="D18" s="71" t="s">
        <v>219</v>
      </c>
      <c r="E18" s="72" t="s">
        <v>410</v>
      </c>
      <c r="F18" s="72" t="s">
        <v>259</v>
      </c>
      <c r="G18" s="166" t="s">
        <v>253</v>
      </c>
      <c r="H18" s="69">
        <v>2</v>
      </c>
      <c r="I18" s="69" t="s">
        <v>240</v>
      </c>
      <c r="J18" s="69">
        <v>1</v>
      </c>
      <c r="K18" s="69" t="s">
        <v>688</v>
      </c>
      <c r="L18" s="70">
        <v>5000</v>
      </c>
      <c r="M18" s="70">
        <f>H18*L18</f>
        <v>10000</v>
      </c>
      <c r="N18" s="70">
        <f t="shared" si="6"/>
        <v>29645000</v>
      </c>
      <c r="O18" s="70">
        <f t="shared" si="6"/>
        <v>59290000</v>
      </c>
    </row>
    <row r="19" spans="1:35" ht="27.6" outlineLevel="1" x14ac:dyDescent="0.3">
      <c r="A19" s="67" t="s">
        <v>488</v>
      </c>
      <c r="B19" s="71">
        <v>1</v>
      </c>
      <c r="C19" s="71">
        <v>145</v>
      </c>
      <c r="D19" s="71" t="s">
        <v>217</v>
      </c>
      <c r="E19" s="72" t="s">
        <v>218</v>
      </c>
      <c r="F19" s="72" t="s">
        <v>661</v>
      </c>
      <c r="G19" s="166" t="s">
        <v>254</v>
      </c>
      <c r="H19" s="69">
        <v>1</v>
      </c>
      <c r="I19" s="69" t="s">
        <v>234</v>
      </c>
      <c r="J19" s="69"/>
      <c r="K19" s="69"/>
      <c r="L19" s="70">
        <v>10000</v>
      </c>
      <c r="M19" s="70">
        <f>H19*L19</f>
        <v>10000</v>
      </c>
      <c r="N19" s="70">
        <f t="shared" si="6"/>
        <v>59290000</v>
      </c>
      <c r="O19" s="70">
        <f t="shared" si="6"/>
        <v>59290000</v>
      </c>
    </row>
    <row r="20" spans="1:35" outlineLevel="1" x14ac:dyDescent="0.3">
      <c r="A20" s="67" t="s">
        <v>489</v>
      </c>
      <c r="B20" s="71">
        <v>1</v>
      </c>
      <c r="C20" s="71">
        <v>145</v>
      </c>
      <c r="D20" s="71" t="s">
        <v>217</v>
      </c>
      <c r="E20" s="72" t="s">
        <v>218</v>
      </c>
      <c r="F20" s="72" t="s">
        <v>661</v>
      </c>
      <c r="G20" s="166" t="s">
        <v>255</v>
      </c>
      <c r="H20" s="69">
        <v>1</v>
      </c>
      <c r="I20" s="69" t="s">
        <v>429</v>
      </c>
      <c r="J20" s="69"/>
      <c r="K20" s="69"/>
      <c r="L20" s="70">
        <v>40000</v>
      </c>
      <c r="M20" s="70">
        <f>H20*L20</f>
        <v>40000</v>
      </c>
      <c r="N20" s="70">
        <f t="shared" si="6"/>
        <v>237160000</v>
      </c>
      <c r="O20" s="70">
        <f t="shared" si="6"/>
        <v>237160000</v>
      </c>
    </row>
    <row r="21" spans="1:35" outlineLevel="1" x14ac:dyDescent="0.3">
      <c r="A21" s="67" t="s">
        <v>490</v>
      </c>
      <c r="B21" s="71">
        <v>1</v>
      </c>
      <c r="C21" s="71">
        <v>540</v>
      </c>
      <c r="D21" s="71" t="s">
        <v>220</v>
      </c>
      <c r="E21" s="72" t="s">
        <v>734</v>
      </c>
      <c r="F21" s="72" t="s">
        <v>616</v>
      </c>
      <c r="G21" s="166" t="s">
        <v>256</v>
      </c>
      <c r="H21" s="69">
        <v>1</v>
      </c>
      <c r="I21" s="71" t="s">
        <v>251</v>
      </c>
      <c r="J21" s="69"/>
      <c r="K21" s="69"/>
      <c r="L21" s="70">
        <v>100000</v>
      </c>
      <c r="M21" s="70">
        <f>H21*L21</f>
        <v>100000</v>
      </c>
      <c r="N21" s="70">
        <f t="shared" si="6"/>
        <v>592900000</v>
      </c>
      <c r="O21" s="70">
        <f t="shared" si="6"/>
        <v>592900000</v>
      </c>
    </row>
    <row r="22" spans="1:35" ht="27.6" x14ac:dyDescent="0.3">
      <c r="A22" s="190" t="s">
        <v>467</v>
      </c>
      <c r="B22" s="188" t="s">
        <v>457</v>
      </c>
      <c r="C22" s="188" t="s">
        <v>341</v>
      </c>
      <c r="D22" s="184" t="s">
        <v>341</v>
      </c>
      <c r="E22" s="184" t="s">
        <v>341</v>
      </c>
      <c r="F22" s="184" t="s">
        <v>341</v>
      </c>
      <c r="G22" s="185" t="s">
        <v>738</v>
      </c>
      <c r="H22" s="186"/>
      <c r="I22" s="186"/>
      <c r="J22" s="186"/>
      <c r="K22" s="186"/>
      <c r="L22" s="187"/>
      <c r="M22" s="187">
        <f>SUM(M23:M29)</f>
        <v>405000</v>
      </c>
      <c r="N22" s="187">
        <f t="shared" ref="N22:O29" si="7">L22*$O$3</f>
        <v>0</v>
      </c>
      <c r="O22" s="187">
        <f>SUM(O23:O29)</f>
        <v>2401245000</v>
      </c>
    </row>
    <row r="23" spans="1:35" s="181" customFormat="1" outlineLevel="1" x14ac:dyDescent="0.3">
      <c r="A23" s="67" t="s">
        <v>491</v>
      </c>
      <c r="B23" s="71">
        <v>1</v>
      </c>
      <c r="C23" s="71">
        <v>145</v>
      </c>
      <c r="D23" s="71" t="s">
        <v>217</v>
      </c>
      <c r="E23" s="72" t="s">
        <v>218</v>
      </c>
      <c r="F23" s="72" t="s">
        <v>661</v>
      </c>
      <c r="G23" s="166" t="s">
        <v>237</v>
      </c>
      <c r="H23" s="69">
        <v>1</v>
      </c>
      <c r="I23" s="182" t="s">
        <v>234</v>
      </c>
      <c r="J23" s="69">
        <v>3</v>
      </c>
      <c r="K23" s="182" t="s">
        <v>211</v>
      </c>
      <c r="L23" s="183">
        <v>40000</v>
      </c>
      <c r="M23" s="183">
        <f>H23*L23</f>
        <v>40000</v>
      </c>
      <c r="N23" s="183">
        <f t="shared" si="7"/>
        <v>237160000</v>
      </c>
      <c r="O23" s="183">
        <f t="shared" si="7"/>
        <v>237160000</v>
      </c>
      <c r="P23" s="179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</row>
    <row r="24" spans="1:35" s="181" customFormat="1" outlineLevel="1" x14ac:dyDescent="0.3">
      <c r="A24" s="67" t="s">
        <v>494</v>
      </c>
      <c r="B24" s="71">
        <v>1</v>
      </c>
      <c r="C24" s="71">
        <v>280</v>
      </c>
      <c r="D24" s="71" t="s">
        <v>219</v>
      </c>
      <c r="E24" s="72" t="s">
        <v>410</v>
      </c>
      <c r="F24" s="72" t="s">
        <v>259</v>
      </c>
      <c r="G24" s="166" t="s">
        <v>238</v>
      </c>
      <c r="H24" s="69">
        <v>4</v>
      </c>
      <c r="I24" s="182" t="s">
        <v>239</v>
      </c>
      <c r="J24" s="69">
        <v>2</v>
      </c>
      <c r="K24" s="182" t="s">
        <v>439</v>
      </c>
      <c r="L24" s="183">
        <v>5000</v>
      </c>
      <c r="M24" s="183">
        <f>H24*L24</f>
        <v>20000</v>
      </c>
      <c r="N24" s="183">
        <f t="shared" si="7"/>
        <v>29645000</v>
      </c>
      <c r="O24" s="183">
        <f t="shared" si="7"/>
        <v>118580000</v>
      </c>
      <c r="P24" s="179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</row>
    <row r="25" spans="1:35" s="181" customFormat="1" outlineLevel="1" x14ac:dyDescent="0.3">
      <c r="A25" s="67" t="s">
        <v>495</v>
      </c>
      <c r="B25" s="71">
        <v>1</v>
      </c>
      <c r="C25" s="71">
        <v>145</v>
      </c>
      <c r="D25" s="71" t="s">
        <v>217</v>
      </c>
      <c r="E25" s="72" t="s">
        <v>218</v>
      </c>
      <c r="F25" s="72" t="s">
        <v>661</v>
      </c>
      <c r="G25" s="166" t="s">
        <v>245</v>
      </c>
      <c r="H25" s="69">
        <v>1</v>
      </c>
      <c r="I25" s="182" t="s">
        <v>234</v>
      </c>
      <c r="J25" s="69">
        <v>4</v>
      </c>
      <c r="K25" s="182" t="s">
        <v>211</v>
      </c>
      <c r="L25" s="183">
        <v>20000</v>
      </c>
      <c r="M25" s="183">
        <f t="shared" ref="M25:M28" si="8">H25*L25</f>
        <v>20000</v>
      </c>
      <c r="N25" s="183">
        <f t="shared" si="7"/>
        <v>118580000</v>
      </c>
      <c r="O25" s="183">
        <f t="shared" si="7"/>
        <v>118580000</v>
      </c>
      <c r="P25" s="179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</row>
    <row r="26" spans="1:35" s="181" customFormat="1" outlineLevel="1" x14ac:dyDescent="0.3">
      <c r="A26" s="67" t="s">
        <v>496</v>
      </c>
      <c r="B26" s="71">
        <v>1</v>
      </c>
      <c r="C26" s="71">
        <v>280</v>
      </c>
      <c r="D26" s="71" t="s">
        <v>219</v>
      </c>
      <c r="E26" s="72" t="s">
        <v>410</v>
      </c>
      <c r="F26" s="72" t="s">
        <v>259</v>
      </c>
      <c r="G26" s="166" t="s">
        <v>246</v>
      </c>
      <c r="H26" s="69">
        <v>3</v>
      </c>
      <c r="I26" s="182" t="s">
        <v>239</v>
      </c>
      <c r="J26" s="69">
        <v>2</v>
      </c>
      <c r="K26" s="182" t="s">
        <v>439</v>
      </c>
      <c r="L26" s="183">
        <v>5000</v>
      </c>
      <c r="M26" s="183">
        <f>H26*L26</f>
        <v>15000</v>
      </c>
      <c r="N26" s="183">
        <f t="shared" si="7"/>
        <v>29645000</v>
      </c>
      <c r="O26" s="183">
        <f t="shared" si="7"/>
        <v>88935000</v>
      </c>
      <c r="P26" s="179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</row>
    <row r="27" spans="1:35" s="181" customFormat="1" outlineLevel="1" x14ac:dyDescent="0.3">
      <c r="A27" s="67" t="s">
        <v>497</v>
      </c>
      <c r="B27" s="71">
        <v>1</v>
      </c>
      <c r="C27" s="71">
        <v>530</v>
      </c>
      <c r="D27" s="71" t="s">
        <v>220</v>
      </c>
      <c r="E27" s="72" t="s">
        <v>222</v>
      </c>
      <c r="F27" s="72" t="s">
        <v>617</v>
      </c>
      <c r="G27" s="166" t="s">
        <v>682</v>
      </c>
      <c r="H27" s="69">
        <v>3</v>
      </c>
      <c r="I27" s="71" t="s">
        <v>440</v>
      </c>
      <c r="J27" s="69"/>
      <c r="K27" s="182"/>
      <c r="L27" s="183">
        <v>20000</v>
      </c>
      <c r="M27" s="183">
        <f>H27*L27</f>
        <v>60000</v>
      </c>
      <c r="N27" s="183">
        <f t="shared" si="7"/>
        <v>118580000</v>
      </c>
      <c r="O27" s="183">
        <f t="shared" si="7"/>
        <v>355740000</v>
      </c>
      <c r="P27" s="179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</row>
    <row r="28" spans="1:35" s="181" customFormat="1" outlineLevel="1" x14ac:dyDescent="0.3">
      <c r="A28" s="67" t="s">
        <v>550</v>
      </c>
      <c r="B28" s="71">
        <v>1</v>
      </c>
      <c r="C28" s="71">
        <v>450</v>
      </c>
      <c r="D28" s="71" t="s">
        <v>220</v>
      </c>
      <c r="E28" s="72" t="s">
        <v>734</v>
      </c>
      <c r="F28" s="72" t="s">
        <v>618</v>
      </c>
      <c r="G28" s="166" t="s">
        <v>441</v>
      </c>
      <c r="H28" s="69">
        <v>5</v>
      </c>
      <c r="I28" s="71" t="s">
        <v>250</v>
      </c>
      <c r="J28" s="69"/>
      <c r="K28" s="182"/>
      <c r="L28" s="183">
        <v>30000</v>
      </c>
      <c r="M28" s="183">
        <f t="shared" si="8"/>
        <v>150000</v>
      </c>
      <c r="N28" s="183">
        <f t="shared" si="7"/>
        <v>177870000</v>
      </c>
      <c r="O28" s="183">
        <f t="shared" si="7"/>
        <v>889350000</v>
      </c>
      <c r="P28" s="179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</row>
    <row r="29" spans="1:35" s="181" customFormat="1" outlineLevel="1" x14ac:dyDescent="0.3">
      <c r="A29" s="67" t="s">
        <v>551</v>
      </c>
      <c r="B29" s="71">
        <v>1</v>
      </c>
      <c r="C29" s="71">
        <v>350</v>
      </c>
      <c r="D29" s="71" t="s">
        <v>220</v>
      </c>
      <c r="E29" s="72" t="s">
        <v>410</v>
      </c>
      <c r="F29" s="72" t="s">
        <v>618</v>
      </c>
      <c r="G29" s="166" t="s">
        <v>247</v>
      </c>
      <c r="H29" s="69">
        <v>500000</v>
      </c>
      <c r="I29" s="71" t="s">
        <v>235</v>
      </c>
      <c r="J29" s="69"/>
      <c r="K29" s="182"/>
      <c r="L29" s="208">
        <v>0.2</v>
      </c>
      <c r="M29" s="183">
        <f>H29*L29</f>
        <v>100000</v>
      </c>
      <c r="N29" s="183">
        <f t="shared" si="7"/>
        <v>1185.8</v>
      </c>
      <c r="O29" s="183">
        <f t="shared" si="7"/>
        <v>592900000</v>
      </c>
      <c r="P29" s="179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</row>
    <row r="30" spans="1:35" ht="27.6" x14ac:dyDescent="0.3">
      <c r="A30" s="190" t="s">
        <v>468</v>
      </c>
      <c r="B30" s="188" t="s">
        <v>457</v>
      </c>
      <c r="C30" s="188" t="s">
        <v>341</v>
      </c>
      <c r="D30" s="184" t="s">
        <v>341</v>
      </c>
      <c r="E30" s="184" t="s">
        <v>341</v>
      </c>
      <c r="F30" s="184" t="s">
        <v>341</v>
      </c>
      <c r="G30" s="185" t="s">
        <v>740</v>
      </c>
      <c r="H30" s="186"/>
      <c r="I30" s="186"/>
      <c r="J30" s="186"/>
      <c r="K30" s="186"/>
      <c r="L30" s="187"/>
      <c r="M30" s="187">
        <f>SUM(M31:M34)</f>
        <v>2690000</v>
      </c>
      <c r="N30" s="187"/>
      <c r="O30" s="187">
        <f>SUM(O31:O34)</f>
        <v>15949010000</v>
      </c>
    </row>
    <row r="31" spans="1:35" ht="27.6" outlineLevel="1" x14ac:dyDescent="0.3">
      <c r="A31" s="67" t="s">
        <v>498</v>
      </c>
      <c r="B31" s="71">
        <v>1</v>
      </c>
      <c r="C31" s="71">
        <v>260</v>
      </c>
      <c r="D31" s="71" t="s">
        <v>210</v>
      </c>
      <c r="E31" s="72" t="s">
        <v>409</v>
      </c>
      <c r="F31" s="72" t="s">
        <v>661</v>
      </c>
      <c r="G31" s="166" t="s">
        <v>191</v>
      </c>
      <c r="H31" s="68">
        <v>1</v>
      </c>
      <c r="I31" s="68" t="s">
        <v>275</v>
      </c>
      <c r="J31" s="68">
        <v>24</v>
      </c>
      <c r="K31" s="68" t="s">
        <v>211</v>
      </c>
      <c r="L31" s="70">
        <f>300000-50000</f>
        <v>250000</v>
      </c>
      <c r="M31" s="70">
        <f>H31*L31</f>
        <v>250000</v>
      </c>
      <c r="N31" s="70">
        <f>L31*$O$3</f>
        <v>1482250000</v>
      </c>
      <c r="O31" s="70">
        <f>M31*$O$3</f>
        <v>1482250000</v>
      </c>
    </row>
    <row r="32" spans="1:35" s="49" customFormat="1" ht="27.6" outlineLevel="1" x14ac:dyDescent="0.3">
      <c r="A32" s="67" t="s">
        <v>499</v>
      </c>
      <c r="B32" s="71">
        <v>1</v>
      </c>
      <c r="C32" s="71">
        <v>145</v>
      </c>
      <c r="D32" s="71" t="s">
        <v>217</v>
      </c>
      <c r="E32" s="72" t="s">
        <v>218</v>
      </c>
      <c r="F32" s="72" t="s">
        <v>661</v>
      </c>
      <c r="G32" s="166" t="s">
        <v>192</v>
      </c>
      <c r="H32" s="68">
        <v>1</v>
      </c>
      <c r="I32" s="68" t="s">
        <v>212</v>
      </c>
      <c r="J32" s="68">
        <v>1</v>
      </c>
      <c r="K32" s="68" t="s">
        <v>215</v>
      </c>
      <c r="L32" s="153">
        <v>6500</v>
      </c>
      <c r="M32" s="70">
        <f t="shared" ref="M32:M34" si="9">H32*L32</f>
        <v>6500</v>
      </c>
      <c r="N32" s="70">
        <f t="shared" ref="N32:N34" si="10">L32*$O$3</f>
        <v>38538500</v>
      </c>
      <c r="O32" s="70">
        <f t="shared" ref="O32:O34" si="11">M32*$O$3</f>
        <v>38538500</v>
      </c>
      <c r="P32" s="176"/>
    </row>
    <row r="33" spans="1:35" outlineLevel="1" x14ac:dyDescent="0.3">
      <c r="A33" s="74" t="s">
        <v>500</v>
      </c>
      <c r="B33" s="71">
        <v>1</v>
      </c>
      <c r="C33" s="71">
        <v>540</v>
      </c>
      <c r="D33" s="71" t="s">
        <v>220</v>
      </c>
      <c r="E33" s="72" t="s">
        <v>410</v>
      </c>
      <c r="F33" s="72" t="s">
        <v>623</v>
      </c>
      <c r="G33" s="166" t="s">
        <v>437</v>
      </c>
      <c r="H33" s="68">
        <v>1</v>
      </c>
      <c r="I33" s="73" t="s">
        <v>438</v>
      </c>
      <c r="J33" s="68">
        <v>3</v>
      </c>
      <c r="K33" s="68" t="s">
        <v>211</v>
      </c>
      <c r="L33" s="70"/>
      <c r="M33" s="70">
        <f>2373900-12500-53900</f>
        <v>2307500</v>
      </c>
      <c r="N33" s="70">
        <f>L33*$O$3</f>
        <v>0</v>
      </c>
      <c r="O33" s="70">
        <f>M33*$O$3</f>
        <v>13681167500</v>
      </c>
    </row>
    <row r="34" spans="1:35" ht="27.6" outlineLevel="1" x14ac:dyDescent="0.3">
      <c r="A34" s="67" t="s">
        <v>501</v>
      </c>
      <c r="B34" s="71">
        <v>1</v>
      </c>
      <c r="C34" s="71">
        <v>145</v>
      </c>
      <c r="D34" s="71" t="s">
        <v>217</v>
      </c>
      <c r="E34" s="72" t="s">
        <v>218</v>
      </c>
      <c r="F34" s="72" t="s">
        <v>661</v>
      </c>
      <c r="G34" s="166" t="s">
        <v>213</v>
      </c>
      <c r="H34" s="69">
        <v>2</v>
      </c>
      <c r="I34" s="69" t="s">
        <v>225</v>
      </c>
      <c r="J34" s="69">
        <v>2</v>
      </c>
      <c r="K34" s="69" t="s">
        <v>211</v>
      </c>
      <c r="L34" s="70">
        <f>126000/2</f>
        <v>63000</v>
      </c>
      <c r="M34" s="70">
        <f t="shared" si="9"/>
        <v>126000</v>
      </c>
      <c r="N34" s="70">
        <f t="shared" si="10"/>
        <v>373527000</v>
      </c>
      <c r="O34" s="70">
        <f t="shared" si="11"/>
        <v>747054000</v>
      </c>
    </row>
    <row r="35" spans="1:35" x14ac:dyDescent="0.3">
      <c r="A35" s="190" t="s">
        <v>469</v>
      </c>
      <c r="B35" s="188" t="s">
        <v>457</v>
      </c>
      <c r="C35" s="188" t="s">
        <v>341</v>
      </c>
      <c r="D35" s="184" t="s">
        <v>341</v>
      </c>
      <c r="E35" s="184" t="s">
        <v>341</v>
      </c>
      <c r="F35" s="184" t="s">
        <v>341</v>
      </c>
      <c r="G35" s="185" t="s">
        <v>741</v>
      </c>
      <c r="H35" s="186"/>
      <c r="I35" s="186"/>
      <c r="J35" s="186"/>
      <c r="K35" s="186"/>
      <c r="L35" s="187"/>
      <c r="M35" s="187">
        <f>SUM(M36:M40)</f>
        <v>3916600</v>
      </c>
      <c r="N35" s="187">
        <f t="shared" si="6"/>
        <v>0</v>
      </c>
      <c r="O35" s="187">
        <f t="shared" si="6"/>
        <v>23221521400</v>
      </c>
    </row>
    <row r="36" spans="1:35" outlineLevel="1" x14ac:dyDescent="0.3">
      <c r="A36" s="67" t="s">
        <v>492</v>
      </c>
      <c r="B36" s="71">
        <v>1</v>
      </c>
      <c r="C36" s="71">
        <v>520</v>
      </c>
      <c r="D36" s="71" t="s">
        <v>546</v>
      </c>
      <c r="E36" s="72" t="s">
        <v>410</v>
      </c>
      <c r="F36" s="72" t="s">
        <v>662</v>
      </c>
      <c r="G36" s="166" t="s">
        <v>271</v>
      </c>
      <c r="H36" s="69">
        <v>4</v>
      </c>
      <c r="I36" s="69"/>
      <c r="J36" s="69">
        <v>18</v>
      </c>
      <c r="K36" s="69" t="s">
        <v>211</v>
      </c>
      <c r="L36" s="70">
        <f>1300000/4</f>
        <v>325000</v>
      </c>
      <c r="M36" s="70">
        <f>H36*L36</f>
        <v>1300000</v>
      </c>
      <c r="N36" s="70">
        <f t="shared" ref="N36:N40" si="12">L36*$O$3</f>
        <v>1926925000</v>
      </c>
      <c r="O36" s="70">
        <f t="shared" ref="O36:O40" si="13">M36*$O$3</f>
        <v>7707700000</v>
      </c>
    </row>
    <row r="37" spans="1:35" outlineLevel="1" x14ac:dyDescent="0.3">
      <c r="A37" s="67" t="s">
        <v>502</v>
      </c>
      <c r="B37" s="71">
        <v>1</v>
      </c>
      <c r="C37" s="71">
        <v>520</v>
      </c>
      <c r="D37" s="71" t="s">
        <v>546</v>
      </c>
      <c r="E37" s="72" t="s">
        <v>410</v>
      </c>
      <c r="F37" s="72" t="s">
        <v>662</v>
      </c>
      <c r="G37" s="166" t="s">
        <v>272</v>
      </c>
      <c r="H37" s="69">
        <v>6</v>
      </c>
      <c r="I37" s="69"/>
      <c r="J37" s="69">
        <v>18</v>
      </c>
      <c r="K37" s="69" t="s">
        <v>211</v>
      </c>
      <c r="L37" s="70">
        <f>1380000/6</f>
        <v>230000</v>
      </c>
      <c r="M37" s="70">
        <f>H37*L37</f>
        <v>1380000</v>
      </c>
      <c r="N37" s="70">
        <f t="shared" si="12"/>
        <v>1363670000</v>
      </c>
      <c r="O37" s="70">
        <f t="shared" si="13"/>
        <v>8182020000</v>
      </c>
    </row>
    <row r="38" spans="1:35" outlineLevel="1" x14ac:dyDescent="0.3">
      <c r="A38" s="67" t="s">
        <v>503</v>
      </c>
      <c r="B38" s="71">
        <v>1</v>
      </c>
      <c r="C38" s="71">
        <v>520</v>
      </c>
      <c r="D38" s="71" t="s">
        <v>546</v>
      </c>
      <c r="E38" s="72" t="s">
        <v>410</v>
      </c>
      <c r="F38" s="72" t="s">
        <v>662</v>
      </c>
      <c r="G38" s="166" t="s">
        <v>273</v>
      </c>
      <c r="H38" s="69">
        <v>7</v>
      </c>
      <c r="I38" s="69"/>
      <c r="J38" s="69">
        <v>18</v>
      </c>
      <c r="K38" s="69" t="s">
        <v>211</v>
      </c>
      <c r="L38" s="70">
        <v>100000</v>
      </c>
      <c r="M38" s="70">
        <f>H38*L38</f>
        <v>700000</v>
      </c>
      <c r="N38" s="70">
        <f t="shared" si="12"/>
        <v>592900000</v>
      </c>
      <c r="O38" s="70">
        <f t="shared" si="13"/>
        <v>4150300000</v>
      </c>
    </row>
    <row r="39" spans="1:35" outlineLevel="1" x14ac:dyDescent="0.3">
      <c r="A39" s="67" t="s">
        <v>504</v>
      </c>
      <c r="B39" s="71">
        <v>1</v>
      </c>
      <c r="C39" s="71">
        <v>520</v>
      </c>
      <c r="D39" s="71" t="s">
        <v>210</v>
      </c>
      <c r="E39" s="72" t="s">
        <v>409</v>
      </c>
      <c r="F39" s="72" t="s">
        <v>661</v>
      </c>
      <c r="G39" s="166" t="s">
        <v>630</v>
      </c>
      <c r="H39" s="69">
        <v>1</v>
      </c>
      <c r="I39" s="69"/>
      <c r="J39" s="69">
        <v>20</v>
      </c>
      <c r="K39" s="69" t="s">
        <v>211</v>
      </c>
      <c r="L39" s="70">
        <f>SUM(M36:M38)*7%</f>
        <v>236600.00000000003</v>
      </c>
      <c r="M39" s="70">
        <f>H39*L39</f>
        <v>236600.00000000003</v>
      </c>
      <c r="N39" s="70">
        <f t="shared" si="12"/>
        <v>1402801400.0000002</v>
      </c>
      <c r="O39" s="70">
        <f t="shared" si="13"/>
        <v>1402801400.0000002</v>
      </c>
    </row>
    <row r="40" spans="1:35" ht="27.6" outlineLevel="1" x14ac:dyDescent="0.3">
      <c r="A40" s="67" t="s">
        <v>552</v>
      </c>
      <c r="B40" s="71">
        <v>1</v>
      </c>
      <c r="C40" s="71">
        <v>530</v>
      </c>
      <c r="D40" s="71" t="s">
        <v>220</v>
      </c>
      <c r="E40" s="72" t="s">
        <v>410</v>
      </c>
      <c r="F40" s="72" t="s">
        <v>619</v>
      </c>
      <c r="G40" s="166" t="s">
        <v>274</v>
      </c>
      <c r="H40" s="69">
        <v>4</v>
      </c>
      <c r="I40" s="71" t="s">
        <v>443</v>
      </c>
      <c r="J40" s="69"/>
      <c r="K40" s="69"/>
      <c r="L40" s="70">
        <v>75000</v>
      </c>
      <c r="M40" s="70">
        <f>H40*L40</f>
        <v>300000</v>
      </c>
      <c r="N40" s="70">
        <f t="shared" si="12"/>
        <v>444675000</v>
      </c>
      <c r="O40" s="70">
        <f t="shared" si="13"/>
        <v>1778700000</v>
      </c>
    </row>
    <row r="41" spans="1:35" s="66" customFormat="1" ht="27.6" x14ac:dyDescent="0.3">
      <c r="A41" s="190" t="s">
        <v>470</v>
      </c>
      <c r="B41" s="188" t="s">
        <v>457</v>
      </c>
      <c r="C41" s="184" t="s">
        <v>341</v>
      </c>
      <c r="D41" s="184" t="s">
        <v>341</v>
      </c>
      <c r="E41" s="184" t="s">
        <v>341</v>
      </c>
      <c r="F41" s="184" t="s">
        <v>341</v>
      </c>
      <c r="G41" s="185" t="s">
        <v>742</v>
      </c>
      <c r="H41" s="186"/>
      <c r="I41" s="186"/>
      <c r="J41" s="186"/>
      <c r="K41" s="186"/>
      <c r="L41" s="187"/>
      <c r="M41" s="187">
        <f>SUM(M42:M45)</f>
        <v>1950000</v>
      </c>
      <c r="N41" s="187">
        <f t="shared" ref="N41:N45" si="14">L41*$O$3</f>
        <v>0</v>
      </c>
      <c r="O41" s="187">
        <f>SUM(O42:O45)</f>
        <v>11561550000</v>
      </c>
      <c r="P41" s="176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</row>
    <row r="42" spans="1:35" outlineLevel="1" x14ac:dyDescent="0.3">
      <c r="A42" s="67" t="s">
        <v>493</v>
      </c>
      <c r="B42" s="71">
        <v>1</v>
      </c>
      <c r="C42" s="71">
        <v>260</v>
      </c>
      <c r="D42" s="71" t="s">
        <v>210</v>
      </c>
      <c r="E42" s="72" t="s">
        <v>409</v>
      </c>
      <c r="F42" s="72" t="s">
        <v>661</v>
      </c>
      <c r="G42" s="166" t="s">
        <v>680</v>
      </c>
      <c r="H42" s="69">
        <v>1</v>
      </c>
      <c r="I42" s="69" t="s">
        <v>446</v>
      </c>
      <c r="J42" s="69">
        <v>18</v>
      </c>
      <c r="K42" s="69" t="s">
        <v>211</v>
      </c>
      <c r="L42" s="304"/>
      <c r="M42" s="70">
        <f>1900000-70000</f>
        <v>1830000</v>
      </c>
      <c r="N42" s="70"/>
      <c r="O42" s="70">
        <f>M42*$O$3</f>
        <v>10850070000</v>
      </c>
    </row>
    <row r="43" spans="1:35" outlineLevel="1" x14ac:dyDescent="0.3">
      <c r="A43" s="67" t="s">
        <v>505</v>
      </c>
      <c r="B43" s="71">
        <v>1</v>
      </c>
      <c r="C43" s="71">
        <v>145</v>
      </c>
      <c r="D43" s="71" t="s">
        <v>217</v>
      </c>
      <c r="E43" s="72" t="s">
        <v>218</v>
      </c>
      <c r="F43" s="72" t="s">
        <v>661</v>
      </c>
      <c r="G43" s="166" t="s">
        <v>549</v>
      </c>
      <c r="H43" s="69">
        <v>1</v>
      </c>
      <c r="I43" s="69"/>
      <c r="J43" s="69"/>
      <c r="K43" s="69"/>
      <c r="L43" s="70">
        <v>40000</v>
      </c>
      <c r="M43" s="153">
        <f t="shared" ref="M43:M49" si="15">H43*L43</f>
        <v>40000</v>
      </c>
      <c r="N43" s="70">
        <f t="shared" si="14"/>
        <v>237160000</v>
      </c>
      <c r="O43" s="70">
        <f t="shared" ref="O43:O45" si="16">M43*$O$3</f>
        <v>237160000</v>
      </c>
    </row>
    <row r="44" spans="1:35" outlineLevel="1" x14ac:dyDescent="0.3">
      <c r="A44" s="67" t="s">
        <v>506</v>
      </c>
      <c r="B44" s="71">
        <v>1</v>
      </c>
      <c r="C44" s="71">
        <v>280</v>
      </c>
      <c r="D44" s="71" t="s">
        <v>219</v>
      </c>
      <c r="E44" s="72" t="s">
        <v>410</v>
      </c>
      <c r="F44" s="72" t="s">
        <v>259</v>
      </c>
      <c r="G44" s="166" t="s">
        <v>548</v>
      </c>
      <c r="H44" s="69">
        <v>6</v>
      </c>
      <c r="I44" s="69" t="s">
        <v>413</v>
      </c>
      <c r="J44" s="69">
        <v>1</v>
      </c>
      <c r="K44" s="69" t="s">
        <v>444</v>
      </c>
      <c r="L44" s="70">
        <v>5000</v>
      </c>
      <c r="M44" s="153">
        <f>H44*L44</f>
        <v>30000</v>
      </c>
      <c r="N44" s="70">
        <f t="shared" si="14"/>
        <v>29645000</v>
      </c>
      <c r="O44" s="70">
        <f t="shared" si="16"/>
        <v>177870000</v>
      </c>
    </row>
    <row r="45" spans="1:35" outlineLevel="1" x14ac:dyDescent="0.3">
      <c r="A45" s="67" t="s">
        <v>507</v>
      </c>
      <c r="B45" s="71">
        <v>1</v>
      </c>
      <c r="C45" s="71">
        <v>260</v>
      </c>
      <c r="D45" s="71" t="s">
        <v>219</v>
      </c>
      <c r="E45" s="72" t="s">
        <v>221</v>
      </c>
      <c r="F45" s="72" t="s">
        <v>222</v>
      </c>
      <c r="G45" s="166" t="s">
        <v>626</v>
      </c>
      <c r="H45" s="69">
        <v>1</v>
      </c>
      <c r="I45" s="69"/>
      <c r="J45" s="69"/>
      <c r="K45" s="69"/>
      <c r="L45" s="70">
        <v>50000</v>
      </c>
      <c r="M45" s="153">
        <f t="shared" si="15"/>
        <v>50000</v>
      </c>
      <c r="N45" s="70">
        <f t="shared" si="14"/>
        <v>296450000</v>
      </c>
      <c r="O45" s="70">
        <f t="shared" si="16"/>
        <v>296450000</v>
      </c>
    </row>
    <row r="46" spans="1:35" ht="27.6" x14ac:dyDescent="0.3">
      <c r="A46" s="190" t="s">
        <v>471</v>
      </c>
      <c r="B46" s="188" t="s">
        <v>457</v>
      </c>
      <c r="C46" s="184" t="s">
        <v>341</v>
      </c>
      <c r="D46" s="184" t="s">
        <v>341</v>
      </c>
      <c r="E46" s="184" t="s">
        <v>341</v>
      </c>
      <c r="F46" s="184" t="s">
        <v>341</v>
      </c>
      <c r="G46" s="185" t="s">
        <v>743</v>
      </c>
      <c r="H46" s="186"/>
      <c r="I46" s="186"/>
      <c r="J46" s="186"/>
      <c r="K46" s="186"/>
      <c r="L46" s="187"/>
      <c r="M46" s="187">
        <f>SUM(M47:M49)</f>
        <v>580000</v>
      </c>
      <c r="N46" s="187"/>
      <c r="O46" s="187">
        <f>SUM(O47:O49)</f>
        <v>3438820000</v>
      </c>
    </row>
    <row r="47" spans="1:35" ht="41.4" outlineLevel="1" x14ac:dyDescent="0.3">
      <c r="A47" s="67" t="s">
        <v>508</v>
      </c>
      <c r="B47" s="71">
        <v>1</v>
      </c>
      <c r="C47" s="71">
        <v>260</v>
      </c>
      <c r="D47" s="72" t="s">
        <v>219</v>
      </c>
      <c r="E47" s="72" t="s">
        <v>410</v>
      </c>
      <c r="F47" s="72" t="s">
        <v>221</v>
      </c>
      <c r="G47" s="166" t="s">
        <v>442</v>
      </c>
      <c r="H47" s="69">
        <v>300</v>
      </c>
      <c r="I47" s="69" t="s">
        <v>433</v>
      </c>
      <c r="J47" s="69">
        <v>3</v>
      </c>
      <c r="K47" s="71" t="s">
        <v>434</v>
      </c>
      <c r="L47" s="70">
        <v>1800</v>
      </c>
      <c r="M47" s="153">
        <f t="shared" si="15"/>
        <v>540000</v>
      </c>
      <c r="N47" s="70">
        <f t="shared" si="4"/>
        <v>10672200</v>
      </c>
      <c r="O47" s="70">
        <f t="shared" si="5"/>
        <v>3201660000</v>
      </c>
    </row>
    <row r="48" spans="1:35" ht="27.6" outlineLevel="1" x14ac:dyDescent="0.3">
      <c r="A48" s="67" t="s">
        <v>509</v>
      </c>
      <c r="B48" s="71">
        <v>1</v>
      </c>
      <c r="C48" s="71">
        <v>145</v>
      </c>
      <c r="D48" s="71" t="s">
        <v>217</v>
      </c>
      <c r="E48" s="72" t="s">
        <v>218</v>
      </c>
      <c r="F48" s="72" t="s">
        <v>661</v>
      </c>
      <c r="G48" s="166" t="s">
        <v>435</v>
      </c>
      <c r="H48" s="69">
        <v>1</v>
      </c>
      <c r="I48" s="69" t="s">
        <v>234</v>
      </c>
      <c r="J48" s="69">
        <v>4</v>
      </c>
      <c r="K48" s="69" t="s">
        <v>211</v>
      </c>
      <c r="L48" s="70">
        <v>20000</v>
      </c>
      <c r="M48" s="153">
        <f t="shared" si="15"/>
        <v>20000</v>
      </c>
      <c r="N48" s="70">
        <f t="shared" si="4"/>
        <v>118580000</v>
      </c>
      <c r="O48" s="70">
        <f t="shared" si="5"/>
        <v>118580000</v>
      </c>
    </row>
    <row r="49" spans="1:35" outlineLevel="1" x14ac:dyDescent="0.3">
      <c r="A49" s="67" t="s">
        <v>510</v>
      </c>
      <c r="B49" s="71">
        <v>1</v>
      </c>
      <c r="C49" s="71">
        <v>350</v>
      </c>
      <c r="D49" s="71" t="s">
        <v>220</v>
      </c>
      <c r="E49" s="72" t="s">
        <v>221</v>
      </c>
      <c r="F49" s="72" t="s">
        <v>621</v>
      </c>
      <c r="G49" s="166" t="s">
        <v>236</v>
      </c>
      <c r="H49" s="69">
        <v>2000</v>
      </c>
      <c r="I49" s="71" t="s">
        <v>436</v>
      </c>
      <c r="J49" s="69"/>
      <c r="K49" s="69"/>
      <c r="L49" s="70">
        <v>10</v>
      </c>
      <c r="M49" s="153">
        <f t="shared" si="15"/>
        <v>20000</v>
      </c>
      <c r="N49" s="70">
        <f t="shared" si="4"/>
        <v>59290</v>
      </c>
      <c r="O49" s="70">
        <f t="shared" si="5"/>
        <v>118580000</v>
      </c>
    </row>
    <row r="50" spans="1:35" ht="27.6" x14ac:dyDescent="0.3">
      <c r="A50" s="190" t="s">
        <v>465</v>
      </c>
      <c r="B50" s="188" t="s">
        <v>458</v>
      </c>
      <c r="C50" s="188" t="s">
        <v>341</v>
      </c>
      <c r="D50" s="184" t="s">
        <v>341</v>
      </c>
      <c r="E50" s="184" t="s">
        <v>341</v>
      </c>
      <c r="F50" s="184" t="s">
        <v>341</v>
      </c>
      <c r="G50" s="185" t="s">
        <v>744</v>
      </c>
      <c r="H50" s="186"/>
      <c r="I50" s="186"/>
      <c r="J50" s="186"/>
      <c r="K50" s="186"/>
      <c r="L50" s="187"/>
      <c r="M50" s="187">
        <f>SUM(M51:M52)</f>
        <v>400000</v>
      </c>
      <c r="N50" s="187">
        <f>L50*$O$3</f>
        <v>0</v>
      </c>
      <c r="O50" s="187">
        <f>SUM(O51:O52)</f>
        <v>2371600000</v>
      </c>
    </row>
    <row r="51" spans="1:35" s="49" customFormat="1" ht="27.6" outlineLevel="1" x14ac:dyDescent="0.3">
      <c r="A51" s="74" t="s">
        <v>511</v>
      </c>
      <c r="B51" s="72">
        <v>1</v>
      </c>
      <c r="C51" s="72">
        <v>260</v>
      </c>
      <c r="D51" s="72" t="s">
        <v>210</v>
      </c>
      <c r="E51" s="72" t="s">
        <v>409</v>
      </c>
      <c r="F51" s="72" t="s">
        <v>661</v>
      </c>
      <c r="G51" s="206" t="s">
        <v>683</v>
      </c>
      <c r="H51" s="75">
        <v>9</v>
      </c>
      <c r="I51" s="75" t="s">
        <v>449</v>
      </c>
      <c r="J51" s="305"/>
      <c r="K51" s="305"/>
      <c r="L51" s="153">
        <f>100000/H51</f>
        <v>11111.111111111111</v>
      </c>
      <c r="M51" s="153">
        <f>H51*L51</f>
        <v>100000</v>
      </c>
      <c r="N51" s="153">
        <f>L51*$O$3</f>
        <v>65877777.777777776</v>
      </c>
      <c r="O51" s="153">
        <f>M51*$O$3</f>
        <v>592900000</v>
      </c>
      <c r="P51" s="176"/>
    </row>
    <row r="52" spans="1:35" s="49" customFormat="1" outlineLevel="1" x14ac:dyDescent="0.3">
      <c r="A52" s="74" t="s">
        <v>512</v>
      </c>
      <c r="B52" s="72">
        <v>1</v>
      </c>
      <c r="C52" s="72">
        <v>260</v>
      </c>
      <c r="D52" s="72" t="s">
        <v>210</v>
      </c>
      <c r="E52" s="72" t="s">
        <v>409</v>
      </c>
      <c r="F52" s="72" t="s">
        <v>661</v>
      </c>
      <c r="G52" s="206" t="s">
        <v>194</v>
      </c>
      <c r="H52" s="75">
        <v>1</v>
      </c>
      <c r="I52" s="75"/>
      <c r="J52" s="75"/>
      <c r="K52" s="75"/>
      <c r="L52" s="153">
        <f>300000</f>
        <v>300000</v>
      </c>
      <c r="M52" s="153">
        <f>H52*L52</f>
        <v>300000</v>
      </c>
      <c r="N52" s="70">
        <f>L52*$O$3</f>
        <v>1778700000</v>
      </c>
      <c r="O52" s="70">
        <f>M52*$O$3</f>
        <v>1778700000</v>
      </c>
      <c r="P52" s="303"/>
    </row>
    <row r="53" spans="1:35" s="58" customFormat="1" x14ac:dyDescent="0.3">
      <c r="A53" s="193">
        <v>2</v>
      </c>
      <c r="B53" s="59" t="s">
        <v>458</v>
      </c>
      <c r="C53" s="60" t="s">
        <v>341</v>
      </c>
      <c r="D53" s="59" t="s">
        <v>341</v>
      </c>
      <c r="E53" s="60" t="s">
        <v>341</v>
      </c>
      <c r="F53" s="60" t="s">
        <v>341</v>
      </c>
      <c r="G53" s="61" t="s">
        <v>456</v>
      </c>
      <c r="H53" s="62"/>
      <c r="I53" s="62"/>
      <c r="J53" s="62"/>
      <c r="K53" s="62"/>
      <c r="L53" s="93">
        <f>L54+L60+L78+L83+L87</f>
        <v>0</v>
      </c>
      <c r="M53" s="93">
        <f>M54+M60+M78+M83+M87</f>
        <v>2918900</v>
      </c>
      <c r="N53" s="93">
        <f t="shared" ref="N53:N82" si="17">L53*$O$3</f>
        <v>0</v>
      </c>
      <c r="O53" s="93">
        <f t="shared" ref="O53:O82" si="18">M53*$O$3</f>
        <v>17306158100</v>
      </c>
      <c r="P53" s="178">
        <f>M53/$M$112</f>
        <v>0.19459333333333334</v>
      </c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</row>
    <row r="54" spans="1:35" s="65" customFormat="1" ht="27.6" x14ac:dyDescent="0.3">
      <c r="A54" s="190" t="s">
        <v>472</v>
      </c>
      <c r="B54" s="188" t="s">
        <v>458</v>
      </c>
      <c r="C54" s="188" t="s">
        <v>341</v>
      </c>
      <c r="D54" s="184" t="s">
        <v>341</v>
      </c>
      <c r="E54" s="184" t="s">
        <v>341</v>
      </c>
      <c r="F54" s="184" t="s">
        <v>341</v>
      </c>
      <c r="G54" s="185" t="s">
        <v>745</v>
      </c>
      <c r="H54" s="186"/>
      <c r="I54" s="186"/>
      <c r="J54" s="186"/>
      <c r="K54" s="186"/>
      <c r="L54" s="187"/>
      <c r="M54" s="187">
        <f>SUM(M55:M59)</f>
        <v>338900</v>
      </c>
      <c r="N54" s="187">
        <f t="shared" ref="N54:O59" si="19">L54*$O$3</f>
        <v>0</v>
      </c>
      <c r="O54" s="187">
        <f>SUM(O55:O59)</f>
        <v>2009338100</v>
      </c>
      <c r="P54" s="176"/>
    </row>
    <row r="55" spans="1:35" s="65" customFormat="1" ht="27.6" outlineLevel="1" x14ac:dyDescent="0.3">
      <c r="A55" s="74" t="s">
        <v>513</v>
      </c>
      <c r="B55" s="72">
        <v>2</v>
      </c>
      <c r="C55" s="72">
        <v>145</v>
      </c>
      <c r="D55" s="72" t="s">
        <v>217</v>
      </c>
      <c r="E55" s="72" t="s">
        <v>218</v>
      </c>
      <c r="F55" s="72" t="s">
        <v>661</v>
      </c>
      <c r="G55" s="206" t="s">
        <v>418</v>
      </c>
      <c r="H55" s="71">
        <v>1</v>
      </c>
      <c r="I55" s="71" t="s">
        <v>446</v>
      </c>
      <c r="J55" s="71">
        <v>1</v>
      </c>
      <c r="K55" s="71" t="s">
        <v>211</v>
      </c>
      <c r="L55" s="155">
        <v>10000</v>
      </c>
      <c r="M55" s="153">
        <f>H55*L55</f>
        <v>10000</v>
      </c>
      <c r="N55" s="70">
        <f t="shared" si="19"/>
        <v>59290000</v>
      </c>
      <c r="O55" s="70">
        <f t="shared" si="19"/>
        <v>59290000</v>
      </c>
      <c r="P55" s="176"/>
    </row>
    <row r="56" spans="1:35" s="65" customFormat="1" outlineLevel="1" x14ac:dyDescent="0.3">
      <c r="A56" s="74" t="s">
        <v>516</v>
      </c>
      <c r="B56" s="72">
        <v>2</v>
      </c>
      <c r="C56" s="72">
        <v>260</v>
      </c>
      <c r="D56" s="72" t="s">
        <v>210</v>
      </c>
      <c r="E56" s="72" t="s">
        <v>409</v>
      </c>
      <c r="F56" s="72" t="s">
        <v>661</v>
      </c>
      <c r="G56" s="206" t="s">
        <v>547</v>
      </c>
      <c r="H56" s="71">
        <v>1</v>
      </c>
      <c r="I56" s="71" t="s">
        <v>446</v>
      </c>
      <c r="J56" s="71">
        <v>12</v>
      </c>
      <c r="K56" s="71" t="s">
        <v>211</v>
      </c>
      <c r="L56" s="153">
        <f>250000+53900</f>
        <v>303900</v>
      </c>
      <c r="M56" s="153">
        <f t="shared" ref="M56:M59" si="20">H56*L56</f>
        <v>303900</v>
      </c>
      <c r="N56" s="70">
        <f t="shared" si="19"/>
        <v>1801823100</v>
      </c>
      <c r="O56" s="70">
        <f t="shared" si="19"/>
        <v>1801823100</v>
      </c>
      <c r="P56" s="176"/>
    </row>
    <row r="57" spans="1:35" s="65" customFormat="1" ht="27.6" outlineLevel="1" x14ac:dyDescent="0.3">
      <c r="A57" s="74" t="s">
        <v>517</v>
      </c>
      <c r="B57" s="72">
        <v>2</v>
      </c>
      <c r="C57" s="71">
        <v>145</v>
      </c>
      <c r="D57" s="72" t="s">
        <v>217</v>
      </c>
      <c r="E57" s="72" t="s">
        <v>218</v>
      </c>
      <c r="F57" s="72" t="s">
        <v>661</v>
      </c>
      <c r="G57" s="206" t="s">
        <v>521</v>
      </c>
      <c r="H57" s="71">
        <v>1</v>
      </c>
      <c r="I57" s="71" t="s">
        <v>212</v>
      </c>
      <c r="J57" s="71">
        <v>1</v>
      </c>
      <c r="K57" s="71" t="s">
        <v>223</v>
      </c>
      <c r="L57" s="153">
        <v>5000</v>
      </c>
      <c r="M57" s="153">
        <f t="shared" si="20"/>
        <v>5000</v>
      </c>
      <c r="N57" s="70">
        <f t="shared" si="19"/>
        <v>29645000</v>
      </c>
      <c r="O57" s="70">
        <f t="shared" si="19"/>
        <v>29645000</v>
      </c>
      <c r="P57" s="176"/>
    </row>
    <row r="58" spans="1:35" s="65" customFormat="1" ht="27.6" outlineLevel="1" x14ac:dyDescent="0.3">
      <c r="A58" s="74" t="s">
        <v>518</v>
      </c>
      <c r="B58" s="72">
        <v>2</v>
      </c>
      <c r="C58" s="71">
        <v>145</v>
      </c>
      <c r="D58" s="72" t="s">
        <v>217</v>
      </c>
      <c r="E58" s="72" t="s">
        <v>218</v>
      </c>
      <c r="F58" s="72" t="s">
        <v>661</v>
      </c>
      <c r="G58" s="206" t="s">
        <v>522</v>
      </c>
      <c r="H58" s="71">
        <v>1</v>
      </c>
      <c r="I58" s="71" t="s">
        <v>212</v>
      </c>
      <c r="J58" s="71">
        <v>1</v>
      </c>
      <c r="K58" s="71" t="s">
        <v>223</v>
      </c>
      <c r="L58" s="153">
        <v>18000</v>
      </c>
      <c r="M58" s="153">
        <f t="shared" si="20"/>
        <v>18000</v>
      </c>
      <c r="N58" s="70">
        <f t="shared" si="19"/>
        <v>106722000</v>
      </c>
      <c r="O58" s="70">
        <f t="shared" si="19"/>
        <v>106722000</v>
      </c>
      <c r="P58" s="176"/>
    </row>
    <row r="59" spans="1:35" s="65" customFormat="1" outlineLevel="1" x14ac:dyDescent="0.3">
      <c r="A59" s="74" t="s">
        <v>519</v>
      </c>
      <c r="B59" s="72">
        <v>2</v>
      </c>
      <c r="C59" s="71">
        <v>145</v>
      </c>
      <c r="D59" s="72" t="s">
        <v>217</v>
      </c>
      <c r="E59" s="72" t="s">
        <v>218</v>
      </c>
      <c r="F59" s="72" t="s">
        <v>660</v>
      </c>
      <c r="G59" s="206" t="s">
        <v>209</v>
      </c>
      <c r="H59" s="71">
        <v>2</v>
      </c>
      <c r="I59" s="71" t="s">
        <v>212</v>
      </c>
      <c r="J59" s="71">
        <v>36</v>
      </c>
      <c r="K59" s="71" t="s">
        <v>211</v>
      </c>
      <c r="L59" s="155">
        <v>1000</v>
      </c>
      <c r="M59" s="153">
        <f t="shared" si="20"/>
        <v>2000</v>
      </c>
      <c r="N59" s="70">
        <f t="shared" si="19"/>
        <v>5929000</v>
      </c>
      <c r="O59" s="70">
        <f t="shared" si="19"/>
        <v>11858000</v>
      </c>
      <c r="P59" s="176"/>
    </row>
    <row r="60" spans="1:35" s="65" customFormat="1" ht="27.6" x14ac:dyDescent="0.3">
      <c r="A60" s="190" t="s">
        <v>463</v>
      </c>
      <c r="B60" s="188" t="s">
        <v>458</v>
      </c>
      <c r="C60" s="188" t="s">
        <v>341</v>
      </c>
      <c r="D60" s="184" t="s">
        <v>341</v>
      </c>
      <c r="E60" s="184" t="s">
        <v>341</v>
      </c>
      <c r="F60" s="184" t="s">
        <v>341</v>
      </c>
      <c r="G60" s="185" t="s">
        <v>746</v>
      </c>
      <c r="H60" s="186"/>
      <c r="I60" s="186"/>
      <c r="J60" s="186"/>
      <c r="K60" s="186"/>
      <c r="L60" s="187"/>
      <c r="M60" s="187">
        <f>SUM(M61:M66)</f>
        <v>413000</v>
      </c>
      <c r="N60" s="187"/>
      <c r="O60" s="187">
        <f>SUM(O61:O66)</f>
        <v>2448677000</v>
      </c>
      <c r="P60" s="176"/>
    </row>
    <row r="61" spans="1:35" s="65" customFormat="1" outlineLevel="1" x14ac:dyDescent="0.3">
      <c r="A61" s="74" t="s">
        <v>520</v>
      </c>
      <c r="B61" s="72">
        <v>2</v>
      </c>
      <c r="C61" s="71">
        <v>145</v>
      </c>
      <c r="D61" s="72" t="s">
        <v>217</v>
      </c>
      <c r="E61" s="72" t="s">
        <v>218</v>
      </c>
      <c r="F61" s="72" t="s">
        <v>660</v>
      </c>
      <c r="G61" s="206" t="s">
        <v>679</v>
      </c>
      <c r="H61" s="72">
        <v>1</v>
      </c>
      <c r="I61" s="72" t="s">
        <v>225</v>
      </c>
      <c r="J61" s="72">
        <v>48</v>
      </c>
      <c r="K61" s="72" t="s">
        <v>211</v>
      </c>
      <c r="L61" s="156">
        <v>1000</v>
      </c>
      <c r="M61" s="153">
        <f>H61*J61*L61</f>
        <v>48000</v>
      </c>
      <c r="N61" s="70">
        <f>L61*$O$3</f>
        <v>5929000</v>
      </c>
      <c r="O61" s="70">
        <f>M61*$O$3</f>
        <v>284592000</v>
      </c>
      <c r="P61" s="176"/>
    </row>
    <row r="62" spans="1:35" s="65" customFormat="1" outlineLevel="1" x14ac:dyDescent="0.3">
      <c r="A62" s="74" t="s">
        <v>515</v>
      </c>
      <c r="B62" s="72">
        <v>2</v>
      </c>
      <c r="C62" s="71">
        <v>145</v>
      </c>
      <c r="D62" s="72" t="s">
        <v>217</v>
      </c>
      <c r="E62" s="72" t="s">
        <v>218</v>
      </c>
      <c r="F62" s="72" t="s">
        <v>660</v>
      </c>
      <c r="G62" s="206" t="s">
        <v>684</v>
      </c>
      <c r="H62" s="72">
        <v>1</v>
      </c>
      <c r="I62" s="72" t="s">
        <v>234</v>
      </c>
      <c r="J62" s="72">
        <v>3</v>
      </c>
      <c r="K62" s="72" t="s">
        <v>211</v>
      </c>
      <c r="L62" s="156">
        <v>20000</v>
      </c>
      <c r="M62" s="153">
        <f>H62*L62</f>
        <v>20000</v>
      </c>
      <c r="N62" s="70">
        <f>L62*$O$3</f>
        <v>118580000</v>
      </c>
      <c r="O62" s="70">
        <f>M62*$O$3</f>
        <v>118580000</v>
      </c>
      <c r="P62" s="176"/>
    </row>
    <row r="63" spans="1:35" s="65" customFormat="1" ht="27.6" outlineLevel="1" x14ac:dyDescent="0.3">
      <c r="A63" s="74" t="s">
        <v>523</v>
      </c>
      <c r="B63" s="72">
        <v>2</v>
      </c>
      <c r="C63" s="71">
        <v>145</v>
      </c>
      <c r="D63" s="72" t="s">
        <v>217</v>
      </c>
      <c r="E63" s="72" t="s">
        <v>218</v>
      </c>
      <c r="F63" s="72" t="s">
        <v>660</v>
      </c>
      <c r="G63" s="206" t="s">
        <v>419</v>
      </c>
      <c r="H63" s="72">
        <v>15</v>
      </c>
      <c r="I63" s="72" t="s">
        <v>681</v>
      </c>
      <c r="J63" s="72">
        <v>48</v>
      </c>
      <c r="K63" s="72" t="s">
        <v>211</v>
      </c>
      <c r="L63" s="156">
        <v>0</v>
      </c>
      <c r="M63" s="153">
        <f t="shared" ref="M63:M64" si="21">H63*J63*L63</f>
        <v>0</v>
      </c>
      <c r="N63" s="70">
        <f t="shared" ref="N63:N66" si="22">L63*$O$3</f>
        <v>0</v>
      </c>
      <c r="O63" s="70">
        <f t="shared" ref="O63:O66" si="23">M63*$O$3</f>
        <v>0</v>
      </c>
      <c r="P63" s="176"/>
    </row>
    <row r="64" spans="1:35" s="65" customFormat="1" ht="27.6" outlineLevel="1" x14ac:dyDescent="0.3">
      <c r="A64" s="74" t="s">
        <v>524</v>
      </c>
      <c r="B64" s="72">
        <v>2</v>
      </c>
      <c r="C64" s="71">
        <v>145</v>
      </c>
      <c r="D64" s="72" t="s">
        <v>217</v>
      </c>
      <c r="E64" s="72" t="s">
        <v>218</v>
      </c>
      <c r="F64" s="72" t="s">
        <v>660</v>
      </c>
      <c r="G64" s="206" t="s">
        <v>420</v>
      </c>
      <c r="H64" s="72">
        <v>2</v>
      </c>
      <c r="I64" s="72" t="s">
        <v>681</v>
      </c>
      <c r="J64" s="72">
        <v>48</v>
      </c>
      <c r="K64" s="72" t="s">
        <v>211</v>
      </c>
      <c r="L64" s="156">
        <v>0</v>
      </c>
      <c r="M64" s="153">
        <f t="shared" si="21"/>
        <v>0</v>
      </c>
      <c r="N64" s="70">
        <f t="shared" si="22"/>
        <v>0</v>
      </c>
      <c r="O64" s="70">
        <f t="shared" si="23"/>
        <v>0</v>
      </c>
      <c r="P64" s="176"/>
    </row>
    <row r="65" spans="1:21" s="65" customFormat="1" outlineLevel="1" x14ac:dyDescent="0.3">
      <c r="A65" s="74" t="s">
        <v>525</v>
      </c>
      <c r="B65" s="72">
        <v>2</v>
      </c>
      <c r="C65" s="71">
        <v>350</v>
      </c>
      <c r="D65" s="72" t="s">
        <v>220</v>
      </c>
      <c r="E65" s="72" t="s">
        <v>734</v>
      </c>
      <c r="F65" s="72" t="s">
        <v>621</v>
      </c>
      <c r="G65" s="166" t="s">
        <v>685</v>
      </c>
      <c r="H65" s="71">
        <v>1</v>
      </c>
      <c r="I65" s="71" t="s">
        <v>436</v>
      </c>
      <c r="J65" s="71"/>
      <c r="K65" s="71"/>
      <c r="L65" s="155">
        <v>95000</v>
      </c>
      <c r="M65" s="153">
        <f>H65*L65</f>
        <v>95000</v>
      </c>
      <c r="N65" s="70">
        <f t="shared" si="22"/>
        <v>563255000</v>
      </c>
      <c r="O65" s="70">
        <f t="shared" si="23"/>
        <v>563255000</v>
      </c>
      <c r="P65" s="176"/>
    </row>
    <row r="66" spans="1:21" s="65" customFormat="1" ht="27.6" outlineLevel="1" x14ac:dyDescent="0.3">
      <c r="A66" s="74" t="s">
        <v>553</v>
      </c>
      <c r="B66" s="72">
        <v>2</v>
      </c>
      <c r="C66" s="72">
        <v>350</v>
      </c>
      <c r="D66" s="72" t="s">
        <v>220</v>
      </c>
      <c r="E66" s="72" t="s">
        <v>410</v>
      </c>
      <c r="F66" s="72" t="s">
        <v>226</v>
      </c>
      <c r="G66" s="206" t="s">
        <v>718</v>
      </c>
      <c r="H66" s="72">
        <v>6250</v>
      </c>
      <c r="I66" s="71" t="s">
        <v>226</v>
      </c>
      <c r="J66" s="71">
        <v>4</v>
      </c>
      <c r="K66" s="71" t="s">
        <v>227</v>
      </c>
      <c r="L66" s="300">
        <f>250000/H66</f>
        <v>40</v>
      </c>
      <c r="M66" s="153">
        <f>H66*L66</f>
        <v>250000</v>
      </c>
      <c r="N66" s="70">
        <f t="shared" si="22"/>
        <v>237160</v>
      </c>
      <c r="O66" s="70">
        <f t="shared" si="23"/>
        <v>1482250000</v>
      </c>
      <c r="P66" s="176"/>
      <c r="T66" s="302"/>
      <c r="U66" s="201"/>
    </row>
    <row r="67" spans="1:21" ht="27.6" x14ac:dyDescent="0.3">
      <c r="A67" s="190" t="s">
        <v>473</v>
      </c>
      <c r="B67" s="188" t="s">
        <v>457</v>
      </c>
      <c r="C67" s="188" t="s">
        <v>341</v>
      </c>
      <c r="D67" s="184" t="s">
        <v>341</v>
      </c>
      <c r="E67" s="184" t="s">
        <v>341</v>
      </c>
      <c r="F67" s="184" t="s">
        <v>341</v>
      </c>
      <c r="G67" s="185" t="s">
        <v>747</v>
      </c>
      <c r="H67" s="186"/>
      <c r="I67" s="186"/>
      <c r="J67" s="186"/>
      <c r="K67" s="186"/>
      <c r="L67" s="187"/>
      <c r="M67" s="187">
        <f>SUM(M68:M77)</f>
        <v>155500</v>
      </c>
      <c r="N67" s="187">
        <f t="shared" ref="N67:N77" si="24">L67*$O$3</f>
        <v>0</v>
      </c>
      <c r="O67" s="187">
        <f>SUM(O68:O77)</f>
        <v>921959500</v>
      </c>
    </row>
    <row r="68" spans="1:21" ht="27.6" outlineLevel="1" x14ac:dyDescent="0.3">
      <c r="A68" s="67" t="s">
        <v>526</v>
      </c>
      <c r="B68" s="71">
        <v>1</v>
      </c>
      <c r="C68" s="71">
        <v>145</v>
      </c>
      <c r="D68" s="71" t="s">
        <v>217</v>
      </c>
      <c r="E68" s="72" t="s">
        <v>218</v>
      </c>
      <c r="F68" s="72" t="s">
        <v>661</v>
      </c>
      <c r="G68" s="166" t="s">
        <v>257</v>
      </c>
      <c r="H68" s="69">
        <v>1</v>
      </c>
      <c r="I68" s="69" t="s">
        <v>234</v>
      </c>
      <c r="J68" s="69"/>
      <c r="K68" s="69"/>
      <c r="L68" s="70">
        <v>10000</v>
      </c>
      <c r="M68" s="153">
        <f t="shared" ref="M68:M77" si="25">H68*L68</f>
        <v>10000</v>
      </c>
      <c r="N68" s="70">
        <f t="shared" si="24"/>
        <v>59290000</v>
      </c>
      <c r="O68" s="70">
        <f t="shared" ref="O68:O77" si="26">M68*$O$3</f>
        <v>59290000</v>
      </c>
    </row>
    <row r="69" spans="1:21" ht="27.6" outlineLevel="1" x14ac:dyDescent="0.3">
      <c r="A69" s="67" t="s">
        <v>527</v>
      </c>
      <c r="B69" s="71">
        <v>1</v>
      </c>
      <c r="C69" s="71">
        <v>280</v>
      </c>
      <c r="D69" s="71" t="s">
        <v>219</v>
      </c>
      <c r="E69" s="72" t="s">
        <v>410</v>
      </c>
      <c r="F69" s="72" t="s">
        <v>259</v>
      </c>
      <c r="G69" s="166" t="s">
        <v>430</v>
      </c>
      <c r="H69" s="69">
        <v>2</v>
      </c>
      <c r="I69" s="69" t="s">
        <v>239</v>
      </c>
      <c r="J69" s="69"/>
      <c r="K69" s="69"/>
      <c r="L69" s="70">
        <v>5000</v>
      </c>
      <c r="M69" s="153">
        <f t="shared" si="25"/>
        <v>10000</v>
      </c>
      <c r="N69" s="70">
        <f t="shared" si="24"/>
        <v>29645000</v>
      </c>
      <c r="O69" s="70">
        <f t="shared" si="26"/>
        <v>59290000</v>
      </c>
    </row>
    <row r="70" spans="1:21" outlineLevel="1" x14ac:dyDescent="0.3">
      <c r="A70" s="67" t="s">
        <v>514</v>
      </c>
      <c r="B70" s="71">
        <v>1</v>
      </c>
      <c r="C70" s="71">
        <v>260</v>
      </c>
      <c r="D70" s="71" t="s">
        <v>219</v>
      </c>
      <c r="E70" s="72" t="s">
        <v>221</v>
      </c>
      <c r="F70" s="72" t="s">
        <v>221</v>
      </c>
      <c r="G70" s="166" t="s">
        <v>258</v>
      </c>
      <c r="H70" s="69">
        <v>2000</v>
      </c>
      <c r="I70" s="69" t="s">
        <v>260</v>
      </c>
      <c r="J70" s="69"/>
      <c r="K70" s="69"/>
      <c r="L70" s="70">
        <v>10</v>
      </c>
      <c r="M70" s="153">
        <f t="shared" si="25"/>
        <v>20000</v>
      </c>
      <c r="N70" s="70">
        <f t="shared" si="24"/>
        <v>59290</v>
      </c>
      <c r="O70" s="70">
        <f t="shared" si="26"/>
        <v>118580000</v>
      </c>
    </row>
    <row r="71" spans="1:21" ht="27.6" outlineLevel="1" x14ac:dyDescent="0.3">
      <c r="A71" s="67" t="s">
        <v>528</v>
      </c>
      <c r="B71" s="71">
        <v>1</v>
      </c>
      <c r="C71" s="71">
        <v>145</v>
      </c>
      <c r="D71" s="71" t="s">
        <v>217</v>
      </c>
      <c r="E71" s="72" t="s">
        <v>218</v>
      </c>
      <c r="F71" s="72" t="s">
        <v>661</v>
      </c>
      <c r="G71" s="166" t="s">
        <v>432</v>
      </c>
      <c r="H71" s="69">
        <v>1</v>
      </c>
      <c r="I71" s="69" t="s">
        <v>234</v>
      </c>
      <c r="J71" s="69"/>
      <c r="K71" s="69"/>
      <c r="L71" s="70">
        <v>15000</v>
      </c>
      <c r="M71" s="153">
        <f t="shared" si="25"/>
        <v>15000</v>
      </c>
      <c r="N71" s="70">
        <f t="shared" si="24"/>
        <v>88935000</v>
      </c>
      <c r="O71" s="70">
        <f t="shared" si="26"/>
        <v>88935000</v>
      </c>
    </row>
    <row r="72" spans="1:21" outlineLevel="1" x14ac:dyDescent="0.3">
      <c r="A72" s="67" t="s">
        <v>719</v>
      </c>
      <c r="B72" s="71">
        <v>1</v>
      </c>
      <c r="C72" s="71">
        <v>280</v>
      </c>
      <c r="D72" s="71" t="s">
        <v>219</v>
      </c>
      <c r="E72" s="72" t="s">
        <v>410</v>
      </c>
      <c r="F72" s="72" t="s">
        <v>259</v>
      </c>
      <c r="G72" s="166" t="s">
        <v>261</v>
      </c>
      <c r="H72" s="69">
        <v>1</v>
      </c>
      <c r="I72" s="69" t="s">
        <v>239</v>
      </c>
      <c r="J72" s="69"/>
      <c r="K72" s="69"/>
      <c r="L72" s="70">
        <v>5000</v>
      </c>
      <c r="M72" s="153">
        <f t="shared" si="25"/>
        <v>5000</v>
      </c>
      <c r="N72" s="70">
        <f t="shared" si="24"/>
        <v>29645000</v>
      </c>
      <c r="O72" s="70">
        <f t="shared" si="26"/>
        <v>29645000</v>
      </c>
    </row>
    <row r="73" spans="1:21" ht="27.6" outlineLevel="1" x14ac:dyDescent="0.3">
      <c r="A73" s="67" t="s">
        <v>720</v>
      </c>
      <c r="B73" s="71">
        <v>1</v>
      </c>
      <c r="C73" s="71">
        <v>350</v>
      </c>
      <c r="D73" s="71" t="s">
        <v>220</v>
      </c>
      <c r="E73" s="72" t="s">
        <v>221</v>
      </c>
      <c r="F73" s="72" t="s">
        <v>618</v>
      </c>
      <c r="G73" s="166" t="s">
        <v>687</v>
      </c>
      <c r="H73" s="69">
        <v>1</v>
      </c>
      <c r="I73" s="71" t="s">
        <v>431</v>
      </c>
      <c r="J73" s="69"/>
      <c r="K73" s="69"/>
      <c r="L73" s="70">
        <v>50000</v>
      </c>
      <c r="M73" s="153">
        <f t="shared" si="25"/>
        <v>50000</v>
      </c>
      <c r="N73" s="70">
        <f t="shared" si="24"/>
        <v>296450000</v>
      </c>
      <c r="O73" s="70">
        <f t="shared" si="26"/>
        <v>296450000</v>
      </c>
    </row>
    <row r="74" spans="1:21" outlineLevel="1" x14ac:dyDescent="0.3">
      <c r="A74" s="67" t="s">
        <v>721</v>
      </c>
      <c r="B74" s="71">
        <v>1</v>
      </c>
      <c r="C74" s="71">
        <v>280</v>
      </c>
      <c r="D74" s="72" t="s">
        <v>219</v>
      </c>
      <c r="E74" s="72" t="s">
        <v>410</v>
      </c>
      <c r="F74" s="72" t="s">
        <v>259</v>
      </c>
      <c r="G74" s="166" t="s">
        <v>262</v>
      </c>
      <c r="H74" s="69">
        <v>1</v>
      </c>
      <c r="I74" s="69" t="s">
        <v>249</v>
      </c>
      <c r="J74" s="69"/>
      <c r="K74" s="69"/>
      <c r="L74" s="70">
        <v>5500</v>
      </c>
      <c r="M74" s="153">
        <f t="shared" si="25"/>
        <v>5500</v>
      </c>
      <c r="N74" s="70">
        <f t="shared" si="24"/>
        <v>32609500</v>
      </c>
      <c r="O74" s="70">
        <f t="shared" si="26"/>
        <v>32609500</v>
      </c>
    </row>
    <row r="75" spans="1:21" outlineLevel="1" x14ac:dyDescent="0.3">
      <c r="A75" s="67" t="s">
        <v>722</v>
      </c>
      <c r="B75" s="71">
        <v>1</v>
      </c>
      <c r="C75" s="71">
        <v>350</v>
      </c>
      <c r="D75" s="71" t="s">
        <v>220</v>
      </c>
      <c r="E75" s="72" t="s">
        <v>221</v>
      </c>
      <c r="F75" s="72" t="s">
        <v>618</v>
      </c>
      <c r="G75" s="166" t="s">
        <v>263</v>
      </c>
      <c r="H75" s="69">
        <v>200000</v>
      </c>
      <c r="I75" s="71" t="s">
        <v>235</v>
      </c>
      <c r="J75" s="69"/>
      <c r="K75" s="69"/>
      <c r="L75" s="70">
        <v>0.05</v>
      </c>
      <c r="M75" s="153">
        <f t="shared" si="25"/>
        <v>10000</v>
      </c>
      <c r="N75" s="70">
        <f t="shared" si="24"/>
        <v>296.45</v>
      </c>
      <c r="O75" s="70">
        <f t="shared" si="26"/>
        <v>59290000</v>
      </c>
    </row>
    <row r="76" spans="1:21" outlineLevel="1" x14ac:dyDescent="0.3">
      <c r="A76" s="67" t="s">
        <v>723</v>
      </c>
      <c r="B76" s="71">
        <v>1</v>
      </c>
      <c r="C76" s="71">
        <v>350</v>
      </c>
      <c r="D76" s="71" t="s">
        <v>220</v>
      </c>
      <c r="E76" s="72" t="s">
        <v>221</v>
      </c>
      <c r="F76" s="72" t="s">
        <v>618</v>
      </c>
      <c r="G76" s="166" t="s">
        <v>264</v>
      </c>
      <c r="H76" s="69">
        <v>50000</v>
      </c>
      <c r="I76" s="71" t="s">
        <v>266</v>
      </c>
      <c r="J76" s="69"/>
      <c r="K76" s="69"/>
      <c r="L76" s="70">
        <v>0.1</v>
      </c>
      <c r="M76" s="153">
        <f t="shared" si="25"/>
        <v>5000</v>
      </c>
      <c r="N76" s="70">
        <f t="shared" si="24"/>
        <v>592.9</v>
      </c>
      <c r="O76" s="70">
        <f t="shared" si="26"/>
        <v>29645000</v>
      </c>
    </row>
    <row r="77" spans="1:21" outlineLevel="1" x14ac:dyDescent="0.3">
      <c r="A77" s="67" t="s">
        <v>724</v>
      </c>
      <c r="B77" s="71">
        <v>1</v>
      </c>
      <c r="C77" s="71">
        <v>280</v>
      </c>
      <c r="D77" s="71" t="s">
        <v>219</v>
      </c>
      <c r="E77" s="72" t="s">
        <v>410</v>
      </c>
      <c r="F77" s="72" t="s">
        <v>259</v>
      </c>
      <c r="G77" s="166" t="s">
        <v>265</v>
      </c>
      <c r="H77" s="69">
        <v>500</v>
      </c>
      <c r="I77" s="69" t="s">
        <v>267</v>
      </c>
      <c r="J77" s="69"/>
      <c r="K77" s="69"/>
      <c r="L77" s="70">
        <v>50</v>
      </c>
      <c r="M77" s="153">
        <f t="shared" si="25"/>
        <v>25000</v>
      </c>
      <c r="N77" s="70">
        <f t="shared" si="24"/>
        <v>296450</v>
      </c>
      <c r="O77" s="70">
        <f t="shared" si="26"/>
        <v>148225000</v>
      </c>
    </row>
    <row r="78" spans="1:21" s="65" customFormat="1" x14ac:dyDescent="0.3">
      <c r="A78" s="190" t="s">
        <v>474</v>
      </c>
      <c r="B78" s="188" t="s">
        <v>458</v>
      </c>
      <c r="C78" s="184" t="s">
        <v>341</v>
      </c>
      <c r="D78" s="184" t="s">
        <v>341</v>
      </c>
      <c r="E78" s="184" t="s">
        <v>341</v>
      </c>
      <c r="F78" s="184" t="s">
        <v>341</v>
      </c>
      <c r="G78" s="185" t="s">
        <v>748</v>
      </c>
      <c r="H78" s="186"/>
      <c r="I78" s="186"/>
      <c r="J78" s="186"/>
      <c r="K78" s="186"/>
      <c r="L78" s="187"/>
      <c r="M78" s="187">
        <f>SUM(M79:M82)</f>
        <v>387000</v>
      </c>
      <c r="N78" s="187">
        <f t="shared" si="17"/>
        <v>0</v>
      </c>
      <c r="O78" s="187">
        <f>SUM(O79:O82)</f>
        <v>2294523000</v>
      </c>
      <c r="P78" s="176"/>
      <c r="S78" s="301"/>
      <c r="T78" s="302"/>
      <c r="U78" s="201"/>
    </row>
    <row r="79" spans="1:21" s="65" customFormat="1" outlineLevel="1" x14ac:dyDescent="0.3">
      <c r="A79" s="74" t="s">
        <v>529</v>
      </c>
      <c r="B79" s="72">
        <v>2</v>
      </c>
      <c r="C79" s="71">
        <v>145</v>
      </c>
      <c r="D79" s="72" t="s">
        <v>217</v>
      </c>
      <c r="E79" s="72" t="s">
        <v>218</v>
      </c>
      <c r="F79" s="72" t="s">
        <v>660</v>
      </c>
      <c r="G79" s="166" t="s">
        <v>686</v>
      </c>
      <c r="H79" s="75">
        <v>1</v>
      </c>
      <c r="I79" s="75" t="s">
        <v>212</v>
      </c>
      <c r="J79" s="75">
        <v>56</v>
      </c>
      <c r="K79" s="75" t="s">
        <v>211</v>
      </c>
      <c r="L79" s="153">
        <v>2000</v>
      </c>
      <c r="M79" s="153">
        <f>H79*J79*L79</f>
        <v>112000</v>
      </c>
      <c r="N79" s="153">
        <f t="shared" si="17"/>
        <v>11858000</v>
      </c>
      <c r="O79" s="153">
        <f t="shared" si="18"/>
        <v>664048000</v>
      </c>
      <c r="P79" s="176"/>
      <c r="T79" s="302"/>
      <c r="U79" s="201"/>
    </row>
    <row r="80" spans="1:21" s="65" customFormat="1" ht="27.6" outlineLevel="1" x14ac:dyDescent="0.3">
      <c r="A80" s="74" t="s">
        <v>530</v>
      </c>
      <c r="B80" s="72">
        <v>2</v>
      </c>
      <c r="C80" s="72">
        <v>840</v>
      </c>
      <c r="D80" s="72" t="s">
        <v>614</v>
      </c>
      <c r="E80" s="72" t="s">
        <v>615</v>
      </c>
      <c r="F80" s="72" t="s">
        <v>663</v>
      </c>
      <c r="G80" s="166" t="s">
        <v>414</v>
      </c>
      <c r="H80" s="75">
        <v>1</v>
      </c>
      <c r="I80" s="75"/>
      <c r="J80" s="75"/>
      <c r="K80" s="75"/>
      <c r="L80" s="154">
        <v>250000</v>
      </c>
      <c r="M80" s="153">
        <f>H80*L80</f>
        <v>250000</v>
      </c>
      <c r="N80" s="153">
        <f t="shared" si="17"/>
        <v>1482250000</v>
      </c>
      <c r="O80" s="153">
        <f t="shared" si="18"/>
        <v>1482250000</v>
      </c>
      <c r="P80" s="176"/>
      <c r="T80" s="302"/>
      <c r="U80" s="201"/>
    </row>
    <row r="81" spans="1:35" s="65" customFormat="1" ht="27.6" outlineLevel="1" x14ac:dyDescent="0.3">
      <c r="A81" s="74" t="s">
        <v>531</v>
      </c>
      <c r="B81" s="72">
        <v>2</v>
      </c>
      <c r="C81" s="72">
        <v>145</v>
      </c>
      <c r="D81" s="72" t="s">
        <v>217</v>
      </c>
      <c r="E81" s="72" t="s">
        <v>218</v>
      </c>
      <c r="F81" s="72" t="s">
        <v>661</v>
      </c>
      <c r="G81" s="166" t="s">
        <v>415</v>
      </c>
      <c r="H81" s="75">
        <v>1</v>
      </c>
      <c r="I81" s="298" t="s">
        <v>681</v>
      </c>
      <c r="J81" s="75">
        <v>3</v>
      </c>
      <c r="K81" s="75" t="s">
        <v>211</v>
      </c>
      <c r="L81" s="154">
        <v>0</v>
      </c>
      <c r="M81" s="153">
        <f t="shared" ref="M81:M82" si="27">H81*L81</f>
        <v>0</v>
      </c>
      <c r="N81" s="153">
        <f t="shared" si="17"/>
        <v>0</v>
      </c>
      <c r="O81" s="153">
        <f t="shared" si="18"/>
        <v>0</v>
      </c>
      <c r="P81" s="176"/>
    </row>
    <row r="82" spans="1:35" s="65" customFormat="1" outlineLevel="1" x14ac:dyDescent="0.3">
      <c r="A82" s="74" t="s">
        <v>725</v>
      </c>
      <c r="B82" s="72">
        <v>2</v>
      </c>
      <c r="C82" s="72">
        <v>280</v>
      </c>
      <c r="D82" s="72" t="s">
        <v>219</v>
      </c>
      <c r="E82" s="72" t="s">
        <v>410</v>
      </c>
      <c r="F82" s="72" t="s">
        <v>259</v>
      </c>
      <c r="G82" s="166" t="s">
        <v>416</v>
      </c>
      <c r="H82" s="75">
        <v>1</v>
      </c>
      <c r="I82" s="75" t="s">
        <v>417</v>
      </c>
      <c r="J82" s="75">
        <v>3</v>
      </c>
      <c r="K82" s="75" t="s">
        <v>216</v>
      </c>
      <c r="L82" s="154">
        <v>25000</v>
      </c>
      <c r="M82" s="153">
        <f t="shared" si="27"/>
        <v>25000</v>
      </c>
      <c r="N82" s="153">
        <f t="shared" si="17"/>
        <v>148225000</v>
      </c>
      <c r="O82" s="153">
        <f t="shared" si="18"/>
        <v>148225000</v>
      </c>
      <c r="P82" s="176"/>
    </row>
    <row r="83" spans="1:35" s="65" customFormat="1" ht="27.6" x14ac:dyDescent="0.3">
      <c r="A83" s="190" t="s">
        <v>713</v>
      </c>
      <c r="B83" s="188" t="s">
        <v>458</v>
      </c>
      <c r="C83" s="188" t="s">
        <v>341</v>
      </c>
      <c r="D83" s="184" t="s">
        <v>341</v>
      </c>
      <c r="E83" s="184" t="s">
        <v>341</v>
      </c>
      <c r="F83" s="184" t="s">
        <v>341</v>
      </c>
      <c r="G83" s="185" t="s">
        <v>749</v>
      </c>
      <c r="H83" s="186"/>
      <c r="I83" s="186"/>
      <c r="J83" s="186"/>
      <c r="K83" s="186"/>
      <c r="L83" s="187"/>
      <c r="M83" s="187">
        <f>SUM(M84:M86)</f>
        <v>680000</v>
      </c>
      <c r="N83" s="187"/>
      <c r="O83" s="187">
        <f>SUM(O84:O86)</f>
        <v>4031720000</v>
      </c>
      <c r="P83" s="176"/>
    </row>
    <row r="84" spans="1:35" s="65" customFormat="1" ht="27.6" outlineLevel="1" x14ac:dyDescent="0.3">
      <c r="A84" s="74" t="s">
        <v>714</v>
      </c>
      <c r="B84" s="72">
        <v>2</v>
      </c>
      <c r="C84" s="71">
        <v>145</v>
      </c>
      <c r="D84" s="72" t="s">
        <v>217</v>
      </c>
      <c r="E84" s="72" t="s">
        <v>218</v>
      </c>
      <c r="F84" s="72" t="s">
        <v>661</v>
      </c>
      <c r="G84" s="166" t="s">
        <v>421</v>
      </c>
      <c r="H84" s="71">
        <v>1</v>
      </c>
      <c r="I84" s="71" t="s">
        <v>212</v>
      </c>
      <c r="J84" s="71">
        <v>2</v>
      </c>
      <c r="K84" s="71" t="s">
        <v>211</v>
      </c>
      <c r="L84" s="155">
        <v>5000</v>
      </c>
      <c r="M84" s="153">
        <f>H84*J84*L84</f>
        <v>10000</v>
      </c>
      <c r="N84" s="70">
        <f t="shared" ref="N84:N86" si="28">L84*$O$3</f>
        <v>29645000</v>
      </c>
      <c r="O84" s="70">
        <f t="shared" ref="O84:O86" si="29">M84*$O$3</f>
        <v>59290000</v>
      </c>
      <c r="P84" s="176"/>
    </row>
    <row r="85" spans="1:35" s="65" customFormat="1" ht="27.6" outlineLevel="1" x14ac:dyDescent="0.3">
      <c r="A85" s="74" t="s">
        <v>715</v>
      </c>
      <c r="B85" s="72">
        <v>2</v>
      </c>
      <c r="C85" s="72">
        <v>260</v>
      </c>
      <c r="D85" s="72" t="s">
        <v>210</v>
      </c>
      <c r="E85" s="72" t="s">
        <v>409</v>
      </c>
      <c r="F85" s="72" t="s">
        <v>629</v>
      </c>
      <c r="G85" s="166" t="s">
        <v>422</v>
      </c>
      <c r="H85" s="71">
        <v>1</v>
      </c>
      <c r="I85" s="71" t="s">
        <v>224</v>
      </c>
      <c r="J85" s="71"/>
      <c r="K85" s="71"/>
      <c r="L85" s="155">
        <f>285000+50000</f>
        <v>335000</v>
      </c>
      <c r="M85" s="153">
        <f t="shared" ref="M85:M86" si="30">H85*L85</f>
        <v>335000</v>
      </c>
      <c r="N85" s="70">
        <f t="shared" si="28"/>
        <v>1986215000</v>
      </c>
      <c r="O85" s="70">
        <f t="shared" si="29"/>
        <v>1986215000</v>
      </c>
      <c r="P85" s="176"/>
    </row>
    <row r="86" spans="1:35" s="65" customFormat="1" ht="27.6" outlineLevel="1" x14ac:dyDescent="0.3">
      <c r="A86" s="74" t="s">
        <v>716</v>
      </c>
      <c r="B86" s="72">
        <v>2</v>
      </c>
      <c r="C86" s="72">
        <v>260</v>
      </c>
      <c r="D86" s="72" t="s">
        <v>210</v>
      </c>
      <c r="E86" s="72" t="s">
        <v>409</v>
      </c>
      <c r="F86" s="72" t="s">
        <v>629</v>
      </c>
      <c r="G86" s="166" t="s">
        <v>423</v>
      </c>
      <c r="H86" s="71">
        <v>1</v>
      </c>
      <c r="I86" s="71" t="s">
        <v>224</v>
      </c>
      <c r="J86" s="71"/>
      <c r="K86" s="71"/>
      <c r="L86" s="155">
        <f>285000+50000</f>
        <v>335000</v>
      </c>
      <c r="M86" s="153">
        <f t="shared" si="30"/>
        <v>335000</v>
      </c>
      <c r="N86" s="70">
        <f t="shared" si="28"/>
        <v>1986215000</v>
      </c>
      <c r="O86" s="70">
        <f t="shared" si="29"/>
        <v>1986215000</v>
      </c>
      <c r="P86" s="176"/>
    </row>
    <row r="87" spans="1:35" ht="27.6" x14ac:dyDescent="0.3">
      <c r="A87" s="190" t="s">
        <v>726</v>
      </c>
      <c r="B87" s="188" t="s">
        <v>458</v>
      </c>
      <c r="C87" s="188" t="s">
        <v>341</v>
      </c>
      <c r="D87" s="184" t="s">
        <v>341</v>
      </c>
      <c r="E87" s="184" t="s">
        <v>341</v>
      </c>
      <c r="F87" s="184" t="s">
        <v>341</v>
      </c>
      <c r="G87" s="185" t="s">
        <v>750</v>
      </c>
      <c r="H87" s="186"/>
      <c r="I87" s="186"/>
      <c r="J87" s="186"/>
      <c r="K87" s="186"/>
      <c r="L87" s="187"/>
      <c r="M87" s="187">
        <f>SUM(M88:M94)</f>
        <v>1100000</v>
      </c>
      <c r="N87" s="187">
        <f t="shared" ref="N87" si="31">L87*$O$3</f>
        <v>0</v>
      </c>
      <c r="O87" s="187">
        <f>SUM(O88:O94)</f>
        <v>6521900000</v>
      </c>
    </row>
    <row r="88" spans="1:35" s="66" customFormat="1" ht="55.2" outlineLevel="1" x14ac:dyDescent="0.3">
      <c r="A88" s="74" t="s">
        <v>727</v>
      </c>
      <c r="B88" s="72">
        <v>1</v>
      </c>
      <c r="C88" s="72">
        <v>260</v>
      </c>
      <c r="D88" s="72" t="s">
        <v>210</v>
      </c>
      <c r="E88" s="72" t="s">
        <v>409</v>
      </c>
      <c r="F88" s="72" t="s">
        <v>661</v>
      </c>
      <c r="G88" s="206" t="s">
        <v>412</v>
      </c>
      <c r="H88" s="75">
        <v>1</v>
      </c>
      <c r="I88" s="75" t="s">
        <v>234</v>
      </c>
      <c r="J88" s="75">
        <v>10</v>
      </c>
      <c r="K88" s="75" t="s">
        <v>211</v>
      </c>
      <c r="L88" s="153">
        <v>180000</v>
      </c>
      <c r="M88" s="153">
        <f t="shared" ref="M88:M94" si="32">H88*L88</f>
        <v>180000</v>
      </c>
      <c r="N88" s="153">
        <f t="shared" ref="N88:N94" si="33">L88*$O$3</f>
        <v>1067220000</v>
      </c>
      <c r="O88" s="70">
        <f t="shared" ref="O88:O94" si="34">M88*$O$3</f>
        <v>1067220000</v>
      </c>
      <c r="P88" s="176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</row>
    <row r="89" spans="1:35" s="49" customFormat="1" ht="27.6" outlineLevel="1" x14ac:dyDescent="0.3">
      <c r="A89" s="74" t="s">
        <v>728</v>
      </c>
      <c r="B89" s="72">
        <v>1</v>
      </c>
      <c r="C89" s="72">
        <v>260</v>
      </c>
      <c r="D89" s="72" t="s">
        <v>210</v>
      </c>
      <c r="E89" s="72" t="s">
        <v>409</v>
      </c>
      <c r="F89" s="72" t="s">
        <v>624</v>
      </c>
      <c r="G89" s="206" t="s">
        <v>445</v>
      </c>
      <c r="H89" s="75">
        <v>1</v>
      </c>
      <c r="I89" s="75" t="s">
        <v>234</v>
      </c>
      <c r="J89" s="75">
        <v>10</v>
      </c>
      <c r="K89" s="75" t="s">
        <v>211</v>
      </c>
      <c r="L89" s="153">
        <v>605000</v>
      </c>
      <c r="M89" s="153">
        <f t="shared" si="32"/>
        <v>605000</v>
      </c>
      <c r="N89" s="153">
        <f t="shared" si="33"/>
        <v>3587045000</v>
      </c>
      <c r="O89" s="70">
        <f t="shared" si="34"/>
        <v>3587045000</v>
      </c>
      <c r="P89" s="303"/>
    </row>
    <row r="90" spans="1:35" ht="27.6" outlineLevel="1" x14ac:dyDescent="0.3">
      <c r="A90" s="74" t="s">
        <v>729</v>
      </c>
      <c r="B90" s="72">
        <v>1</v>
      </c>
      <c r="C90" s="72">
        <v>260</v>
      </c>
      <c r="D90" s="72" t="s">
        <v>210</v>
      </c>
      <c r="E90" s="72" t="s">
        <v>409</v>
      </c>
      <c r="F90" s="72" t="s">
        <v>624</v>
      </c>
      <c r="G90" s="206" t="s">
        <v>452</v>
      </c>
      <c r="H90" s="75">
        <v>1</v>
      </c>
      <c r="I90" s="75" t="s">
        <v>427</v>
      </c>
      <c r="J90" s="75">
        <v>2</v>
      </c>
      <c r="K90" s="75" t="s">
        <v>211</v>
      </c>
      <c r="L90" s="153">
        <v>100000</v>
      </c>
      <c r="M90" s="153">
        <f t="shared" si="32"/>
        <v>100000</v>
      </c>
      <c r="N90" s="153">
        <f t="shared" si="33"/>
        <v>592900000</v>
      </c>
      <c r="O90" s="70">
        <f t="shared" si="34"/>
        <v>592900000</v>
      </c>
    </row>
    <row r="91" spans="1:35" ht="27.6" outlineLevel="1" x14ac:dyDescent="0.3">
      <c r="A91" s="74" t="s">
        <v>730</v>
      </c>
      <c r="B91" s="72">
        <v>1</v>
      </c>
      <c r="C91" s="72">
        <v>145</v>
      </c>
      <c r="D91" s="72" t="s">
        <v>217</v>
      </c>
      <c r="E91" s="72" t="s">
        <v>218</v>
      </c>
      <c r="F91" s="72" t="s">
        <v>661</v>
      </c>
      <c r="G91" s="206" t="s">
        <v>453</v>
      </c>
      <c r="H91" s="68">
        <v>1</v>
      </c>
      <c r="I91" s="68" t="s">
        <v>234</v>
      </c>
      <c r="J91" s="68">
        <v>6</v>
      </c>
      <c r="K91" s="68" t="s">
        <v>211</v>
      </c>
      <c r="L91" s="70">
        <v>30000</v>
      </c>
      <c r="M91" s="153">
        <f t="shared" si="32"/>
        <v>30000</v>
      </c>
      <c r="N91" s="70">
        <f t="shared" si="33"/>
        <v>177870000</v>
      </c>
      <c r="O91" s="70">
        <f t="shared" si="34"/>
        <v>177870000</v>
      </c>
    </row>
    <row r="92" spans="1:35" s="49" customFormat="1" ht="27.6" outlineLevel="1" x14ac:dyDescent="0.3">
      <c r="A92" s="74" t="s">
        <v>731</v>
      </c>
      <c r="B92" s="72">
        <v>1</v>
      </c>
      <c r="C92" s="72">
        <v>280</v>
      </c>
      <c r="D92" s="72" t="s">
        <v>219</v>
      </c>
      <c r="E92" s="72" t="s">
        <v>410</v>
      </c>
      <c r="F92" s="72" t="s">
        <v>259</v>
      </c>
      <c r="G92" s="206" t="s">
        <v>717</v>
      </c>
      <c r="H92" s="68">
        <v>1</v>
      </c>
      <c r="I92" s="68" t="s">
        <v>240</v>
      </c>
      <c r="J92" s="68">
        <v>4</v>
      </c>
      <c r="K92" s="68" t="s">
        <v>241</v>
      </c>
      <c r="L92" s="153">
        <v>100000</v>
      </c>
      <c r="M92" s="153">
        <f t="shared" si="32"/>
        <v>100000</v>
      </c>
      <c r="N92" s="70">
        <f t="shared" si="33"/>
        <v>592900000</v>
      </c>
      <c r="O92" s="70">
        <f t="shared" si="34"/>
        <v>592900000</v>
      </c>
      <c r="P92" s="176"/>
    </row>
    <row r="93" spans="1:35" s="49" customFormat="1" ht="41.4" outlineLevel="1" x14ac:dyDescent="0.3">
      <c r="A93" s="74" t="s">
        <v>732</v>
      </c>
      <c r="B93" s="72">
        <v>1</v>
      </c>
      <c r="C93" s="72">
        <v>530</v>
      </c>
      <c r="D93" s="72" t="s">
        <v>220</v>
      </c>
      <c r="E93" s="72" t="s">
        <v>222</v>
      </c>
      <c r="F93" s="72" t="s">
        <v>620</v>
      </c>
      <c r="G93" s="206" t="s">
        <v>454</v>
      </c>
      <c r="H93" s="68">
        <v>1</v>
      </c>
      <c r="I93" s="73" t="s">
        <v>242</v>
      </c>
      <c r="J93" s="68">
        <v>2</v>
      </c>
      <c r="K93" s="68" t="s">
        <v>244</v>
      </c>
      <c r="L93" s="153">
        <v>60000</v>
      </c>
      <c r="M93" s="153">
        <f t="shared" si="32"/>
        <v>60000</v>
      </c>
      <c r="N93" s="70">
        <f t="shared" si="33"/>
        <v>355740000</v>
      </c>
      <c r="O93" s="70">
        <f t="shared" si="34"/>
        <v>355740000</v>
      </c>
      <c r="P93" s="176"/>
    </row>
    <row r="94" spans="1:35" s="49" customFormat="1" outlineLevel="1" x14ac:dyDescent="0.3">
      <c r="A94" s="74" t="s">
        <v>733</v>
      </c>
      <c r="B94" s="72">
        <v>1</v>
      </c>
      <c r="C94" s="72">
        <v>540</v>
      </c>
      <c r="D94" s="72" t="s">
        <v>220</v>
      </c>
      <c r="E94" s="72" t="s">
        <v>222</v>
      </c>
      <c r="F94" s="72" t="s">
        <v>620</v>
      </c>
      <c r="G94" s="206" t="s">
        <v>455</v>
      </c>
      <c r="H94" s="68">
        <v>1</v>
      </c>
      <c r="I94" s="73" t="s">
        <v>243</v>
      </c>
      <c r="J94" s="68">
        <v>2</v>
      </c>
      <c r="K94" s="68" t="s">
        <v>244</v>
      </c>
      <c r="L94" s="153">
        <v>25000</v>
      </c>
      <c r="M94" s="153">
        <f t="shared" si="32"/>
        <v>25000</v>
      </c>
      <c r="N94" s="70">
        <f t="shared" si="33"/>
        <v>148225000</v>
      </c>
      <c r="O94" s="70">
        <f t="shared" si="34"/>
        <v>148225000</v>
      </c>
      <c r="P94" s="176"/>
    </row>
    <row r="95" spans="1:35" s="58" customFormat="1" x14ac:dyDescent="0.3">
      <c r="A95" s="193">
        <v>3</v>
      </c>
      <c r="B95" s="59" t="s">
        <v>461</v>
      </c>
      <c r="C95" s="60" t="s">
        <v>341</v>
      </c>
      <c r="D95" s="59" t="s">
        <v>341</v>
      </c>
      <c r="E95" s="60" t="s">
        <v>341</v>
      </c>
      <c r="F95" s="60" t="s">
        <v>341</v>
      </c>
      <c r="G95" s="61" t="s">
        <v>195</v>
      </c>
      <c r="H95" s="62"/>
      <c r="I95" s="62"/>
      <c r="J95" s="62"/>
      <c r="K95" s="62"/>
      <c r="L95" s="77"/>
      <c r="M95" s="93">
        <f>M96</f>
        <v>566000</v>
      </c>
      <c r="N95" s="93">
        <f>N96</f>
        <v>0</v>
      </c>
      <c r="O95" s="93">
        <f t="shared" ref="O95:O112" si="35">M95*$O$3</f>
        <v>3355814000</v>
      </c>
      <c r="P95" s="178">
        <f>M95/$M$112</f>
        <v>3.7733333333333334E-2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</row>
    <row r="96" spans="1:35" s="66" customFormat="1" x14ac:dyDescent="0.3">
      <c r="A96" s="189" t="s">
        <v>475</v>
      </c>
      <c r="B96" s="184" t="s">
        <v>341</v>
      </c>
      <c r="C96" s="184" t="s">
        <v>341</v>
      </c>
      <c r="D96" s="184" t="s">
        <v>341</v>
      </c>
      <c r="E96" s="184" t="s">
        <v>341</v>
      </c>
      <c r="F96" s="184" t="s">
        <v>341</v>
      </c>
      <c r="G96" s="185" t="s">
        <v>196</v>
      </c>
      <c r="H96" s="186"/>
      <c r="I96" s="186"/>
      <c r="J96" s="186"/>
      <c r="K96" s="186"/>
      <c r="L96" s="187"/>
      <c r="M96" s="187">
        <f>SUM(M97:M103)</f>
        <v>566000</v>
      </c>
      <c r="N96" s="187">
        <f t="shared" ref="N96:N112" si="36">L96*$O$3</f>
        <v>0</v>
      </c>
      <c r="O96" s="187">
        <f>SUM(O97:O102)</f>
        <v>3213518000</v>
      </c>
      <c r="P96" s="176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</row>
    <row r="97" spans="1:35" outlineLevel="1" x14ac:dyDescent="0.3">
      <c r="A97" s="67" t="s">
        <v>532</v>
      </c>
      <c r="B97" s="71" t="s">
        <v>461</v>
      </c>
      <c r="C97" s="71">
        <v>145</v>
      </c>
      <c r="D97" s="72" t="s">
        <v>217</v>
      </c>
      <c r="E97" s="72" t="s">
        <v>218</v>
      </c>
      <c r="F97" s="72" t="s">
        <v>660</v>
      </c>
      <c r="G97" s="166" t="s">
        <v>208</v>
      </c>
      <c r="H97" s="69">
        <v>1</v>
      </c>
      <c r="I97" s="75" t="s">
        <v>212</v>
      </c>
      <c r="J97" s="69">
        <v>60</v>
      </c>
      <c r="K97" s="75" t="s">
        <v>211</v>
      </c>
      <c r="L97" s="155">
        <v>2500</v>
      </c>
      <c r="M97" s="70">
        <f>H97*J97*L97</f>
        <v>150000</v>
      </c>
      <c r="N97" s="70">
        <f t="shared" si="36"/>
        <v>14822500</v>
      </c>
      <c r="O97" s="70">
        <f t="shared" si="35"/>
        <v>889350000</v>
      </c>
      <c r="P97" s="178"/>
    </row>
    <row r="98" spans="1:35" outlineLevel="1" x14ac:dyDescent="0.3">
      <c r="A98" s="67" t="s">
        <v>534</v>
      </c>
      <c r="B98" s="71" t="s">
        <v>461</v>
      </c>
      <c r="C98" s="71">
        <v>145</v>
      </c>
      <c r="D98" s="72" t="s">
        <v>217</v>
      </c>
      <c r="E98" s="72" t="s">
        <v>218</v>
      </c>
      <c r="F98" s="72" t="s">
        <v>660</v>
      </c>
      <c r="G98" s="166" t="s">
        <v>203</v>
      </c>
      <c r="H98" s="69">
        <v>1</v>
      </c>
      <c r="I98" s="75" t="s">
        <v>212</v>
      </c>
      <c r="J98" s="69">
        <v>59</v>
      </c>
      <c r="K98" s="75" t="s">
        <v>211</v>
      </c>
      <c r="L98" s="155">
        <v>2000</v>
      </c>
      <c r="M98" s="70">
        <f t="shared" ref="M98:M103" si="37">H98*J98*L98</f>
        <v>118000</v>
      </c>
      <c r="N98" s="70">
        <f t="shared" si="36"/>
        <v>11858000</v>
      </c>
      <c r="O98" s="70">
        <f t="shared" si="35"/>
        <v>699622000</v>
      </c>
      <c r="P98" s="178"/>
    </row>
    <row r="99" spans="1:35" outlineLevel="1" x14ac:dyDescent="0.3">
      <c r="A99" s="67" t="s">
        <v>535</v>
      </c>
      <c r="B99" s="71" t="s">
        <v>461</v>
      </c>
      <c r="C99" s="71">
        <v>145</v>
      </c>
      <c r="D99" s="72" t="s">
        <v>217</v>
      </c>
      <c r="E99" s="72" t="s">
        <v>218</v>
      </c>
      <c r="F99" s="72" t="s">
        <v>660</v>
      </c>
      <c r="G99" s="166" t="s">
        <v>204</v>
      </c>
      <c r="H99" s="69">
        <v>1</v>
      </c>
      <c r="I99" s="75" t="s">
        <v>212</v>
      </c>
      <c r="J99" s="69">
        <v>53</v>
      </c>
      <c r="K99" s="75" t="s">
        <v>211</v>
      </c>
      <c r="L99" s="155">
        <v>2000</v>
      </c>
      <c r="M99" s="70">
        <f t="shared" si="37"/>
        <v>106000</v>
      </c>
      <c r="N99" s="70">
        <f t="shared" si="36"/>
        <v>11858000</v>
      </c>
      <c r="O99" s="70">
        <f t="shared" si="35"/>
        <v>628474000</v>
      </c>
      <c r="P99" s="178"/>
    </row>
    <row r="100" spans="1:35" outlineLevel="1" x14ac:dyDescent="0.3">
      <c r="A100" s="67" t="s">
        <v>536</v>
      </c>
      <c r="B100" s="71" t="s">
        <v>461</v>
      </c>
      <c r="C100" s="71">
        <v>145</v>
      </c>
      <c r="D100" s="72" t="s">
        <v>217</v>
      </c>
      <c r="E100" s="72" t="s">
        <v>218</v>
      </c>
      <c r="F100" s="72" t="s">
        <v>660</v>
      </c>
      <c r="G100" s="166" t="s">
        <v>205</v>
      </c>
      <c r="H100" s="69">
        <v>1</v>
      </c>
      <c r="I100" s="75" t="s">
        <v>212</v>
      </c>
      <c r="J100" s="69">
        <v>48</v>
      </c>
      <c r="K100" s="75" t="s">
        <v>211</v>
      </c>
      <c r="L100" s="155">
        <v>2000</v>
      </c>
      <c r="M100" s="70">
        <f t="shared" si="37"/>
        <v>96000</v>
      </c>
      <c r="N100" s="70">
        <f t="shared" si="36"/>
        <v>11858000</v>
      </c>
      <c r="O100" s="70">
        <f t="shared" si="35"/>
        <v>569184000</v>
      </c>
      <c r="P100" s="178"/>
    </row>
    <row r="101" spans="1:35" outlineLevel="1" x14ac:dyDescent="0.3">
      <c r="A101" s="74" t="s">
        <v>537</v>
      </c>
      <c r="B101" s="72" t="s">
        <v>461</v>
      </c>
      <c r="C101" s="72">
        <v>145</v>
      </c>
      <c r="D101" s="72" t="s">
        <v>217</v>
      </c>
      <c r="E101" s="72" t="s">
        <v>218</v>
      </c>
      <c r="F101" s="72" t="s">
        <v>660</v>
      </c>
      <c r="G101" s="206" t="s">
        <v>206</v>
      </c>
      <c r="H101" s="299">
        <v>2</v>
      </c>
      <c r="I101" s="75" t="s">
        <v>681</v>
      </c>
      <c r="J101" s="299">
        <v>59</v>
      </c>
      <c r="K101" s="75" t="s">
        <v>211</v>
      </c>
      <c r="L101" s="156">
        <v>0</v>
      </c>
      <c r="M101" s="153">
        <f t="shared" si="37"/>
        <v>0</v>
      </c>
      <c r="N101" s="153">
        <f t="shared" si="36"/>
        <v>0</v>
      </c>
      <c r="O101" s="153">
        <f t="shared" si="35"/>
        <v>0</v>
      </c>
    </row>
    <row r="102" spans="1:35" outlineLevel="1" x14ac:dyDescent="0.3">
      <c r="A102" s="67" t="s">
        <v>538</v>
      </c>
      <c r="B102" s="71" t="s">
        <v>461</v>
      </c>
      <c r="C102" s="71">
        <v>145</v>
      </c>
      <c r="D102" s="72" t="s">
        <v>217</v>
      </c>
      <c r="E102" s="72" t="s">
        <v>218</v>
      </c>
      <c r="F102" s="72" t="s">
        <v>660</v>
      </c>
      <c r="G102" s="166" t="s">
        <v>544</v>
      </c>
      <c r="H102" s="69">
        <v>1</v>
      </c>
      <c r="I102" s="75" t="s">
        <v>212</v>
      </c>
      <c r="J102" s="69">
        <v>48</v>
      </c>
      <c r="K102" s="75" t="s">
        <v>211</v>
      </c>
      <c r="L102" s="155">
        <v>1500</v>
      </c>
      <c r="M102" s="70">
        <f t="shared" si="37"/>
        <v>72000</v>
      </c>
      <c r="N102" s="70">
        <f t="shared" si="36"/>
        <v>8893500</v>
      </c>
      <c r="O102" s="70">
        <f t="shared" si="35"/>
        <v>426888000</v>
      </c>
      <c r="P102" s="178"/>
    </row>
    <row r="103" spans="1:35" outlineLevel="1" x14ac:dyDescent="0.3">
      <c r="A103" s="74" t="s">
        <v>752</v>
      </c>
      <c r="B103" s="71"/>
      <c r="C103" s="71"/>
      <c r="D103" s="72"/>
      <c r="E103" s="72"/>
      <c r="F103" s="72"/>
      <c r="G103" s="166" t="s">
        <v>753</v>
      </c>
      <c r="H103" s="69">
        <v>1</v>
      </c>
      <c r="I103" s="75" t="s">
        <v>212</v>
      </c>
      <c r="J103" s="69">
        <v>6</v>
      </c>
      <c r="K103" s="75" t="s">
        <v>211</v>
      </c>
      <c r="L103" s="155">
        <v>4000</v>
      </c>
      <c r="M103" s="70">
        <f t="shared" si="37"/>
        <v>24000</v>
      </c>
      <c r="N103" s="70">
        <f t="shared" si="36"/>
        <v>23716000</v>
      </c>
      <c r="O103" s="70">
        <f t="shared" si="35"/>
        <v>142296000</v>
      </c>
      <c r="P103" s="178"/>
    </row>
    <row r="104" spans="1:35" s="58" customFormat="1" x14ac:dyDescent="0.3">
      <c r="A104" s="193">
        <v>4</v>
      </c>
      <c r="B104" s="60" t="s">
        <v>341</v>
      </c>
      <c r="C104" s="60" t="s">
        <v>341</v>
      </c>
      <c r="D104" s="60" t="s">
        <v>341</v>
      </c>
      <c r="E104" s="60" t="s">
        <v>341</v>
      </c>
      <c r="F104" s="60" t="s">
        <v>341</v>
      </c>
      <c r="G104" s="61" t="s">
        <v>280</v>
      </c>
      <c r="H104" s="62"/>
      <c r="I104" s="62"/>
      <c r="J104" s="62"/>
      <c r="K104" s="62"/>
      <c r="L104" s="77"/>
      <c r="M104" s="93">
        <f>M105+M109</f>
        <v>350000</v>
      </c>
      <c r="N104" s="93">
        <f t="shared" ref="N104" si="38">L104*$O$3</f>
        <v>0</v>
      </c>
      <c r="O104" s="93">
        <f t="shared" ref="O104" si="39">M104*$O$3</f>
        <v>2075150000</v>
      </c>
      <c r="P104" s="178">
        <f>M104/$M$112</f>
        <v>2.3333333333333334E-2</v>
      </c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</row>
    <row r="105" spans="1:35" s="66" customFormat="1" x14ac:dyDescent="0.3">
      <c r="A105" s="190" t="s">
        <v>476</v>
      </c>
      <c r="B105" s="188" t="s">
        <v>341</v>
      </c>
      <c r="C105" s="188" t="s">
        <v>341</v>
      </c>
      <c r="D105" s="188" t="s">
        <v>341</v>
      </c>
      <c r="E105" s="184" t="s">
        <v>341</v>
      </c>
      <c r="F105" s="184" t="s">
        <v>341</v>
      </c>
      <c r="G105" s="185" t="s">
        <v>197</v>
      </c>
      <c r="H105" s="186"/>
      <c r="I105" s="186"/>
      <c r="J105" s="186"/>
      <c r="K105" s="186"/>
      <c r="L105" s="187"/>
      <c r="M105" s="187">
        <f>SUM(M106:M108)</f>
        <v>150000</v>
      </c>
      <c r="N105" s="187">
        <f t="shared" si="36"/>
        <v>0</v>
      </c>
      <c r="O105" s="187">
        <f>SUM(O106:O108)</f>
        <v>889350000</v>
      </c>
      <c r="P105" s="176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</row>
    <row r="106" spans="1:35" outlineLevel="1" x14ac:dyDescent="0.3">
      <c r="A106" s="67" t="s">
        <v>533</v>
      </c>
      <c r="B106" s="71" t="s">
        <v>459</v>
      </c>
      <c r="C106" s="71">
        <v>260</v>
      </c>
      <c r="D106" s="71" t="s">
        <v>210</v>
      </c>
      <c r="E106" s="72" t="s">
        <v>543</v>
      </c>
      <c r="F106" s="72" t="s">
        <v>628</v>
      </c>
      <c r="G106" s="166" t="s">
        <v>200</v>
      </c>
      <c r="H106" s="69">
        <v>1</v>
      </c>
      <c r="I106" s="69" t="s">
        <v>224</v>
      </c>
      <c r="J106" s="69">
        <v>4</v>
      </c>
      <c r="K106" s="69" t="s">
        <v>211</v>
      </c>
      <c r="L106" s="70">
        <f>25000-5000</f>
        <v>20000</v>
      </c>
      <c r="M106" s="70">
        <f>H106*L106</f>
        <v>20000</v>
      </c>
      <c r="N106" s="70">
        <f>L106*$O$3</f>
        <v>118580000</v>
      </c>
      <c r="O106" s="70">
        <f>M106*$O$3</f>
        <v>118580000</v>
      </c>
    </row>
    <row r="107" spans="1:35" outlineLevel="1" x14ac:dyDescent="0.3">
      <c r="A107" s="67" t="s">
        <v>539</v>
      </c>
      <c r="B107" s="71" t="s">
        <v>459</v>
      </c>
      <c r="C107" s="71">
        <v>260</v>
      </c>
      <c r="D107" s="71" t="s">
        <v>210</v>
      </c>
      <c r="E107" s="72" t="s">
        <v>543</v>
      </c>
      <c r="F107" s="72" t="s">
        <v>628</v>
      </c>
      <c r="G107" s="166" t="s">
        <v>201</v>
      </c>
      <c r="H107" s="69">
        <v>1</v>
      </c>
      <c r="I107" s="69" t="s">
        <v>224</v>
      </c>
      <c r="J107" s="69">
        <v>4</v>
      </c>
      <c r="K107" s="69" t="s">
        <v>211</v>
      </c>
      <c r="L107" s="70">
        <v>30000</v>
      </c>
      <c r="M107" s="70">
        <f>H107*L107</f>
        <v>30000</v>
      </c>
      <c r="N107" s="70">
        <f t="shared" si="36"/>
        <v>177870000</v>
      </c>
      <c r="O107" s="70">
        <f t="shared" si="35"/>
        <v>177870000</v>
      </c>
      <c r="P107" s="178"/>
    </row>
    <row r="108" spans="1:35" outlineLevel="1" x14ac:dyDescent="0.3">
      <c r="A108" s="67" t="s">
        <v>540</v>
      </c>
      <c r="B108" s="71" t="s">
        <v>459</v>
      </c>
      <c r="C108" s="71">
        <v>260</v>
      </c>
      <c r="D108" s="71" t="s">
        <v>210</v>
      </c>
      <c r="E108" s="72" t="s">
        <v>543</v>
      </c>
      <c r="F108" s="72" t="s">
        <v>628</v>
      </c>
      <c r="G108" s="166" t="s">
        <v>447</v>
      </c>
      <c r="H108" s="69">
        <v>1</v>
      </c>
      <c r="I108" s="69" t="s">
        <v>224</v>
      </c>
      <c r="J108" s="69">
        <v>6</v>
      </c>
      <c r="K108" s="69" t="s">
        <v>211</v>
      </c>
      <c r="L108" s="70">
        <v>100000</v>
      </c>
      <c r="M108" s="70">
        <f>H108*L108</f>
        <v>100000</v>
      </c>
      <c r="N108" s="70">
        <f t="shared" ref="N108" si="40">L108*$O$3</f>
        <v>592900000</v>
      </c>
      <c r="O108" s="70">
        <f t="shared" ref="O108" si="41">M108*$O$3</f>
        <v>592900000</v>
      </c>
      <c r="P108" s="178"/>
    </row>
    <row r="109" spans="1:35" s="66" customFormat="1" x14ac:dyDescent="0.3">
      <c r="A109" s="190" t="s">
        <v>477</v>
      </c>
      <c r="B109" s="188" t="s">
        <v>341</v>
      </c>
      <c r="C109" s="188" t="s">
        <v>341</v>
      </c>
      <c r="D109" s="188" t="s">
        <v>341</v>
      </c>
      <c r="E109" s="184" t="s">
        <v>341</v>
      </c>
      <c r="F109" s="184"/>
      <c r="G109" s="185" t="s">
        <v>198</v>
      </c>
      <c r="H109" s="186"/>
      <c r="I109" s="186"/>
      <c r="J109" s="186"/>
      <c r="K109" s="186"/>
      <c r="L109" s="187"/>
      <c r="M109" s="187">
        <f>M110</f>
        <v>200000</v>
      </c>
      <c r="N109" s="187">
        <f t="shared" si="36"/>
        <v>0</v>
      </c>
      <c r="O109" s="187">
        <f>O110</f>
        <v>1185800000</v>
      </c>
      <c r="P109" s="176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</row>
    <row r="110" spans="1:35" outlineLevel="1" x14ac:dyDescent="0.3">
      <c r="A110" s="67" t="s">
        <v>541</v>
      </c>
      <c r="B110" s="71" t="s">
        <v>542</v>
      </c>
      <c r="C110" s="71">
        <v>260</v>
      </c>
      <c r="D110" s="71" t="s">
        <v>210</v>
      </c>
      <c r="E110" s="72" t="s">
        <v>409</v>
      </c>
      <c r="F110" s="72" t="s">
        <v>627</v>
      </c>
      <c r="G110" s="166" t="s">
        <v>202</v>
      </c>
      <c r="H110" s="69">
        <v>1</v>
      </c>
      <c r="I110" s="69" t="s">
        <v>224</v>
      </c>
      <c r="J110" s="69">
        <v>5</v>
      </c>
      <c r="K110" s="69" t="s">
        <v>227</v>
      </c>
      <c r="L110" s="70">
        <v>40000</v>
      </c>
      <c r="M110" s="70">
        <f>H110*J110*L110</f>
        <v>200000</v>
      </c>
      <c r="N110" s="70">
        <f t="shared" si="36"/>
        <v>237160000</v>
      </c>
      <c r="O110" s="70">
        <f t="shared" si="35"/>
        <v>1185800000</v>
      </c>
    </row>
    <row r="111" spans="1:35" s="58" customFormat="1" x14ac:dyDescent="0.3">
      <c r="A111" s="193">
        <v>5</v>
      </c>
      <c r="B111" s="59" t="s">
        <v>460</v>
      </c>
      <c r="C111" s="60" t="s">
        <v>341</v>
      </c>
      <c r="D111" s="59" t="s">
        <v>341</v>
      </c>
      <c r="E111" s="60" t="s">
        <v>341</v>
      </c>
      <c r="F111" s="60" t="s">
        <v>341</v>
      </c>
      <c r="G111" s="61" t="s">
        <v>199</v>
      </c>
      <c r="H111" s="62"/>
      <c r="I111" s="62"/>
      <c r="J111" s="62"/>
      <c r="K111" s="62"/>
      <c r="L111" s="77"/>
      <c r="M111" s="93">
        <f>200000-50000</f>
        <v>150000</v>
      </c>
      <c r="N111" s="93">
        <f t="shared" si="36"/>
        <v>0</v>
      </c>
      <c r="O111" s="93">
        <f t="shared" si="35"/>
        <v>889350000</v>
      </c>
      <c r="P111" s="178">
        <f>M111/$M$112</f>
        <v>0.01</v>
      </c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</row>
    <row r="112" spans="1:35" s="58" customFormat="1" x14ac:dyDescent="0.3">
      <c r="A112" s="193" t="s">
        <v>341</v>
      </c>
      <c r="B112" s="59" t="s">
        <v>341</v>
      </c>
      <c r="C112" s="60" t="s">
        <v>341</v>
      </c>
      <c r="D112" s="59" t="s">
        <v>341</v>
      </c>
      <c r="E112" s="60" t="s">
        <v>341</v>
      </c>
      <c r="F112" s="60" t="s">
        <v>341</v>
      </c>
      <c r="G112" s="61" t="s">
        <v>39</v>
      </c>
      <c r="H112" s="62"/>
      <c r="I112" s="62"/>
      <c r="J112" s="62"/>
      <c r="K112" s="62"/>
      <c r="L112" s="77"/>
      <c r="M112" s="93">
        <f>M5+M53+M95+M104+M111</f>
        <v>15000000</v>
      </c>
      <c r="N112" s="93">
        <f t="shared" si="36"/>
        <v>0</v>
      </c>
      <c r="O112" s="93">
        <f t="shared" si="35"/>
        <v>88935000000</v>
      </c>
      <c r="P112" s="17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</row>
    <row r="114" spans="7:15" x14ac:dyDescent="0.3">
      <c r="M114" s="159">
        <f>15000000-M112</f>
        <v>0</v>
      </c>
      <c r="N114" s="83"/>
    </row>
    <row r="115" spans="7:15" x14ac:dyDescent="0.3">
      <c r="K115" s="274"/>
    </row>
    <row r="116" spans="7:15" x14ac:dyDescent="0.3">
      <c r="K116" s="274"/>
    </row>
    <row r="117" spans="7:15" x14ac:dyDescent="0.3">
      <c r="G117" s="78"/>
      <c r="H117" s="79"/>
      <c r="K117" s="274"/>
      <c r="L117" s="168"/>
      <c r="M117" s="168"/>
      <c r="N117" s="78"/>
      <c r="O117" s="78"/>
    </row>
  </sheetData>
  <autoFilter ref="A4:AI112" xr:uid="{00000000-0009-0000-0000-000004000000}"/>
  <mergeCells count="2">
    <mergeCell ref="A1:M1"/>
    <mergeCell ref="A3:M3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  <ignoredErrors>
    <ignoredError sqref="M11 M16 M22 M30 M35 M46 M50 M87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O113"/>
  <sheetViews>
    <sheetView showGridLines="0" zoomScale="80" zoomScaleNormal="80" workbookViewId="0">
      <pane xSplit="14" ySplit="4" topLeftCell="BI5" activePane="bottomRight" state="frozen"/>
      <selection activeCell="B1" sqref="B1"/>
      <selection pane="topRight" activeCell="N1" sqref="N1"/>
      <selection pane="bottomLeft" activeCell="B5" sqref="B5"/>
      <selection pane="bottomRight" activeCell="BK118" sqref="BK118"/>
    </sheetView>
  </sheetViews>
  <sheetFormatPr defaultColWidth="11.44140625" defaultRowHeight="14.4" customHeight="1" outlineLevelRow="1" outlineLevelCol="1" x14ac:dyDescent="0.3"/>
  <cols>
    <col min="1" max="1" width="6.5546875" style="173" customWidth="1"/>
    <col min="2" max="4" width="6.88671875" style="173" hidden="1" customWidth="1" outlineLevel="1"/>
    <col min="5" max="5" width="7" style="173" hidden="1" customWidth="1" outlineLevel="1"/>
    <col min="6" max="6" width="9.77734375" style="173" hidden="1" customWidth="1" outlineLevel="1"/>
    <col min="7" max="7" width="33.6640625" style="80" customWidth="1" collapsed="1"/>
    <col min="8" max="8" width="10.5546875" style="81" hidden="1" customWidth="1" outlineLevel="1"/>
    <col min="9" max="9" width="16.33203125" style="81" hidden="1" customWidth="1" outlineLevel="1"/>
    <col min="10" max="10" width="11.6640625" style="81" hidden="1" customWidth="1" outlineLevel="1"/>
    <col min="11" max="11" width="12.109375" style="81" hidden="1" customWidth="1" outlineLevel="1"/>
    <col min="12" max="12" width="13.33203125" style="82" hidden="1" customWidth="1" outlineLevel="1"/>
    <col min="13" max="13" width="17.109375" style="82" customWidth="1" collapsed="1"/>
    <col min="14" max="14" width="8.109375" style="48" customWidth="1"/>
    <col min="15" max="15" width="9.6640625" style="88" customWidth="1" outlineLevel="1"/>
    <col min="16" max="19" width="9.88671875" style="88" customWidth="1" outlineLevel="1"/>
    <col min="20" max="22" width="10.33203125" style="88" customWidth="1" outlineLevel="1"/>
    <col min="23" max="23" width="11.33203125" style="88" customWidth="1" outlineLevel="1"/>
    <col min="24" max="24" width="10.33203125" style="88" customWidth="1" outlineLevel="1"/>
    <col min="25" max="25" width="11.5546875" style="88" customWidth="1" outlineLevel="1"/>
    <col min="26" max="26" width="10.88671875" style="88" customWidth="1" outlineLevel="1"/>
    <col min="27" max="27" width="11.33203125" style="88" customWidth="1" outlineLevel="1"/>
    <col min="28" max="28" width="10.88671875" style="88" customWidth="1" outlineLevel="1"/>
    <col min="29" max="31" width="11.5546875" style="88" customWidth="1" outlineLevel="1"/>
    <col min="32" max="32" width="10.88671875" style="88" customWidth="1" outlineLevel="1"/>
    <col min="33" max="33" width="13.33203125" style="88" customWidth="1" outlineLevel="1"/>
    <col min="34" max="34" width="11.5546875" style="88" customWidth="1" outlineLevel="1"/>
    <col min="35" max="35" width="11.33203125" style="88" customWidth="1" outlineLevel="1"/>
    <col min="36" max="36" width="11.5546875" style="88" customWidth="1" outlineLevel="1"/>
    <col min="37" max="37" width="11.33203125" style="88" customWidth="1" outlineLevel="1"/>
    <col min="38" max="38" width="11.5546875" style="88" customWidth="1" outlineLevel="1"/>
    <col min="39" max="39" width="10.88671875" style="88" customWidth="1" outlineLevel="1"/>
    <col min="40" max="40" width="11.5546875" style="88" customWidth="1" outlineLevel="1"/>
    <col min="41" max="45" width="11.33203125" style="88" customWidth="1" outlineLevel="1"/>
    <col min="46" max="46" width="10.88671875" style="88" customWidth="1" outlineLevel="1"/>
    <col min="47" max="47" width="11.33203125" style="88" customWidth="1" outlineLevel="1"/>
    <col min="48" max="48" width="10.44140625" style="88" customWidth="1" outlineLevel="1"/>
    <col min="49" max="49" width="11.33203125" style="88" customWidth="1" outlineLevel="1"/>
    <col min="50" max="50" width="10.33203125" style="88" customWidth="1" outlineLevel="1"/>
    <col min="51" max="54" width="11.33203125" style="88" customWidth="1" outlineLevel="1"/>
    <col min="55" max="55" width="10.88671875" style="88" customWidth="1" outlineLevel="1"/>
    <col min="56" max="56" width="10.33203125" style="88" customWidth="1" outlineLevel="1"/>
    <col min="57" max="58" width="11.33203125" style="88" customWidth="1" outlineLevel="1"/>
    <col min="59" max="59" width="10.33203125" style="88" customWidth="1" outlineLevel="1"/>
    <col min="60" max="60" width="10.88671875" style="88" customWidth="1" outlineLevel="1"/>
    <col min="61" max="62" width="10.33203125" style="88" customWidth="1" outlineLevel="1"/>
    <col min="63" max="63" width="10.88671875" style="88" customWidth="1" outlineLevel="1"/>
    <col min="64" max="64" width="11.5546875" style="88" customWidth="1" outlineLevel="1"/>
    <col min="65" max="65" width="10.88671875" style="88" customWidth="1" outlineLevel="1"/>
    <col min="66" max="66" width="11.33203125" style="88" customWidth="1" outlineLevel="1"/>
    <col min="67" max="68" width="10.33203125" style="88" customWidth="1" outlineLevel="1"/>
    <col min="69" max="69" width="10.44140625" style="88" customWidth="1" outlineLevel="1"/>
    <col min="70" max="70" width="10.33203125" style="88" customWidth="1" outlineLevel="1"/>
    <col min="71" max="71" width="11.33203125" style="88" customWidth="1" outlineLevel="1"/>
    <col min="72" max="72" width="10.88671875" style="88" customWidth="1" outlineLevel="1"/>
    <col min="73" max="74" width="10.33203125" style="88" customWidth="1" outlineLevel="1"/>
    <col min="75" max="75" width="15.44140625" style="88" bestFit="1" customWidth="1"/>
    <col min="76" max="76" width="9.88671875" style="88" bestFit="1" customWidth="1"/>
    <col min="77" max="77" width="11.44140625" style="49"/>
    <col min="78" max="78" width="12.33203125" style="88" bestFit="1" customWidth="1"/>
    <col min="79" max="79" width="14.109375" style="88" bestFit="1" customWidth="1"/>
    <col min="80" max="80" width="13.88671875" style="88" bestFit="1" customWidth="1"/>
    <col min="81" max="81" width="13.44140625" style="88" bestFit="1" customWidth="1"/>
    <col min="82" max="82" width="13.6640625" style="88" bestFit="1" customWidth="1"/>
    <col min="83" max="83" width="15.44140625" style="88" bestFit="1" customWidth="1"/>
    <col min="84" max="84" width="9.44140625" style="49" bestFit="1" customWidth="1"/>
    <col min="85" max="93" width="11.44140625" style="49"/>
    <col min="94" max="16384" width="11.44140625" style="50"/>
  </cols>
  <sheetData>
    <row r="1" spans="1:93" s="46" customFormat="1" ht="14.4" customHeight="1" x14ac:dyDescent="0.3">
      <c r="A1" s="329" t="s">
        <v>754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Z1" s="84"/>
      <c r="CA1" s="84"/>
      <c r="CB1" s="84"/>
      <c r="CC1" s="84"/>
      <c r="CD1" s="84"/>
      <c r="CE1" s="84"/>
      <c r="CF1" s="50"/>
    </row>
    <row r="2" spans="1:93" s="47" customFormat="1" ht="14.4" customHeight="1" x14ac:dyDescent="0.3">
      <c r="A2" s="169"/>
      <c r="B2" s="170"/>
      <c r="C2" s="170"/>
      <c r="D2" s="170"/>
      <c r="E2" s="171"/>
      <c r="F2" s="171"/>
      <c r="G2" s="86"/>
      <c r="H2" s="86"/>
      <c r="I2" s="86"/>
      <c r="J2" s="86"/>
      <c r="K2" s="86"/>
      <c r="L2" s="86"/>
      <c r="M2" s="86" t="s">
        <v>279</v>
      </c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Z2" s="87"/>
      <c r="CA2" s="87"/>
      <c r="CB2" s="87"/>
      <c r="CC2" s="87"/>
      <c r="CD2" s="87"/>
      <c r="CE2" s="87"/>
      <c r="CF2" s="49"/>
    </row>
    <row r="3" spans="1:93" s="66" customFormat="1" ht="14.4" customHeight="1" x14ac:dyDescent="0.3">
      <c r="A3" s="331" t="s">
        <v>189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3"/>
      <c r="N3" s="48"/>
      <c r="O3" s="334" t="s">
        <v>102</v>
      </c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6"/>
      <c r="AA3" s="334" t="s">
        <v>103</v>
      </c>
      <c r="AB3" s="335"/>
      <c r="AC3" s="335"/>
      <c r="AD3" s="335"/>
      <c r="AE3" s="335"/>
      <c r="AF3" s="335"/>
      <c r="AG3" s="335"/>
      <c r="AH3" s="335"/>
      <c r="AI3" s="335"/>
      <c r="AJ3" s="335"/>
      <c r="AK3" s="335"/>
      <c r="AL3" s="336"/>
      <c r="AM3" s="334" t="s">
        <v>104</v>
      </c>
      <c r="AN3" s="335"/>
      <c r="AO3" s="335"/>
      <c r="AP3" s="335"/>
      <c r="AQ3" s="335"/>
      <c r="AR3" s="335"/>
      <c r="AS3" s="335"/>
      <c r="AT3" s="335"/>
      <c r="AU3" s="335"/>
      <c r="AV3" s="335"/>
      <c r="AW3" s="335"/>
      <c r="AX3" s="336"/>
      <c r="AY3" s="334" t="s">
        <v>105</v>
      </c>
      <c r="AZ3" s="335"/>
      <c r="BA3" s="335"/>
      <c r="BB3" s="335"/>
      <c r="BC3" s="335"/>
      <c r="BD3" s="335"/>
      <c r="BE3" s="335"/>
      <c r="BF3" s="335"/>
      <c r="BG3" s="335"/>
      <c r="BH3" s="335"/>
      <c r="BI3" s="335"/>
      <c r="BJ3" s="336"/>
      <c r="BK3" s="334" t="s">
        <v>106</v>
      </c>
      <c r="BL3" s="335"/>
      <c r="BM3" s="335"/>
      <c r="BN3" s="335"/>
      <c r="BO3" s="335"/>
      <c r="BP3" s="335"/>
      <c r="BQ3" s="335"/>
      <c r="BR3" s="335"/>
      <c r="BS3" s="335"/>
      <c r="BT3" s="335"/>
      <c r="BU3" s="335"/>
      <c r="BV3" s="336"/>
      <c r="BW3" s="201"/>
      <c r="BX3" s="201"/>
      <c r="BY3" s="65"/>
      <c r="BZ3" s="201"/>
      <c r="CA3" s="201"/>
      <c r="CB3" s="201"/>
      <c r="CC3" s="201"/>
      <c r="CD3" s="201"/>
      <c r="CE3" s="201"/>
      <c r="CF3" s="65"/>
      <c r="CG3" s="65"/>
      <c r="CH3" s="65"/>
      <c r="CI3" s="65"/>
      <c r="CJ3" s="65"/>
      <c r="CK3" s="65"/>
      <c r="CL3" s="65"/>
      <c r="CM3" s="65"/>
      <c r="CN3" s="65"/>
      <c r="CO3" s="65"/>
    </row>
    <row r="4" spans="1:93" s="205" customFormat="1" ht="28.2" customHeight="1" x14ac:dyDescent="0.3">
      <c r="A4" s="172" t="s">
        <v>59</v>
      </c>
      <c r="B4" s="172" t="s">
        <v>190</v>
      </c>
      <c r="C4" s="172" t="s">
        <v>132</v>
      </c>
      <c r="D4" s="172" t="s">
        <v>123</v>
      </c>
      <c r="E4" s="172" t="s">
        <v>124</v>
      </c>
      <c r="F4" s="172" t="s">
        <v>124</v>
      </c>
      <c r="G4" s="52" t="s">
        <v>755</v>
      </c>
      <c r="H4" s="51" t="s">
        <v>0</v>
      </c>
      <c r="I4" s="51" t="s">
        <v>108</v>
      </c>
      <c r="J4" s="53" t="s">
        <v>107</v>
      </c>
      <c r="K4" s="51" t="s">
        <v>108</v>
      </c>
      <c r="L4" s="54" t="s">
        <v>277</v>
      </c>
      <c r="M4" s="55" t="s">
        <v>122</v>
      </c>
      <c r="N4" s="56"/>
      <c r="O4" s="202" t="s">
        <v>281</v>
      </c>
      <c r="P4" s="95" t="s">
        <v>282</v>
      </c>
      <c r="Q4" s="95" t="s">
        <v>283</v>
      </c>
      <c r="R4" s="95" t="s">
        <v>284</v>
      </c>
      <c r="S4" s="95" t="s">
        <v>285</v>
      </c>
      <c r="T4" s="95" t="s">
        <v>286</v>
      </c>
      <c r="U4" s="95" t="s">
        <v>287</v>
      </c>
      <c r="V4" s="95" t="s">
        <v>288</v>
      </c>
      <c r="W4" s="95" t="s">
        <v>289</v>
      </c>
      <c r="X4" s="95" t="s">
        <v>290</v>
      </c>
      <c r="Y4" s="95" t="s">
        <v>291</v>
      </c>
      <c r="Z4" s="95" t="s">
        <v>292</v>
      </c>
      <c r="AA4" s="95" t="s">
        <v>293</v>
      </c>
      <c r="AB4" s="95" t="s">
        <v>294</v>
      </c>
      <c r="AC4" s="95" t="s">
        <v>295</v>
      </c>
      <c r="AD4" s="95" t="s">
        <v>296</v>
      </c>
      <c r="AE4" s="95" t="s">
        <v>297</v>
      </c>
      <c r="AF4" s="95" t="s">
        <v>298</v>
      </c>
      <c r="AG4" s="95" t="s">
        <v>299</v>
      </c>
      <c r="AH4" s="95" t="s">
        <v>300</v>
      </c>
      <c r="AI4" s="95" t="s">
        <v>301</v>
      </c>
      <c r="AJ4" s="95" t="s">
        <v>302</v>
      </c>
      <c r="AK4" s="95" t="s">
        <v>303</v>
      </c>
      <c r="AL4" s="95" t="s">
        <v>304</v>
      </c>
      <c r="AM4" s="95" t="s">
        <v>305</v>
      </c>
      <c r="AN4" s="95" t="s">
        <v>306</v>
      </c>
      <c r="AO4" s="95" t="s">
        <v>307</v>
      </c>
      <c r="AP4" s="95" t="s">
        <v>308</v>
      </c>
      <c r="AQ4" s="95" t="s">
        <v>309</v>
      </c>
      <c r="AR4" s="95" t="s">
        <v>310</v>
      </c>
      <c r="AS4" s="95" t="s">
        <v>311</v>
      </c>
      <c r="AT4" s="95" t="s">
        <v>312</v>
      </c>
      <c r="AU4" s="95" t="s">
        <v>313</v>
      </c>
      <c r="AV4" s="95" t="s">
        <v>314</v>
      </c>
      <c r="AW4" s="95" t="s">
        <v>315</v>
      </c>
      <c r="AX4" s="95" t="s">
        <v>316</v>
      </c>
      <c r="AY4" s="95" t="s">
        <v>317</v>
      </c>
      <c r="AZ4" s="95" t="s">
        <v>318</v>
      </c>
      <c r="BA4" s="95" t="s">
        <v>319</v>
      </c>
      <c r="BB4" s="95" t="s">
        <v>320</v>
      </c>
      <c r="BC4" s="95" t="s">
        <v>321</v>
      </c>
      <c r="BD4" s="95" t="s">
        <v>322</v>
      </c>
      <c r="BE4" s="95" t="s">
        <v>323</v>
      </c>
      <c r="BF4" s="95" t="s">
        <v>324</v>
      </c>
      <c r="BG4" s="95" t="s">
        <v>325</v>
      </c>
      <c r="BH4" s="95" t="s">
        <v>326</v>
      </c>
      <c r="BI4" s="95" t="s">
        <v>327</v>
      </c>
      <c r="BJ4" s="95" t="s">
        <v>328</v>
      </c>
      <c r="BK4" s="95" t="s">
        <v>329</v>
      </c>
      <c r="BL4" s="95" t="s">
        <v>330</v>
      </c>
      <c r="BM4" s="95" t="s">
        <v>331</v>
      </c>
      <c r="BN4" s="95" t="s">
        <v>332</v>
      </c>
      <c r="BO4" s="95" t="s">
        <v>333</v>
      </c>
      <c r="BP4" s="95" t="s">
        <v>334</v>
      </c>
      <c r="BQ4" s="95" t="s">
        <v>335</v>
      </c>
      <c r="BR4" s="95" t="s">
        <v>336</v>
      </c>
      <c r="BS4" s="95" t="s">
        <v>337</v>
      </c>
      <c r="BT4" s="95" t="s">
        <v>338</v>
      </c>
      <c r="BU4" s="95" t="s">
        <v>339</v>
      </c>
      <c r="BV4" s="95" t="s">
        <v>340</v>
      </c>
      <c r="BW4" s="95" t="s">
        <v>342</v>
      </c>
      <c r="BX4" s="203"/>
      <c r="BY4" s="204"/>
      <c r="BZ4" s="95" t="s">
        <v>228</v>
      </c>
      <c r="CA4" s="95" t="s">
        <v>231</v>
      </c>
      <c r="CB4" s="95" t="s">
        <v>229</v>
      </c>
      <c r="CC4" s="95" t="s">
        <v>232</v>
      </c>
      <c r="CD4" s="95" t="s">
        <v>233</v>
      </c>
      <c r="CE4" s="95" t="s">
        <v>342</v>
      </c>
      <c r="CF4" s="65"/>
      <c r="CG4" s="204"/>
      <c r="CH4" s="204"/>
      <c r="CI4" s="204"/>
      <c r="CJ4" s="204"/>
      <c r="CK4" s="204"/>
      <c r="CL4" s="204"/>
      <c r="CM4" s="204"/>
      <c r="CN4" s="204"/>
      <c r="CO4" s="204"/>
    </row>
    <row r="5" spans="1:93" s="58" customFormat="1" ht="14.4" customHeight="1" x14ac:dyDescent="0.3">
      <c r="A5" s="193">
        <f>'CC detallado'!A5</f>
        <v>1</v>
      </c>
      <c r="B5" s="193" t="str">
        <f>'CC detallado'!B5</f>
        <v>C-1</v>
      </c>
      <c r="C5" s="193" t="str">
        <f>'CC detallado'!C5</f>
        <v>-</v>
      </c>
      <c r="D5" s="193" t="str">
        <f>'CC detallado'!D5</f>
        <v>-</v>
      </c>
      <c r="E5" s="193" t="str">
        <f>'CC detallado'!E5</f>
        <v>-</v>
      </c>
      <c r="F5" s="193" t="str">
        <f>'CC detallado'!F5</f>
        <v>-</v>
      </c>
      <c r="G5" s="61" t="str">
        <f>'CC detallado'!G5</f>
        <v>Componente 1 - Gestión del Riesgo Sanitario</v>
      </c>
      <c r="H5" s="62">
        <f>'CC detallado'!H5</f>
        <v>0</v>
      </c>
      <c r="I5" s="62">
        <f>'CC detallado'!I5</f>
        <v>0</v>
      </c>
      <c r="J5" s="62">
        <f>'CC detallado'!J5</f>
        <v>0</v>
      </c>
      <c r="K5" s="62">
        <f>'CC detallado'!K5</f>
        <v>0</v>
      </c>
      <c r="L5" s="77">
        <f>'CC detallado'!L5</f>
        <v>0</v>
      </c>
      <c r="M5" s="93">
        <f>M6+M11+M16+M22+M30+M35+M41+M46+M50</f>
        <v>10859600</v>
      </c>
      <c r="N5" s="63">
        <f>M5/$M$112</f>
        <v>0.72397333333333336</v>
      </c>
      <c r="O5" s="93">
        <f>O6+O11+O16+O22+O30+O35+O41+O46+O50</f>
        <v>0</v>
      </c>
      <c r="P5" s="93">
        <f t="shared" ref="P5:BW5" si="0">P6+P11+P16+P22+P30+P35+P41+P46+P50</f>
        <v>0</v>
      </c>
      <c r="Q5" s="93">
        <f t="shared" si="0"/>
        <v>0</v>
      </c>
      <c r="R5" s="93">
        <f t="shared" si="0"/>
        <v>0</v>
      </c>
      <c r="S5" s="93">
        <f t="shared" si="0"/>
        <v>0</v>
      </c>
      <c r="T5" s="93">
        <f t="shared" si="0"/>
        <v>0</v>
      </c>
      <c r="U5" s="93">
        <f t="shared" si="0"/>
        <v>0</v>
      </c>
      <c r="V5" s="93">
        <f t="shared" si="0"/>
        <v>7500</v>
      </c>
      <c r="W5" s="93">
        <f t="shared" si="0"/>
        <v>425450</v>
      </c>
      <c r="X5" s="93">
        <f t="shared" si="0"/>
        <v>32500</v>
      </c>
      <c r="Y5" s="93">
        <f t="shared" si="0"/>
        <v>251550</v>
      </c>
      <c r="Z5" s="93">
        <f t="shared" si="0"/>
        <v>76663.333333333328</v>
      </c>
      <c r="AA5" s="93">
        <f t="shared" si="0"/>
        <v>460357.77777777775</v>
      </c>
      <c r="AB5" s="93">
        <f t="shared" si="0"/>
        <v>303607.77777777775</v>
      </c>
      <c r="AC5" s="93">
        <f t="shared" si="0"/>
        <v>493441.11111111107</v>
      </c>
      <c r="AD5" s="93">
        <f t="shared" si="0"/>
        <v>255857.77777777775</v>
      </c>
      <c r="AE5" s="93">
        <f t="shared" si="0"/>
        <v>448607.77777777775</v>
      </c>
      <c r="AF5" s="93">
        <f t="shared" si="0"/>
        <v>1074191.111111111</v>
      </c>
      <c r="AG5" s="93">
        <f t="shared" si="0"/>
        <v>431357.77777777775</v>
      </c>
      <c r="AH5" s="93">
        <f t="shared" si="0"/>
        <v>415607.77777777775</v>
      </c>
      <c r="AI5" s="93">
        <f t="shared" si="0"/>
        <v>641941.11111111112</v>
      </c>
      <c r="AJ5" s="93">
        <f t="shared" si="0"/>
        <v>303357.77777777775</v>
      </c>
      <c r="AK5" s="93">
        <f t="shared" si="0"/>
        <v>448607.77777777775</v>
      </c>
      <c r="AL5" s="93">
        <f t="shared" si="0"/>
        <v>217941.11111111109</v>
      </c>
      <c r="AM5" s="93">
        <f t="shared" si="0"/>
        <v>1559357.7777777778</v>
      </c>
      <c r="AN5" s="93">
        <f t="shared" si="0"/>
        <v>315607.77777777775</v>
      </c>
      <c r="AO5" s="93">
        <f t="shared" si="0"/>
        <v>267941.11111111107</v>
      </c>
      <c r="AP5" s="93">
        <f t="shared" si="0"/>
        <v>319357.77777777775</v>
      </c>
      <c r="AQ5" s="93">
        <f t="shared" si="0"/>
        <v>916357.77777777775</v>
      </c>
      <c r="AR5" s="93">
        <f t="shared" si="0"/>
        <v>232441.11111111109</v>
      </c>
      <c r="AS5" s="93">
        <f t="shared" si="0"/>
        <v>130080</v>
      </c>
      <c r="AT5" s="93">
        <f t="shared" si="0"/>
        <v>24500</v>
      </c>
      <c r="AU5" s="93">
        <f t="shared" si="0"/>
        <v>63333.333333333336</v>
      </c>
      <c r="AV5" s="93">
        <f t="shared" si="0"/>
        <v>38750</v>
      </c>
      <c r="AW5" s="93">
        <f t="shared" si="0"/>
        <v>5000</v>
      </c>
      <c r="AX5" s="93">
        <f t="shared" si="0"/>
        <v>13333.333333333334</v>
      </c>
      <c r="AY5" s="93">
        <f t="shared" si="0"/>
        <v>37750</v>
      </c>
      <c r="AZ5" s="93">
        <f t="shared" si="0"/>
        <v>50000</v>
      </c>
      <c r="BA5" s="93">
        <f t="shared" si="0"/>
        <v>38333.333333333336</v>
      </c>
      <c r="BB5" s="93">
        <f t="shared" si="0"/>
        <v>37750</v>
      </c>
      <c r="BC5" s="93">
        <f t="shared" si="0"/>
        <v>48000</v>
      </c>
      <c r="BD5" s="93">
        <f t="shared" si="0"/>
        <v>8333.3333333333339</v>
      </c>
      <c r="BE5" s="93">
        <f t="shared" si="0"/>
        <v>37750</v>
      </c>
      <c r="BF5" s="93">
        <f t="shared" si="0"/>
        <v>112000</v>
      </c>
      <c r="BG5" s="93">
        <f t="shared" si="0"/>
        <v>12333.333333333334</v>
      </c>
      <c r="BH5" s="93">
        <f t="shared" si="0"/>
        <v>33750</v>
      </c>
      <c r="BI5" s="93">
        <f t="shared" si="0"/>
        <v>0</v>
      </c>
      <c r="BJ5" s="93">
        <f t="shared" si="0"/>
        <v>4000</v>
      </c>
      <c r="BK5" s="93">
        <f t="shared" si="0"/>
        <v>33750</v>
      </c>
      <c r="BL5" s="93">
        <f t="shared" si="0"/>
        <v>0</v>
      </c>
      <c r="BM5" s="93">
        <f t="shared" si="0"/>
        <v>30000</v>
      </c>
      <c r="BN5" s="93">
        <f t="shared" si="0"/>
        <v>63750</v>
      </c>
      <c r="BO5" s="93">
        <f t="shared" si="0"/>
        <v>0</v>
      </c>
      <c r="BP5" s="93">
        <f t="shared" si="0"/>
        <v>0</v>
      </c>
      <c r="BQ5" s="93">
        <f t="shared" si="0"/>
        <v>33750</v>
      </c>
      <c r="BR5" s="93">
        <f t="shared" si="0"/>
        <v>0</v>
      </c>
      <c r="BS5" s="93">
        <f t="shared" si="0"/>
        <v>70000</v>
      </c>
      <c r="BT5" s="93">
        <f t="shared" si="0"/>
        <v>33750</v>
      </c>
      <c r="BU5" s="93">
        <f t="shared" si="0"/>
        <v>0</v>
      </c>
      <c r="BV5" s="93">
        <f t="shared" si="0"/>
        <v>0</v>
      </c>
      <c r="BW5" s="93">
        <f t="shared" si="0"/>
        <v>10859600</v>
      </c>
      <c r="BX5" s="88">
        <f>BW5-M5</f>
        <v>0</v>
      </c>
      <c r="BY5" s="57"/>
      <c r="BZ5" s="93">
        <f t="shared" ref="BZ5:CE5" si="1">BZ6+BZ11+BZ16+BZ22+BZ30+BZ35+BZ41+BZ46+BZ50</f>
        <v>793663.33333333337</v>
      </c>
      <c r="CA5" s="93">
        <f t="shared" si="1"/>
        <v>5494876.666666666</v>
      </c>
      <c r="CB5" s="93">
        <f t="shared" si="1"/>
        <v>3886060</v>
      </c>
      <c r="CC5" s="93">
        <f t="shared" si="1"/>
        <v>420000</v>
      </c>
      <c r="CD5" s="93">
        <f t="shared" si="1"/>
        <v>265000</v>
      </c>
      <c r="CE5" s="93">
        <f t="shared" si="1"/>
        <v>10859600</v>
      </c>
      <c r="CF5" s="64">
        <f>BW5-CE5</f>
        <v>0</v>
      </c>
      <c r="CG5" s="57"/>
      <c r="CH5" s="57"/>
      <c r="CI5" s="57"/>
      <c r="CJ5" s="57"/>
      <c r="CK5" s="57"/>
      <c r="CL5" s="57"/>
      <c r="CM5" s="57"/>
      <c r="CN5" s="57"/>
      <c r="CO5" s="57"/>
    </row>
    <row r="6" spans="1:93" ht="14.4" customHeight="1" x14ac:dyDescent="0.3">
      <c r="A6" s="190" t="str">
        <f>'CC detallado'!A6</f>
        <v>1.1</v>
      </c>
      <c r="B6" s="190" t="str">
        <f>'CC detallado'!B6</f>
        <v>C-1</v>
      </c>
      <c r="C6" s="190" t="str">
        <f>'CC detallado'!C6</f>
        <v>-</v>
      </c>
      <c r="D6" s="190" t="str">
        <f>'CC detallado'!D6</f>
        <v>-</v>
      </c>
      <c r="E6" s="190" t="str">
        <f>'CC detallado'!E6</f>
        <v>-</v>
      </c>
      <c r="F6" s="190" t="str">
        <f>'CC detallado'!F6</f>
        <v>-</v>
      </c>
      <c r="G6" s="185" t="str">
        <f>'CC detallado'!G6</f>
        <v xml:space="preserve">Producto 1: SISA ampliado en su prestaciones e integrado a SIGOR </v>
      </c>
      <c r="H6" s="186">
        <f>'CC detallado'!H6</f>
        <v>0</v>
      </c>
      <c r="I6" s="186">
        <f>'CC detallado'!I6</f>
        <v>0</v>
      </c>
      <c r="J6" s="186">
        <f>'CC detallado'!J6</f>
        <v>0</v>
      </c>
      <c r="K6" s="186">
        <f>'CC detallado'!K6</f>
        <v>0</v>
      </c>
      <c r="L6" s="187">
        <f>'CC detallado'!L6</f>
        <v>0</v>
      </c>
      <c r="M6" s="187">
        <f>SUM(M7:M10)</f>
        <v>258000</v>
      </c>
      <c r="O6" s="187">
        <f>SUM(O7:O10)</f>
        <v>0</v>
      </c>
      <c r="P6" s="187">
        <f t="shared" ref="P6:BW6" si="2">SUM(P7:P10)</f>
        <v>0</v>
      </c>
      <c r="Q6" s="187">
        <f t="shared" si="2"/>
        <v>0</v>
      </c>
      <c r="R6" s="187">
        <f t="shared" si="2"/>
        <v>0</v>
      </c>
      <c r="S6" s="187">
        <f t="shared" si="2"/>
        <v>0</v>
      </c>
      <c r="T6" s="187">
        <f t="shared" si="2"/>
        <v>0</v>
      </c>
      <c r="U6" s="187">
        <f t="shared" si="2"/>
        <v>0</v>
      </c>
      <c r="V6" s="187">
        <f t="shared" si="2"/>
        <v>7500</v>
      </c>
      <c r="W6" s="187">
        <f t="shared" si="2"/>
        <v>7500</v>
      </c>
      <c r="X6" s="187">
        <f t="shared" si="2"/>
        <v>7500</v>
      </c>
      <c r="Y6" s="187">
        <f t="shared" si="2"/>
        <v>7500</v>
      </c>
      <c r="Z6" s="187">
        <f t="shared" si="2"/>
        <v>0</v>
      </c>
      <c r="AA6" s="187">
        <f t="shared" si="2"/>
        <v>0</v>
      </c>
      <c r="AB6" s="187">
        <f t="shared" si="2"/>
        <v>0</v>
      </c>
      <c r="AC6" s="187">
        <f t="shared" si="2"/>
        <v>0</v>
      </c>
      <c r="AD6" s="187">
        <f t="shared" si="2"/>
        <v>0</v>
      </c>
      <c r="AE6" s="187">
        <f t="shared" si="2"/>
        <v>36000</v>
      </c>
      <c r="AF6" s="187">
        <f t="shared" si="2"/>
        <v>0</v>
      </c>
      <c r="AG6" s="187">
        <f t="shared" si="2"/>
        <v>0</v>
      </c>
      <c r="AH6" s="187">
        <f t="shared" si="2"/>
        <v>36000</v>
      </c>
      <c r="AI6" s="187">
        <f t="shared" si="2"/>
        <v>0</v>
      </c>
      <c r="AJ6" s="187">
        <f t="shared" si="2"/>
        <v>0</v>
      </c>
      <c r="AK6" s="187">
        <f t="shared" si="2"/>
        <v>36000</v>
      </c>
      <c r="AL6" s="187">
        <f t="shared" si="2"/>
        <v>0</v>
      </c>
      <c r="AM6" s="187">
        <f t="shared" si="2"/>
        <v>0</v>
      </c>
      <c r="AN6" s="187">
        <f t="shared" si="2"/>
        <v>36000</v>
      </c>
      <c r="AO6" s="187">
        <f t="shared" si="2"/>
        <v>0</v>
      </c>
      <c r="AP6" s="187">
        <f t="shared" si="2"/>
        <v>36000</v>
      </c>
      <c r="AQ6" s="187">
        <f t="shared" si="2"/>
        <v>12000</v>
      </c>
      <c r="AR6" s="187">
        <f t="shared" si="2"/>
        <v>12000</v>
      </c>
      <c r="AS6" s="187">
        <f t="shared" si="2"/>
        <v>12000</v>
      </c>
      <c r="AT6" s="187">
        <f t="shared" si="2"/>
        <v>12000</v>
      </c>
      <c r="AU6" s="187">
        <f t="shared" si="2"/>
        <v>0</v>
      </c>
      <c r="AV6" s="187">
        <f t="shared" si="2"/>
        <v>0</v>
      </c>
      <c r="AW6" s="187">
        <f t="shared" si="2"/>
        <v>0</v>
      </c>
      <c r="AX6" s="187">
        <f t="shared" si="2"/>
        <v>0</v>
      </c>
      <c r="AY6" s="187">
        <f t="shared" si="2"/>
        <v>0</v>
      </c>
      <c r="AZ6" s="187">
        <f t="shared" si="2"/>
        <v>0</v>
      </c>
      <c r="BA6" s="187">
        <f t="shared" si="2"/>
        <v>0</v>
      </c>
      <c r="BB6" s="187">
        <f t="shared" si="2"/>
        <v>0</v>
      </c>
      <c r="BC6" s="187">
        <f t="shared" si="2"/>
        <v>0</v>
      </c>
      <c r="BD6" s="187">
        <f t="shared" si="2"/>
        <v>0</v>
      </c>
      <c r="BE6" s="187">
        <f t="shared" si="2"/>
        <v>0</v>
      </c>
      <c r="BF6" s="187">
        <f t="shared" si="2"/>
        <v>0</v>
      </c>
      <c r="BG6" s="187">
        <f t="shared" si="2"/>
        <v>0</v>
      </c>
      <c r="BH6" s="187">
        <f t="shared" si="2"/>
        <v>0</v>
      </c>
      <c r="BI6" s="187">
        <f t="shared" si="2"/>
        <v>0</v>
      </c>
      <c r="BJ6" s="187">
        <f t="shared" si="2"/>
        <v>0</v>
      </c>
      <c r="BK6" s="187">
        <f t="shared" si="2"/>
        <v>0</v>
      </c>
      <c r="BL6" s="187">
        <f t="shared" si="2"/>
        <v>0</v>
      </c>
      <c r="BM6" s="187">
        <f t="shared" si="2"/>
        <v>0</v>
      </c>
      <c r="BN6" s="187">
        <f t="shared" si="2"/>
        <v>0</v>
      </c>
      <c r="BO6" s="187">
        <f t="shared" si="2"/>
        <v>0</v>
      </c>
      <c r="BP6" s="187">
        <f t="shared" si="2"/>
        <v>0</v>
      </c>
      <c r="BQ6" s="187">
        <f t="shared" si="2"/>
        <v>0</v>
      </c>
      <c r="BR6" s="187">
        <f t="shared" si="2"/>
        <v>0</v>
      </c>
      <c r="BS6" s="187">
        <f t="shared" si="2"/>
        <v>0</v>
      </c>
      <c r="BT6" s="187">
        <f t="shared" si="2"/>
        <v>0</v>
      </c>
      <c r="BU6" s="187">
        <f t="shared" si="2"/>
        <v>0</v>
      </c>
      <c r="BV6" s="187">
        <f t="shared" si="2"/>
        <v>0</v>
      </c>
      <c r="BW6" s="187">
        <f t="shared" si="2"/>
        <v>258000</v>
      </c>
      <c r="BX6" s="88">
        <f t="shared" ref="BX6:BX50" si="3">BW6-M6</f>
        <v>0</v>
      </c>
      <c r="BY6" s="57"/>
      <c r="BZ6" s="187">
        <f t="shared" ref="BZ6:BZ50" si="4">SUM(O6:Z6)</f>
        <v>30000</v>
      </c>
      <c r="CA6" s="187">
        <f t="shared" ref="CA6:CA50" si="5">SUM(AA6:AL6)</f>
        <v>108000</v>
      </c>
      <c r="CB6" s="187">
        <f t="shared" ref="CB6:CB50" si="6">SUM(AM6:AX6)</f>
        <v>120000</v>
      </c>
      <c r="CC6" s="187">
        <f t="shared" ref="CC6:CC50" si="7">SUM(AY6:BJ6)</f>
        <v>0</v>
      </c>
      <c r="CD6" s="187">
        <f t="shared" ref="CD6:CD50" si="8">SUM(BK6:BV6)</f>
        <v>0</v>
      </c>
      <c r="CE6" s="187">
        <f t="shared" ref="CE6" si="9">SUM(CE7:CE10)</f>
        <v>258000</v>
      </c>
      <c r="CF6" s="64">
        <f t="shared" ref="CF6:CF52" si="10">BW6-CE6</f>
        <v>0</v>
      </c>
    </row>
    <row r="7" spans="1:93" ht="14.4" hidden="1" customHeight="1" outlineLevel="1" x14ac:dyDescent="0.3">
      <c r="A7" s="67" t="str">
        <f>'CC detallado'!A7</f>
        <v>1.1.1</v>
      </c>
      <c r="B7" s="67">
        <f>'CC detallado'!B7</f>
        <v>1</v>
      </c>
      <c r="C7" s="67">
        <f>'CC detallado'!C7</f>
        <v>145</v>
      </c>
      <c r="D7" s="67" t="str">
        <f>'CC detallado'!D7</f>
        <v>CI</v>
      </c>
      <c r="E7" s="67" t="str">
        <f>'CC detallado'!E7</f>
        <v>3CV</v>
      </c>
      <c r="F7" s="67" t="str">
        <f>'CC detallado'!F7</f>
        <v>X Prod</v>
      </c>
      <c r="G7" s="166" t="str">
        <f>'CC detallado'!G7</f>
        <v>Diseño del SISA integrado</v>
      </c>
      <c r="H7" s="69">
        <f>'CC detallado'!H7</f>
        <v>1</v>
      </c>
      <c r="I7" s="69" t="str">
        <f>'CC detallado'!I7</f>
        <v>Consultoría</v>
      </c>
      <c r="J7" s="69">
        <f>'CC detallado'!J7</f>
        <v>4</v>
      </c>
      <c r="K7" s="69" t="str">
        <f>'CC detallado'!K7</f>
        <v>meses</v>
      </c>
      <c r="L7" s="70">
        <f>'CC detallado'!L7</f>
        <v>30000</v>
      </c>
      <c r="M7" s="70">
        <f>'CC detallado'!M7</f>
        <v>30000</v>
      </c>
      <c r="O7" s="194"/>
      <c r="P7" s="194"/>
      <c r="Q7" s="194"/>
      <c r="R7" s="194"/>
      <c r="S7" s="194"/>
      <c r="T7" s="198"/>
      <c r="U7" s="198"/>
      <c r="V7" s="197">
        <f>$M$7/4</f>
        <v>7500</v>
      </c>
      <c r="W7" s="197">
        <f>$M$7/4</f>
        <v>7500</v>
      </c>
      <c r="X7" s="197">
        <f>$M$7/4</f>
        <v>7500</v>
      </c>
      <c r="Y7" s="197">
        <f>$M$7/4</f>
        <v>7500</v>
      </c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4"/>
      <c r="BP7" s="194"/>
      <c r="BQ7" s="194"/>
      <c r="BR7" s="194"/>
      <c r="BS7" s="194"/>
      <c r="BT7" s="194"/>
      <c r="BU7" s="194"/>
      <c r="BV7" s="194"/>
      <c r="BW7" s="195">
        <f>SUM(O7:BV7)</f>
        <v>30000</v>
      </c>
      <c r="BX7" s="88">
        <f t="shared" si="3"/>
        <v>0</v>
      </c>
      <c r="BY7" s="57"/>
      <c r="BZ7" s="70">
        <f t="shared" si="4"/>
        <v>30000</v>
      </c>
      <c r="CA7" s="70">
        <f t="shared" si="5"/>
        <v>0</v>
      </c>
      <c r="CB7" s="70">
        <f t="shared" si="6"/>
        <v>0</v>
      </c>
      <c r="CC7" s="70">
        <f t="shared" si="7"/>
        <v>0</v>
      </c>
      <c r="CD7" s="70">
        <f t="shared" si="8"/>
        <v>0</v>
      </c>
      <c r="CE7" s="70">
        <f>SUM(BZ7:CD7)</f>
        <v>30000</v>
      </c>
      <c r="CF7" s="64">
        <f t="shared" si="10"/>
        <v>0</v>
      </c>
    </row>
    <row r="8" spans="1:93" ht="14.4" hidden="1" customHeight="1" outlineLevel="1" x14ac:dyDescent="0.3">
      <c r="A8" s="67" t="str">
        <f>'CC detallado'!A8</f>
        <v>1.1.2</v>
      </c>
      <c r="B8" s="67">
        <f>'CC detallado'!B8</f>
        <v>1</v>
      </c>
      <c r="C8" s="67">
        <f>'CC detallado'!C8</f>
        <v>260</v>
      </c>
      <c r="D8" s="67" t="str">
        <f>'CC detallado'!D8</f>
        <v>FC</v>
      </c>
      <c r="E8" s="67" t="str">
        <f>'CC detallado'!E8</f>
        <v>SCC</v>
      </c>
      <c r="F8" s="67" t="str">
        <f>'CC detallado'!F8</f>
        <v>Sistema</v>
      </c>
      <c r="G8" s="166" t="str">
        <f>'CC detallado'!G8</f>
        <v>Desarrollo e implementación del sistema</v>
      </c>
      <c r="H8" s="69">
        <f>'CC detallado'!H8</f>
        <v>1</v>
      </c>
      <c r="I8" s="69" t="str">
        <f>'CC detallado'!I8</f>
        <v>Programa</v>
      </c>
      <c r="J8" s="69">
        <f>'CC detallado'!J8</f>
        <v>12</v>
      </c>
      <c r="K8" s="69" t="str">
        <f>'CC detallado'!K8</f>
        <v>meses</v>
      </c>
      <c r="L8" s="70">
        <f>'CC detallado'!L8</f>
        <v>180000</v>
      </c>
      <c r="M8" s="70">
        <f>'CC detallado'!M8</f>
        <v>180000</v>
      </c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8"/>
      <c r="Z8" s="198"/>
      <c r="AA8" s="198"/>
      <c r="AB8" s="198"/>
      <c r="AC8" s="198"/>
      <c r="AD8" s="198"/>
      <c r="AE8" s="197">
        <f>$M$8*20%</f>
        <v>36000</v>
      </c>
      <c r="AF8" s="199"/>
      <c r="AG8" s="199"/>
      <c r="AH8" s="197">
        <f>$M$8*20%</f>
        <v>36000</v>
      </c>
      <c r="AI8" s="199"/>
      <c r="AJ8" s="199"/>
      <c r="AK8" s="197">
        <f>$M$8*20%</f>
        <v>36000</v>
      </c>
      <c r="AL8" s="199"/>
      <c r="AM8" s="199"/>
      <c r="AN8" s="197">
        <f>$M$8*20%</f>
        <v>36000</v>
      </c>
      <c r="AO8" s="199"/>
      <c r="AP8" s="197">
        <f>$M$8*20%</f>
        <v>36000</v>
      </c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194"/>
      <c r="BS8" s="194"/>
      <c r="BT8" s="194"/>
      <c r="BU8" s="194"/>
      <c r="BV8" s="194"/>
      <c r="BW8" s="195">
        <f>SUM(O8:BV8)</f>
        <v>180000</v>
      </c>
      <c r="BX8" s="88">
        <f t="shared" si="3"/>
        <v>0</v>
      </c>
      <c r="BY8" s="57"/>
      <c r="BZ8" s="70">
        <f t="shared" si="4"/>
        <v>0</v>
      </c>
      <c r="CA8" s="70">
        <f t="shared" si="5"/>
        <v>108000</v>
      </c>
      <c r="CB8" s="70">
        <f t="shared" si="6"/>
        <v>72000</v>
      </c>
      <c r="CC8" s="70">
        <f t="shared" si="7"/>
        <v>0</v>
      </c>
      <c r="CD8" s="70">
        <f t="shared" si="8"/>
        <v>0</v>
      </c>
      <c r="CE8" s="70">
        <f t="shared" ref="CE8:CE10" si="11">SUM(BZ8:CD8)</f>
        <v>180000</v>
      </c>
      <c r="CF8" s="64">
        <f t="shared" si="10"/>
        <v>0</v>
      </c>
    </row>
    <row r="9" spans="1:93" ht="14.4" hidden="1" customHeight="1" outlineLevel="1" x14ac:dyDescent="0.3">
      <c r="A9" s="67" t="str">
        <f>'CC detallado'!A9</f>
        <v>1.1.3</v>
      </c>
      <c r="B9" s="67">
        <f>'CC detallado'!B9</f>
        <v>1</v>
      </c>
      <c r="C9" s="67">
        <f>'CC detallado'!C9</f>
        <v>145</v>
      </c>
      <c r="D9" s="67" t="str">
        <f>'CC detallado'!D9</f>
        <v>CI</v>
      </c>
      <c r="E9" s="67" t="str">
        <f>'CC detallado'!E9</f>
        <v>3CV</v>
      </c>
      <c r="F9" s="67" t="str">
        <f>'CC detallado'!F9</f>
        <v>X Prod</v>
      </c>
      <c r="G9" s="166" t="str">
        <f>'CC detallado'!G9</f>
        <v>Contratación Expertos</v>
      </c>
      <c r="H9" s="69">
        <f>'CC detallado'!H9</f>
        <v>2</v>
      </c>
      <c r="I9" s="69" t="str">
        <f>'CC detallado'!I9</f>
        <v>Expertos</v>
      </c>
      <c r="J9" s="69">
        <f>'CC detallado'!J9</f>
        <v>4</v>
      </c>
      <c r="K9" s="69" t="str">
        <f>'CC detallado'!K9</f>
        <v>meses</v>
      </c>
      <c r="L9" s="70">
        <f>'CC detallado'!L9</f>
        <v>4000</v>
      </c>
      <c r="M9" s="70">
        <f>'CC detallado'!M9</f>
        <v>8000</v>
      </c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8"/>
      <c r="AP9" s="198"/>
      <c r="AQ9" s="197">
        <f>$M$9/4</f>
        <v>2000</v>
      </c>
      <c r="AR9" s="197">
        <f t="shared" ref="AR9:AT9" si="12">$M$9/4</f>
        <v>2000</v>
      </c>
      <c r="AS9" s="197">
        <f t="shared" si="12"/>
        <v>2000</v>
      </c>
      <c r="AT9" s="197">
        <f t="shared" si="12"/>
        <v>2000</v>
      </c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  <c r="BR9" s="194"/>
      <c r="BS9" s="194"/>
      <c r="BT9" s="194"/>
      <c r="BU9" s="194"/>
      <c r="BV9" s="194"/>
      <c r="BW9" s="195">
        <f>SUM(O9:BV9)</f>
        <v>8000</v>
      </c>
      <c r="BX9" s="88">
        <f t="shared" si="3"/>
        <v>0</v>
      </c>
      <c r="BY9" s="57"/>
      <c r="BZ9" s="70">
        <f t="shared" si="4"/>
        <v>0</v>
      </c>
      <c r="CA9" s="70">
        <f t="shared" si="5"/>
        <v>0</v>
      </c>
      <c r="CB9" s="70">
        <f t="shared" si="6"/>
        <v>8000</v>
      </c>
      <c r="CC9" s="70">
        <f t="shared" si="7"/>
        <v>0</v>
      </c>
      <c r="CD9" s="70">
        <f t="shared" si="8"/>
        <v>0</v>
      </c>
      <c r="CE9" s="70">
        <f t="shared" si="11"/>
        <v>8000</v>
      </c>
      <c r="CF9" s="64">
        <f t="shared" si="10"/>
        <v>0</v>
      </c>
    </row>
    <row r="10" spans="1:93" ht="14.4" hidden="1" customHeight="1" outlineLevel="1" x14ac:dyDescent="0.3">
      <c r="A10" s="67" t="str">
        <f>'CC detallado'!A10</f>
        <v>1.1.4</v>
      </c>
      <c r="B10" s="67">
        <f>'CC detallado'!B10</f>
        <v>1</v>
      </c>
      <c r="C10" s="67">
        <f>'CC detallado'!C10</f>
        <v>280</v>
      </c>
      <c r="D10" s="67" t="str">
        <f>'CC detallado'!D10</f>
        <v>SNC</v>
      </c>
      <c r="E10" s="67" t="str">
        <f>'CC detallado'!E10</f>
        <v>LPI</v>
      </c>
      <c r="F10" s="67" t="str">
        <f>'CC detallado'!F10</f>
        <v>Taller</v>
      </c>
      <c r="G10" s="166" t="str">
        <f>'CC detallado'!G10</f>
        <v>Realización Taller</v>
      </c>
      <c r="H10" s="69">
        <f>'CC detallado'!H10</f>
        <v>4</v>
      </c>
      <c r="I10" s="69" t="str">
        <f>'CC detallado'!I10</f>
        <v>Taller</v>
      </c>
      <c r="J10" s="69">
        <f>'CC detallado'!J10</f>
        <v>1</v>
      </c>
      <c r="K10" s="69" t="str">
        <f>'CC detallado'!K10</f>
        <v>semana</v>
      </c>
      <c r="L10" s="70">
        <f>'CC detallado'!L10</f>
        <v>10000</v>
      </c>
      <c r="M10" s="70">
        <f>'CC detallado'!M10</f>
        <v>40000</v>
      </c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7">
        <f>$M$10/4</f>
        <v>10000</v>
      </c>
      <c r="AR10" s="197">
        <f t="shared" ref="AR10:AT10" si="13">$M$10/4</f>
        <v>10000</v>
      </c>
      <c r="AS10" s="197">
        <f t="shared" si="13"/>
        <v>10000</v>
      </c>
      <c r="AT10" s="197">
        <f t="shared" si="13"/>
        <v>10000</v>
      </c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  <c r="BR10" s="194"/>
      <c r="BS10" s="194"/>
      <c r="BT10" s="194"/>
      <c r="BU10" s="194"/>
      <c r="BV10" s="194"/>
      <c r="BW10" s="195">
        <f>SUM(O10:BV10)</f>
        <v>40000</v>
      </c>
      <c r="BX10" s="88">
        <f t="shared" si="3"/>
        <v>0</v>
      </c>
      <c r="BY10" s="57"/>
      <c r="BZ10" s="70">
        <f t="shared" si="4"/>
        <v>0</v>
      </c>
      <c r="CA10" s="70">
        <f t="shared" si="5"/>
        <v>0</v>
      </c>
      <c r="CB10" s="70">
        <f t="shared" si="6"/>
        <v>40000</v>
      </c>
      <c r="CC10" s="70">
        <f t="shared" si="7"/>
        <v>0</v>
      </c>
      <c r="CD10" s="70">
        <f t="shared" si="8"/>
        <v>0</v>
      </c>
      <c r="CE10" s="70">
        <f t="shared" si="11"/>
        <v>40000</v>
      </c>
      <c r="CF10" s="64">
        <f t="shared" si="10"/>
        <v>0</v>
      </c>
    </row>
    <row r="11" spans="1:93" ht="14.4" customHeight="1" collapsed="1" x14ac:dyDescent="0.3">
      <c r="A11" s="190" t="str">
        <f>'CC detallado'!A11</f>
        <v>1.2</v>
      </c>
      <c r="B11" s="190" t="str">
        <f>'CC detallado'!B11</f>
        <v>C-1</v>
      </c>
      <c r="C11" s="190" t="str">
        <f>'CC detallado'!C11</f>
        <v>-</v>
      </c>
      <c r="D11" s="190" t="str">
        <f>'CC detallado'!D11</f>
        <v>-</v>
      </c>
      <c r="E11" s="190" t="str">
        <f>'CC detallado'!E11</f>
        <v>-</v>
      </c>
      <c r="F11" s="190" t="str">
        <f>'CC detallado'!F11</f>
        <v>-</v>
      </c>
      <c r="G11" s="185" t="str">
        <f>'CC detallado'!G11</f>
        <v>Producto 2: Unidad de vigilancia sanitaria implementada</v>
      </c>
      <c r="H11" s="186">
        <f>'CC detallado'!H11</f>
        <v>0</v>
      </c>
      <c r="I11" s="186">
        <f>'CC detallado'!I11</f>
        <v>0</v>
      </c>
      <c r="J11" s="186">
        <f>'CC detallado'!J11</f>
        <v>0</v>
      </c>
      <c r="K11" s="186">
        <f>'CC detallado'!K11</f>
        <v>0</v>
      </c>
      <c r="L11" s="187">
        <f>'CC detallado'!L11</f>
        <v>0</v>
      </c>
      <c r="M11" s="187">
        <f>SUM(M12:M15)</f>
        <v>480000</v>
      </c>
      <c r="O11" s="187">
        <f>SUM(O12:O15)</f>
        <v>0</v>
      </c>
      <c r="P11" s="187">
        <f t="shared" ref="P11:BW11" si="14">SUM(P12:P15)</f>
        <v>0</v>
      </c>
      <c r="Q11" s="187">
        <f t="shared" si="14"/>
        <v>0</v>
      </c>
      <c r="R11" s="187">
        <f t="shared" si="14"/>
        <v>0</v>
      </c>
      <c r="S11" s="187">
        <f t="shared" si="14"/>
        <v>0</v>
      </c>
      <c r="T11" s="187">
        <f t="shared" si="14"/>
        <v>0</v>
      </c>
      <c r="U11" s="187">
        <f t="shared" si="14"/>
        <v>0</v>
      </c>
      <c r="V11" s="187">
        <f t="shared" si="14"/>
        <v>0</v>
      </c>
      <c r="W11" s="187">
        <f t="shared" si="14"/>
        <v>0</v>
      </c>
      <c r="X11" s="187">
        <f t="shared" si="14"/>
        <v>0</v>
      </c>
      <c r="Y11" s="187">
        <f t="shared" si="14"/>
        <v>0</v>
      </c>
      <c r="Z11" s="187">
        <f t="shared" si="14"/>
        <v>0</v>
      </c>
      <c r="AA11" s="187">
        <f t="shared" si="14"/>
        <v>12500</v>
      </c>
      <c r="AB11" s="187">
        <f t="shared" si="14"/>
        <v>12500</v>
      </c>
      <c r="AC11" s="187">
        <f t="shared" si="14"/>
        <v>12500</v>
      </c>
      <c r="AD11" s="187">
        <f t="shared" si="14"/>
        <v>12500</v>
      </c>
      <c r="AE11" s="187">
        <f t="shared" si="14"/>
        <v>20000</v>
      </c>
      <c r="AF11" s="187">
        <f t="shared" si="14"/>
        <v>99000</v>
      </c>
      <c r="AG11" s="187">
        <f t="shared" si="14"/>
        <v>0</v>
      </c>
      <c r="AH11" s="187">
        <f t="shared" si="14"/>
        <v>20000</v>
      </c>
      <c r="AI11" s="187">
        <f t="shared" si="14"/>
        <v>230999.99999999997</v>
      </c>
      <c r="AJ11" s="187">
        <f t="shared" si="14"/>
        <v>0</v>
      </c>
      <c r="AK11" s="187">
        <f t="shared" si="14"/>
        <v>20000</v>
      </c>
      <c r="AL11" s="187">
        <f t="shared" si="14"/>
        <v>0</v>
      </c>
      <c r="AM11" s="187">
        <f t="shared" si="14"/>
        <v>0</v>
      </c>
      <c r="AN11" s="187">
        <f t="shared" si="14"/>
        <v>20000</v>
      </c>
      <c r="AO11" s="187">
        <f t="shared" si="14"/>
        <v>0</v>
      </c>
      <c r="AP11" s="187">
        <f t="shared" si="14"/>
        <v>20000</v>
      </c>
      <c r="AQ11" s="187">
        <f t="shared" si="14"/>
        <v>0</v>
      </c>
      <c r="AR11" s="187">
        <f t="shared" si="14"/>
        <v>0</v>
      </c>
      <c r="AS11" s="187">
        <f t="shared" si="14"/>
        <v>0</v>
      </c>
      <c r="AT11" s="187">
        <f t="shared" si="14"/>
        <v>0</v>
      </c>
      <c r="AU11" s="187">
        <f t="shared" si="14"/>
        <v>0</v>
      </c>
      <c r="AV11" s="187">
        <f t="shared" si="14"/>
        <v>0</v>
      </c>
      <c r="AW11" s="187">
        <f t="shared" si="14"/>
        <v>0</v>
      </c>
      <c r="AX11" s="187">
        <f t="shared" si="14"/>
        <v>0</v>
      </c>
      <c r="AY11" s="187">
        <f t="shared" si="14"/>
        <v>0</v>
      </c>
      <c r="AZ11" s="187">
        <f t="shared" si="14"/>
        <v>0</v>
      </c>
      <c r="BA11" s="187">
        <f t="shared" si="14"/>
        <v>0</v>
      </c>
      <c r="BB11" s="187">
        <f t="shared" si="14"/>
        <v>0</v>
      </c>
      <c r="BC11" s="187">
        <f t="shared" si="14"/>
        <v>0</v>
      </c>
      <c r="BD11" s="187">
        <f t="shared" si="14"/>
        <v>0</v>
      </c>
      <c r="BE11" s="187">
        <f t="shared" si="14"/>
        <v>0</v>
      </c>
      <c r="BF11" s="187">
        <f t="shared" si="14"/>
        <v>0</v>
      </c>
      <c r="BG11" s="187">
        <f t="shared" si="14"/>
        <v>0</v>
      </c>
      <c r="BH11" s="187">
        <f t="shared" si="14"/>
        <v>0</v>
      </c>
      <c r="BI11" s="187">
        <f t="shared" si="14"/>
        <v>0</v>
      </c>
      <c r="BJ11" s="187">
        <f t="shared" si="14"/>
        <v>0</v>
      </c>
      <c r="BK11" s="187">
        <f t="shared" si="14"/>
        <v>0</v>
      </c>
      <c r="BL11" s="187">
        <f t="shared" si="14"/>
        <v>0</v>
      </c>
      <c r="BM11" s="187">
        <f t="shared" si="14"/>
        <v>0</v>
      </c>
      <c r="BN11" s="187">
        <f t="shared" si="14"/>
        <v>0</v>
      </c>
      <c r="BO11" s="187">
        <f t="shared" si="14"/>
        <v>0</v>
      </c>
      <c r="BP11" s="187">
        <f t="shared" si="14"/>
        <v>0</v>
      </c>
      <c r="BQ11" s="187">
        <f t="shared" si="14"/>
        <v>0</v>
      </c>
      <c r="BR11" s="187">
        <f t="shared" si="14"/>
        <v>0</v>
      </c>
      <c r="BS11" s="187">
        <f t="shared" si="14"/>
        <v>0</v>
      </c>
      <c r="BT11" s="187">
        <f t="shared" si="14"/>
        <v>0</v>
      </c>
      <c r="BU11" s="187">
        <f t="shared" si="14"/>
        <v>0</v>
      </c>
      <c r="BV11" s="187">
        <f t="shared" si="14"/>
        <v>0</v>
      </c>
      <c r="BW11" s="187">
        <f t="shared" si="14"/>
        <v>480000</v>
      </c>
      <c r="BX11" s="88">
        <f t="shared" si="3"/>
        <v>0</v>
      </c>
      <c r="BY11" s="57"/>
      <c r="BZ11" s="187">
        <f t="shared" si="4"/>
        <v>0</v>
      </c>
      <c r="CA11" s="187">
        <f t="shared" si="5"/>
        <v>440000</v>
      </c>
      <c r="CB11" s="187">
        <f t="shared" si="6"/>
        <v>40000</v>
      </c>
      <c r="CC11" s="187">
        <f t="shared" si="7"/>
        <v>0</v>
      </c>
      <c r="CD11" s="187">
        <f t="shared" si="8"/>
        <v>0</v>
      </c>
      <c r="CE11" s="187">
        <f t="shared" ref="CE11" si="15">SUM(CE12:CE15)</f>
        <v>480000</v>
      </c>
      <c r="CF11" s="64">
        <f t="shared" si="10"/>
        <v>0</v>
      </c>
    </row>
    <row r="12" spans="1:93" ht="14.4" hidden="1" customHeight="1" outlineLevel="1" x14ac:dyDescent="0.3">
      <c r="A12" s="67" t="str">
        <f>'CC detallado'!A12</f>
        <v>1.2.1</v>
      </c>
      <c r="B12" s="67">
        <f>'CC detallado'!B12</f>
        <v>1</v>
      </c>
      <c r="C12" s="67">
        <f>'CC detallado'!C12</f>
        <v>145</v>
      </c>
      <c r="D12" s="67" t="str">
        <f>'CC detallado'!D12</f>
        <v>CI</v>
      </c>
      <c r="E12" s="67" t="str">
        <f>'CC detallado'!E12</f>
        <v>3CV</v>
      </c>
      <c r="F12" s="67" t="str">
        <f>'CC detallado'!F12</f>
        <v>X Prod</v>
      </c>
      <c r="G12" s="166" t="str">
        <f>'CC detallado'!G12</f>
        <v>Consultoría para establecimiento de la red (incluye diseño)</v>
      </c>
      <c r="H12" s="69">
        <f>'CC detallado'!H12</f>
        <v>1</v>
      </c>
      <c r="I12" s="69" t="str">
        <f>'CC detallado'!I12</f>
        <v>Consultoría</v>
      </c>
      <c r="J12" s="69">
        <f>'CC detallado'!J12</f>
        <v>0</v>
      </c>
      <c r="K12" s="69">
        <f>'CC detallado'!K12</f>
        <v>0</v>
      </c>
      <c r="L12" s="70">
        <f>'CC detallado'!L12</f>
        <v>30000</v>
      </c>
      <c r="M12" s="70">
        <f>'CC detallado'!M12</f>
        <v>30000</v>
      </c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8"/>
      <c r="Z12" s="198"/>
      <c r="AA12" s="197">
        <f>$M$12/4</f>
        <v>7500</v>
      </c>
      <c r="AB12" s="197">
        <f t="shared" ref="AB12:AD12" si="16">$M$12/4</f>
        <v>7500</v>
      </c>
      <c r="AC12" s="197">
        <f t="shared" si="16"/>
        <v>7500</v>
      </c>
      <c r="AD12" s="197">
        <f t="shared" si="16"/>
        <v>7500</v>
      </c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194"/>
      <c r="BS12" s="194"/>
      <c r="BT12" s="194"/>
      <c r="BU12" s="194"/>
      <c r="BV12" s="194"/>
      <c r="BW12" s="195">
        <f>SUM(O12:BV12)</f>
        <v>30000</v>
      </c>
      <c r="BX12" s="88">
        <f t="shared" si="3"/>
        <v>0</v>
      </c>
      <c r="BY12" s="57"/>
      <c r="BZ12" s="70">
        <f t="shared" si="4"/>
        <v>0</v>
      </c>
      <c r="CA12" s="70">
        <f t="shared" si="5"/>
        <v>30000</v>
      </c>
      <c r="CB12" s="70">
        <f t="shared" si="6"/>
        <v>0</v>
      </c>
      <c r="CC12" s="70">
        <f t="shared" si="7"/>
        <v>0</v>
      </c>
      <c r="CD12" s="70">
        <f t="shared" si="8"/>
        <v>0</v>
      </c>
      <c r="CE12" s="70">
        <f>SUM(BZ12:CD12)</f>
        <v>30000</v>
      </c>
      <c r="CF12" s="64">
        <f>BW12-CE12</f>
        <v>0</v>
      </c>
    </row>
    <row r="13" spans="1:93" ht="14.4" hidden="1" customHeight="1" outlineLevel="1" x14ac:dyDescent="0.3">
      <c r="A13" s="67" t="str">
        <f>'CC detallado'!A13</f>
        <v>1.2.2</v>
      </c>
      <c r="B13" s="67">
        <f>'CC detallado'!B13</f>
        <v>1</v>
      </c>
      <c r="C13" s="67">
        <f>'CC detallado'!C13</f>
        <v>540</v>
      </c>
      <c r="D13" s="67" t="str">
        <f>'CC detallado'!D13</f>
        <v>B</v>
      </c>
      <c r="E13" s="67" t="str">
        <f>'CC detallado'!E13</f>
        <v>LPI</v>
      </c>
      <c r="F13" s="67" t="str">
        <f>'CC detallado'!F13</f>
        <v>Equipo</v>
      </c>
      <c r="G13" s="166" t="str">
        <f>'CC detallado'!G13</f>
        <v>Adquisición de equipos</v>
      </c>
      <c r="H13" s="69">
        <f>'CC detallado'!H13</f>
        <v>64</v>
      </c>
      <c r="I13" s="71" t="str">
        <f>'CC detallado'!I13</f>
        <v>Unidades Locales</v>
      </c>
      <c r="J13" s="69">
        <f>'CC detallado'!J13</f>
        <v>0</v>
      </c>
      <c r="K13" s="69">
        <f>'CC detallado'!K13</f>
        <v>0</v>
      </c>
      <c r="L13" s="70">
        <f>'CC detallado'!L13</f>
        <v>330000</v>
      </c>
      <c r="M13" s="70">
        <f>'CC detallado'!M13</f>
        <v>330000</v>
      </c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8"/>
      <c r="AB13" s="198"/>
      <c r="AC13" s="198"/>
      <c r="AD13" s="198"/>
      <c r="AE13" s="198"/>
      <c r="AF13" s="197">
        <f>$M$13*30%</f>
        <v>99000</v>
      </c>
      <c r="AG13" s="199"/>
      <c r="AH13" s="199"/>
      <c r="AI13" s="197">
        <f>$M$13*70%</f>
        <v>230999.99999999997</v>
      </c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5">
        <f>SUM(O13:BV13)</f>
        <v>330000</v>
      </c>
      <c r="BX13" s="88">
        <f t="shared" si="3"/>
        <v>0</v>
      </c>
      <c r="BY13" s="57"/>
      <c r="BZ13" s="70">
        <f t="shared" si="4"/>
        <v>0</v>
      </c>
      <c r="CA13" s="70">
        <f t="shared" si="5"/>
        <v>330000</v>
      </c>
      <c r="CB13" s="70">
        <f t="shared" si="6"/>
        <v>0</v>
      </c>
      <c r="CC13" s="70">
        <f t="shared" si="7"/>
        <v>0</v>
      </c>
      <c r="CD13" s="70">
        <f t="shared" si="8"/>
        <v>0</v>
      </c>
      <c r="CE13" s="70">
        <f t="shared" ref="CE13:CE15" si="17">SUM(BZ13:CD13)</f>
        <v>330000</v>
      </c>
      <c r="CF13" s="64">
        <f t="shared" si="10"/>
        <v>0</v>
      </c>
    </row>
    <row r="14" spans="1:93" ht="14.4" hidden="1" customHeight="1" outlineLevel="1" x14ac:dyDescent="0.3">
      <c r="A14" s="67" t="str">
        <f>'CC detallado'!A14</f>
        <v>1.2.3</v>
      </c>
      <c r="B14" s="67">
        <f>'CC detallado'!B14</f>
        <v>1</v>
      </c>
      <c r="C14" s="67">
        <f>'CC detallado'!C14</f>
        <v>145</v>
      </c>
      <c r="D14" s="67" t="str">
        <f>'CC detallado'!D14</f>
        <v>CI</v>
      </c>
      <c r="E14" s="67" t="str">
        <f>'CC detallado'!E14</f>
        <v>3CV</v>
      </c>
      <c r="F14" s="67" t="str">
        <f>'CC detallado'!F14</f>
        <v>X Prod</v>
      </c>
      <c r="G14" s="166" t="str">
        <f>'CC detallado'!G14</f>
        <v>Consultoría propuesta sistemas de información</v>
      </c>
      <c r="H14" s="69">
        <f>'CC detallado'!H14</f>
        <v>1</v>
      </c>
      <c r="I14" s="69" t="str">
        <f>'CC detallado'!I14</f>
        <v>Consultoría</v>
      </c>
      <c r="J14" s="69">
        <f>'CC detallado'!J14</f>
        <v>0</v>
      </c>
      <c r="K14" s="69">
        <f>'CC detallado'!K14</f>
        <v>0</v>
      </c>
      <c r="L14" s="70">
        <f>'CC detallado'!L14</f>
        <v>20000</v>
      </c>
      <c r="M14" s="70">
        <f>'CC detallado'!M14</f>
        <v>20000</v>
      </c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8"/>
      <c r="Z14" s="198"/>
      <c r="AA14" s="197">
        <f>$M$14/4</f>
        <v>5000</v>
      </c>
      <c r="AB14" s="197">
        <f t="shared" ref="AB14:AD14" si="18">$M$14/4</f>
        <v>5000</v>
      </c>
      <c r="AC14" s="197">
        <f t="shared" si="18"/>
        <v>5000</v>
      </c>
      <c r="AD14" s="197">
        <f t="shared" si="18"/>
        <v>5000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5">
        <f>SUM(O14:BV14)</f>
        <v>20000</v>
      </c>
      <c r="BX14" s="88">
        <f t="shared" si="3"/>
        <v>0</v>
      </c>
      <c r="BY14" s="57"/>
      <c r="BZ14" s="70">
        <f t="shared" si="4"/>
        <v>0</v>
      </c>
      <c r="CA14" s="70">
        <f t="shared" si="5"/>
        <v>20000</v>
      </c>
      <c r="CB14" s="70">
        <f t="shared" si="6"/>
        <v>0</v>
      </c>
      <c r="CC14" s="70">
        <f t="shared" si="7"/>
        <v>0</v>
      </c>
      <c r="CD14" s="70">
        <f t="shared" si="8"/>
        <v>0</v>
      </c>
      <c r="CE14" s="70">
        <f t="shared" si="17"/>
        <v>20000</v>
      </c>
      <c r="CF14" s="64">
        <f t="shared" si="10"/>
        <v>0</v>
      </c>
    </row>
    <row r="15" spans="1:93" ht="14.4" hidden="1" customHeight="1" outlineLevel="1" x14ac:dyDescent="0.3">
      <c r="A15" s="67" t="str">
        <f>'CC detallado'!A15</f>
        <v>1.2.4</v>
      </c>
      <c r="B15" s="67">
        <f>'CC detallado'!B15</f>
        <v>1</v>
      </c>
      <c r="C15" s="67">
        <f>'CC detallado'!C15</f>
        <v>260</v>
      </c>
      <c r="D15" s="67" t="str">
        <f>'CC detallado'!D15</f>
        <v>FC</v>
      </c>
      <c r="E15" s="67" t="str">
        <f>'CC detallado'!E15</f>
        <v>SCC</v>
      </c>
      <c r="F15" s="67" t="str">
        <f>'CC detallado'!F15</f>
        <v>X Prod</v>
      </c>
      <c r="G15" s="166" t="str">
        <f>'CC detallado'!G15</f>
        <v>Desarrollo de sistemas de gestión de información (incluye capacitación)</v>
      </c>
      <c r="H15" s="69">
        <f>'CC detallado'!H15</f>
        <v>1</v>
      </c>
      <c r="I15" s="69" t="str">
        <f>'CC detallado'!I15</f>
        <v>Programa</v>
      </c>
      <c r="J15" s="69">
        <f>'CC detallado'!J15</f>
        <v>0</v>
      </c>
      <c r="K15" s="69">
        <f>'CC detallado'!K15</f>
        <v>0</v>
      </c>
      <c r="L15" s="70">
        <f>'CC detallado'!L15</f>
        <v>100000</v>
      </c>
      <c r="M15" s="70">
        <f>'CC detallado'!M15</f>
        <v>100000</v>
      </c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8"/>
      <c r="AB15" s="198"/>
      <c r="AC15" s="198"/>
      <c r="AD15" s="198"/>
      <c r="AE15" s="197">
        <f>$M$15*20%</f>
        <v>20000</v>
      </c>
      <c r="AF15" s="199"/>
      <c r="AG15" s="199"/>
      <c r="AH15" s="197">
        <f>$M$15*20%</f>
        <v>20000</v>
      </c>
      <c r="AI15" s="199"/>
      <c r="AJ15" s="199"/>
      <c r="AK15" s="197">
        <f>$M$15*20%</f>
        <v>20000</v>
      </c>
      <c r="AL15" s="199"/>
      <c r="AM15" s="199"/>
      <c r="AN15" s="197">
        <f>$M$15*20%</f>
        <v>20000</v>
      </c>
      <c r="AO15" s="199"/>
      <c r="AP15" s="197">
        <f>$M$15*20%</f>
        <v>20000</v>
      </c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4"/>
      <c r="BN15" s="194"/>
      <c r="BO15" s="194"/>
      <c r="BP15" s="194"/>
      <c r="BQ15" s="194"/>
      <c r="BR15" s="194"/>
      <c r="BS15" s="194"/>
      <c r="BT15" s="194"/>
      <c r="BU15" s="194"/>
      <c r="BV15" s="194"/>
      <c r="BW15" s="195">
        <f>SUM(O15:BV15)</f>
        <v>100000</v>
      </c>
      <c r="BX15" s="88">
        <f t="shared" si="3"/>
        <v>0</v>
      </c>
      <c r="BY15" s="57"/>
      <c r="BZ15" s="70">
        <f t="shared" si="4"/>
        <v>0</v>
      </c>
      <c r="CA15" s="70">
        <f t="shared" si="5"/>
        <v>60000</v>
      </c>
      <c r="CB15" s="70">
        <f t="shared" si="6"/>
        <v>40000</v>
      </c>
      <c r="CC15" s="70">
        <f t="shared" si="7"/>
        <v>0</v>
      </c>
      <c r="CD15" s="70">
        <f t="shared" si="8"/>
        <v>0</v>
      </c>
      <c r="CE15" s="70">
        <f t="shared" si="17"/>
        <v>100000</v>
      </c>
      <c r="CF15" s="64">
        <f t="shared" si="10"/>
        <v>0</v>
      </c>
    </row>
    <row r="16" spans="1:93" ht="14.4" customHeight="1" collapsed="1" x14ac:dyDescent="0.3">
      <c r="A16" s="190" t="str">
        <f>'CC detallado'!A16</f>
        <v>1.3</v>
      </c>
      <c r="B16" s="190" t="str">
        <f>'CC detallado'!B16</f>
        <v>C-1</v>
      </c>
      <c r="C16" s="190" t="str">
        <f>'CC detallado'!C16</f>
        <v>-</v>
      </c>
      <c r="D16" s="190" t="str">
        <f>'CC detallado'!D16</f>
        <v>-</v>
      </c>
      <c r="E16" s="190" t="str">
        <f>'CC detallado'!E16</f>
        <v>-</v>
      </c>
      <c r="F16" s="190" t="str">
        <f>'CC detallado'!F16</f>
        <v>-</v>
      </c>
      <c r="G16" s="185" t="str">
        <f>'CC detallado'!G16</f>
        <v>Producto 3: Control en puntos de ingreso funcionando de
acuerdo a estándares internacionales.</v>
      </c>
      <c r="H16" s="186">
        <f>'CC detallado'!H16</f>
        <v>0</v>
      </c>
      <c r="I16" s="186">
        <f>'CC detallado'!I16</f>
        <v>0</v>
      </c>
      <c r="J16" s="186">
        <f>'CC detallado'!J16</f>
        <v>0</v>
      </c>
      <c r="K16" s="186">
        <f>'CC detallado'!K16</f>
        <v>0</v>
      </c>
      <c r="L16" s="187">
        <f>'CC detallado'!L16</f>
        <v>0</v>
      </c>
      <c r="M16" s="187">
        <f>SUM(M17:M21)</f>
        <v>180000</v>
      </c>
      <c r="O16" s="187">
        <f>SUM(O17:O21)</f>
        <v>0</v>
      </c>
      <c r="P16" s="187">
        <f t="shared" ref="P16:BW16" si="19">SUM(P17:P21)</f>
        <v>0</v>
      </c>
      <c r="Q16" s="187">
        <f t="shared" si="19"/>
        <v>0</v>
      </c>
      <c r="R16" s="187">
        <f t="shared" si="19"/>
        <v>0</v>
      </c>
      <c r="S16" s="187">
        <f t="shared" si="19"/>
        <v>0</v>
      </c>
      <c r="T16" s="187">
        <f t="shared" si="19"/>
        <v>0</v>
      </c>
      <c r="U16" s="187">
        <f t="shared" si="19"/>
        <v>0</v>
      </c>
      <c r="V16" s="187">
        <f t="shared" si="19"/>
        <v>0</v>
      </c>
      <c r="W16" s="187">
        <f t="shared" si="19"/>
        <v>0</v>
      </c>
      <c r="X16" s="187">
        <f t="shared" si="19"/>
        <v>0</v>
      </c>
      <c r="Y16" s="187">
        <f t="shared" si="19"/>
        <v>0</v>
      </c>
      <c r="Z16" s="187">
        <f t="shared" si="19"/>
        <v>0</v>
      </c>
      <c r="AA16" s="187">
        <f t="shared" si="19"/>
        <v>0</v>
      </c>
      <c r="AB16" s="187">
        <f t="shared" si="19"/>
        <v>0</v>
      </c>
      <c r="AC16" s="187">
        <f t="shared" si="19"/>
        <v>0</v>
      </c>
      <c r="AD16" s="187">
        <f t="shared" si="19"/>
        <v>0</v>
      </c>
      <c r="AE16" s="187">
        <f t="shared" si="19"/>
        <v>0</v>
      </c>
      <c r="AF16" s="187">
        <f t="shared" si="19"/>
        <v>5000</v>
      </c>
      <c r="AG16" s="187">
        <f t="shared" si="19"/>
        <v>5000</v>
      </c>
      <c r="AH16" s="187">
        <f t="shared" si="19"/>
        <v>10000</v>
      </c>
      <c r="AI16" s="187">
        <f t="shared" si="19"/>
        <v>10000</v>
      </c>
      <c r="AJ16" s="187">
        <f t="shared" si="19"/>
        <v>0</v>
      </c>
      <c r="AK16" s="187">
        <f t="shared" si="19"/>
        <v>0</v>
      </c>
      <c r="AL16" s="187">
        <f t="shared" si="19"/>
        <v>0</v>
      </c>
      <c r="AM16" s="187">
        <f t="shared" si="19"/>
        <v>0</v>
      </c>
      <c r="AN16" s="187">
        <f t="shared" si="19"/>
        <v>0</v>
      </c>
      <c r="AO16" s="187">
        <f t="shared" si="19"/>
        <v>0</v>
      </c>
      <c r="AP16" s="187">
        <f t="shared" si="19"/>
        <v>0</v>
      </c>
      <c r="AQ16" s="187">
        <f t="shared" si="19"/>
        <v>12500</v>
      </c>
      <c r="AR16" s="187">
        <f t="shared" si="19"/>
        <v>12500</v>
      </c>
      <c r="AS16" s="187">
        <f t="shared" si="19"/>
        <v>12500</v>
      </c>
      <c r="AT16" s="187">
        <f t="shared" si="19"/>
        <v>12500</v>
      </c>
      <c r="AU16" s="187">
        <f t="shared" si="19"/>
        <v>0</v>
      </c>
      <c r="AV16" s="187">
        <f t="shared" si="19"/>
        <v>0</v>
      </c>
      <c r="AW16" s="187">
        <f t="shared" si="19"/>
        <v>0</v>
      </c>
      <c r="AX16" s="187">
        <f t="shared" si="19"/>
        <v>0</v>
      </c>
      <c r="AY16" s="187">
        <f t="shared" si="19"/>
        <v>0</v>
      </c>
      <c r="AZ16" s="187">
        <f t="shared" si="19"/>
        <v>0</v>
      </c>
      <c r="BA16" s="187">
        <f t="shared" si="19"/>
        <v>0</v>
      </c>
      <c r="BB16" s="187">
        <f t="shared" si="19"/>
        <v>0</v>
      </c>
      <c r="BC16" s="187">
        <f t="shared" si="19"/>
        <v>30000</v>
      </c>
      <c r="BD16" s="187">
        <f t="shared" si="19"/>
        <v>0</v>
      </c>
      <c r="BE16" s="187">
        <f t="shared" si="19"/>
        <v>0</v>
      </c>
      <c r="BF16" s="187">
        <f t="shared" si="19"/>
        <v>70000</v>
      </c>
      <c r="BG16" s="187">
        <f t="shared" si="19"/>
        <v>0</v>
      </c>
      <c r="BH16" s="187">
        <f t="shared" si="19"/>
        <v>0</v>
      </c>
      <c r="BI16" s="187">
        <f t="shared" si="19"/>
        <v>0</v>
      </c>
      <c r="BJ16" s="187">
        <f t="shared" si="19"/>
        <v>0</v>
      </c>
      <c r="BK16" s="187">
        <f t="shared" si="19"/>
        <v>0</v>
      </c>
      <c r="BL16" s="187">
        <f t="shared" si="19"/>
        <v>0</v>
      </c>
      <c r="BM16" s="187">
        <f t="shared" si="19"/>
        <v>0</v>
      </c>
      <c r="BN16" s="187">
        <f t="shared" si="19"/>
        <v>0</v>
      </c>
      <c r="BO16" s="187">
        <f t="shared" si="19"/>
        <v>0</v>
      </c>
      <c r="BP16" s="187">
        <f t="shared" si="19"/>
        <v>0</v>
      </c>
      <c r="BQ16" s="187">
        <f t="shared" si="19"/>
        <v>0</v>
      </c>
      <c r="BR16" s="187">
        <f t="shared" si="19"/>
        <v>0</v>
      </c>
      <c r="BS16" s="187">
        <f t="shared" si="19"/>
        <v>0</v>
      </c>
      <c r="BT16" s="187">
        <f t="shared" si="19"/>
        <v>0</v>
      </c>
      <c r="BU16" s="187">
        <f t="shared" si="19"/>
        <v>0</v>
      </c>
      <c r="BV16" s="187">
        <f t="shared" si="19"/>
        <v>0</v>
      </c>
      <c r="BW16" s="187">
        <f t="shared" si="19"/>
        <v>180000</v>
      </c>
      <c r="BX16" s="88">
        <f t="shared" si="3"/>
        <v>0</v>
      </c>
      <c r="BY16" s="57"/>
      <c r="BZ16" s="187">
        <f t="shared" si="4"/>
        <v>0</v>
      </c>
      <c r="CA16" s="187">
        <f t="shared" si="5"/>
        <v>30000</v>
      </c>
      <c r="CB16" s="187">
        <f t="shared" si="6"/>
        <v>50000</v>
      </c>
      <c r="CC16" s="187">
        <f t="shared" si="7"/>
        <v>100000</v>
      </c>
      <c r="CD16" s="187">
        <f t="shared" si="8"/>
        <v>0</v>
      </c>
      <c r="CE16" s="187">
        <f t="shared" ref="CE16" si="20">SUM(CE17:CE21)</f>
        <v>180000</v>
      </c>
      <c r="CF16" s="64">
        <f t="shared" si="10"/>
        <v>0</v>
      </c>
    </row>
    <row r="17" spans="1:93" ht="14.4" hidden="1" customHeight="1" outlineLevel="1" x14ac:dyDescent="0.3">
      <c r="A17" s="67" t="str">
        <f>'CC detallado'!A17</f>
        <v>1.3.1</v>
      </c>
      <c r="B17" s="67">
        <f>'CC detallado'!B17</f>
        <v>1</v>
      </c>
      <c r="C17" s="67">
        <f>'CC detallado'!C17</f>
        <v>145</v>
      </c>
      <c r="D17" s="67" t="str">
        <f>'CC detallado'!D17</f>
        <v>CI</v>
      </c>
      <c r="E17" s="67" t="str">
        <f>'CC detallado'!E17</f>
        <v>3CV</v>
      </c>
      <c r="F17" s="67" t="str">
        <f>'CC detallado'!F17</f>
        <v>X Prod</v>
      </c>
      <c r="G17" s="166" t="str">
        <f>'CC detallado'!G17</f>
        <v>Consultoría de caracterización de riesgo externo y perfeccionamiento de procedimientos de inspección, decomisos y comunicación a usuarios</v>
      </c>
      <c r="H17" s="69">
        <f>'CC detallado'!H17</f>
        <v>1</v>
      </c>
      <c r="I17" s="69" t="str">
        <f>'CC detallado'!I17</f>
        <v>Consultoría</v>
      </c>
      <c r="J17" s="69">
        <f>'CC detallado'!J17</f>
        <v>3</v>
      </c>
      <c r="K17" s="69" t="str">
        <f>'CC detallado'!K17</f>
        <v>meses</v>
      </c>
      <c r="L17" s="70">
        <f>'CC detallado'!L17</f>
        <v>20000</v>
      </c>
      <c r="M17" s="70">
        <f>'CC detallado'!M17</f>
        <v>20000</v>
      </c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8"/>
      <c r="AE17" s="198"/>
      <c r="AF17" s="197">
        <f>$M$17/4</f>
        <v>5000</v>
      </c>
      <c r="AG17" s="197">
        <f t="shared" ref="AG17:AI17" si="21">$M$17/4</f>
        <v>5000</v>
      </c>
      <c r="AH17" s="197">
        <f t="shared" si="21"/>
        <v>5000</v>
      </c>
      <c r="AI17" s="197">
        <f t="shared" si="21"/>
        <v>5000</v>
      </c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  <c r="BI17" s="194"/>
      <c r="BJ17" s="194"/>
      <c r="BK17" s="194"/>
      <c r="BL17" s="194"/>
      <c r="BM17" s="194"/>
      <c r="BN17" s="194"/>
      <c r="BO17" s="194"/>
      <c r="BP17" s="194"/>
      <c r="BQ17" s="194"/>
      <c r="BR17" s="194"/>
      <c r="BS17" s="194"/>
      <c r="BT17" s="194"/>
      <c r="BU17" s="194"/>
      <c r="BV17" s="194"/>
      <c r="BW17" s="195">
        <f>SUM(O17:BV17)</f>
        <v>20000</v>
      </c>
      <c r="BX17" s="88">
        <f t="shared" si="3"/>
        <v>0</v>
      </c>
      <c r="BY17" s="57"/>
      <c r="BZ17" s="70">
        <f t="shared" si="4"/>
        <v>0</v>
      </c>
      <c r="CA17" s="70">
        <f t="shared" si="5"/>
        <v>20000</v>
      </c>
      <c r="CB17" s="70">
        <f t="shared" si="6"/>
        <v>0</v>
      </c>
      <c r="CC17" s="70">
        <f t="shared" si="7"/>
        <v>0</v>
      </c>
      <c r="CD17" s="70">
        <f t="shared" si="8"/>
        <v>0</v>
      </c>
      <c r="CE17" s="70">
        <f>SUM(BZ17:CD17)</f>
        <v>20000</v>
      </c>
      <c r="CF17" s="64">
        <f t="shared" si="10"/>
        <v>0</v>
      </c>
    </row>
    <row r="18" spans="1:93" ht="14.4" hidden="1" customHeight="1" outlineLevel="1" x14ac:dyDescent="0.3">
      <c r="A18" s="67" t="str">
        <f>'CC detallado'!A18</f>
        <v>1.3.2</v>
      </c>
      <c r="B18" s="67">
        <f>'CC detallado'!B18</f>
        <v>1</v>
      </c>
      <c r="C18" s="67">
        <f>'CC detallado'!C18</f>
        <v>280</v>
      </c>
      <c r="D18" s="67" t="str">
        <f>'CC detallado'!D18</f>
        <v>SNC</v>
      </c>
      <c r="E18" s="67" t="str">
        <f>'CC detallado'!E18</f>
        <v>LPI</v>
      </c>
      <c r="F18" s="67" t="str">
        <f>'CC detallado'!F18</f>
        <v>Taller</v>
      </c>
      <c r="G18" s="166" t="str">
        <f>'CC detallado'!G18</f>
        <v>Seminario Taller caracterización de riesgo externo</v>
      </c>
      <c r="H18" s="69">
        <f>'CC detallado'!H18</f>
        <v>2</v>
      </c>
      <c r="I18" s="69" t="str">
        <f>'CC detallado'!I18</f>
        <v>Capacitaciones</v>
      </c>
      <c r="J18" s="69">
        <f>'CC detallado'!J18</f>
        <v>1</v>
      </c>
      <c r="K18" s="69" t="str">
        <f>'CC detallado'!K18</f>
        <v>semana</v>
      </c>
      <c r="L18" s="70">
        <f>'CC detallado'!L18</f>
        <v>5000</v>
      </c>
      <c r="M18" s="70">
        <f>'CC detallado'!M18</f>
        <v>10000</v>
      </c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7">
        <f>$M$18/2</f>
        <v>5000</v>
      </c>
      <c r="AI18" s="197">
        <f>$M$18/2</f>
        <v>5000</v>
      </c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  <c r="BI18" s="194"/>
      <c r="BJ18" s="194"/>
      <c r="BK18" s="194"/>
      <c r="BL18" s="194"/>
      <c r="BM18" s="194"/>
      <c r="BN18" s="194"/>
      <c r="BO18" s="194"/>
      <c r="BP18" s="194"/>
      <c r="BQ18" s="194"/>
      <c r="BR18" s="194"/>
      <c r="BS18" s="194"/>
      <c r="BT18" s="194"/>
      <c r="BU18" s="194"/>
      <c r="BV18" s="194"/>
      <c r="BW18" s="195">
        <f>SUM(O18:BV18)</f>
        <v>10000</v>
      </c>
      <c r="BX18" s="88">
        <f t="shared" si="3"/>
        <v>0</v>
      </c>
      <c r="BY18" s="57"/>
      <c r="BZ18" s="70">
        <f t="shared" si="4"/>
        <v>0</v>
      </c>
      <c r="CA18" s="70">
        <f t="shared" si="5"/>
        <v>10000</v>
      </c>
      <c r="CB18" s="70">
        <f t="shared" si="6"/>
        <v>0</v>
      </c>
      <c r="CC18" s="70">
        <f t="shared" si="7"/>
        <v>0</v>
      </c>
      <c r="CD18" s="70">
        <f t="shared" si="8"/>
        <v>0</v>
      </c>
      <c r="CE18" s="70">
        <f t="shared" ref="CE18:CE21" si="22">SUM(BZ18:CD18)</f>
        <v>10000</v>
      </c>
      <c r="CF18" s="64">
        <f t="shared" si="10"/>
        <v>0</v>
      </c>
    </row>
    <row r="19" spans="1:93" ht="14.4" hidden="1" customHeight="1" outlineLevel="1" x14ac:dyDescent="0.3">
      <c r="A19" s="67" t="str">
        <f>'CC detallado'!A19</f>
        <v>1.3.3</v>
      </c>
      <c r="B19" s="67">
        <f>'CC detallado'!B19</f>
        <v>1</v>
      </c>
      <c r="C19" s="67">
        <f>'CC detallado'!C19</f>
        <v>145</v>
      </c>
      <c r="D19" s="67" t="str">
        <f>'CC detallado'!D19</f>
        <v>CI</v>
      </c>
      <c r="E19" s="67" t="str">
        <f>'CC detallado'!E19</f>
        <v>3CV</v>
      </c>
      <c r="F19" s="67" t="str">
        <f>'CC detallado'!F19</f>
        <v>X Prod</v>
      </c>
      <c r="G19" s="166" t="str">
        <f>'CC detallado'!G19</f>
        <v>Consultoría proyecto Estación cuarentenaria y diseño puestos de control internacional</v>
      </c>
      <c r="H19" s="69">
        <f>'CC detallado'!H19</f>
        <v>1</v>
      </c>
      <c r="I19" s="69" t="str">
        <f>'CC detallado'!I19</f>
        <v>Consultoría</v>
      </c>
      <c r="J19" s="69">
        <f>'CC detallado'!J19</f>
        <v>0</v>
      </c>
      <c r="K19" s="69">
        <f>'CC detallado'!K19</f>
        <v>0</v>
      </c>
      <c r="L19" s="70">
        <f>'CC detallado'!L19</f>
        <v>10000</v>
      </c>
      <c r="M19" s="70">
        <f>'CC detallado'!M19</f>
        <v>10000</v>
      </c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8"/>
      <c r="AP19" s="198"/>
      <c r="AQ19" s="197">
        <f>$M$19/4</f>
        <v>2500</v>
      </c>
      <c r="AR19" s="197">
        <f t="shared" ref="AR19:AT19" si="23">$M$19/4</f>
        <v>2500</v>
      </c>
      <c r="AS19" s="197">
        <f t="shared" si="23"/>
        <v>2500</v>
      </c>
      <c r="AT19" s="197">
        <f t="shared" si="23"/>
        <v>2500</v>
      </c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  <c r="BI19" s="194"/>
      <c r="BJ19" s="194"/>
      <c r="BK19" s="194"/>
      <c r="BL19" s="194"/>
      <c r="BM19" s="194"/>
      <c r="BN19" s="194"/>
      <c r="BO19" s="194"/>
      <c r="BP19" s="194"/>
      <c r="BQ19" s="194"/>
      <c r="BR19" s="194"/>
      <c r="BS19" s="194"/>
      <c r="BT19" s="194"/>
      <c r="BU19" s="194"/>
      <c r="BV19" s="194"/>
      <c r="BW19" s="195">
        <f>SUM(O19:BV19)</f>
        <v>10000</v>
      </c>
      <c r="BX19" s="88">
        <f t="shared" si="3"/>
        <v>0</v>
      </c>
      <c r="BY19" s="57"/>
      <c r="BZ19" s="70">
        <f t="shared" si="4"/>
        <v>0</v>
      </c>
      <c r="CA19" s="70">
        <f t="shared" si="5"/>
        <v>0</v>
      </c>
      <c r="CB19" s="70">
        <f t="shared" si="6"/>
        <v>10000</v>
      </c>
      <c r="CC19" s="70">
        <f t="shared" si="7"/>
        <v>0</v>
      </c>
      <c r="CD19" s="70">
        <f t="shared" si="8"/>
        <v>0</v>
      </c>
      <c r="CE19" s="70">
        <f t="shared" si="22"/>
        <v>10000</v>
      </c>
      <c r="CF19" s="64">
        <f t="shared" si="10"/>
        <v>0</v>
      </c>
    </row>
    <row r="20" spans="1:93" ht="14.4" hidden="1" customHeight="1" outlineLevel="1" x14ac:dyDescent="0.3">
      <c r="A20" s="67" t="str">
        <f>'CC detallado'!A20</f>
        <v>1.3.4</v>
      </c>
      <c r="B20" s="67">
        <f>'CC detallado'!B20</f>
        <v>1</v>
      </c>
      <c r="C20" s="67">
        <f>'CC detallado'!C20</f>
        <v>145</v>
      </c>
      <c r="D20" s="67" t="str">
        <f>'CC detallado'!D20</f>
        <v>CI</v>
      </c>
      <c r="E20" s="67" t="str">
        <f>'CC detallado'!E20</f>
        <v>3CV</v>
      </c>
      <c r="F20" s="67" t="str">
        <f>'CC detallado'!F20</f>
        <v>X Prod</v>
      </c>
      <c r="G20" s="166" t="str">
        <f>'CC detallado'!G20</f>
        <v>Diseño para adecuación puestos de control interno</v>
      </c>
      <c r="H20" s="69">
        <f>'CC detallado'!H20</f>
        <v>1</v>
      </c>
      <c r="I20" s="69" t="str">
        <f>'CC detallado'!I20</f>
        <v xml:space="preserve">Diseño </v>
      </c>
      <c r="J20" s="69">
        <f>'CC detallado'!J20</f>
        <v>0</v>
      </c>
      <c r="K20" s="69">
        <f>'CC detallado'!K20</f>
        <v>0</v>
      </c>
      <c r="L20" s="70">
        <f>'CC detallado'!L20</f>
        <v>40000</v>
      </c>
      <c r="M20" s="70">
        <f>'CC detallado'!M20</f>
        <v>40000</v>
      </c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8"/>
      <c r="AP20" s="198"/>
      <c r="AQ20" s="197">
        <f>$M$20/4</f>
        <v>10000</v>
      </c>
      <c r="AR20" s="197">
        <f t="shared" ref="AR20:AT20" si="24">$M$20/4</f>
        <v>10000</v>
      </c>
      <c r="AS20" s="197">
        <f t="shared" si="24"/>
        <v>10000</v>
      </c>
      <c r="AT20" s="197">
        <f t="shared" si="24"/>
        <v>10000</v>
      </c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5">
        <f>SUM(O20:BV20)</f>
        <v>40000</v>
      </c>
      <c r="BX20" s="88">
        <f t="shared" si="3"/>
        <v>0</v>
      </c>
      <c r="BY20" s="57"/>
      <c r="BZ20" s="70">
        <f t="shared" si="4"/>
        <v>0</v>
      </c>
      <c r="CA20" s="70">
        <f t="shared" si="5"/>
        <v>0</v>
      </c>
      <c r="CB20" s="70">
        <f t="shared" si="6"/>
        <v>40000</v>
      </c>
      <c r="CC20" s="70">
        <f t="shared" si="7"/>
        <v>0</v>
      </c>
      <c r="CD20" s="70">
        <f t="shared" si="8"/>
        <v>0</v>
      </c>
      <c r="CE20" s="70">
        <f t="shared" si="22"/>
        <v>40000</v>
      </c>
      <c r="CF20" s="64">
        <f t="shared" si="10"/>
        <v>0</v>
      </c>
    </row>
    <row r="21" spans="1:93" ht="14.4" hidden="1" customHeight="1" outlineLevel="1" x14ac:dyDescent="0.3">
      <c r="A21" s="67" t="str">
        <f>'CC detallado'!A21</f>
        <v>1.3.5</v>
      </c>
      <c r="B21" s="67">
        <f>'CC detallado'!B21</f>
        <v>1</v>
      </c>
      <c r="C21" s="67">
        <f>'CC detallado'!C21</f>
        <v>540</v>
      </c>
      <c r="D21" s="67" t="str">
        <f>'CC detallado'!D21</f>
        <v>B</v>
      </c>
      <c r="E21" s="67" t="str">
        <f>'CC detallado'!E21</f>
        <v>LPN</v>
      </c>
      <c r="F21" s="67" t="str">
        <f>'CC detallado'!F21</f>
        <v>Equipo</v>
      </c>
      <c r="G21" s="166" t="str">
        <f>'CC detallado'!G21</f>
        <v>Equipamientos puntos de ingreso y puestos de control</v>
      </c>
      <c r="H21" s="69">
        <f>'CC detallado'!H21</f>
        <v>1</v>
      </c>
      <c r="I21" s="69" t="str">
        <f>'CC detallado'!I21</f>
        <v>Equipos</v>
      </c>
      <c r="J21" s="69">
        <f>'CC detallado'!J21</f>
        <v>0</v>
      </c>
      <c r="K21" s="69">
        <f>'CC detallado'!K21</f>
        <v>0</v>
      </c>
      <c r="L21" s="70">
        <f>'CC detallado'!L21</f>
        <v>100000</v>
      </c>
      <c r="M21" s="70">
        <f>'CC detallado'!M21</f>
        <v>100000</v>
      </c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8"/>
      <c r="AZ21" s="198"/>
      <c r="BA21" s="198"/>
      <c r="BB21" s="198"/>
      <c r="BC21" s="197">
        <f>$M$21*30%</f>
        <v>30000</v>
      </c>
      <c r="BD21" s="199"/>
      <c r="BE21" s="199"/>
      <c r="BF21" s="197">
        <f>$M$21*70%</f>
        <v>70000</v>
      </c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4"/>
      <c r="BS21" s="194"/>
      <c r="BT21" s="194"/>
      <c r="BU21" s="194"/>
      <c r="BV21" s="194"/>
      <c r="BW21" s="195">
        <f>SUM(O21:BV21)</f>
        <v>100000</v>
      </c>
      <c r="BX21" s="88">
        <f t="shared" si="3"/>
        <v>0</v>
      </c>
      <c r="BY21" s="57"/>
      <c r="BZ21" s="70">
        <f t="shared" si="4"/>
        <v>0</v>
      </c>
      <c r="CA21" s="70">
        <f t="shared" si="5"/>
        <v>0</v>
      </c>
      <c r="CB21" s="70">
        <f t="shared" si="6"/>
        <v>0</v>
      </c>
      <c r="CC21" s="70">
        <f t="shared" si="7"/>
        <v>100000</v>
      </c>
      <c r="CD21" s="70">
        <f t="shared" si="8"/>
        <v>0</v>
      </c>
      <c r="CE21" s="70">
        <f t="shared" si="22"/>
        <v>100000</v>
      </c>
      <c r="CF21" s="64">
        <f t="shared" si="10"/>
        <v>0</v>
      </c>
    </row>
    <row r="22" spans="1:93" ht="14.4" customHeight="1" collapsed="1" x14ac:dyDescent="0.3">
      <c r="A22" s="190" t="str">
        <f>'CC detallado'!A22</f>
        <v>1.4</v>
      </c>
      <c r="B22" s="190" t="str">
        <f>'CC detallado'!B22</f>
        <v>C-1</v>
      </c>
      <c r="C22" s="190" t="str">
        <f>'CC detallado'!C22</f>
        <v>-</v>
      </c>
      <c r="D22" s="190" t="str">
        <f>'CC detallado'!D22</f>
        <v>-</v>
      </c>
      <c r="E22" s="190" t="str">
        <f>'CC detallado'!E22</f>
        <v>-</v>
      </c>
      <c r="F22" s="190" t="str">
        <f>'CC detallado'!F22</f>
        <v>-</v>
      </c>
      <c r="G22" s="185" t="str">
        <f>'CC detallado'!G22</f>
        <v>Producto 4: Programa de mantenimiento de status libre de aftosa (Simulacros realizados)</v>
      </c>
      <c r="H22" s="186">
        <f>'CC detallado'!H22</f>
        <v>0</v>
      </c>
      <c r="I22" s="186">
        <f>'CC detallado'!I22</f>
        <v>0</v>
      </c>
      <c r="J22" s="186">
        <f>'CC detallado'!J22</f>
        <v>0</v>
      </c>
      <c r="K22" s="186">
        <f>'CC detallado'!K22</f>
        <v>0</v>
      </c>
      <c r="L22" s="187">
        <f>'CC detallado'!L22</f>
        <v>0</v>
      </c>
      <c r="M22" s="187">
        <f>SUM(M23:M29)</f>
        <v>405000</v>
      </c>
      <c r="O22" s="187">
        <f>SUM(O23:O29)</f>
        <v>0</v>
      </c>
      <c r="P22" s="187">
        <f t="shared" ref="P22:BW22" si="25">SUM(P23:P29)</f>
        <v>0</v>
      </c>
      <c r="Q22" s="187">
        <f t="shared" si="25"/>
        <v>0</v>
      </c>
      <c r="R22" s="187">
        <f t="shared" si="25"/>
        <v>0</v>
      </c>
      <c r="S22" s="187">
        <f t="shared" si="25"/>
        <v>0</v>
      </c>
      <c r="T22" s="187">
        <f t="shared" si="25"/>
        <v>0</v>
      </c>
      <c r="U22" s="187">
        <f t="shared" si="25"/>
        <v>0</v>
      </c>
      <c r="V22" s="187">
        <f t="shared" si="25"/>
        <v>0</v>
      </c>
      <c r="W22" s="187">
        <f t="shared" si="25"/>
        <v>50000</v>
      </c>
      <c r="X22" s="187">
        <f t="shared" si="25"/>
        <v>25000</v>
      </c>
      <c r="Y22" s="187">
        <f t="shared" si="25"/>
        <v>25000</v>
      </c>
      <c r="Z22" s="187">
        <f t="shared" si="25"/>
        <v>25000</v>
      </c>
      <c r="AA22" s="187">
        <f t="shared" si="25"/>
        <v>0</v>
      </c>
      <c r="AB22" s="187">
        <f t="shared" si="25"/>
        <v>0</v>
      </c>
      <c r="AC22" s="187">
        <f t="shared" si="25"/>
        <v>30000</v>
      </c>
      <c r="AD22" s="187">
        <f t="shared" si="25"/>
        <v>0</v>
      </c>
      <c r="AE22" s="187">
        <f t="shared" si="25"/>
        <v>0</v>
      </c>
      <c r="AF22" s="187">
        <f t="shared" si="25"/>
        <v>0</v>
      </c>
      <c r="AG22" s="187">
        <f t="shared" si="25"/>
        <v>0</v>
      </c>
      <c r="AH22" s="187">
        <f t="shared" si="25"/>
        <v>0</v>
      </c>
      <c r="AI22" s="187">
        <f t="shared" si="25"/>
        <v>0</v>
      </c>
      <c r="AJ22" s="187">
        <f t="shared" si="25"/>
        <v>0</v>
      </c>
      <c r="AK22" s="187">
        <f t="shared" si="25"/>
        <v>0</v>
      </c>
      <c r="AL22" s="187">
        <f t="shared" si="25"/>
        <v>0</v>
      </c>
      <c r="AM22" s="187">
        <f t="shared" si="25"/>
        <v>0</v>
      </c>
      <c r="AN22" s="187">
        <f t="shared" si="25"/>
        <v>0</v>
      </c>
      <c r="AO22" s="187">
        <f t="shared" si="25"/>
        <v>0</v>
      </c>
      <c r="AP22" s="187">
        <f t="shared" si="25"/>
        <v>30000</v>
      </c>
      <c r="AQ22" s="187">
        <f t="shared" si="25"/>
        <v>0</v>
      </c>
      <c r="AR22" s="187">
        <f t="shared" si="25"/>
        <v>0</v>
      </c>
      <c r="AS22" s="187">
        <f t="shared" si="25"/>
        <v>0</v>
      </c>
      <c r="AT22" s="187">
        <f t="shared" si="25"/>
        <v>0</v>
      </c>
      <c r="AU22" s="187">
        <f t="shared" si="25"/>
        <v>0</v>
      </c>
      <c r="AV22" s="187">
        <f t="shared" si="25"/>
        <v>0</v>
      </c>
      <c r="AW22" s="187">
        <f t="shared" si="25"/>
        <v>0</v>
      </c>
      <c r="AX22" s="187">
        <f t="shared" si="25"/>
        <v>0</v>
      </c>
      <c r="AY22" s="187">
        <f t="shared" si="25"/>
        <v>0</v>
      </c>
      <c r="AZ22" s="187">
        <f t="shared" si="25"/>
        <v>0</v>
      </c>
      <c r="BA22" s="187">
        <f t="shared" si="25"/>
        <v>30000</v>
      </c>
      <c r="BB22" s="187">
        <f t="shared" si="25"/>
        <v>0</v>
      </c>
      <c r="BC22" s="187">
        <f t="shared" si="25"/>
        <v>18000</v>
      </c>
      <c r="BD22" s="187">
        <f t="shared" si="25"/>
        <v>0</v>
      </c>
      <c r="BE22" s="187">
        <f t="shared" si="25"/>
        <v>0</v>
      </c>
      <c r="BF22" s="187">
        <f t="shared" si="25"/>
        <v>42000</v>
      </c>
      <c r="BG22" s="187">
        <f t="shared" si="25"/>
        <v>0</v>
      </c>
      <c r="BH22" s="187">
        <f t="shared" si="25"/>
        <v>0</v>
      </c>
      <c r="BI22" s="187">
        <f t="shared" si="25"/>
        <v>0</v>
      </c>
      <c r="BJ22" s="187">
        <f t="shared" si="25"/>
        <v>0</v>
      </c>
      <c r="BK22" s="187">
        <f t="shared" si="25"/>
        <v>0</v>
      </c>
      <c r="BL22" s="187">
        <f t="shared" si="25"/>
        <v>0</v>
      </c>
      <c r="BM22" s="187">
        <f t="shared" si="25"/>
        <v>30000</v>
      </c>
      <c r="BN22" s="187">
        <f t="shared" si="25"/>
        <v>30000</v>
      </c>
      <c r="BO22" s="187">
        <f t="shared" si="25"/>
        <v>0</v>
      </c>
      <c r="BP22" s="187">
        <f t="shared" si="25"/>
        <v>0</v>
      </c>
      <c r="BQ22" s="187">
        <f t="shared" si="25"/>
        <v>0</v>
      </c>
      <c r="BR22" s="187">
        <f t="shared" si="25"/>
        <v>0</v>
      </c>
      <c r="BS22" s="187">
        <f t="shared" si="25"/>
        <v>70000</v>
      </c>
      <c r="BT22" s="187">
        <f t="shared" si="25"/>
        <v>0</v>
      </c>
      <c r="BU22" s="187">
        <f t="shared" si="25"/>
        <v>0</v>
      </c>
      <c r="BV22" s="187">
        <f t="shared" si="25"/>
        <v>0</v>
      </c>
      <c r="BW22" s="187">
        <f t="shared" si="25"/>
        <v>405000</v>
      </c>
      <c r="BX22" s="88">
        <f t="shared" si="3"/>
        <v>0</v>
      </c>
      <c r="BZ22" s="187">
        <f t="shared" si="4"/>
        <v>125000</v>
      </c>
      <c r="CA22" s="187">
        <f t="shared" si="5"/>
        <v>30000</v>
      </c>
      <c r="CB22" s="187">
        <f t="shared" si="6"/>
        <v>30000</v>
      </c>
      <c r="CC22" s="187">
        <f t="shared" si="7"/>
        <v>90000</v>
      </c>
      <c r="CD22" s="187">
        <f t="shared" si="8"/>
        <v>130000</v>
      </c>
      <c r="CE22" s="187">
        <f t="shared" ref="CE22" si="26">SUM(CE23:CE29)</f>
        <v>405000</v>
      </c>
      <c r="CF22" s="64">
        <f t="shared" ref="CF22:CF34" si="27">BW22-CE22</f>
        <v>0</v>
      </c>
    </row>
    <row r="23" spans="1:93" ht="14.4" hidden="1" customHeight="1" outlineLevel="1" x14ac:dyDescent="0.3">
      <c r="A23" s="67" t="str">
        <f>'CC detallado'!A23</f>
        <v>1.4.1</v>
      </c>
      <c r="B23" s="67">
        <f>'CC detallado'!B23</f>
        <v>1</v>
      </c>
      <c r="C23" s="67">
        <f>'CC detallado'!C23</f>
        <v>145</v>
      </c>
      <c r="D23" s="67" t="str">
        <f>'CC detallado'!D23</f>
        <v>CI</v>
      </c>
      <c r="E23" s="67" t="str">
        <f>'CC detallado'!E23</f>
        <v>3CV</v>
      </c>
      <c r="F23" s="67" t="str">
        <f>'CC detallado'!F23</f>
        <v>X Prod</v>
      </c>
      <c r="G23" s="166" t="str">
        <f>'CC detallado'!G23</f>
        <v>Consultoría para elaborar la caracterización</v>
      </c>
      <c r="H23" s="182">
        <f>'CC detallado'!H23</f>
        <v>1</v>
      </c>
      <c r="I23" s="182" t="str">
        <f>'CC detallado'!I23</f>
        <v>Consultoría</v>
      </c>
      <c r="J23" s="182">
        <f>'CC detallado'!J23</f>
        <v>3</v>
      </c>
      <c r="K23" s="182" t="str">
        <f>'CC detallado'!K23</f>
        <v>meses</v>
      </c>
      <c r="L23" s="183">
        <f>'CC detallado'!L23</f>
        <v>40000</v>
      </c>
      <c r="M23" s="183">
        <f>'CC detallado'!M23</f>
        <v>40000</v>
      </c>
      <c r="O23" s="195"/>
      <c r="P23" s="195"/>
      <c r="Q23" s="195"/>
      <c r="R23" s="195"/>
      <c r="S23" s="195"/>
      <c r="T23" s="195"/>
      <c r="U23" s="196"/>
      <c r="V23" s="196"/>
      <c r="W23" s="197">
        <f>$M$23/4</f>
        <v>10000</v>
      </c>
      <c r="X23" s="197">
        <f>$M$23/4</f>
        <v>10000</v>
      </c>
      <c r="Y23" s="197">
        <f>$M$23/4</f>
        <v>10000</v>
      </c>
      <c r="Z23" s="197">
        <f>$M$23/4</f>
        <v>10000</v>
      </c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5"/>
      <c r="BN23" s="195"/>
      <c r="BO23" s="195"/>
      <c r="BP23" s="195"/>
      <c r="BQ23" s="195"/>
      <c r="BR23" s="195"/>
      <c r="BS23" s="195"/>
      <c r="BT23" s="195"/>
      <c r="BU23" s="195"/>
      <c r="BV23" s="195"/>
      <c r="BW23" s="195">
        <f t="shared" ref="BW23:BW29" si="28">SUM(O23:BV23)</f>
        <v>40000</v>
      </c>
      <c r="BX23" s="88">
        <f t="shared" si="3"/>
        <v>0</v>
      </c>
      <c r="BZ23" s="153">
        <f t="shared" si="4"/>
        <v>40000</v>
      </c>
      <c r="CA23" s="153">
        <f t="shared" si="5"/>
        <v>0</v>
      </c>
      <c r="CB23" s="153">
        <f t="shared" si="6"/>
        <v>0</v>
      </c>
      <c r="CC23" s="153">
        <f t="shared" si="7"/>
        <v>0</v>
      </c>
      <c r="CD23" s="153">
        <f t="shared" si="8"/>
        <v>0</v>
      </c>
      <c r="CE23" s="153">
        <f>SUM(BZ23:CD23)</f>
        <v>40000</v>
      </c>
      <c r="CF23" s="64">
        <f t="shared" si="27"/>
        <v>0</v>
      </c>
    </row>
    <row r="24" spans="1:93" ht="14.4" hidden="1" customHeight="1" outlineLevel="1" x14ac:dyDescent="0.3">
      <c r="A24" s="67" t="str">
        <f>'CC detallado'!A24</f>
        <v>1.4.2</v>
      </c>
      <c r="B24" s="67">
        <f>'CC detallado'!B24</f>
        <v>1</v>
      </c>
      <c r="C24" s="67">
        <f>'CC detallado'!C24</f>
        <v>280</v>
      </c>
      <c r="D24" s="67" t="str">
        <f>'CC detallado'!D24</f>
        <v>SNC</v>
      </c>
      <c r="E24" s="67" t="str">
        <f>'CC detallado'!E24</f>
        <v>LPI</v>
      </c>
      <c r="F24" s="67" t="str">
        <f>'CC detallado'!F24</f>
        <v>Taller</v>
      </c>
      <c r="G24" s="166" t="str">
        <f>'CC detallado'!G24</f>
        <v>Seminario taller para caracterización</v>
      </c>
      <c r="H24" s="182">
        <f>'CC detallado'!H24</f>
        <v>4</v>
      </c>
      <c r="I24" s="182" t="str">
        <f>'CC detallado'!I24</f>
        <v>Seminario</v>
      </c>
      <c r="J24" s="182">
        <f>'CC detallado'!J24</f>
        <v>2</v>
      </c>
      <c r="K24" s="182" t="str">
        <f>'CC detallado'!K24</f>
        <v>días</v>
      </c>
      <c r="L24" s="183">
        <f>'CC detallado'!L24</f>
        <v>5000</v>
      </c>
      <c r="M24" s="183">
        <f>'CC detallado'!M24</f>
        <v>20000</v>
      </c>
      <c r="O24" s="195"/>
      <c r="P24" s="195"/>
      <c r="Q24" s="195"/>
      <c r="R24" s="196"/>
      <c r="S24" s="196"/>
      <c r="T24" s="196"/>
      <c r="U24" s="196"/>
      <c r="V24" s="196"/>
      <c r="W24" s="197">
        <f>$M$24/4</f>
        <v>5000</v>
      </c>
      <c r="X24" s="197">
        <f>$M$24/4</f>
        <v>5000</v>
      </c>
      <c r="Y24" s="197">
        <f>$M$24/4</f>
        <v>5000</v>
      </c>
      <c r="Z24" s="197">
        <f>$M$24/4</f>
        <v>5000</v>
      </c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>
        <f t="shared" si="28"/>
        <v>20000</v>
      </c>
      <c r="BX24" s="88">
        <f t="shared" si="3"/>
        <v>0</v>
      </c>
      <c r="BZ24" s="153">
        <f t="shared" si="4"/>
        <v>20000</v>
      </c>
      <c r="CA24" s="153">
        <f t="shared" si="5"/>
        <v>0</v>
      </c>
      <c r="CB24" s="153">
        <f t="shared" si="6"/>
        <v>0</v>
      </c>
      <c r="CC24" s="153">
        <f t="shared" si="7"/>
        <v>0</v>
      </c>
      <c r="CD24" s="153">
        <f t="shared" si="8"/>
        <v>0</v>
      </c>
      <c r="CE24" s="153">
        <f t="shared" ref="CE24:CE29" si="29">SUM(BZ24:CD24)</f>
        <v>20000</v>
      </c>
      <c r="CF24" s="64">
        <f t="shared" si="27"/>
        <v>0</v>
      </c>
    </row>
    <row r="25" spans="1:93" ht="14.4" hidden="1" customHeight="1" outlineLevel="1" x14ac:dyDescent="0.3">
      <c r="A25" s="67" t="str">
        <f>'CC detallado'!A25</f>
        <v>1.4.3</v>
      </c>
      <c r="B25" s="67">
        <f>'CC detallado'!B25</f>
        <v>1</v>
      </c>
      <c r="C25" s="67">
        <f>'CC detallado'!C25</f>
        <v>145</v>
      </c>
      <c r="D25" s="67" t="str">
        <f>'CC detallado'!D25</f>
        <v>CI</v>
      </c>
      <c r="E25" s="67" t="str">
        <f>'CC detallado'!E25</f>
        <v>3CV</v>
      </c>
      <c r="F25" s="67" t="str">
        <f>'CC detallado'!F25</f>
        <v>X Prod</v>
      </c>
      <c r="G25" s="166" t="str">
        <f>'CC detallado'!G25</f>
        <v>Consultoría caracterización de riesgo vulnerabilidad</v>
      </c>
      <c r="H25" s="182">
        <f>'CC detallado'!H25</f>
        <v>1</v>
      </c>
      <c r="I25" s="182" t="str">
        <f>'CC detallado'!I25</f>
        <v>Consultoría</v>
      </c>
      <c r="J25" s="182">
        <f>'CC detallado'!J25</f>
        <v>4</v>
      </c>
      <c r="K25" s="182" t="str">
        <f>'CC detallado'!K25</f>
        <v>meses</v>
      </c>
      <c r="L25" s="183">
        <f>'CC detallado'!L25</f>
        <v>20000</v>
      </c>
      <c r="M25" s="183">
        <f>'CC detallado'!M25</f>
        <v>20000</v>
      </c>
      <c r="O25" s="195"/>
      <c r="P25" s="195"/>
      <c r="Q25" s="195"/>
      <c r="R25" s="195"/>
      <c r="S25" s="195"/>
      <c r="T25" s="195"/>
      <c r="U25" s="196"/>
      <c r="V25" s="196"/>
      <c r="W25" s="197">
        <f>$M$25/4</f>
        <v>5000</v>
      </c>
      <c r="X25" s="197">
        <f>$M$25/4</f>
        <v>5000</v>
      </c>
      <c r="Y25" s="197">
        <f>$M$25/4</f>
        <v>5000</v>
      </c>
      <c r="Z25" s="197">
        <f>$M$25/4</f>
        <v>5000</v>
      </c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5"/>
      <c r="BW25" s="195">
        <f t="shared" si="28"/>
        <v>20000</v>
      </c>
      <c r="BX25" s="88">
        <f t="shared" si="3"/>
        <v>0</v>
      </c>
      <c r="BZ25" s="153">
        <f t="shared" si="4"/>
        <v>20000</v>
      </c>
      <c r="CA25" s="153">
        <f t="shared" si="5"/>
        <v>0</v>
      </c>
      <c r="CB25" s="153">
        <f t="shared" si="6"/>
        <v>0</v>
      </c>
      <c r="CC25" s="153">
        <f t="shared" si="7"/>
        <v>0</v>
      </c>
      <c r="CD25" s="153">
        <f t="shared" si="8"/>
        <v>0</v>
      </c>
      <c r="CE25" s="153">
        <f t="shared" si="29"/>
        <v>20000</v>
      </c>
      <c r="CF25" s="64">
        <f t="shared" si="27"/>
        <v>0</v>
      </c>
    </row>
    <row r="26" spans="1:93" ht="14.4" hidden="1" customHeight="1" outlineLevel="1" x14ac:dyDescent="0.3">
      <c r="A26" s="67" t="str">
        <f>'CC detallado'!A26</f>
        <v>1.4.4</v>
      </c>
      <c r="B26" s="67">
        <f>'CC detallado'!B26</f>
        <v>1</v>
      </c>
      <c r="C26" s="67">
        <f>'CC detallado'!C26</f>
        <v>280</v>
      </c>
      <c r="D26" s="67" t="str">
        <f>'CC detallado'!D26</f>
        <v>SNC</v>
      </c>
      <c r="E26" s="67" t="str">
        <f>'CC detallado'!E26</f>
        <v>LPI</v>
      </c>
      <c r="F26" s="67" t="str">
        <f>'CC detallado'!F26</f>
        <v>Taller</v>
      </c>
      <c r="G26" s="166" t="str">
        <f>'CC detallado'!G26</f>
        <v>Seminario taller de caracterización riesgo vulnerabilidad</v>
      </c>
      <c r="H26" s="182">
        <f>'CC detallado'!H26</f>
        <v>3</v>
      </c>
      <c r="I26" s="182" t="str">
        <f>'CC detallado'!I26</f>
        <v>Seminario</v>
      </c>
      <c r="J26" s="182">
        <f>'CC detallado'!J26</f>
        <v>2</v>
      </c>
      <c r="K26" s="182" t="str">
        <f>'CC detallado'!K26</f>
        <v>días</v>
      </c>
      <c r="L26" s="183">
        <f>'CC detallado'!L26</f>
        <v>5000</v>
      </c>
      <c r="M26" s="183">
        <f>'CC detallado'!M26</f>
        <v>15000</v>
      </c>
      <c r="O26" s="195"/>
      <c r="P26" s="195"/>
      <c r="Q26" s="195"/>
      <c r="R26" s="195"/>
      <c r="S26" s="195"/>
      <c r="T26" s="195"/>
      <c r="U26" s="195"/>
      <c r="V26" s="195"/>
      <c r="W26" s="195"/>
      <c r="X26" s="197">
        <f>$M$26/3</f>
        <v>5000</v>
      </c>
      <c r="Y26" s="197">
        <f>$M$26/3</f>
        <v>5000</v>
      </c>
      <c r="Z26" s="197">
        <f>$M$26/3</f>
        <v>5000</v>
      </c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5"/>
      <c r="BW26" s="195">
        <f t="shared" si="28"/>
        <v>15000</v>
      </c>
      <c r="BX26" s="88">
        <f t="shared" si="3"/>
        <v>0</v>
      </c>
      <c r="BZ26" s="153">
        <f t="shared" si="4"/>
        <v>15000</v>
      </c>
      <c r="CA26" s="153">
        <f t="shared" si="5"/>
        <v>0</v>
      </c>
      <c r="CB26" s="153">
        <f t="shared" si="6"/>
        <v>0</v>
      </c>
      <c r="CC26" s="153">
        <f t="shared" si="7"/>
        <v>0</v>
      </c>
      <c r="CD26" s="153">
        <f t="shared" si="8"/>
        <v>0</v>
      </c>
      <c r="CE26" s="153">
        <f t="shared" si="29"/>
        <v>15000</v>
      </c>
      <c r="CF26" s="64">
        <f t="shared" si="27"/>
        <v>0</v>
      </c>
    </row>
    <row r="27" spans="1:93" ht="14.4" hidden="1" customHeight="1" outlineLevel="1" x14ac:dyDescent="0.3">
      <c r="A27" s="67" t="str">
        <f>'CC detallado'!A27</f>
        <v>1.4.5</v>
      </c>
      <c r="B27" s="67">
        <f>'CC detallado'!B27</f>
        <v>1</v>
      </c>
      <c r="C27" s="67">
        <f>'CC detallado'!C27</f>
        <v>530</v>
      </c>
      <c r="D27" s="67" t="str">
        <f>'CC detallado'!D27</f>
        <v>B</v>
      </c>
      <c r="E27" s="67" t="str">
        <f>'CC detallado'!E27</f>
        <v>SBE</v>
      </c>
      <c r="F27" s="67" t="str">
        <f>'CC detallado'!F27</f>
        <v>Mueb</v>
      </c>
      <c r="G27" s="166" t="str">
        <f>'CC detallado'!G27</f>
        <v>Equipamiento de depósitos de productos de emergencia</v>
      </c>
      <c r="H27" s="182">
        <f>'CC detallado'!H27</f>
        <v>3</v>
      </c>
      <c r="I27" s="182" t="str">
        <f>'CC detallado'!I27</f>
        <v>depósitos</v>
      </c>
      <c r="J27" s="182">
        <f>'CC detallado'!J27</f>
        <v>0</v>
      </c>
      <c r="K27" s="182">
        <f>'CC detallado'!K27</f>
        <v>0</v>
      </c>
      <c r="L27" s="183">
        <f>'CC detallado'!L27</f>
        <v>20000</v>
      </c>
      <c r="M27" s="183">
        <f>'CC detallado'!M27</f>
        <v>60000</v>
      </c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6"/>
      <c r="AZ27" s="196"/>
      <c r="BA27" s="196"/>
      <c r="BB27" s="196"/>
      <c r="BC27" s="197">
        <f>$M$27*30%</f>
        <v>18000</v>
      </c>
      <c r="BD27" s="197"/>
      <c r="BE27" s="197"/>
      <c r="BF27" s="197">
        <f>$M$27*70%</f>
        <v>42000</v>
      </c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>
        <f t="shared" si="28"/>
        <v>60000</v>
      </c>
      <c r="BX27" s="88">
        <f t="shared" si="3"/>
        <v>0</v>
      </c>
      <c r="BZ27" s="153">
        <f t="shared" si="4"/>
        <v>0</v>
      </c>
      <c r="CA27" s="153">
        <f t="shared" si="5"/>
        <v>0</v>
      </c>
      <c r="CB27" s="153">
        <f t="shared" si="6"/>
        <v>0</v>
      </c>
      <c r="CC27" s="153">
        <f t="shared" si="7"/>
        <v>60000</v>
      </c>
      <c r="CD27" s="153">
        <f t="shared" si="8"/>
        <v>0</v>
      </c>
      <c r="CE27" s="153">
        <f t="shared" si="29"/>
        <v>60000</v>
      </c>
      <c r="CF27" s="64">
        <f t="shared" si="27"/>
        <v>0</v>
      </c>
    </row>
    <row r="28" spans="1:93" ht="14.4" hidden="1" customHeight="1" outlineLevel="1" x14ac:dyDescent="0.3">
      <c r="A28" s="67" t="str">
        <f>'CC detallado'!A28</f>
        <v>1.4.6</v>
      </c>
      <c r="B28" s="67">
        <f>'CC detallado'!B28</f>
        <v>1</v>
      </c>
      <c r="C28" s="67">
        <f>'CC detallado'!C28</f>
        <v>450</v>
      </c>
      <c r="D28" s="67" t="str">
        <f>'CC detallado'!D28</f>
        <v>B</v>
      </c>
      <c r="E28" s="67" t="str">
        <f>'CC detallado'!E28</f>
        <v>LPN</v>
      </c>
      <c r="F28" s="67" t="str">
        <f>'CC detallado'!F28</f>
        <v>Vacun</v>
      </c>
      <c r="G28" s="166" t="str">
        <f>'CC detallado'!G28</f>
        <v>Insumos de ejercicios de simulación</v>
      </c>
      <c r="H28" s="182">
        <f>'CC detallado'!H28</f>
        <v>5</v>
      </c>
      <c r="I28" s="182" t="str">
        <f>'CC detallado'!I28</f>
        <v>Simulacro</v>
      </c>
      <c r="J28" s="182">
        <f>'CC detallado'!J28</f>
        <v>0</v>
      </c>
      <c r="K28" s="182">
        <f>'CC detallado'!K28</f>
        <v>0</v>
      </c>
      <c r="L28" s="183">
        <f>'CC detallado'!L28</f>
        <v>30000</v>
      </c>
      <c r="M28" s="183">
        <f>'CC detallado'!M28</f>
        <v>150000</v>
      </c>
      <c r="O28" s="195"/>
      <c r="P28" s="195"/>
      <c r="Q28" s="195"/>
      <c r="R28" s="195"/>
      <c r="S28" s="196"/>
      <c r="T28" s="196"/>
      <c r="U28" s="196"/>
      <c r="V28" s="196"/>
      <c r="W28" s="197">
        <f>$M$28/5</f>
        <v>30000</v>
      </c>
      <c r="X28" s="197"/>
      <c r="Y28" s="197"/>
      <c r="Z28" s="197"/>
      <c r="AA28" s="197"/>
      <c r="AB28" s="197"/>
      <c r="AC28" s="197">
        <f>$M$28/5</f>
        <v>30000</v>
      </c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>
        <f>$M$28/5</f>
        <v>30000</v>
      </c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97">
        <f>$M$28/5</f>
        <v>30000</v>
      </c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7">
        <f>$M$28/5</f>
        <v>30000</v>
      </c>
      <c r="BN28" s="197"/>
      <c r="BO28" s="197"/>
      <c r="BP28" s="197"/>
      <c r="BQ28" s="197"/>
      <c r="BR28" s="197"/>
      <c r="BS28" s="197"/>
      <c r="BT28" s="195"/>
      <c r="BU28" s="195"/>
      <c r="BV28" s="195"/>
      <c r="BW28" s="195">
        <f t="shared" si="28"/>
        <v>150000</v>
      </c>
      <c r="BX28" s="88">
        <f t="shared" si="3"/>
        <v>0</v>
      </c>
      <c r="BZ28" s="153">
        <f t="shared" si="4"/>
        <v>30000</v>
      </c>
      <c r="CA28" s="153">
        <f t="shared" si="5"/>
        <v>30000</v>
      </c>
      <c r="CB28" s="153">
        <f t="shared" si="6"/>
        <v>30000</v>
      </c>
      <c r="CC28" s="153">
        <f t="shared" si="7"/>
        <v>30000</v>
      </c>
      <c r="CD28" s="153">
        <f t="shared" si="8"/>
        <v>30000</v>
      </c>
      <c r="CE28" s="153">
        <f t="shared" si="29"/>
        <v>150000</v>
      </c>
      <c r="CF28" s="64">
        <f t="shared" si="27"/>
        <v>0</v>
      </c>
    </row>
    <row r="29" spans="1:93" ht="14.4" hidden="1" customHeight="1" outlineLevel="1" x14ac:dyDescent="0.3">
      <c r="A29" s="67" t="str">
        <f>'CC detallado'!A29</f>
        <v>1.4.7</v>
      </c>
      <c r="B29" s="67">
        <f>'CC detallado'!B29</f>
        <v>1</v>
      </c>
      <c r="C29" s="67">
        <f>'CC detallado'!C29</f>
        <v>350</v>
      </c>
      <c r="D29" s="67" t="str">
        <f>'CC detallado'!D29</f>
        <v>B</v>
      </c>
      <c r="E29" s="67" t="str">
        <f>'CC detallado'!E29</f>
        <v>LPI</v>
      </c>
      <c r="F29" s="67" t="str">
        <f>'CC detallado'!F29</f>
        <v>Vacun</v>
      </c>
      <c r="G29" s="166" t="str">
        <f>'CC detallado'!G29</f>
        <v>Formación Banco de vacunas de Fiebre aftosa</v>
      </c>
      <c r="H29" s="182">
        <f>'CC detallado'!H29</f>
        <v>500000</v>
      </c>
      <c r="I29" s="182" t="str">
        <f>'CC detallado'!I29</f>
        <v>Vacunas</v>
      </c>
      <c r="J29" s="182">
        <f>'CC detallado'!J29</f>
        <v>0</v>
      </c>
      <c r="K29" s="182">
        <f>'CC detallado'!K29</f>
        <v>0</v>
      </c>
      <c r="L29" s="208">
        <f>'CC detallado'!L29</f>
        <v>0.2</v>
      </c>
      <c r="M29" s="183">
        <f>'CC detallado'!M29</f>
        <v>100000</v>
      </c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6"/>
      <c r="BJ29" s="196"/>
      <c r="BK29" s="196"/>
      <c r="BL29" s="196"/>
      <c r="BM29" s="196"/>
      <c r="BN29" s="197">
        <f>$M$29*30%</f>
        <v>30000</v>
      </c>
      <c r="BO29" s="197"/>
      <c r="BP29" s="197"/>
      <c r="BQ29" s="197"/>
      <c r="BR29" s="197"/>
      <c r="BS29" s="197">
        <f>$M$29*70%</f>
        <v>70000</v>
      </c>
      <c r="BT29" s="195"/>
      <c r="BU29" s="195"/>
      <c r="BV29" s="195"/>
      <c r="BW29" s="195">
        <f t="shared" si="28"/>
        <v>100000</v>
      </c>
      <c r="BX29" s="88">
        <f t="shared" si="3"/>
        <v>0</v>
      </c>
      <c r="BZ29" s="153">
        <f t="shared" si="4"/>
        <v>0</v>
      </c>
      <c r="CA29" s="153">
        <f t="shared" si="5"/>
        <v>0</v>
      </c>
      <c r="CB29" s="153">
        <f t="shared" si="6"/>
        <v>0</v>
      </c>
      <c r="CC29" s="153">
        <f t="shared" si="7"/>
        <v>0</v>
      </c>
      <c r="CD29" s="153">
        <f t="shared" si="8"/>
        <v>100000</v>
      </c>
      <c r="CE29" s="153">
        <f t="shared" si="29"/>
        <v>100000</v>
      </c>
      <c r="CF29" s="64">
        <f t="shared" si="27"/>
        <v>0</v>
      </c>
    </row>
    <row r="30" spans="1:93" s="66" customFormat="1" ht="14.4" customHeight="1" collapsed="1" x14ac:dyDescent="0.3">
      <c r="A30" s="190" t="str">
        <f>'CC detallado'!A30</f>
        <v>1.5</v>
      </c>
      <c r="B30" s="190" t="str">
        <f>'CC detallado'!B30</f>
        <v>C-1</v>
      </c>
      <c r="C30" s="190" t="str">
        <f>'CC detallado'!C30</f>
        <v>-</v>
      </c>
      <c r="D30" s="190" t="str">
        <f>'CC detallado'!D30</f>
        <v>-</v>
      </c>
      <c r="E30" s="190" t="str">
        <f>'CC detallado'!E30</f>
        <v>-</v>
      </c>
      <c r="F30" s="190" t="str">
        <f>'CC detallado'!F30</f>
        <v>-</v>
      </c>
      <c r="G30" s="185" t="str">
        <f>'CC detallado'!G30</f>
        <v>Producto 5: Laboratorio Nacional de SENACSA fortalecido y red de laboratorios funcionando</v>
      </c>
      <c r="H30" s="186">
        <f>'CC detallado'!H30</f>
        <v>0</v>
      </c>
      <c r="I30" s="186">
        <f>'CC detallado'!I30</f>
        <v>0</v>
      </c>
      <c r="J30" s="186">
        <f>'CC detallado'!J30</f>
        <v>0</v>
      </c>
      <c r="K30" s="186">
        <f>'CC detallado'!K30</f>
        <v>0</v>
      </c>
      <c r="L30" s="187">
        <f>'CC detallado'!L30</f>
        <v>0</v>
      </c>
      <c r="M30" s="187">
        <f>SUM(M31:M34)</f>
        <v>2690000</v>
      </c>
      <c r="N30" s="48"/>
      <c r="O30" s="187">
        <f>SUM(O31:O34)</f>
        <v>0</v>
      </c>
      <c r="P30" s="187">
        <f t="shared" ref="P30:BW30" si="30">SUM(P31:P34)</f>
        <v>0</v>
      </c>
      <c r="Q30" s="187">
        <f t="shared" si="30"/>
        <v>0</v>
      </c>
      <c r="R30" s="187">
        <f t="shared" si="30"/>
        <v>0</v>
      </c>
      <c r="S30" s="187">
        <f t="shared" si="30"/>
        <v>0</v>
      </c>
      <c r="T30" s="187">
        <f t="shared" si="30"/>
        <v>0</v>
      </c>
      <c r="U30" s="187">
        <f t="shared" si="30"/>
        <v>0</v>
      </c>
      <c r="V30" s="187">
        <f t="shared" si="30"/>
        <v>0</v>
      </c>
      <c r="W30" s="187">
        <f t="shared" si="30"/>
        <v>1950</v>
      </c>
      <c r="X30" s="187">
        <f t="shared" si="30"/>
        <v>0</v>
      </c>
      <c r="Y30" s="187">
        <f t="shared" si="30"/>
        <v>36050</v>
      </c>
      <c r="Z30" s="187">
        <f t="shared" si="30"/>
        <v>31500</v>
      </c>
      <c r="AA30" s="187">
        <f t="shared" si="30"/>
        <v>31500</v>
      </c>
      <c r="AB30" s="187">
        <f t="shared" si="30"/>
        <v>31500</v>
      </c>
      <c r="AC30" s="187">
        <f t="shared" si="30"/>
        <v>50000</v>
      </c>
      <c r="AD30" s="187">
        <f t="shared" si="30"/>
        <v>0</v>
      </c>
      <c r="AE30" s="187">
        <f t="shared" si="30"/>
        <v>0</v>
      </c>
      <c r="AF30" s="187">
        <f t="shared" si="30"/>
        <v>692250</v>
      </c>
      <c r="AG30" s="187">
        <f t="shared" si="30"/>
        <v>0</v>
      </c>
      <c r="AH30" s="187">
        <f t="shared" si="30"/>
        <v>50000</v>
      </c>
      <c r="AI30" s="187">
        <f t="shared" si="30"/>
        <v>0</v>
      </c>
      <c r="AJ30" s="187">
        <f t="shared" si="30"/>
        <v>0</v>
      </c>
      <c r="AK30" s="187">
        <f t="shared" si="30"/>
        <v>0</v>
      </c>
      <c r="AL30" s="187">
        <f t="shared" si="30"/>
        <v>0</v>
      </c>
      <c r="AM30" s="187">
        <f t="shared" si="30"/>
        <v>923000</v>
      </c>
      <c r="AN30" s="187">
        <f t="shared" si="30"/>
        <v>50000</v>
      </c>
      <c r="AO30" s="187">
        <f t="shared" si="30"/>
        <v>0</v>
      </c>
      <c r="AP30" s="187">
        <f t="shared" si="30"/>
        <v>0</v>
      </c>
      <c r="AQ30" s="187">
        <f t="shared" si="30"/>
        <v>692250</v>
      </c>
      <c r="AR30" s="187">
        <f t="shared" si="30"/>
        <v>0</v>
      </c>
      <c r="AS30" s="187">
        <f t="shared" si="30"/>
        <v>0</v>
      </c>
      <c r="AT30" s="187">
        <f t="shared" si="30"/>
        <v>0</v>
      </c>
      <c r="AU30" s="187">
        <f t="shared" si="30"/>
        <v>50000</v>
      </c>
      <c r="AV30" s="187">
        <f t="shared" si="30"/>
        <v>0</v>
      </c>
      <c r="AW30" s="187">
        <f t="shared" si="30"/>
        <v>0</v>
      </c>
      <c r="AX30" s="187">
        <f t="shared" si="30"/>
        <v>0</v>
      </c>
      <c r="AY30" s="187">
        <f t="shared" si="30"/>
        <v>0</v>
      </c>
      <c r="AZ30" s="187">
        <f t="shared" si="30"/>
        <v>50000</v>
      </c>
      <c r="BA30" s="187">
        <f t="shared" si="30"/>
        <v>0</v>
      </c>
      <c r="BB30" s="187">
        <f t="shared" si="30"/>
        <v>0</v>
      </c>
      <c r="BC30" s="187">
        <f t="shared" si="30"/>
        <v>0</v>
      </c>
      <c r="BD30" s="187">
        <f t="shared" si="30"/>
        <v>0</v>
      </c>
      <c r="BE30" s="187">
        <f t="shared" si="30"/>
        <v>0</v>
      </c>
      <c r="BF30" s="187">
        <f t="shared" si="30"/>
        <v>0</v>
      </c>
      <c r="BG30" s="187">
        <f t="shared" si="30"/>
        <v>0</v>
      </c>
      <c r="BH30" s="187">
        <f t="shared" si="30"/>
        <v>0</v>
      </c>
      <c r="BI30" s="187">
        <f t="shared" si="30"/>
        <v>0</v>
      </c>
      <c r="BJ30" s="187">
        <f t="shared" si="30"/>
        <v>0</v>
      </c>
      <c r="BK30" s="187">
        <f t="shared" si="30"/>
        <v>0</v>
      </c>
      <c r="BL30" s="187">
        <f t="shared" si="30"/>
        <v>0</v>
      </c>
      <c r="BM30" s="187">
        <f t="shared" si="30"/>
        <v>0</v>
      </c>
      <c r="BN30" s="187">
        <f t="shared" si="30"/>
        <v>0</v>
      </c>
      <c r="BO30" s="187">
        <f t="shared" si="30"/>
        <v>0</v>
      </c>
      <c r="BP30" s="187">
        <f t="shared" si="30"/>
        <v>0</v>
      </c>
      <c r="BQ30" s="187">
        <f t="shared" si="30"/>
        <v>0</v>
      </c>
      <c r="BR30" s="187">
        <f t="shared" si="30"/>
        <v>0</v>
      </c>
      <c r="BS30" s="187">
        <f t="shared" si="30"/>
        <v>0</v>
      </c>
      <c r="BT30" s="187">
        <f t="shared" si="30"/>
        <v>0</v>
      </c>
      <c r="BU30" s="187">
        <f t="shared" si="30"/>
        <v>0</v>
      </c>
      <c r="BV30" s="187">
        <f t="shared" si="30"/>
        <v>0</v>
      </c>
      <c r="BW30" s="187">
        <f t="shared" si="30"/>
        <v>2690000</v>
      </c>
      <c r="BX30" s="88">
        <f t="shared" si="3"/>
        <v>0</v>
      </c>
      <c r="BY30" s="57"/>
      <c r="BZ30" s="187">
        <f t="shared" si="4"/>
        <v>69500</v>
      </c>
      <c r="CA30" s="187">
        <f t="shared" si="5"/>
        <v>855250</v>
      </c>
      <c r="CB30" s="187">
        <f t="shared" si="6"/>
        <v>1715250</v>
      </c>
      <c r="CC30" s="187">
        <f t="shared" si="7"/>
        <v>50000</v>
      </c>
      <c r="CD30" s="187">
        <f t="shared" si="8"/>
        <v>0</v>
      </c>
      <c r="CE30" s="187">
        <f t="shared" ref="CE30" si="31">SUM(CE31:CE34)</f>
        <v>2690000</v>
      </c>
      <c r="CF30" s="64">
        <f t="shared" si="27"/>
        <v>0</v>
      </c>
      <c r="CG30" s="65"/>
      <c r="CH30" s="65"/>
      <c r="CI30" s="65"/>
      <c r="CJ30" s="65"/>
      <c r="CK30" s="65"/>
      <c r="CL30" s="65"/>
      <c r="CM30" s="65"/>
      <c r="CN30" s="65"/>
      <c r="CO30" s="65"/>
    </row>
    <row r="31" spans="1:93" ht="14.4" hidden="1" customHeight="1" outlineLevel="1" x14ac:dyDescent="0.3">
      <c r="A31" s="67" t="str">
        <f>'CC detallado'!A31</f>
        <v>1.5.1</v>
      </c>
      <c r="B31" s="67">
        <f>'CC detallado'!B31</f>
        <v>1</v>
      </c>
      <c r="C31" s="67">
        <f>'CC detallado'!C31</f>
        <v>260</v>
      </c>
      <c r="D31" s="67" t="str">
        <f>'CC detallado'!D31</f>
        <v>FC</v>
      </c>
      <c r="E31" s="67" t="str">
        <f>'CC detallado'!E31</f>
        <v>SBCC</v>
      </c>
      <c r="F31" s="67" t="str">
        <f>'CC detallado'!F31</f>
        <v>X Prod</v>
      </c>
      <c r="G31" s="166" t="str">
        <f>'CC detallado'!G31</f>
        <v>Desarrollo e instalación de un sistema informático para Gestión de Laboratorio.</v>
      </c>
      <c r="H31" s="68">
        <f>'CC detallado'!H31</f>
        <v>1</v>
      </c>
      <c r="I31" s="68" t="str">
        <f>'CC detallado'!I31</f>
        <v>sistema</v>
      </c>
      <c r="J31" s="68">
        <f>'CC detallado'!J31</f>
        <v>24</v>
      </c>
      <c r="K31" s="68" t="str">
        <f>'CC detallado'!K31</f>
        <v>meses</v>
      </c>
      <c r="L31" s="70">
        <f>'CC detallado'!L31</f>
        <v>250000</v>
      </c>
      <c r="M31" s="70">
        <f>'CC detallado'!M31</f>
        <v>250000</v>
      </c>
      <c r="O31" s="195"/>
      <c r="P31" s="195"/>
      <c r="Q31" s="195"/>
      <c r="R31" s="195"/>
      <c r="S31" s="195"/>
      <c r="T31" s="195"/>
      <c r="U31" s="195"/>
      <c r="V31" s="195"/>
      <c r="W31" s="196"/>
      <c r="X31" s="196"/>
      <c r="Y31" s="196"/>
      <c r="Z31" s="196"/>
      <c r="AA31" s="196"/>
      <c r="AB31" s="196"/>
      <c r="AC31" s="197">
        <f>$M$31*20%</f>
        <v>50000</v>
      </c>
      <c r="AD31" s="197"/>
      <c r="AE31" s="197"/>
      <c r="AF31" s="197"/>
      <c r="AG31" s="197"/>
      <c r="AH31" s="197">
        <f>$M$31*20%</f>
        <v>50000</v>
      </c>
      <c r="AI31" s="197"/>
      <c r="AJ31" s="197"/>
      <c r="AK31" s="197"/>
      <c r="AL31" s="197"/>
      <c r="AM31" s="197"/>
      <c r="AN31" s="197">
        <f>$M$31*20%</f>
        <v>50000</v>
      </c>
      <c r="AO31" s="197"/>
      <c r="AP31" s="197"/>
      <c r="AQ31" s="197"/>
      <c r="AR31" s="197"/>
      <c r="AS31" s="197"/>
      <c r="AT31" s="197"/>
      <c r="AU31" s="197">
        <f>$M$31*20%</f>
        <v>50000</v>
      </c>
      <c r="AV31" s="197"/>
      <c r="AW31" s="197"/>
      <c r="AX31" s="197"/>
      <c r="AY31" s="197"/>
      <c r="AZ31" s="197">
        <f>$M$31*20%</f>
        <v>50000</v>
      </c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>
        <f>SUM(O31:BV31)</f>
        <v>250000</v>
      </c>
      <c r="BX31" s="88">
        <f t="shared" si="3"/>
        <v>0</v>
      </c>
      <c r="BY31" s="57"/>
      <c r="BZ31" s="70">
        <f t="shared" si="4"/>
        <v>0</v>
      </c>
      <c r="CA31" s="70">
        <f t="shared" si="5"/>
        <v>100000</v>
      </c>
      <c r="CB31" s="70">
        <f t="shared" si="6"/>
        <v>100000</v>
      </c>
      <c r="CC31" s="70">
        <f t="shared" si="7"/>
        <v>50000</v>
      </c>
      <c r="CD31" s="70">
        <f t="shared" si="8"/>
        <v>0</v>
      </c>
      <c r="CE31" s="70">
        <f>SUM(BZ31:CD31)</f>
        <v>250000</v>
      </c>
      <c r="CF31" s="64">
        <f t="shared" si="27"/>
        <v>0</v>
      </c>
    </row>
    <row r="32" spans="1:93" s="49" customFormat="1" ht="14.4" hidden="1" customHeight="1" outlineLevel="1" x14ac:dyDescent="0.3">
      <c r="A32" s="67" t="str">
        <f>'CC detallado'!A32</f>
        <v>1.5.2</v>
      </c>
      <c r="B32" s="67">
        <f>'CC detallado'!B32</f>
        <v>1</v>
      </c>
      <c r="C32" s="67">
        <f>'CC detallado'!C32</f>
        <v>145</v>
      </c>
      <c r="D32" s="67" t="str">
        <f>'CC detallado'!D32</f>
        <v>CI</v>
      </c>
      <c r="E32" s="67" t="str">
        <f>'CC detallado'!E32</f>
        <v>3CV</v>
      </c>
      <c r="F32" s="67" t="str">
        <f>'CC detallado'!F32</f>
        <v>X Prod</v>
      </c>
      <c r="G32" s="166" t="str">
        <f>'CC detallado'!G32</f>
        <v>Creación de la Red de Laboratorios del SENACSA – DIGELAB. Capacitación de un profesional 30 días</v>
      </c>
      <c r="H32" s="68">
        <f>'CC detallado'!H32</f>
        <v>1</v>
      </c>
      <c r="I32" s="68" t="str">
        <f>'CC detallado'!I32</f>
        <v>persona</v>
      </c>
      <c r="J32" s="68">
        <f>'CC detallado'!J32</f>
        <v>1</v>
      </c>
      <c r="K32" s="68" t="str">
        <f>'CC detallado'!K32</f>
        <v xml:space="preserve">mes </v>
      </c>
      <c r="L32" s="153">
        <f>'CC detallado'!L32</f>
        <v>6500</v>
      </c>
      <c r="M32" s="70">
        <f>'CC detallado'!M32</f>
        <v>6500</v>
      </c>
      <c r="N32" s="48"/>
      <c r="O32" s="195"/>
      <c r="P32" s="195"/>
      <c r="Q32" s="195"/>
      <c r="R32" s="195"/>
      <c r="S32" s="195"/>
      <c r="T32" s="195"/>
      <c r="U32" s="196"/>
      <c r="V32" s="196"/>
      <c r="W32" s="197">
        <f>$M$32*30%</f>
        <v>1950</v>
      </c>
      <c r="X32" s="197"/>
      <c r="Y32" s="197">
        <f>$M$32*70%</f>
        <v>4550</v>
      </c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5"/>
      <c r="BN32" s="195"/>
      <c r="BO32" s="195"/>
      <c r="BP32" s="195"/>
      <c r="BQ32" s="195"/>
      <c r="BR32" s="195"/>
      <c r="BS32" s="195"/>
      <c r="BT32" s="195"/>
      <c r="BU32" s="195"/>
      <c r="BV32" s="195"/>
      <c r="BW32" s="195">
        <f>SUM(O32:BV32)</f>
        <v>6500</v>
      </c>
      <c r="BX32" s="88">
        <f t="shared" si="3"/>
        <v>0</v>
      </c>
      <c r="BY32" s="57"/>
      <c r="BZ32" s="70">
        <f t="shared" si="4"/>
        <v>6500</v>
      </c>
      <c r="CA32" s="70">
        <f t="shared" si="5"/>
        <v>0</v>
      </c>
      <c r="CB32" s="70">
        <f t="shared" si="6"/>
        <v>0</v>
      </c>
      <c r="CC32" s="70">
        <f t="shared" si="7"/>
        <v>0</v>
      </c>
      <c r="CD32" s="70">
        <f t="shared" si="8"/>
        <v>0</v>
      </c>
      <c r="CE32" s="70">
        <f t="shared" ref="CE32:CE34" si="32">SUM(BZ32:CD32)</f>
        <v>6500</v>
      </c>
      <c r="CF32" s="64">
        <f t="shared" si="27"/>
        <v>0</v>
      </c>
    </row>
    <row r="33" spans="1:93" ht="14.4" hidden="1" customHeight="1" outlineLevel="1" x14ac:dyDescent="0.3">
      <c r="A33" s="67" t="str">
        <f>'CC detallado'!A33</f>
        <v>1.5.3</v>
      </c>
      <c r="B33" s="67">
        <f>'CC detallado'!B33</f>
        <v>1</v>
      </c>
      <c r="C33" s="67">
        <f>'CC detallado'!C33</f>
        <v>540</v>
      </c>
      <c r="D33" s="67" t="str">
        <f>'CC detallado'!D33</f>
        <v>B</v>
      </c>
      <c r="E33" s="67" t="str">
        <f>'CC detallado'!E33</f>
        <v>LPI</v>
      </c>
      <c r="F33" s="67" t="str">
        <f>'CC detallado'!F33</f>
        <v>lab</v>
      </c>
      <c r="G33" s="166" t="str">
        <f>'CC detallado'!G33</f>
        <v>Adquisición de equipamiento para DIGELAB.57 ítems</v>
      </c>
      <c r="H33" s="68">
        <f>'CC detallado'!H33</f>
        <v>1</v>
      </c>
      <c r="I33" s="68" t="str">
        <f>'CC detallado'!I33</f>
        <v>ítem</v>
      </c>
      <c r="J33" s="68">
        <f>'CC detallado'!J33</f>
        <v>3</v>
      </c>
      <c r="K33" s="68" t="str">
        <f>'CC detallado'!K33</f>
        <v>meses</v>
      </c>
      <c r="L33" s="70">
        <f>'CC detallado'!L33</f>
        <v>0</v>
      </c>
      <c r="M33" s="70">
        <f>'CC detallado'!M33</f>
        <v>2307500</v>
      </c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6"/>
      <c r="Z33" s="196"/>
      <c r="AA33" s="196"/>
      <c r="AB33" s="196"/>
      <c r="AC33" s="196"/>
      <c r="AD33" s="197"/>
      <c r="AE33" s="197"/>
      <c r="AF33" s="197">
        <f>$M$33*30%</f>
        <v>692250</v>
      </c>
      <c r="AG33" s="197">
        <v>0</v>
      </c>
      <c r="AH33" s="197"/>
      <c r="AI33" s="197"/>
      <c r="AJ33" s="197"/>
      <c r="AK33" s="197"/>
      <c r="AL33" s="197"/>
      <c r="AM33" s="197">
        <f>$M$33*40%</f>
        <v>923000</v>
      </c>
      <c r="AN33" s="197">
        <v>0</v>
      </c>
      <c r="AO33" s="197">
        <v>0</v>
      </c>
      <c r="AP33" s="197">
        <v>0</v>
      </c>
      <c r="AQ33" s="197">
        <f>$M$33*30%</f>
        <v>692250</v>
      </c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5"/>
      <c r="BN33" s="195"/>
      <c r="BO33" s="195"/>
      <c r="BP33" s="195"/>
      <c r="BQ33" s="195"/>
      <c r="BR33" s="195"/>
      <c r="BS33" s="195"/>
      <c r="BT33" s="195"/>
      <c r="BU33" s="195"/>
      <c r="BV33" s="195"/>
      <c r="BW33" s="195">
        <f>SUM(O33:BV33)</f>
        <v>2307500</v>
      </c>
      <c r="BX33" s="88">
        <f t="shared" si="3"/>
        <v>0</v>
      </c>
      <c r="BY33" s="57"/>
      <c r="BZ33" s="70">
        <f t="shared" si="4"/>
        <v>0</v>
      </c>
      <c r="CA33" s="70">
        <f t="shared" si="5"/>
        <v>692250</v>
      </c>
      <c r="CB33" s="70">
        <f t="shared" si="6"/>
        <v>1615250</v>
      </c>
      <c r="CC33" s="70">
        <f t="shared" si="7"/>
        <v>0</v>
      </c>
      <c r="CD33" s="70">
        <f t="shared" si="8"/>
        <v>0</v>
      </c>
      <c r="CE33" s="70">
        <f t="shared" si="32"/>
        <v>2307500</v>
      </c>
      <c r="CF33" s="64">
        <f t="shared" si="27"/>
        <v>0</v>
      </c>
    </row>
    <row r="34" spans="1:93" ht="14.4" hidden="1" customHeight="1" outlineLevel="1" x14ac:dyDescent="0.3">
      <c r="A34" s="67" t="str">
        <f>'CC detallado'!A34</f>
        <v>1.5.4</v>
      </c>
      <c r="B34" s="67">
        <f>'CC detallado'!B34</f>
        <v>1</v>
      </c>
      <c r="C34" s="67">
        <f>'CC detallado'!C34</f>
        <v>145</v>
      </c>
      <c r="D34" s="67" t="str">
        <f>'CC detallado'!D34</f>
        <v>CI</v>
      </c>
      <c r="E34" s="67" t="str">
        <f>'CC detallado'!E34</f>
        <v>3CV</v>
      </c>
      <c r="F34" s="67" t="str">
        <f>'CC detallado'!F34</f>
        <v>X Prod</v>
      </c>
      <c r="G34" s="166" t="str">
        <f>'CC detallado'!G34</f>
        <v>Incrementar controles de productos biológicos y producción de reactivos. Capacitación de dos profesionales de SENACSA</v>
      </c>
      <c r="H34" s="69">
        <f>'CC detallado'!H34</f>
        <v>2</v>
      </c>
      <c r="I34" s="69" t="str">
        <f>'CC detallado'!I34</f>
        <v>personas</v>
      </c>
      <c r="J34" s="69">
        <f>'CC detallado'!J34</f>
        <v>2</v>
      </c>
      <c r="K34" s="69" t="str">
        <f>'CC detallado'!K34</f>
        <v>meses</v>
      </c>
      <c r="L34" s="70">
        <f>'CC detallado'!L34</f>
        <v>63000</v>
      </c>
      <c r="M34" s="70">
        <f>'CC detallado'!M34</f>
        <v>126000</v>
      </c>
      <c r="O34" s="195"/>
      <c r="P34" s="195"/>
      <c r="Q34" s="195"/>
      <c r="R34" s="195"/>
      <c r="S34" s="195"/>
      <c r="T34" s="195"/>
      <c r="U34" s="195"/>
      <c r="V34" s="195"/>
      <c r="W34" s="196"/>
      <c r="X34" s="196"/>
      <c r="Y34" s="197">
        <f>$M$34*25%</f>
        <v>31500</v>
      </c>
      <c r="Z34" s="197">
        <f>$M$34*25%</f>
        <v>31500</v>
      </c>
      <c r="AA34" s="197">
        <f>$M$34*25%</f>
        <v>31500</v>
      </c>
      <c r="AB34" s="197">
        <f>$M$34*25%</f>
        <v>31500</v>
      </c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5"/>
      <c r="BN34" s="195"/>
      <c r="BO34" s="195"/>
      <c r="BP34" s="195"/>
      <c r="BQ34" s="195"/>
      <c r="BR34" s="195"/>
      <c r="BS34" s="195"/>
      <c r="BT34" s="195"/>
      <c r="BU34" s="195"/>
      <c r="BV34" s="195"/>
      <c r="BW34" s="195">
        <f>SUM(O34:BV34)</f>
        <v>126000</v>
      </c>
      <c r="BX34" s="88">
        <f t="shared" si="3"/>
        <v>0</v>
      </c>
      <c r="BY34" s="57"/>
      <c r="BZ34" s="70">
        <f t="shared" si="4"/>
        <v>63000</v>
      </c>
      <c r="CA34" s="70">
        <f t="shared" si="5"/>
        <v>63000</v>
      </c>
      <c r="CB34" s="70">
        <f t="shared" si="6"/>
        <v>0</v>
      </c>
      <c r="CC34" s="70">
        <f t="shared" si="7"/>
        <v>0</v>
      </c>
      <c r="CD34" s="70">
        <f t="shared" si="8"/>
        <v>0</v>
      </c>
      <c r="CE34" s="70">
        <f t="shared" si="32"/>
        <v>126000</v>
      </c>
      <c r="CF34" s="64">
        <f t="shared" si="27"/>
        <v>0</v>
      </c>
    </row>
    <row r="35" spans="1:93" ht="14.4" customHeight="1" collapsed="1" x14ac:dyDescent="0.3">
      <c r="A35" s="190" t="str">
        <f>'CC detallado'!A35</f>
        <v>1.6</v>
      </c>
      <c r="B35" s="190" t="str">
        <f>'CC detallado'!B35</f>
        <v>C-1</v>
      </c>
      <c r="C35" s="190" t="str">
        <f>'CC detallado'!C35</f>
        <v>-</v>
      </c>
      <c r="D35" s="190" t="str">
        <f>'CC detallado'!D35</f>
        <v>-</v>
      </c>
      <c r="E35" s="190" t="str">
        <f>'CC detallado'!E35</f>
        <v>-</v>
      </c>
      <c r="F35" s="190" t="str">
        <f>'CC detallado'!F35</f>
        <v>-</v>
      </c>
      <c r="G35" s="185" t="str">
        <f>'CC detallado'!G35</f>
        <v>Producto 6: Infraestructura edilicia mejorada e integrada a la red</v>
      </c>
      <c r="H35" s="186">
        <f>'CC detallado'!H35</f>
        <v>0</v>
      </c>
      <c r="I35" s="186">
        <f>'CC detallado'!I35</f>
        <v>0</v>
      </c>
      <c r="J35" s="186">
        <f>'CC detallado'!J35</f>
        <v>0</v>
      </c>
      <c r="K35" s="186">
        <f>'CC detallado'!K35</f>
        <v>0</v>
      </c>
      <c r="L35" s="187">
        <f>'CC detallado'!L35</f>
        <v>0</v>
      </c>
      <c r="M35" s="187">
        <f>SUM(M36:M40)</f>
        <v>3916600</v>
      </c>
      <c r="O35" s="187">
        <f>SUM(O36:O40)</f>
        <v>0</v>
      </c>
      <c r="P35" s="187">
        <f t="shared" ref="P35:BW35" si="33">SUM(P36:P40)</f>
        <v>0</v>
      </c>
      <c r="Q35" s="187">
        <f t="shared" si="33"/>
        <v>0</v>
      </c>
      <c r="R35" s="187">
        <f t="shared" si="33"/>
        <v>0</v>
      </c>
      <c r="S35" s="187">
        <f t="shared" si="33"/>
        <v>0</v>
      </c>
      <c r="T35" s="187">
        <f t="shared" si="33"/>
        <v>0</v>
      </c>
      <c r="U35" s="187">
        <f t="shared" si="33"/>
        <v>0</v>
      </c>
      <c r="V35" s="187">
        <f t="shared" si="33"/>
        <v>0</v>
      </c>
      <c r="W35" s="187">
        <f t="shared" si="33"/>
        <v>0</v>
      </c>
      <c r="X35" s="187">
        <f t="shared" si="33"/>
        <v>0</v>
      </c>
      <c r="Y35" s="187">
        <f t="shared" si="33"/>
        <v>0</v>
      </c>
      <c r="Z35" s="187">
        <f t="shared" si="33"/>
        <v>11830.000000000002</v>
      </c>
      <c r="AA35" s="187">
        <f t="shared" si="33"/>
        <v>199607.77777777775</v>
      </c>
      <c r="AB35" s="187">
        <f t="shared" si="33"/>
        <v>199607.77777777775</v>
      </c>
      <c r="AC35" s="187">
        <f t="shared" si="33"/>
        <v>199607.77777777775</v>
      </c>
      <c r="AD35" s="187">
        <f t="shared" si="33"/>
        <v>199607.77777777775</v>
      </c>
      <c r="AE35" s="187">
        <f t="shared" si="33"/>
        <v>199607.77777777775</v>
      </c>
      <c r="AF35" s="187">
        <f t="shared" si="33"/>
        <v>199607.77777777775</v>
      </c>
      <c r="AG35" s="187">
        <f t="shared" si="33"/>
        <v>199607.77777777775</v>
      </c>
      <c r="AH35" s="187">
        <f t="shared" si="33"/>
        <v>289607.77777777775</v>
      </c>
      <c r="AI35" s="187">
        <f t="shared" si="33"/>
        <v>199607.77777777775</v>
      </c>
      <c r="AJ35" s="187">
        <f t="shared" si="33"/>
        <v>199607.77777777775</v>
      </c>
      <c r="AK35" s="187">
        <f t="shared" si="33"/>
        <v>199607.77777777775</v>
      </c>
      <c r="AL35" s="187">
        <f t="shared" si="33"/>
        <v>199607.77777777775</v>
      </c>
      <c r="AM35" s="187">
        <f t="shared" si="33"/>
        <v>409607.77777777775</v>
      </c>
      <c r="AN35" s="187">
        <f t="shared" si="33"/>
        <v>199607.77777777775</v>
      </c>
      <c r="AO35" s="187">
        <f t="shared" si="33"/>
        <v>199607.77777777775</v>
      </c>
      <c r="AP35" s="187">
        <f t="shared" si="33"/>
        <v>199607.77777777775</v>
      </c>
      <c r="AQ35" s="187">
        <f t="shared" si="33"/>
        <v>199607.77777777775</v>
      </c>
      <c r="AR35" s="187">
        <f t="shared" si="33"/>
        <v>199607.77777777775</v>
      </c>
      <c r="AS35" s="187">
        <f t="shared" si="33"/>
        <v>11830.000000000002</v>
      </c>
      <c r="AT35" s="187">
        <f t="shared" si="33"/>
        <v>0</v>
      </c>
      <c r="AU35" s="187">
        <f t="shared" si="33"/>
        <v>0</v>
      </c>
      <c r="AV35" s="187">
        <f t="shared" si="33"/>
        <v>0</v>
      </c>
      <c r="AW35" s="187">
        <f t="shared" si="33"/>
        <v>0</v>
      </c>
      <c r="AX35" s="187">
        <f t="shared" si="33"/>
        <v>0</v>
      </c>
      <c r="AY35" s="187">
        <f t="shared" si="33"/>
        <v>0</v>
      </c>
      <c r="AZ35" s="187">
        <f t="shared" si="33"/>
        <v>0</v>
      </c>
      <c r="BA35" s="187">
        <f t="shared" si="33"/>
        <v>0</v>
      </c>
      <c r="BB35" s="187">
        <f t="shared" si="33"/>
        <v>0</v>
      </c>
      <c r="BC35" s="187">
        <f t="shared" si="33"/>
        <v>0</v>
      </c>
      <c r="BD35" s="187">
        <f t="shared" si="33"/>
        <v>0</v>
      </c>
      <c r="BE35" s="187">
        <f t="shared" si="33"/>
        <v>0</v>
      </c>
      <c r="BF35" s="187">
        <f t="shared" si="33"/>
        <v>0</v>
      </c>
      <c r="BG35" s="187">
        <f t="shared" si="33"/>
        <v>0</v>
      </c>
      <c r="BH35" s="187">
        <f t="shared" si="33"/>
        <v>0</v>
      </c>
      <c r="BI35" s="187">
        <f t="shared" si="33"/>
        <v>0</v>
      </c>
      <c r="BJ35" s="187">
        <f t="shared" si="33"/>
        <v>0</v>
      </c>
      <c r="BK35" s="187">
        <f t="shared" si="33"/>
        <v>0</v>
      </c>
      <c r="BL35" s="187">
        <f t="shared" si="33"/>
        <v>0</v>
      </c>
      <c r="BM35" s="187">
        <f t="shared" si="33"/>
        <v>0</v>
      </c>
      <c r="BN35" s="187">
        <f t="shared" si="33"/>
        <v>0</v>
      </c>
      <c r="BO35" s="187">
        <f t="shared" si="33"/>
        <v>0</v>
      </c>
      <c r="BP35" s="187">
        <f t="shared" si="33"/>
        <v>0</v>
      </c>
      <c r="BQ35" s="187">
        <f t="shared" si="33"/>
        <v>0</v>
      </c>
      <c r="BR35" s="187">
        <f t="shared" si="33"/>
        <v>0</v>
      </c>
      <c r="BS35" s="187">
        <f t="shared" si="33"/>
        <v>0</v>
      </c>
      <c r="BT35" s="187">
        <f t="shared" si="33"/>
        <v>0</v>
      </c>
      <c r="BU35" s="187">
        <f t="shared" si="33"/>
        <v>0</v>
      </c>
      <c r="BV35" s="187">
        <f t="shared" si="33"/>
        <v>0</v>
      </c>
      <c r="BW35" s="187">
        <f t="shared" si="33"/>
        <v>3916600.0000000005</v>
      </c>
      <c r="BX35" s="88">
        <f t="shared" si="3"/>
        <v>0</v>
      </c>
      <c r="BY35" s="57"/>
      <c r="BZ35" s="187">
        <f t="shared" si="4"/>
        <v>11830.000000000002</v>
      </c>
      <c r="CA35" s="187">
        <f t="shared" si="5"/>
        <v>2485293.333333333</v>
      </c>
      <c r="CB35" s="187">
        <f t="shared" si="6"/>
        <v>1419476.6666666665</v>
      </c>
      <c r="CC35" s="187">
        <f t="shared" si="7"/>
        <v>0</v>
      </c>
      <c r="CD35" s="187">
        <f t="shared" si="8"/>
        <v>0</v>
      </c>
      <c r="CE35" s="187">
        <f t="shared" ref="CE35" si="34">SUM(CE36:CE40)</f>
        <v>3916600</v>
      </c>
      <c r="CF35" s="64">
        <f t="shared" si="10"/>
        <v>0</v>
      </c>
    </row>
    <row r="36" spans="1:93" ht="14.4" hidden="1" customHeight="1" outlineLevel="1" x14ac:dyDescent="0.3">
      <c r="A36" s="67" t="str">
        <f>'CC detallado'!A36</f>
        <v>1.6.1</v>
      </c>
      <c r="B36" s="67">
        <f>'CC detallado'!B36</f>
        <v>1</v>
      </c>
      <c r="C36" s="67">
        <f>'CC detallado'!C36</f>
        <v>520</v>
      </c>
      <c r="D36" s="67" t="str">
        <f>'CC detallado'!D36</f>
        <v>O</v>
      </c>
      <c r="E36" s="67" t="str">
        <f>'CC detallado'!E36</f>
        <v>LPI</v>
      </c>
      <c r="F36" s="67" t="str">
        <f>'CC detallado'!F36</f>
        <v>Obra</v>
      </c>
      <c r="G36" s="166" t="str">
        <f>'CC detallado'!G36</f>
        <v>Unidades Regionales</v>
      </c>
      <c r="H36" s="69">
        <f>'CC detallado'!H36</f>
        <v>4</v>
      </c>
      <c r="I36" s="69">
        <f>'CC detallado'!I36</f>
        <v>0</v>
      </c>
      <c r="J36" s="69">
        <f>'CC detallado'!J36</f>
        <v>18</v>
      </c>
      <c r="K36" s="69" t="str">
        <f>'CC detallado'!K36</f>
        <v>meses</v>
      </c>
      <c r="L36" s="70">
        <f>'CC detallado'!L36</f>
        <v>325000</v>
      </c>
      <c r="M36" s="70">
        <f>'CC detallado'!M36</f>
        <v>1300000</v>
      </c>
      <c r="O36" s="195"/>
      <c r="P36" s="195"/>
      <c r="Q36" s="195"/>
      <c r="R36" s="195"/>
      <c r="S36" s="195"/>
      <c r="T36" s="195"/>
      <c r="U36" s="195"/>
      <c r="V36" s="196"/>
      <c r="W36" s="196"/>
      <c r="X36" s="196"/>
      <c r="Y36" s="196"/>
      <c r="Z36" s="196"/>
      <c r="AA36" s="197">
        <f>M36/18</f>
        <v>72222.222222222219</v>
      </c>
      <c r="AB36" s="197">
        <f>AA36</f>
        <v>72222.222222222219</v>
      </c>
      <c r="AC36" s="197">
        <f t="shared" ref="AC36:AR36" si="35">AB36</f>
        <v>72222.222222222219</v>
      </c>
      <c r="AD36" s="197">
        <f t="shared" si="35"/>
        <v>72222.222222222219</v>
      </c>
      <c r="AE36" s="197">
        <f t="shared" si="35"/>
        <v>72222.222222222219</v>
      </c>
      <c r="AF36" s="197">
        <f t="shared" si="35"/>
        <v>72222.222222222219</v>
      </c>
      <c r="AG36" s="197">
        <f t="shared" si="35"/>
        <v>72222.222222222219</v>
      </c>
      <c r="AH36" s="197">
        <f t="shared" si="35"/>
        <v>72222.222222222219</v>
      </c>
      <c r="AI36" s="197">
        <f t="shared" si="35"/>
        <v>72222.222222222219</v>
      </c>
      <c r="AJ36" s="197">
        <f t="shared" si="35"/>
        <v>72222.222222222219</v>
      </c>
      <c r="AK36" s="197">
        <f t="shared" si="35"/>
        <v>72222.222222222219</v>
      </c>
      <c r="AL36" s="197">
        <f t="shared" si="35"/>
        <v>72222.222222222219</v>
      </c>
      <c r="AM36" s="197">
        <f t="shared" si="35"/>
        <v>72222.222222222219</v>
      </c>
      <c r="AN36" s="197">
        <f t="shared" si="35"/>
        <v>72222.222222222219</v>
      </c>
      <c r="AO36" s="197">
        <f t="shared" si="35"/>
        <v>72222.222222222219</v>
      </c>
      <c r="AP36" s="197">
        <f t="shared" si="35"/>
        <v>72222.222222222219</v>
      </c>
      <c r="AQ36" s="197">
        <f t="shared" si="35"/>
        <v>72222.222222222219</v>
      </c>
      <c r="AR36" s="197">
        <f t="shared" si="35"/>
        <v>72222.222222222219</v>
      </c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5"/>
      <c r="BN36" s="195"/>
      <c r="BO36" s="195"/>
      <c r="BP36" s="195"/>
      <c r="BQ36" s="195"/>
      <c r="BR36" s="195"/>
      <c r="BS36" s="195"/>
      <c r="BT36" s="195"/>
      <c r="BU36" s="195"/>
      <c r="BV36" s="195"/>
      <c r="BW36" s="195">
        <f>SUM(O36:BV36)</f>
        <v>1300000.0000000002</v>
      </c>
      <c r="BX36" s="88">
        <f t="shared" si="3"/>
        <v>0</v>
      </c>
      <c r="BZ36" s="153">
        <f t="shared" si="4"/>
        <v>0</v>
      </c>
      <c r="CA36" s="153">
        <f t="shared" si="5"/>
        <v>866666.66666666686</v>
      </c>
      <c r="CB36" s="153">
        <f t="shared" si="6"/>
        <v>433333.33333333337</v>
      </c>
      <c r="CC36" s="153">
        <f t="shared" si="7"/>
        <v>0</v>
      </c>
      <c r="CD36" s="153">
        <f t="shared" si="8"/>
        <v>0</v>
      </c>
      <c r="CE36" s="153">
        <f>SUM(BZ36:CD36)</f>
        <v>1300000.0000000002</v>
      </c>
      <c r="CF36" s="64">
        <f t="shared" si="10"/>
        <v>0</v>
      </c>
    </row>
    <row r="37" spans="1:93" ht="14.4" hidden="1" customHeight="1" outlineLevel="1" x14ac:dyDescent="0.3">
      <c r="A37" s="67" t="str">
        <f>'CC detallado'!A37</f>
        <v>1.6.2</v>
      </c>
      <c r="B37" s="67">
        <f>'CC detallado'!B37</f>
        <v>1</v>
      </c>
      <c r="C37" s="67">
        <f>'CC detallado'!C37</f>
        <v>520</v>
      </c>
      <c r="D37" s="67" t="str">
        <f>'CC detallado'!D37</f>
        <v>O</v>
      </c>
      <c r="E37" s="67" t="str">
        <f>'CC detallado'!E37</f>
        <v>LPI</v>
      </c>
      <c r="F37" s="67" t="str">
        <f>'CC detallado'!F37</f>
        <v>Obra</v>
      </c>
      <c r="G37" s="166" t="str">
        <f>'CC detallado'!G37</f>
        <v>Unidades de Atención Zonal</v>
      </c>
      <c r="H37" s="69">
        <f>'CC detallado'!H37</f>
        <v>6</v>
      </c>
      <c r="I37" s="69">
        <f>'CC detallado'!I37</f>
        <v>0</v>
      </c>
      <c r="J37" s="69">
        <f>'CC detallado'!J37</f>
        <v>18</v>
      </c>
      <c r="K37" s="69" t="str">
        <f>'CC detallado'!K37</f>
        <v>meses</v>
      </c>
      <c r="L37" s="70">
        <f>'CC detallado'!L37</f>
        <v>230000</v>
      </c>
      <c r="M37" s="70">
        <f>'CC detallado'!M37</f>
        <v>1380000</v>
      </c>
      <c r="O37" s="195"/>
      <c r="P37" s="195"/>
      <c r="Q37" s="195"/>
      <c r="R37" s="195"/>
      <c r="S37" s="195"/>
      <c r="T37" s="195"/>
      <c r="U37" s="195"/>
      <c r="V37" s="196"/>
      <c r="W37" s="196"/>
      <c r="X37" s="196"/>
      <c r="Y37" s="196"/>
      <c r="Z37" s="196"/>
      <c r="AA37" s="197">
        <f>M37/18</f>
        <v>76666.666666666672</v>
      </c>
      <c r="AB37" s="197">
        <f t="shared" ref="AB37:AN38" si="36">AA37</f>
        <v>76666.666666666672</v>
      </c>
      <c r="AC37" s="197">
        <f t="shared" si="36"/>
        <v>76666.666666666672</v>
      </c>
      <c r="AD37" s="197">
        <f t="shared" si="36"/>
        <v>76666.666666666672</v>
      </c>
      <c r="AE37" s="197">
        <f t="shared" si="36"/>
        <v>76666.666666666672</v>
      </c>
      <c r="AF37" s="197">
        <f t="shared" si="36"/>
        <v>76666.666666666672</v>
      </c>
      <c r="AG37" s="197">
        <f t="shared" si="36"/>
        <v>76666.666666666672</v>
      </c>
      <c r="AH37" s="197">
        <f t="shared" si="36"/>
        <v>76666.666666666672</v>
      </c>
      <c r="AI37" s="197">
        <f t="shared" si="36"/>
        <v>76666.666666666672</v>
      </c>
      <c r="AJ37" s="197">
        <f t="shared" si="36"/>
        <v>76666.666666666672</v>
      </c>
      <c r="AK37" s="197">
        <f t="shared" si="36"/>
        <v>76666.666666666672</v>
      </c>
      <c r="AL37" s="197">
        <f t="shared" si="36"/>
        <v>76666.666666666672</v>
      </c>
      <c r="AM37" s="197">
        <f t="shared" si="36"/>
        <v>76666.666666666672</v>
      </c>
      <c r="AN37" s="197">
        <f t="shared" si="36"/>
        <v>76666.666666666672</v>
      </c>
      <c r="AO37" s="197">
        <f t="shared" ref="AO37:AR37" si="37">AN37</f>
        <v>76666.666666666672</v>
      </c>
      <c r="AP37" s="197">
        <f t="shared" si="37"/>
        <v>76666.666666666672</v>
      </c>
      <c r="AQ37" s="197">
        <f t="shared" si="37"/>
        <v>76666.666666666672</v>
      </c>
      <c r="AR37" s="197">
        <f t="shared" si="37"/>
        <v>76666.666666666672</v>
      </c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5"/>
      <c r="BR37" s="195"/>
      <c r="BS37" s="195"/>
      <c r="BT37" s="195"/>
      <c r="BU37" s="195"/>
      <c r="BV37" s="195"/>
      <c r="BW37" s="195">
        <f>SUM(O37:BV37)</f>
        <v>1380000.0000000002</v>
      </c>
      <c r="BX37" s="88">
        <f t="shared" si="3"/>
        <v>0</v>
      </c>
      <c r="BZ37" s="153">
        <f t="shared" si="4"/>
        <v>0</v>
      </c>
      <c r="CA37" s="153">
        <f t="shared" si="5"/>
        <v>919999.99999999988</v>
      </c>
      <c r="CB37" s="153">
        <f t="shared" si="6"/>
        <v>460000.00000000006</v>
      </c>
      <c r="CC37" s="153">
        <f t="shared" si="7"/>
        <v>0</v>
      </c>
      <c r="CD37" s="153">
        <f t="shared" si="8"/>
        <v>0</v>
      </c>
      <c r="CE37" s="153">
        <f t="shared" ref="CE37:CE40" si="38">SUM(BZ37:CD37)</f>
        <v>1380000</v>
      </c>
      <c r="CF37" s="64">
        <f t="shared" si="10"/>
        <v>0</v>
      </c>
    </row>
    <row r="38" spans="1:93" ht="14.4" hidden="1" customHeight="1" outlineLevel="1" x14ac:dyDescent="0.3">
      <c r="A38" s="67" t="str">
        <f>'CC detallado'!A38</f>
        <v>1.6.3</v>
      </c>
      <c r="B38" s="67">
        <f>'CC detallado'!B38</f>
        <v>1</v>
      </c>
      <c r="C38" s="67">
        <f>'CC detallado'!C38</f>
        <v>520</v>
      </c>
      <c r="D38" s="67" t="str">
        <f>'CC detallado'!D38</f>
        <v>O</v>
      </c>
      <c r="E38" s="67" t="str">
        <f>'CC detallado'!E38</f>
        <v>LPI</v>
      </c>
      <c r="F38" s="67" t="str">
        <f>'CC detallado'!F38</f>
        <v>Obra</v>
      </c>
      <c r="G38" s="166" t="str">
        <f>'CC detallado'!G38</f>
        <v>Puntos de Ingresos</v>
      </c>
      <c r="H38" s="69">
        <f>'CC detallado'!H38</f>
        <v>7</v>
      </c>
      <c r="I38" s="69">
        <f>'CC detallado'!I38</f>
        <v>0</v>
      </c>
      <c r="J38" s="69">
        <f>'CC detallado'!J38</f>
        <v>18</v>
      </c>
      <c r="K38" s="69" t="str">
        <f>'CC detallado'!K38</f>
        <v>meses</v>
      </c>
      <c r="L38" s="70">
        <f>'CC detallado'!L38</f>
        <v>100000</v>
      </c>
      <c r="M38" s="70">
        <f>'CC detallado'!M38</f>
        <v>700000</v>
      </c>
      <c r="O38" s="195"/>
      <c r="P38" s="195"/>
      <c r="Q38" s="195"/>
      <c r="R38" s="195"/>
      <c r="S38" s="195"/>
      <c r="T38" s="195"/>
      <c r="U38" s="195"/>
      <c r="V38" s="196"/>
      <c r="W38" s="196"/>
      <c r="X38" s="196"/>
      <c r="Y38" s="196"/>
      <c r="Z38" s="196"/>
      <c r="AA38" s="197">
        <f>M38/18</f>
        <v>38888.888888888891</v>
      </c>
      <c r="AB38" s="197">
        <f t="shared" si="36"/>
        <v>38888.888888888891</v>
      </c>
      <c r="AC38" s="197">
        <f t="shared" si="36"/>
        <v>38888.888888888891</v>
      </c>
      <c r="AD38" s="197">
        <f t="shared" si="36"/>
        <v>38888.888888888891</v>
      </c>
      <c r="AE38" s="197">
        <f t="shared" si="36"/>
        <v>38888.888888888891</v>
      </c>
      <c r="AF38" s="197">
        <f t="shared" si="36"/>
        <v>38888.888888888891</v>
      </c>
      <c r="AG38" s="197">
        <f t="shared" si="36"/>
        <v>38888.888888888891</v>
      </c>
      <c r="AH38" s="197">
        <f t="shared" si="36"/>
        <v>38888.888888888891</v>
      </c>
      <c r="AI38" s="197">
        <f t="shared" si="36"/>
        <v>38888.888888888891</v>
      </c>
      <c r="AJ38" s="197">
        <f t="shared" si="36"/>
        <v>38888.888888888891</v>
      </c>
      <c r="AK38" s="197">
        <f t="shared" si="36"/>
        <v>38888.888888888891</v>
      </c>
      <c r="AL38" s="197">
        <f t="shared" si="36"/>
        <v>38888.888888888891</v>
      </c>
      <c r="AM38" s="197">
        <f t="shared" si="36"/>
        <v>38888.888888888891</v>
      </c>
      <c r="AN38" s="197">
        <f t="shared" si="36"/>
        <v>38888.888888888891</v>
      </c>
      <c r="AO38" s="197">
        <f t="shared" ref="AO38:AR38" si="39">AN38</f>
        <v>38888.888888888891</v>
      </c>
      <c r="AP38" s="197">
        <f t="shared" si="39"/>
        <v>38888.888888888891</v>
      </c>
      <c r="AQ38" s="197">
        <f t="shared" si="39"/>
        <v>38888.888888888891</v>
      </c>
      <c r="AR38" s="197">
        <f t="shared" si="39"/>
        <v>38888.888888888891</v>
      </c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  <c r="BI38" s="195"/>
      <c r="BJ38" s="195"/>
      <c r="BK38" s="195"/>
      <c r="BL38" s="195"/>
      <c r="BM38" s="195"/>
      <c r="BN38" s="195"/>
      <c r="BO38" s="195"/>
      <c r="BP38" s="195"/>
      <c r="BQ38" s="195"/>
      <c r="BR38" s="195"/>
      <c r="BS38" s="195"/>
      <c r="BT38" s="195"/>
      <c r="BU38" s="195"/>
      <c r="BV38" s="195"/>
      <c r="BW38" s="195">
        <f t="shared" ref="BW38:BW40" si="40">SUM(O38:BV38)</f>
        <v>699999.99999999988</v>
      </c>
      <c r="BX38" s="88">
        <f t="shared" si="3"/>
        <v>0</v>
      </c>
      <c r="BZ38" s="153">
        <f t="shared" si="4"/>
        <v>0</v>
      </c>
      <c r="CA38" s="153">
        <f t="shared" si="5"/>
        <v>466666.66666666657</v>
      </c>
      <c r="CB38" s="153">
        <f t="shared" si="6"/>
        <v>233333.33333333331</v>
      </c>
      <c r="CC38" s="153">
        <f t="shared" si="7"/>
        <v>0</v>
      </c>
      <c r="CD38" s="153">
        <f t="shared" si="8"/>
        <v>0</v>
      </c>
      <c r="CE38" s="153">
        <f t="shared" si="38"/>
        <v>699999.99999999988</v>
      </c>
      <c r="CF38" s="64">
        <f t="shared" si="10"/>
        <v>0</v>
      </c>
    </row>
    <row r="39" spans="1:93" ht="14.4" hidden="1" customHeight="1" outlineLevel="1" x14ac:dyDescent="0.3">
      <c r="A39" s="67" t="str">
        <f>'CC detallado'!A39</f>
        <v>1.6.4</v>
      </c>
      <c r="B39" s="67">
        <f>'CC detallado'!B39</f>
        <v>1</v>
      </c>
      <c r="C39" s="67">
        <f>'CC detallado'!C39</f>
        <v>520</v>
      </c>
      <c r="D39" s="67" t="str">
        <f>'CC detallado'!D39</f>
        <v>FC</v>
      </c>
      <c r="E39" s="67" t="str">
        <f>'CC detallado'!E39</f>
        <v>SBCC</v>
      </c>
      <c r="F39" s="67" t="str">
        <f>'CC detallado'!F39</f>
        <v>X Prod</v>
      </c>
      <c r="G39" s="166" t="str">
        <f>'CC detallado'!G39</f>
        <v>Fiscalización de obras</v>
      </c>
      <c r="H39" s="69">
        <f>'CC detallado'!H39</f>
        <v>1</v>
      </c>
      <c r="I39" s="69">
        <f>'CC detallado'!I39</f>
        <v>0</v>
      </c>
      <c r="J39" s="69">
        <f>'CC detallado'!J39</f>
        <v>20</v>
      </c>
      <c r="K39" s="69" t="str">
        <f>'CC detallado'!K39</f>
        <v>meses</v>
      </c>
      <c r="L39" s="70" t="e">
        <f>'CC detallado'!#REF!</f>
        <v>#REF!</v>
      </c>
      <c r="M39" s="70">
        <f>'CC detallado'!L39</f>
        <v>236600.00000000003</v>
      </c>
      <c r="O39" s="195"/>
      <c r="P39" s="195"/>
      <c r="Q39" s="195"/>
      <c r="R39" s="195"/>
      <c r="S39" s="195"/>
      <c r="T39" s="196"/>
      <c r="U39" s="196"/>
      <c r="V39" s="196"/>
      <c r="W39" s="196"/>
      <c r="X39" s="196"/>
      <c r="Y39" s="196"/>
      <c r="Z39" s="197">
        <f>M39/20</f>
        <v>11830.000000000002</v>
      </c>
      <c r="AA39" s="197">
        <f>Z39</f>
        <v>11830.000000000002</v>
      </c>
      <c r="AB39" s="197">
        <f t="shared" ref="AB39:AS39" si="41">AA39</f>
        <v>11830.000000000002</v>
      </c>
      <c r="AC39" s="197">
        <f t="shared" si="41"/>
        <v>11830.000000000002</v>
      </c>
      <c r="AD39" s="197">
        <f t="shared" si="41"/>
        <v>11830.000000000002</v>
      </c>
      <c r="AE39" s="197">
        <f t="shared" si="41"/>
        <v>11830.000000000002</v>
      </c>
      <c r="AF39" s="197">
        <f t="shared" si="41"/>
        <v>11830.000000000002</v>
      </c>
      <c r="AG39" s="197">
        <f t="shared" si="41"/>
        <v>11830.000000000002</v>
      </c>
      <c r="AH39" s="197">
        <f t="shared" si="41"/>
        <v>11830.000000000002</v>
      </c>
      <c r="AI39" s="197">
        <f t="shared" si="41"/>
        <v>11830.000000000002</v>
      </c>
      <c r="AJ39" s="197">
        <f t="shared" si="41"/>
        <v>11830.000000000002</v>
      </c>
      <c r="AK39" s="197">
        <f t="shared" si="41"/>
        <v>11830.000000000002</v>
      </c>
      <c r="AL39" s="197">
        <f t="shared" si="41"/>
        <v>11830.000000000002</v>
      </c>
      <c r="AM39" s="197">
        <f t="shared" si="41"/>
        <v>11830.000000000002</v>
      </c>
      <c r="AN39" s="197">
        <f t="shared" si="41"/>
        <v>11830.000000000002</v>
      </c>
      <c r="AO39" s="197">
        <f t="shared" si="41"/>
        <v>11830.000000000002</v>
      </c>
      <c r="AP39" s="197">
        <f t="shared" si="41"/>
        <v>11830.000000000002</v>
      </c>
      <c r="AQ39" s="197">
        <f t="shared" si="41"/>
        <v>11830.000000000002</v>
      </c>
      <c r="AR39" s="197">
        <f t="shared" si="41"/>
        <v>11830.000000000002</v>
      </c>
      <c r="AS39" s="197">
        <f t="shared" si="41"/>
        <v>11830.000000000002</v>
      </c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5"/>
      <c r="BP39" s="195"/>
      <c r="BQ39" s="195"/>
      <c r="BR39" s="195"/>
      <c r="BS39" s="195"/>
      <c r="BT39" s="195"/>
      <c r="BU39" s="195"/>
      <c r="BV39" s="195"/>
      <c r="BW39" s="195">
        <f t="shared" si="40"/>
        <v>236600.00000000003</v>
      </c>
      <c r="BX39" s="88">
        <f t="shared" si="3"/>
        <v>0</v>
      </c>
      <c r="BZ39" s="153">
        <f t="shared" si="4"/>
        <v>11830.000000000002</v>
      </c>
      <c r="CA39" s="153">
        <f t="shared" si="5"/>
        <v>141960.00000000003</v>
      </c>
      <c r="CB39" s="153">
        <f t="shared" si="6"/>
        <v>82810.000000000015</v>
      </c>
      <c r="CC39" s="153">
        <f t="shared" si="7"/>
        <v>0</v>
      </c>
      <c r="CD39" s="153">
        <f t="shared" si="8"/>
        <v>0</v>
      </c>
      <c r="CE39" s="153">
        <f t="shared" si="38"/>
        <v>236600.00000000006</v>
      </c>
      <c r="CF39" s="64">
        <f t="shared" si="10"/>
        <v>0</v>
      </c>
    </row>
    <row r="40" spans="1:93" ht="14.4" hidden="1" customHeight="1" outlineLevel="1" x14ac:dyDescent="0.3">
      <c r="A40" s="67" t="str">
        <f>'CC detallado'!A40</f>
        <v>1.6.5</v>
      </c>
      <c r="B40" s="67">
        <f>'CC detallado'!B40</f>
        <v>1</v>
      </c>
      <c r="C40" s="67">
        <f>'CC detallado'!C40</f>
        <v>530</v>
      </c>
      <c r="D40" s="67" t="str">
        <f>'CC detallado'!D40</f>
        <v>B</v>
      </c>
      <c r="E40" s="67" t="str">
        <f>'CC detallado'!E40</f>
        <v>LPI</v>
      </c>
      <c r="F40" s="67" t="str">
        <f>'CC detallado'!F40</f>
        <v>Vehi</v>
      </c>
      <c r="G40" s="166" t="str">
        <f>'CC detallado'!G40</f>
        <v>Controles Móviles</v>
      </c>
      <c r="H40" s="69">
        <f>'CC detallado'!H40</f>
        <v>4</v>
      </c>
      <c r="I40" s="69" t="str">
        <f>'CC detallado'!I40</f>
        <v>vehículos de laboratorio</v>
      </c>
      <c r="J40" s="69">
        <f>'CC detallado'!J40</f>
        <v>0</v>
      </c>
      <c r="K40" s="69">
        <f>'CC detallado'!K40</f>
        <v>0</v>
      </c>
      <c r="L40" s="70">
        <f>'CC detallado'!L40</f>
        <v>75000</v>
      </c>
      <c r="M40" s="70">
        <f>'CC detallado'!M40</f>
        <v>300000</v>
      </c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6"/>
      <c r="AD40" s="196"/>
      <c r="AE40" s="196"/>
      <c r="AF40" s="196"/>
      <c r="AG40" s="196"/>
      <c r="AH40" s="197">
        <f>$M$40*30%</f>
        <v>90000</v>
      </c>
      <c r="AI40" s="197">
        <v>0</v>
      </c>
      <c r="AJ40" s="197">
        <v>0</v>
      </c>
      <c r="AK40" s="197">
        <v>0</v>
      </c>
      <c r="AL40" s="197">
        <v>0</v>
      </c>
      <c r="AM40" s="197">
        <f>$M$40*70%</f>
        <v>210000</v>
      </c>
      <c r="AN40" s="195">
        <v>0</v>
      </c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  <c r="BI40" s="195"/>
      <c r="BJ40" s="195"/>
      <c r="BK40" s="195"/>
      <c r="BL40" s="195"/>
      <c r="BM40" s="195"/>
      <c r="BN40" s="195"/>
      <c r="BO40" s="195"/>
      <c r="BP40" s="195"/>
      <c r="BQ40" s="195"/>
      <c r="BR40" s="195"/>
      <c r="BS40" s="195"/>
      <c r="BT40" s="195"/>
      <c r="BU40" s="195"/>
      <c r="BV40" s="195"/>
      <c r="BW40" s="195">
        <f t="shared" si="40"/>
        <v>300000</v>
      </c>
      <c r="BX40" s="88">
        <f t="shared" si="3"/>
        <v>0</v>
      </c>
      <c r="BZ40" s="153">
        <f t="shared" si="4"/>
        <v>0</v>
      </c>
      <c r="CA40" s="153">
        <f t="shared" si="5"/>
        <v>90000</v>
      </c>
      <c r="CB40" s="153">
        <f t="shared" si="6"/>
        <v>210000</v>
      </c>
      <c r="CC40" s="153">
        <f t="shared" si="7"/>
        <v>0</v>
      </c>
      <c r="CD40" s="153">
        <f t="shared" si="8"/>
        <v>0</v>
      </c>
      <c r="CE40" s="153">
        <f t="shared" si="38"/>
        <v>300000</v>
      </c>
      <c r="CF40" s="64">
        <f t="shared" si="10"/>
        <v>0</v>
      </c>
    </row>
    <row r="41" spans="1:93" s="66" customFormat="1" ht="14.4" customHeight="1" collapsed="1" x14ac:dyDescent="0.3">
      <c r="A41" s="190" t="str">
        <f>'CC detallado'!A41</f>
        <v>1.7</v>
      </c>
      <c r="B41" s="190" t="str">
        <f>'CC detallado'!B41</f>
        <v>C-1</v>
      </c>
      <c r="C41" s="190" t="str">
        <f>'CC detallado'!C41</f>
        <v>-</v>
      </c>
      <c r="D41" s="190" t="str">
        <f>'CC detallado'!D41</f>
        <v>-</v>
      </c>
      <c r="E41" s="190" t="str">
        <f>'CC detallado'!E41</f>
        <v>-</v>
      </c>
      <c r="F41" s="190" t="str">
        <f>'CC detallado'!F41</f>
        <v>-</v>
      </c>
      <c r="G41" s="185" t="str">
        <f>'CC detallado'!G41</f>
        <v>Producto 7: Sistema informático para gestión de trazabilidad individual implementado</v>
      </c>
      <c r="H41" s="186">
        <f>'CC detallado'!H41</f>
        <v>0</v>
      </c>
      <c r="I41" s="186">
        <f>'CC detallado'!I41</f>
        <v>0</v>
      </c>
      <c r="J41" s="186">
        <f>'CC detallado'!J41</f>
        <v>0</v>
      </c>
      <c r="K41" s="186">
        <f>'CC detallado'!K41</f>
        <v>0</v>
      </c>
      <c r="L41" s="187">
        <f>'CC detallado'!L41</f>
        <v>0</v>
      </c>
      <c r="M41" s="187">
        <f>SUM(M42:M45)</f>
        <v>1950000</v>
      </c>
      <c r="N41" s="48"/>
      <c r="O41" s="187">
        <f>SUM(O42:O45)</f>
        <v>0</v>
      </c>
      <c r="P41" s="187">
        <f t="shared" ref="P41:BW41" si="42">SUM(P42:P45)</f>
        <v>0</v>
      </c>
      <c r="Q41" s="187">
        <f t="shared" si="42"/>
        <v>0</v>
      </c>
      <c r="R41" s="187">
        <f t="shared" si="42"/>
        <v>0</v>
      </c>
      <c r="S41" s="187">
        <f t="shared" si="42"/>
        <v>0</v>
      </c>
      <c r="T41" s="187">
        <f t="shared" si="42"/>
        <v>0</v>
      </c>
      <c r="U41" s="187">
        <f t="shared" si="42"/>
        <v>0</v>
      </c>
      <c r="V41" s="187">
        <f t="shared" si="42"/>
        <v>0</v>
      </c>
      <c r="W41" s="187">
        <f t="shared" si="42"/>
        <v>366000</v>
      </c>
      <c r="X41" s="187">
        <f t="shared" si="42"/>
        <v>0</v>
      </c>
      <c r="Y41" s="187">
        <f t="shared" si="42"/>
        <v>183000</v>
      </c>
      <c r="Z41" s="187">
        <f t="shared" si="42"/>
        <v>0</v>
      </c>
      <c r="AA41" s="187">
        <f t="shared" si="42"/>
        <v>183000</v>
      </c>
      <c r="AB41" s="187">
        <f t="shared" si="42"/>
        <v>0</v>
      </c>
      <c r="AC41" s="187">
        <f t="shared" si="42"/>
        <v>193000</v>
      </c>
      <c r="AD41" s="187">
        <f t="shared" si="42"/>
        <v>10000</v>
      </c>
      <c r="AE41" s="187">
        <f t="shared" si="42"/>
        <v>193000</v>
      </c>
      <c r="AF41" s="187">
        <f t="shared" si="42"/>
        <v>10000</v>
      </c>
      <c r="AG41" s="187">
        <f t="shared" si="42"/>
        <v>193000</v>
      </c>
      <c r="AH41" s="187">
        <f t="shared" si="42"/>
        <v>10000</v>
      </c>
      <c r="AI41" s="187">
        <f t="shared" si="42"/>
        <v>193000</v>
      </c>
      <c r="AJ41" s="187">
        <f t="shared" si="42"/>
        <v>10000</v>
      </c>
      <c r="AK41" s="187">
        <f t="shared" si="42"/>
        <v>193000</v>
      </c>
      <c r="AL41" s="187">
        <f t="shared" si="42"/>
        <v>10000</v>
      </c>
      <c r="AM41" s="187">
        <f t="shared" si="42"/>
        <v>193000</v>
      </c>
      <c r="AN41" s="187">
        <f t="shared" si="42"/>
        <v>10000</v>
      </c>
      <c r="AO41" s="187">
        <f t="shared" si="42"/>
        <v>0</v>
      </c>
      <c r="AP41" s="187">
        <f t="shared" si="42"/>
        <v>0</v>
      </c>
      <c r="AQ41" s="187">
        <f t="shared" si="42"/>
        <v>0</v>
      </c>
      <c r="AR41" s="187">
        <f t="shared" si="42"/>
        <v>0</v>
      </c>
      <c r="AS41" s="187">
        <f t="shared" si="42"/>
        <v>0</v>
      </c>
      <c r="AT41" s="187">
        <f t="shared" si="42"/>
        <v>0</v>
      </c>
      <c r="AU41" s="187">
        <f t="shared" si="42"/>
        <v>0</v>
      </c>
      <c r="AV41" s="187">
        <f t="shared" si="42"/>
        <v>0</v>
      </c>
      <c r="AW41" s="187">
        <f t="shared" si="42"/>
        <v>0</v>
      </c>
      <c r="AX41" s="187">
        <f t="shared" si="42"/>
        <v>0</v>
      </c>
      <c r="AY41" s="187">
        <f t="shared" si="42"/>
        <v>0</v>
      </c>
      <c r="AZ41" s="187">
        <f t="shared" si="42"/>
        <v>0</v>
      </c>
      <c r="BA41" s="187">
        <f t="shared" si="42"/>
        <v>0</v>
      </c>
      <c r="BB41" s="187">
        <f t="shared" si="42"/>
        <v>0</v>
      </c>
      <c r="BC41" s="187">
        <f t="shared" si="42"/>
        <v>0</v>
      </c>
      <c r="BD41" s="187">
        <f t="shared" si="42"/>
        <v>0</v>
      </c>
      <c r="BE41" s="187">
        <f t="shared" si="42"/>
        <v>0</v>
      </c>
      <c r="BF41" s="187">
        <f t="shared" si="42"/>
        <v>0</v>
      </c>
      <c r="BG41" s="187">
        <f t="shared" si="42"/>
        <v>0</v>
      </c>
      <c r="BH41" s="187">
        <f t="shared" si="42"/>
        <v>0</v>
      </c>
      <c r="BI41" s="187">
        <f t="shared" si="42"/>
        <v>0</v>
      </c>
      <c r="BJ41" s="187">
        <f t="shared" si="42"/>
        <v>0</v>
      </c>
      <c r="BK41" s="187">
        <f t="shared" si="42"/>
        <v>0</v>
      </c>
      <c r="BL41" s="187">
        <f t="shared" si="42"/>
        <v>0</v>
      </c>
      <c r="BM41" s="187">
        <f t="shared" si="42"/>
        <v>0</v>
      </c>
      <c r="BN41" s="187">
        <f t="shared" si="42"/>
        <v>0</v>
      </c>
      <c r="BO41" s="187">
        <f t="shared" si="42"/>
        <v>0</v>
      </c>
      <c r="BP41" s="187">
        <f t="shared" si="42"/>
        <v>0</v>
      </c>
      <c r="BQ41" s="187">
        <f t="shared" si="42"/>
        <v>0</v>
      </c>
      <c r="BR41" s="187">
        <f t="shared" si="42"/>
        <v>0</v>
      </c>
      <c r="BS41" s="187">
        <f t="shared" si="42"/>
        <v>0</v>
      </c>
      <c r="BT41" s="187">
        <f t="shared" si="42"/>
        <v>0</v>
      </c>
      <c r="BU41" s="187">
        <f t="shared" si="42"/>
        <v>0</v>
      </c>
      <c r="BV41" s="187">
        <f t="shared" si="42"/>
        <v>0</v>
      </c>
      <c r="BW41" s="187">
        <f t="shared" si="42"/>
        <v>1950000</v>
      </c>
      <c r="BX41" s="88">
        <f t="shared" si="3"/>
        <v>0</v>
      </c>
      <c r="BY41" s="57"/>
      <c r="BZ41" s="187">
        <f t="shared" si="4"/>
        <v>549000</v>
      </c>
      <c r="CA41" s="187">
        <f t="shared" si="5"/>
        <v>1198000</v>
      </c>
      <c r="CB41" s="187">
        <f t="shared" si="6"/>
        <v>203000</v>
      </c>
      <c r="CC41" s="187">
        <f t="shared" si="7"/>
        <v>0</v>
      </c>
      <c r="CD41" s="187">
        <f t="shared" si="8"/>
        <v>0</v>
      </c>
      <c r="CE41" s="187">
        <f t="shared" ref="CE41" si="43">SUM(CE42:CE45)</f>
        <v>1950000</v>
      </c>
      <c r="CF41" s="64">
        <f>BW41-CE41</f>
        <v>0</v>
      </c>
      <c r="CG41" s="65"/>
      <c r="CH41" s="65"/>
      <c r="CI41" s="65"/>
      <c r="CJ41" s="65"/>
      <c r="CK41" s="65"/>
      <c r="CL41" s="65"/>
      <c r="CM41" s="65"/>
      <c r="CN41" s="65"/>
      <c r="CO41" s="65"/>
    </row>
    <row r="42" spans="1:93" s="66" customFormat="1" ht="14.4" hidden="1" customHeight="1" outlineLevel="1" x14ac:dyDescent="0.3">
      <c r="A42" s="191" t="str">
        <f>'CC detallado'!A42</f>
        <v>1.7.1</v>
      </c>
      <c r="B42" s="191">
        <f>'CC detallado'!B42</f>
        <v>1</v>
      </c>
      <c r="C42" s="191">
        <f>'CC detallado'!C42</f>
        <v>260</v>
      </c>
      <c r="D42" s="191" t="str">
        <f>'CC detallado'!D42</f>
        <v>FC</v>
      </c>
      <c r="E42" s="191" t="str">
        <f>'CC detallado'!E42</f>
        <v>SBCC</v>
      </c>
      <c r="F42" s="191" t="str">
        <f>'CC detallado'!F42</f>
        <v>X Prod</v>
      </c>
      <c r="G42" s="206" t="str">
        <f>'CC detallado'!G42</f>
        <v>Desarrollo de software para Trazabilidad</v>
      </c>
      <c r="H42" s="75">
        <f>'CC detallado'!H42</f>
        <v>1</v>
      </c>
      <c r="I42" s="75" t="str">
        <f>'CC detallado'!I42</f>
        <v>consultoría</v>
      </c>
      <c r="J42" s="75">
        <f>'CC detallado'!J42</f>
        <v>18</v>
      </c>
      <c r="K42" s="75" t="str">
        <f>'CC detallado'!K42</f>
        <v>meses</v>
      </c>
      <c r="L42" s="153">
        <f>'CC detallado'!L42</f>
        <v>0</v>
      </c>
      <c r="M42" s="153">
        <f>'CC detallado'!M42</f>
        <v>1830000</v>
      </c>
      <c r="N42" s="48"/>
      <c r="O42" s="209"/>
      <c r="P42" s="209"/>
      <c r="Q42" s="209"/>
      <c r="R42" s="319"/>
      <c r="S42" s="198"/>
      <c r="T42" s="198"/>
      <c r="U42" s="198"/>
      <c r="V42" s="198"/>
      <c r="W42" s="197">
        <f>$M$42*20%</f>
        <v>366000</v>
      </c>
      <c r="X42" s="197">
        <v>0</v>
      </c>
      <c r="Y42" s="197">
        <f>$M$42*80%/8</f>
        <v>183000</v>
      </c>
      <c r="Z42" s="197">
        <v>0</v>
      </c>
      <c r="AA42" s="197">
        <f>$M$42*80%/8</f>
        <v>183000</v>
      </c>
      <c r="AB42" s="197">
        <v>0</v>
      </c>
      <c r="AC42" s="197">
        <f>$M$42*80%/8</f>
        <v>183000</v>
      </c>
      <c r="AD42" s="210"/>
      <c r="AE42" s="197">
        <f>$M$42*80%/8</f>
        <v>183000</v>
      </c>
      <c r="AF42" s="210"/>
      <c r="AG42" s="197">
        <f>$M$42*80%/8</f>
        <v>183000</v>
      </c>
      <c r="AH42" s="210"/>
      <c r="AI42" s="197">
        <f>$M$42*80%/8</f>
        <v>183000</v>
      </c>
      <c r="AJ42" s="210"/>
      <c r="AK42" s="197">
        <f>$M$42*80%/8</f>
        <v>183000</v>
      </c>
      <c r="AL42" s="210"/>
      <c r="AM42" s="197">
        <f>$M$42*80%/8</f>
        <v>183000</v>
      </c>
      <c r="AN42" s="210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  <c r="BI42" s="209"/>
      <c r="BJ42" s="209"/>
      <c r="BK42" s="209"/>
      <c r="BL42" s="209"/>
      <c r="BM42" s="209"/>
      <c r="BN42" s="209"/>
      <c r="BO42" s="209"/>
      <c r="BP42" s="209"/>
      <c r="BQ42" s="209"/>
      <c r="BR42" s="209"/>
      <c r="BS42" s="209"/>
      <c r="BT42" s="209"/>
      <c r="BU42" s="209"/>
      <c r="BV42" s="209"/>
      <c r="BW42" s="195">
        <f>SUM(O42:BV42)</f>
        <v>1830000</v>
      </c>
      <c r="BX42" s="88">
        <f t="shared" si="3"/>
        <v>0</v>
      </c>
      <c r="BY42" s="57"/>
      <c r="BZ42" s="70">
        <f t="shared" si="4"/>
        <v>549000</v>
      </c>
      <c r="CA42" s="70">
        <f t="shared" si="5"/>
        <v>1098000</v>
      </c>
      <c r="CB42" s="70">
        <f t="shared" si="6"/>
        <v>183000</v>
      </c>
      <c r="CC42" s="70">
        <f t="shared" si="7"/>
        <v>0</v>
      </c>
      <c r="CD42" s="70">
        <f t="shared" si="8"/>
        <v>0</v>
      </c>
      <c r="CE42" s="70">
        <f t="shared" ref="CE42" si="44">SUM(BZ42:CD42)</f>
        <v>1830000</v>
      </c>
      <c r="CF42" s="64"/>
      <c r="CG42" s="65"/>
      <c r="CH42" s="65"/>
      <c r="CI42" s="65"/>
      <c r="CJ42" s="65"/>
      <c r="CK42" s="65"/>
      <c r="CL42" s="65"/>
      <c r="CM42" s="65"/>
      <c r="CN42" s="65"/>
      <c r="CO42" s="65"/>
    </row>
    <row r="43" spans="1:93" ht="14.4" hidden="1" customHeight="1" outlineLevel="1" x14ac:dyDescent="0.3">
      <c r="A43" s="191" t="str">
        <f>'CC detallado'!A43</f>
        <v>1.7.2</v>
      </c>
      <c r="B43" s="191">
        <f>'CC detallado'!B43</f>
        <v>1</v>
      </c>
      <c r="C43" s="191">
        <f>'CC detallado'!C43</f>
        <v>145</v>
      </c>
      <c r="D43" s="191" t="str">
        <f>'CC detallado'!D43</f>
        <v>CI</v>
      </c>
      <c r="E43" s="191" t="str">
        <f>'CC detallado'!E43</f>
        <v>3CV</v>
      </c>
      <c r="F43" s="191" t="str">
        <f>'CC detallado'!F43</f>
        <v>X Prod</v>
      </c>
      <c r="G43" s="206" t="str">
        <f>'CC detallado'!G43</f>
        <v>Plan de implementación</v>
      </c>
      <c r="H43" s="75">
        <f>'CC detallado'!H43</f>
        <v>1</v>
      </c>
      <c r="I43" s="75">
        <f>'CC detallado'!I43</f>
        <v>0</v>
      </c>
      <c r="J43" s="75">
        <f>'CC detallado'!J43</f>
        <v>0</v>
      </c>
      <c r="K43" s="75">
        <f>'CC detallado'!K43</f>
        <v>0</v>
      </c>
      <c r="L43" s="153">
        <f>'CC detallado'!L43</f>
        <v>40000</v>
      </c>
      <c r="M43" s="153">
        <f>'CC detallado'!M43</f>
        <v>40000</v>
      </c>
      <c r="O43" s="70"/>
      <c r="P43" s="195"/>
      <c r="Q43" s="195"/>
      <c r="R43" s="195"/>
      <c r="S43" s="195"/>
      <c r="T43" s="195"/>
      <c r="U43" s="195"/>
      <c r="V43" s="195"/>
      <c r="W43" s="195"/>
      <c r="X43" s="195"/>
      <c r="Y43" s="196"/>
      <c r="Z43" s="196"/>
      <c r="AA43" s="196"/>
      <c r="AB43" s="196"/>
      <c r="AC43" s="197">
        <f>M43/12</f>
        <v>3333.3333333333335</v>
      </c>
      <c r="AD43" s="197">
        <f t="shared" ref="AD43:AD45" si="45">AC43</f>
        <v>3333.3333333333335</v>
      </c>
      <c r="AE43" s="197">
        <f t="shared" ref="AE43:AE45" si="46">AD43</f>
        <v>3333.3333333333335</v>
      </c>
      <c r="AF43" s="197">
        <f t="shared" ref="AF43:AF45" si="47">AE43</f>
        <v>3333.3333333333335</v>
      </c>
      <c r="AG43" s="197">
        <f t="shared" ref="AG43:AG45" si="48">AF43</f>
        <v>3333.3333333333335</v>
      </c>
      <c r="AH43" s="197">
        <f t="shared" ref="AH43:AH45" si="49">AG43</f>
        <v>3333.3333333333335</v>
      </c>
      <c r="AI43" s="197">
        <f t="shared" ref="AI43:AI45" si="50">AH43</f>
        <v>3333.3333333333335</v>
      </c>
      <c r="AJ43" s="197">
        <f t="shared" ref="AJ43:AJ45" si="51">AI43</f>
        <v>3333.3333333333335</v>
      </c>
      <c r="AK43" s="197">
        <f t="shared" ref="AK43:AK45" si="52">AJ43</f>
        <v>3333.3333333333335</v>
      </c>
      <c r="AL43" s="197">
        <f t="shared" ref="AL43:AL45" si="53">AK43</f>
        <v>3333.3333333333335</v>
      </c>
      <c r="AM43" s="197">
        <f t="shared" ref="AM43:AM45" si="54">AL43</f>
        <v>3333.3333333333335</v>
      </c>
      <c r="AN43" s="197">
        <f t="shared" ref="AN43:AN45" si="55">AM43</f>
        <v>3333.3333333333335</v>
      </c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  <c r="BI43" s="195"/>
      <c r="BJ43" s="195"/>
      <c r="BK43" s="195"/>
      <c r="BL43" s="195"/>
      <c r="BM43" s="195"/>
      <c r="BN43" s="195"/>
      <c r="BO43" s="195"/>
      <c r="BP43" s="195"/>
      <c r="BQ43" s="195"/>
      <c r="BR43" s="195"/>
      <c r="BS43" s="195"/>
      <c r="BT43" s="195"/>
      <c r="BU43" s="195"/>
      <c r="BV43" s="195"/>
      <c r="BW43" s="195">
        <f t="shared" ref="BW43:BW45" si="56">SUM(O43:BV43)</f>
        <v>40000</v>
      </c>
      <c r="BX43" s="88">
        <f t="shared" si="3"/>
        <v>0</v>
      </c>
      <c r="BY43" s="57"/>
      <c r="BZ43" s="70">
        <f t="shared" si="4"/>
        <v>0</v>
      </c>
      <c r="CA43" s="70">
        <f t="shared" si="5"/>
        <v>33333.333333333328</v>
      </c>
      <c r="CB43" s="70">
        <f t="shared" si="6"/>
        <v>6666.666666666667</v>
      </c>
      <c r="CC43" s="70">
        <f t="shared" si="7"/>
        <v>0</v>
      </c>
      <c r="CD43" s="70">
        <f t="shared" si="8"/>
        <v>0</v>
      </c>
      <c r="CE43" s="70">
        <f t="shared" ref="CE43:CE45" si="57">SUM(BZ43:CD43)</f>
        <v>39999.999999999993</v>
      </c>
      <c r="CF43" s="64">
        <f>BW43-CE43</f>
        <v>0</v>
      </c>
    </row>
    <row r="44" spans="1:93" ht="14.4" hidden="1" customHeight="1" outlineLevel="1" x14ac:dyDescent="0.3">
      <c r="A44" s="191" t="str">
        <f>'CC detallado'!A44</f>
        <v>1.7.3</v>
      </c>
      <c r="B44" s="191">
        <f>'CC detallado'!B44</f>
        <v>1</v>
      </c>
      <c r="C44" s="191">
        <f>'CC detallado'!C44</f>
        <v>280</v>
      </c>
      <c r="D44" s="191" t="str">
        <f>'CC detallado'!D44</f>
        <v>SNC</v>
      </c>
      <c r="E44" s="191" t="str">
        <f>'CC detallado'!E44</f>
        <v>LPI</v>
      </c>
      <c r="F44" s="191" t="str">
        <f>'CC detallado'!F44</f>
        <v>Taller</v>
      </c>
      <c r="G44" s="206" t="str">
        <f>'CC detallado'!G44</f>
        <v>Talleres de sensibilización</v>
      </c>
      <c r="H44" s="75">
        <f>'CC detallado'!H44</f>
        <v>6</v>
      </c>
      <c r="I44" s="75" t="str">
        <f>'CC detallado'!I44</f>
        <v>capacitaciones</v>
      </c>
      <c r="J44" s="75">
        <f>'CC detallado'!J44</f>
        <v>1</v>
      </c>
      <c r="K44" s="75" t="str">
        <f>'CC detallado'!K44</f>
        <v>día</v>
      </c>
      <c r="L44" s="153">
        <f>'CC detallado'!L44</f>
        <v>5000</v>
      </c>
      <c r="M44" s="153">
        <f>'CC detallado'!M44</f>
        <v>30000</v>
      </c>
      <c r="O44" s="70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7">
        <f t="shared" ref="AC44:AC45" si="58">M44/12</f>
        <v>2500</v>
      </c>
      <c r="AD44" s="197">
        <f t="shared" si="45"/>
        <v>2500</v>
      </c>
      <c r="AE44" s="197">
        <f t="shared" si="46"/>
        <v>2500</v>
      </c>
      <c r="AF44" s="197">
        <f t="shared" si="47"/>
        <v>2500</v>
      </c>
      <c r="AG44" s="197">
        <f t="shared" si="48"/>
        <v>2500</v>
      </c>
      <c r="AH44" s="197">
        <f t="shared" si="49"/>
        <v>2500</v>
      </c>
      <c r="AI44" s="197">
        <f t="shared" si="50"/>
        <v>2500</v>
      </c>
      <c r="AJ44" s="197">
        <f t="shared" si="51"/>
        <v>2500</v>
      </c>
      <c r="AK44" s="197">
        <f t="shared" si="52"/>
        <v>2500</v>
      </c>
      <c r="AL44" s="197">
        <f t="shared" si="53"/>
        <v>2500</v>
      </c>
      <c r="AM44" s="197">
        <f t="shared" si="54"/>
        <v>2500</v>
      </c>
      <c r="AN44" s="197">
        <f t="shared" si="55"/>
        <v>2500</v>
      </c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  <c r="BI44" s="195"/>
      <c r="BJ44" s="195"/>
      <c r="BK44" s="195"/>
      <c r="BL44" s="195"/>
      <c r="BM44" s="195"/>
      <c r="BN44" s="195"/>
      <c r="BO44" s="195"/>
      <c r="BP44" s="195"/>
      <c r="BQ44" s="195"/>
      <c r="BR44" s="195"/>
      <c r="BS44" s="195"/>
      <c r="BT44" s="195"/>
      <c r="BU44" s="195"/>
      <c r="BV44" s="195"/>
      <c r="BW44" s="195">
        <f t="shared" si="56"/>
        <v>30000</v>
      </c>
      <c r="BX44" s="88">
        <f t="shared" si="3"/>
        <v>0</v>
      </c>
      <c r="BY44" s="57"/>
      <c r="BZ44" s="70">
        <f t="shared" si="4"/>
        <v>0</v>
      </c>
      <c r="CA44" s="70">
        <f t="shared" si="5"/>
        <v>25000</v>
      </c>
      <c r="CB44" s="70">
        <f t="shared" si="6"/>
        <v>5000</v>
      </c>
      <c r="CC44" s="70">
        <f t="shared" si="7"/>
        <v>0</v>
      </c>
      <c r="CD44" s="70">
        <f t="shared" si="8"/>
        <v>0</v>
      </c>
      <c r="CE44" s="70">
        <f t="shared" si="57"/>
        <v>30000</v>
      </c>
      <c r="CF44" s="64">
        <f>BW44-CE44</f>
        <v>0</v>
      </c>
    </row>
    <row r="45" spans="1:93" ht="14.4" hidden="1" customHeight="1" outlineLevel="1" x14ac:dyDescent="0.3">
      <c r="A45" s="191" t="str">
        <f>'CC detallado'!A45</f>
        <v>1.7.4</v>
      </c>
      <c r="B45" s="191">
        <f>'CC detallado'!B45</f>
        <v>1</v>
      </c>
      <c r="C45" s="191">
        <f>'CC detallado'!C45</f>
        <v>260</v>
      </c>
      <c r="D45" s="191" t="str">
        <f>'CC detallado'!D45</f>
        <v>SNC</v>
      </c>
      <c r="E45" s="191" t="str">
        <f>'CC detallado'!E45</f>
        <v>CP</v>
      </c>
      <c r="F45" s="191" t="str">
        <f>'CC detallado'!F45</f>
        <v>SBE</v>
      </c>
      <c r="G45" s="206" t="str">
        <f>'CC detallado'!G45</f>
        <v>Edición y difusión de materiales</v>
      </c>
      <c r="H45" s="75">
        <f>'CC detallado'!H45</f>
        <v>1</v>
      </c>
      <c r="I45" s="75">
        <f>'CC detallado'!I45</f>
        <v>0</v>
      </c>
      <c r="J45" s="75">
        <f>'CC detallado'!J45</f>
        <v>0</v>
      </c>
      <c r="K45" s="75">
        <f>'CC detallado'!K45</f>
        <v>0</v>
      </c>
      <c r="L45" s="153">
        <f>'CC detallado'!L45</f>
        <v>50000</v>
      </c>
      <c r="M45" s="153">
        <f>'CC detallado'!M45</f>
        <v>50000</v>
      </c>
      <c r="O45" s="70"/>
      <c r="P45" s="195"/>
      <c r="Q45" s="195"/>
      <c r="R45" s="195"/>
      <c r="S45" s="195"/>
      <c r="T45" s="195"/>
      <c r="U45" s="195"/>
      <c r="V45" s="195"/>
      <c r="W45" s="195"/>
      <c r="X45" s="195"/>
      <c r="Y45" s="196"/>
      <c r="Z45" s="196"/>
      <c r="AA45" s="196"/>
      <c r="AB45" s="196"/>
      <c r="AC45" s="197">
        <f t="shared" si="58"/>
        <v>4166.666666666667</v>
      </c>
      <c r="AD45" s="197">
        <f t="shared" si="45"/>
        <v>4166.666666666667</v>
      </c>
      <c r="AE45" s="197">
        <f t="shared" si="46"/>
        <v>4166.666666666667</v>
      </c>
      <c r="AF45" s="197">
        <f t="shared" si="47"/>
        <v>4166.666666666667</v>
      </c>
      <c r="AG45" s="197">
        <f t="shared" si="48"/>
        <v>4166.666666666667</v>
      </c>
      <c r="AH45" s="197">
        <f t="shared" si="49"/>
        <v>4166.666666666667</v>
      </c>
      <c r="AI45" s="197">
        <f t="shared" si="50"/>
        <v>4166.666666666667</v>
      </c>
      <c r="AJ45" s="197">
        <f t="shared" si="51"/>
        <v>4166.666666666667</v>
      </c>
      <c r="AK45" s="197">
        <f t="shared" si="52"/>
        <v>4166.666666666667</v>
      </c>
      <c r="AL45" s="197">
        <f t="shared" si="53"/>
        <v>4166.666666666667</v>
      </c>
      <c r="AM45" s="197">
        <f t="shared" si="54"/>
        <v>4166.666666666667</v>
      </c>
      <c r="AN45" s="197">
        <f t="shared" si="55"/>
        <v>4166.666666666667</v>
      </c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  <c r="BR45" s="195"/>
      <c r="BS45" s="195"/>
      <c r="BT45" s="195"/>
      <c r="BU45" s="195"/>
      <c r="BV45" s="195"/>
      <c r="BW45" s="195">
        <f t="shared" si="56"/>
        <v>49999.999999999993</v>
      </c>
      <c r="BX45" s="88">
        <f t="shared" si="3"/>
        <v>0</v>
      </c>
      <c r="BY45" s="57"/>
      <c r="BZ45" s="70">
        <f t="shared" si="4"/>
        <v>0</v>
      </c>
      <c r="CA45" s="70">
        <f t="shared" si="5"/>
        <v>41666.666666666664</v>
      </c>
      <c r="CB45" s="70">
        <f t="shared" si="6"/>
        <v>8333.3333333333339</v>
      </c>
      <c r="CC45" s="70">
        <f t="shared" si="7"/>
        <v>0</v>
      </c>
      <c r="CD45" s="70">
        <f t="shared" si="8"/>
        <v>0</v>
      </c>
      <c r="CE45" s="70">
        <f t="shared" si="57"/>
        <v>50000</v>
      </c>
      <c r="CF45" s="64">
        <f>BW45-CE45</f>
        <v>0</v>
      </c>
    </row>
    <row r="46" spans="1:93" ht="14.4" customHeight="1" collapsed="1" x14ac:dyDescent="0.3">
      <c r="A46" s="190" t="str">
        <f>'CC detallado'!A46</f>
        <v>1.8</v>
      </c>
      <c r="B46" s="190" t="str">
        <f>'CC detallado'!B46</f>
        <v>C-1</v>
      </c>
      <c r="C46" s="190" t="str">
        <f>'CC detallado'!C46</f>
        <v>-</v>
      </c>
      <c r="D46" s="190" t="str">
        <f>'CC detallado'!D46</f>
        <v>-</v>
      </c>
      <c r="E46" s="190" t="str">
        <f>'CC detallado'!E46</f>
        <v>-</v>
      </c>
      <c r="F46" s="190" t="str">
        <f>'CC detallado'!F46</f>
        <v>-</v>
      </c>
      <c r="G46" s="185" t="str">
        <f>'CC detallado'!G46</f>
        <v>Producto 8: Programas de prevención, control y erradicación de brucelosis operando</v>
      </c>
      <c r="H46" s="186">
        <f>'CC detallado'!H46</f>
        <v>0</v>
      </c>
      <c r="I46" s="186">
        <f>'CC detallado'!I46</f>
        <v>0</v>
      </c>
      <c r="J46" s="186">
        <f>'CC detallado'!J46</f>
        <v>0</v>
      </c>
      <c r="K46" s="186">
        <f>'CC detallado'!K46</f>
        <v>0</v>
      </c>
      <c r="L46" s="187">
        <f>'CC detallado'!L46</f>
        <v>0</v>
      </c>
      <c r="M46" s="187">
        <f>SUM(M47:M49)</f>
        <v>580000</v>
      </c>
      <c r="O46" s="187">
        <f>SUM(O47:O49)</f>
        <v>0</v>
      </c>
      <c r="P46" s="187">
        <f t="shared" ref="P46:BW46" si="59">SUM(P47:P49)</f>
        <v>0</v>
      </c>
      <c r="Q46" s="187">
        <f t="shared" si="59"/>
        <v>0</v>
      </c>
      <c r="R46" s="187">
        <f t="shared" si="59"/>
        <v>0</v>
      </c>
      <c r="S46" s="187">
        <f t="shared" si="59"/>
        <v>0</v>
      </c>
      <c r="T46" s="187">
        <f t="shared" si="59"/>
        <v>0</v>
      </c>
      <c r="U46" s="187">
        <f t="shared" si="59"/>
        <v>0</v>
      </c>
      <c r="V46" s="187">
        <f t="shared" si="59"/>
        <v>0</v>
      </c>
      <c r="W46" s="187">
        <f t="shared" si="59"/>
        <v>0</v>
      </c>
      <c r="X46" s="187">
        <f t="shared" si="59"/>
        <v>0</v>
      </c>
      <c r="Y46" s="187">
        <f t="shared" si="59"/>
        <v>0</v>
      </c>
      <c r="Z46" s="187">
        <f t="shared" si="59"/>
        <v>0</v>
      </c>
      <c r="AA46" s="187">
        <f t="shared" si="59"/>
        <v>33750</v>
      </c>
      <c r="AB46" s="187">
        <f t="shared" si="59"/>
        <v>0</v>
      </c>
      <c r="AC46" s="187">
        <f t="shared" si="59"/>
        <v>0</v>
      </c>
      <c r="AD46" s="187">
        <f t="shared" si="59"/>
        <v>33750</v>
      </c>
      <c r="AE46" s="187">
        <f t="shared" si="59"/>
        <v>0</v>
      </c>
      <c r="AF46" s="187">
        <f t="shared" si="59"/>
        <v>0</v>
      </c>
      <c r="AG46" s="187">
        <f t="shared" si="59"/>
        <v>33750</v>
      </c>
      <c r="AH46" s="187">
        <f t="shared" si="59"/>
        <v>0</v>
      </c>
      <c r="AI46" s="187">
        <f t="shared" si="59"/>
        <v>0</v>
      </c>
      <c r="AJ46" s="187">
        <f t="shared" si="59"/>
        <v>33750</v>
      </c>
      <c r="AK46" s="187">
        <f t="shared" si="59"/>
        <v>0</v>
      </c>
      <c r="AL46" s="187">
        <f t="shared" si="59"/>
        <v>0</v>
      </c>
      <c r="AM46" s="187">
        <f t="shared" si="59"/>
        <v>33750</v>
      </c>
      <c r="AN46" s="187">
        <f t="shared" si="59"/>
        <v>0</v>
      </c>
      <c r="AO46" s="187">
        <f t="shared" si="59"/>
        <v>0</v>
      </c>
      <c r="AP46" s="187">
        <f t="shared" si="59"/>
        <v>33750</v>
      </c>
      <c r="AQ46" s="187">
        <f t="shared" si="59"/>
        <v>0</v>
      </c>
      <c r="AR46" s="187">
        <f t="shared" si="59"/>
        <v>0</v>
      </c>
      <c r="AS46" s="187">
        <f t="shared" si="59"/>
        <v>33750</v>
      </c>
      <c r="AT46" s="187">
        <f t="shared" si="59"/>
        <v>0</v>
      </c>
      <c r="AU46" s="187">
        <f t="shared" si="59"/>
        <v>5000</v>
      </c>
      <c r="AV46" s="187">
        <f t="shared" si="59"/>
        <v>38750</v>
      </c>
      <c r="AW46" s="187">
        <f t="shared" si="59"/>
        <v>5000</v>
      </c>
      <c r="AX46" s="187">
        <f t="shared" si="59"/>
        <v>5000</v>
      </c>
      <c r="AY46" s="187">
        <f t="shared" si="59"/>
        <v>37750</v>
      </c>
      <c r="AZ46" s="187">
        <f t="shared" si="59"/>
        <v>0</v>
      </c>
      <c r="BA46" s="187">
        <f t="shared" si="59"/>
        <v>0</v>
      </c>
      <c r="BB46" s="187">
        <f t="shared" si="59"/>
        <v>37750</v>
      </c>
      <c r="BC46" s="187">
        <f t="shared" si="59"/>
        <v>0</v>
      </c>
      <c r="BD46" s="187">
        <f t="shared" si="59"/>
        <v>0</v>
      </c>
      <c r="BE46" s="187">
        <f t="shared" si="59"/>
        <v>37750</v>
      </c>
      <c r="BF46" s="187">
        <f t="shared" si="59"/>
        <v>0</v>
      </c>
      <c r="BG46" s="187">
        <f t="shared" si="59"/>
        <v>4000</v>
      </c>
      <c r="BH46" s="187">
        <f t="shared" si="59"/>
        <v>33750</v>
      </c>
      <c r="BI46" s="187">
        <f t="shared" si="59"/>
        <v>0</v>
      </c>
      <c r="BJ46" s="187">
        <f t="shared" si="59"/>
        <v>4000</v>
      </c>
      <c r="BK46" s="187">
        <f t="shared" si="59"/>
        <v>33750</v>
      </c>
      <c r="BL46" s="187">
        <f t="shared" si="59"/>
        <v>0</v>
      </c>
      <c r="BM46" s="187">
        <f t="shared" si="59"/>
        <v>0</v>
      </c>
      <c r="BN46" s="187">
        <f t="shared" si="59"/>
        <v>33750</v>
      </c>
      <c r="BO46" s="187">
        <f t="shared" si="59"/>
        <v>0</v>
      </c>
      <c r="BP46" s="187">
        <f t="shared" si="59"/>
        <v>0</v>
      </c>
      <c r="BQ46" s="187">
        <f t="shared" si="59"/>
        <v>33750</v>
      </c>
      <c r="BR46" s="187">
        <f t="shared" si="59"/>
        <v>0</v>
      </c>
      <c r="BS46" s="187">
        <f t="shared" si="59"/>
        <v>0</v>
      </c>
      <c r="BT46" s="187">
        <f t="shared" si="59"/>
        <v>33750</v>
      </c>
      <c r="BU46" s="187">
        <f t="shared" si="59"/>
        <v>0</v>
      </c>
      <c r="BV46" s="187">
        <f t="shared" si="59"/>
        <v>0</v>
      </c>
      <c r="BW46" s="187">
        <f t="shared" si="59"/>
        <v>580000</v>
      </c>
      <c r="BX46" s="88">
        <f t="shared" si="3"/>
        <v>0</v>
      </c>
      <c r="BY46" s="57"/>
      <c r="BZ46" s="187">
        <f t="shared" si="4"/>
        <v>0</v>
      </c>
      <c r="CA46" s="187">
        <f t="shared" si="5"/>
        <v>135000</v>
      </c>
      <c r="CB46" s="187">
        <f t="shared" si="6"/>
        <v>155000</v>
      </c>
      <c r="CC46" s="187">
        <f t="shared" si="7"/>
        <v>155000</v>
      </c>
      <c r="CD46" s="187">
        <f t="shared" si="8"/>
        <v>135000</v>
      </c>
      <c r="CE46" s="187">
        <f t="shared" ref="CE46" si="60">SUM(CE47:CE49)</f>
        <v>580000</v>
      </c>
      <c r="CF46" s="64">
        <f t="shared" si="10"/>
        <v>0</v>
      </c>
    </row>
    <row r="47" spans="1:93" ht="14.4" hidden="1" customHeight="1" outlineLevel="1" x14ac:dyDescent="0.3">
      <c r="A47" s="67" t="str">
        <f>'CC detallado'!A47</f>
        <v>1.8.1</v>
      </c>
      <c r="B47" s="67">
        <f>'CC detallado'!B47</f>
        <v>1</v>
      </c>
      <c r="C47" s="67">
        <f>'CC detallado'!C47</f>
        <v>260</v>
      </c>
      <c r="D47" s="67" t="str">
        <f>'CC detallado'!D47</f>
        <v>SNC</v>
      </c>
      <c r="E47" s="67" t="str">
        <f>'CC detallado'!E47</f>
        <v>LPI</v>
      </c>
      <c r="F47" s="67" t="str">
        <f>'CC detallado'!F47</f>
        <v>CP</v>
      </c>
      <c r="G47" s="166" t="str">
        <f>'CC detallado'!G47</f>
        <v>Contratación de los servicios de saneamiento de establecimientos infectados</v>
      </c>
      <c r="H47" s="69">
        <f>'CC detallado'!H47</f>
        <v>300</v>
      </c>
      <c r="I47" s="69" t="str">
        <f>'CC detallado'!I47</f>
        <v>establecimientos</v>
      </c>
      <c r="J47" s="69">
        <f>'CC detallado'!J47</f>
        <v>3</v>
      </c>
      <c r="K47" s="71" t="str">
        <f>'CC detallado'!K47</f>
        <v>años (desde el año 2)</v>
      </c>
      <c r="L47" s="70">
        <f>'CC detallado'!L47</f>
        <v>1800</v>
      </c>
      <c r="M47" s="70">
        <f>'CC detallado'!M47</f>
        <v>540000</v>
      </c>
      <c r="O47" s="194"/>
      <c r="P47" s="194"/>
      <c r="Q47" s="194"/>
      <c r="R47" s="194"/>
      <c r="S47" s="194"/>
      <c r="T47" s="194"/>
      <c r="U47" s="194"/>
      <c r="V47" s="198"/>
      <c r="W47" s="198"/>
      <c r="X47" s="198"/>
      <c r="Y47" s="198"/>
      <c r="Z47" s="198"/>
      <c r="AA47" s="197">
        <f>$M$47/16</f>
        <v>33750</v>
      </c>
      <c r="AB47" s="199"/>
      <c r="AC47" s="199"/>
      <c r="AD47" s="197">
        <f>$M$47/16</f>
        <v>33750</v>
      </c>
      <c r="AE47" s="199"/>
      <c r="AF47" s="199"/>
      <c r="AG47" s="197">
        <f>$M$47/16</f>
        <v>33750</v>
      </c>
      <c r="AH47" s="199"/>
      <c r="AI47" s="199"/>
      <c r="AJ47" s="197">
        <f>$M$47/16</f>
        <v>33750</v>
      </c>
      <c r="AK47" s="199"/>
      <c r="AL47" s="199"/>
      <c r="AM47" s="197">
        <f>$M$47/16</f>
        <v>33750</v>
      </c>
      <c r="AN47" s="199"/>
      <c r="AO47" s="199"/>
      <c r="AP47" s="197">
        <f>$M$47/16</f>
        <v>33750</v>
      </c>
      <c r="AQ47" s="199"/>
      <c r="AR47" s="199"/>
      <c r="AS47" s="197">
        <f>$M$47/16</f>
        <v>33750</v>
      </c>
      <c r="AT47" s="199"/>
      <c r="AU47" s="197"/>
      <c r="AV47" s="197">
        <f>$M$47/16</f>
        <v>33750</v>
      </c>
      <c r="AW47" s="197"/>
      <c r="AX47" s="197"/>
      <c r="AY47" s="197">
        <f>$M$47/16</f>
        <v>33750</v>
      </c>
      <c r="AZ47" s="197"/>
      <c r="BA47" s="197"/>
      <c r="BB47" s="197">
        <f>$M$47/16</f>
        <v>33750</v>
      </c>
      <c r="BC47" s="199"/>
      <c r="BD47" s="199"/>
      <c r="BE47" s="197">
        <f>$M$47/16</f>
        <v>33750</v>
      </c>
      <c r="BF47" s="199"/>
      <c r="BG47" s="199"/>
      <c r="BH47" s="197">
        <f>$M$47/16</f>
        <v>33750</v>
      </c>
      <c r="BI47" s="199"/>
      <c r="BJ47" s="199"/>
      <c r="BK47" s="197">
        <f>$M$47/16</f>
        <v>33750</v>
      </c>
      <c r="BL47" s="197"/>
      <c r="BM47" s="199"/>
      <c r="BN47" s="197">
        <f>$M$47/16</f>
        <v>33750</v>
      </c>
      <c r="BO47" s="199"/>
      <c r="BP47" s="197"/>
      <c r="BQ47" s="197">
        <f>$M$47/16</f>
        <v>33750</v>
      </c>
      <c r="BR47" s="199"/>
      <c r="BS47" s="199"/>
      <c r="BT47" s="197">
        <f>$M$47/16</f>
        <v>33750</v>
      </c>
      <c r="BU47" s="199"/>
      <c r="BV47" s="199"/>
      <c r="BW47" s="195">
        <f t="shared" ref="BW47:BW51" si="61">SUM(O47:BV47)</f>
        <v>540000</v>
      </c>
      <c r="BX47" s="88">
        <f t="shared" si="3"/>
        <v>0</v>
      </c>
      <c r="BY47" s="57"/>
      <c r="BZ47" s="70">
        <f t="shared" si="4"/>
        <v>0</v>
      </c>
      <c r="CA47" s="70">
        <f t="shared" si="5"/>
        <v>135000</v>
      </c>
      <c r="CB47" s="70">
        <f t="shared" si="6"/>
        <v>135000</v>
      </c>
      <c r="CC47" s="70">
        <f t="shared" si="7"/>
        <v>135000</v>
      </c>
      <c r="CD47" s="70">
        <f t="shared" si="8"/>
        <v>135000</v>
      </c>
      <c r="CE47" s="70">
        <f t="shared" ref="CE47:CE51" si="62">SUM(BZ47:CD47)</f>
        <v>540000</v>
      </c>
      <c r="CF47" s="64">
        <f t="shared" si="10"/>
        <v>0</v>
      </c>
    </row>
    <row r="48" spans="1:93" ht="14.4" hidden="1" customHeight="1" outlineLevel="1" x14ac:dyDescent="0.3">
      <c r="A48" s="67" t="str">
        <f>'CC detallado'!A48</f>
        <v>1.8.2</v>
      </c>
      <c r="B48" s="67">
        <f>'CC detallado'!B48</f>
        <v>1</v>
      </c>
      <c r="C48" s="67">
        <f>'CC detallado'!C48</f>
        <v>145</v>
      </c>
      <c r="D48" s="67" t="str">
        <f>'CC detallado'!D48</f>
        <v>CI</v>
      </c>
      <c r="E48" s="67" t="str">
        <f>'CC detallado'!E48</f>
        <v>3CV</v>
      </c>
      <c r="F48" s="67" t="str">
        <f>'CC detallado'!F48</f>
        <v>X Prod</v>
      </c>
      <c r="G48" s="166" t="str">
        <f>'CC detallado'!G48</f>
        <v>Consultoría para elaboración diagnóstico situación y elaboración de programa</v>
      </c>
      <c r="H48" s="69">
        <f>'CC detallado'!H48</f>
        <v>1</v>
      </c>
      <c r="I48" s="69" t="str">
        <f>'CC detallado'!I48</f>
        <v>Consultoría</v>
      </c>
      <c r="J48" s="69">
        <f>'CC detallado'!J48</f>
        <v>4</v>
      </c>
      <c r="K48" s="69" t="str">
        <f>'CC detallado'!K48</f>
        <v>meses</v>
      </c>
      <c r="L48" s="70">
        <f>'CC detallado'!L48</f>
        <v>20000</v>
      </c>
      <c r="M48" s="70">
        <f>'CC detallado'!M48</f>
        <v>20000</v>
      </c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6"/>
      <c r="AT48" s="196"/>
      <c r="AU48" s="197">
        <f>$M$48/4</f>
        <v>5000</v>
      </c>
      <c r="AV48" s="197">
        <f>$M$48/4</f>
        <v>5000</v>
      </c>
      <c r="AW48" s="197">
        <f>$M$48/4</f>
        <v>5000</v>
      </c>
      <c r="AX48" s="197">
        <f>$M$48/4</f>
        <v>5000</v>
      </c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4"/>
      <c r="BP48" s="194"/>
      <c r="BQ48" s="194"/>
      <c r="BR48" s="194"/>
      <c r="BS48" s="194"/>
      <c r="BT48" s="194"/>
      <c r="BU48" s="194"/>
      <c r="BV48" s="194"/>
      <c r="BW48" s="195">
        <f t="shared" si="61"/>
        <v>20000</v>
      </c>
      <c r="BX48" s="88">
        <f t="shared" si="3"/>
        <v>0</v>
      </c>
      <c r="BY48" s="57"/>
      <c r="BZ48" s="70">
        <f t="shared" si="4"/>
        <v>0</v>
      </c>
      <c r="CA48" s="70">
        <f t="shared" si="5"/>
        <v>0</v>
      </c>
      <c r="CB48" s="70">
        <f t="shared" si="6"/>
        <v>20000</v>
      </c>
      <c r="CC48" s="70">
        <f t="shared" si="7"/>
        <v>0</v>
      </c>
      <c r="CD48" s="70">
        <f t="shared" si="8"/>
        <v>0</v>
      </c>
      <c r="CE48" s="70">
        <f t="shared" ref="CE48:CE49" si="63">SUM(BZ48:CD48)</f>
        <v>20000</v>
      </c>
      <c r="CF48" s="64">
        <f t="shared" si="10"/>
        <v>0</v>
      </c>
    </row>
    <row r="49" spans="1:93" ht="14.4" hidden="1" customHeight="1" outlineLevel="1" x14ac:dyDescent="0.3">
      <c r="A49" s="67" t="str">
        <f>'CC detallado'!A49</f>
        <v>1.8.3</v>
      </c>
      <c r="B49" s="67">
        <f>'CC detallado'!B49</f>
        <v>1</v>
      </c>
      <c r="C49" s="67">
        <f>'CC detallado'!C49</f>
        <v>350</v>
      </c>
      <c r="D49" s="67" t="str">
        <f>'CC detallado'!D49</f>
        <v>B</v>
      </c>
      <c r="E49" s="67" t="str">
        <f>'CC detallado'!E49</f>
        <v>CP</v>
      </c>
      <c r="F49" s="67" t="str">
        <f>'CC detallado'!F49</f>
        <v>Insumos</v>
      </c>
      <c r="G49" s="166" t="str">
        <f>'CC detallado'!G49</f>
        <v>Toma de muestra de hallazgos de matadero y envío a laboratorio</v>
      </c>
      <c r="H49" s="69">
        <f>'CC detallado'!H49</f>
        <v>2000</v>
      </c>
      <c r="I49" s="69" t="str">
        <f>'CC detallado'!I49</f>
        <v>insumos</v>
      </c>
      <c r="J49" s="69">
        <f>'CC detallado'!J49</f>
        <v>0</v>
      </c>
      <c r="K49" s="69">
        <f>'CC detallado'!K49</f>
        <v>0</v>
      </c>
      <c r="L49" s="70">
        <f>'CC detallado'!L49</f>
        <v>10</v>
      </c>
      <c r="M49" s="70">
        <f>'CC detallado'!M49</f>
        <v>20000</v>
      </c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8"/>
      <c r="AU49" s="198"/>
      <c r="AV49" s="198"/>
      <c r="AW49" s="198"/>
      <c r="AX49" s="198"/>
      <c r="AY49" s="197">
        <f>$M$49*20%</f>
        <v>4000</v>
      </c>
      <c r="AZ49" s="199"/>
      <c r="BA49" s="199"/>
      <c r="BB49" s="197">
        <f>$M$49*20%</f>
        <v>4000</v>
      </c>
      <c r="BC49" s="199"/>
      <c r="BD49" s="199"/>
      <c r="BE49" s="197">
        <f>$M$49*20%</f>
        <v>4000</v>
      </c>
      <c r="BF49" s="199"/>
      <c r="BG49" s="197">
        <f>$M$49*20%</f>
        <v>4000</v>
      </c>
      <c r="BH49" s="199"/>
      <c r="BI49" s="199"/>
      <c r="BJ49" s="197">
        <f>$M$49*20%</f>
        <v>4000</v>
      </c>
      <c r="BK49" s="194"/>
      <c r="BL49" s="194"/>
      <c r="BM49" s="194"/>
      <c r="BN49" s="194"/>
      <c r="BO49" s="194"/>
      <c r="BP49" s="194"/>
      <c r="BQ49" s="194"/>
      <c r="BR49" s="194"/>
      <c r="BS49" s="194"/>
      <c r="BT49" s="194"/>
      <c r="BU49" s="194"/>
      <c r="BV49" s="194"/>
      <c r="BW49" s="195">
        <f t="shared" si="61"/>
        <v>20000</v>
      </c>
      <c r="BX49" s="88">
        <f t="shared" si="3"/>
        <v>0</v>
      </c>
      <c r="BY49" s="57"/>
      <c r="BZ49" s="70">
        <f t="shared" si="4"/>
        <v>0</v>
      </c>
      <c r="CA49" s="70">
        <f t="shared" si="5"/>
        <v>0</v>
      </c>
      <c r="CB49" s="70">
        <f t="shared" si="6"/>
        <v>0</v>
      </c>
      <c r="CC49" s="70">
        <f t="shared" si="7"/>
        <v>20000</v>
      </c>
      <c r="CD49" s="70">
        <f t="shared" si="8"/>
        <v>0</v>
      </c>
      <c r="CE49" s="70">
        <f t="shared" si="63"/>
        <v>20000</v>
      </c>
      <c r="CF49" s="64">
        <f t="shared" si="10"/>
        <v>0</v>
      </c>
    </row>
    <row r="50" spans="1:93" ht="14.4" customHeight="1" collapsed="1" x14ac:dyDescent="0.3">
      <c r="A50" s="190" t="str">
        <f>'CC detallado'!A50</f>
        <v>1.9</v>
      </c>
      <c r="B50" s="190" t="str">
        <f>'CC detallado'!B50</f>
        <v>C-2</v>
      </c>
      <c r="C50" s="190" t="str">
        <f>'CC detallado'!C50</f>
        <v>-</v>
      </c>
      <c r="D50" s="190" t="str">
        <f>'CC detallado'!D50</f>
        <v>-</v>
      </c>
      <c r="E50" s="190" t="str">
        <f>'CC detallado'!E50</f>
        <v>-</v>
      </c>
      <c r="F50" s="190" t="str">
        <f>'CC detallado'!F50</f>
        <v>-</v>
      </c>
      <c r="G50" s="185" t="str">
        <f>'CC detallado'!G50</f>
        <v>Producto 9: Personal estratégico capacitado para nuevo modelo de gestión de Senacsa</v>
      </c>
      <c r="H50" s="186">
        <f>'CC detallado'!H50</f>
        <v>0</v>
      </c>
      <c r="I50" s="186">
        <f>'CC detallado'!I50</f>
        <v>0</v>
      </c>
      <c r="J50" s="186">
        <f>'CC detallado'!J50</f>
        <v>0</v>
      </c>
      <c r="K50" s="186">
        <f>'CC detallado'!K50</f>
        <v>0</v>
      </c>
      <c r="L50" s="187">
        <f>'CC detallado'!L50</f>
        <v>0</v>
      </c>
      <c r="M50" s="187">
        <f>'CC detallado'!M50</f>
        <v>400000</v>
      </c>
      <c r="O50" s="187">
        <f>SUM(O51:O52)</f>
        <v>0</v>
      </c>
      <c r="P50" s="187">
        <f t="shared" ref="P50:BW50" si="64">SUM(P51:P52)</f>
        <v>0</v>
      </c>
      <c r="Q50" s="187">
        <f t="shared" si="64"/>
        <v>0</v>
      </c>
      <c r="R50" s="187">
        <f t="shared" si="64"/>
        <v>0</v>
      </c>
      <c r="S50" s="187">
        <f t="shared" si="64"/>
        <v>0</v>
      </c>
      <c r="T50" s="187">
        <f t="shared" si="64"/>
        <v>0</v>
      </c>
      <c r="U50" s="187">
        <f t="shared" si="64"/>
        <v>0</v>
      </c>
      <c r="V50" s="187">
        <f t="shared" si="64"/>
        <v>0</v>
      </c>
      <c r="W50" s="187">
        <f t="shared" si="64"/>
        <v>0</v>
      </c>
      <c r="X50" s="187">
        <f t="shared" si="64"/>
        <v>0</v>
      </c>
      <c r="Y50" s="187">
        <f t="shared" si="64"/>
        <v>0</v>
      </c>
      <c r="Z50" s="187">
        <f t="shared" si="64"/>
        <v>8333.3333333333339</v>
      </c>
      <c r="AA50" s="187">
        <f t="shared" si="64"/>
        <v>0</v>
      </c>
      <c r="AB50" s="187">
        <f t="shared" si="64"/>
        <v>60000</v>
      </c>
      <c r="AC50" s="187">
        <f t="shared" si="64"/>
        <v>8333.3333333333339</v>
      </c>
      <c r="AD50" s="187">
        <f t="shared" si="64"/>
        <v>0</v>
      </c>
      <c r="AE50" s="187">
        <f t="shared" si="64"/>
        <v>0</v>
      </c>
      <c r="AF50" s="187">
        <f t="shared" si="64"/>
        <v>68333.333333333328</v>
      </c>
      <c r="AG50" s="187">
        <f t="shared" si="64"/>
        <v>0</v>
      </c>
      <c r="AH50" s="187">
        <f t="shared" si="64"/>
        <v>0</v>
      </c>
      <c r="AI50" s="187">
        <f t="shared" si="64"/>
        <v>8333.3333333333339</v>
      </c>
      <c r="AJ50" s="187">
        <f t="shared" si="64"/>
        <v>60000</v>
      </c>
      <c r="AK50" s="187">
        <f t="shared" si="64"/>
        <v>0</v>
      </c>
      <c r="AL50" s="187">
        <f t="shared" si="64"/>
        <v>8333.3333333333339</v>
      </c>
      <c r="AM50" s="187">
        <f t="shared" si="64"/>
        <v>0</v>
      </c>
      <c r="AN50" s="187">
        <f t="shared" si="64"/>
        <v>0</v>
      </c>
      <c r="AO50" s="187">
        <f t="shared" si="64"/>
        <v>68333.333333333328</v>
      </c>
      <c r="AP50" s="187">
        <f t="shared" si="64"/>
        <v>0</v>
      </c>
      <c r="AQ50" s="187">
        <f t="shared" si="64"/>
        <v>0</v>
      </c>
      <c r="AR50" s="187">
        <f t="shared" si="64"/>
        <v>8333.3333333333339</v>
      </c>
      <c r="AS50" s="187">
        <f t="shared" si="64"/>
        <v>60000</v>
      </c>
      <c r="AT50" s="187">
        <f t="shared" si="64"/>
        <v>0</v>
      </c>
      <c r="AU50" s="187">
        <f t="shared" si="64"/>
        <v>8333.3333333333339</v>
      </c>
      <c r="AV50" s="187">
        <f t="shared" si="64"/>
        <v>0</v>
      </c>
      <c r="AW50" s="187">
        <f t="shared" si="64"/>
        <v>0</v>
      </c>
      <c r="AX50" s="187">
        <f t="shared" si="64"/>
        <v>8333.3333333333339</v>
      </c>
      <c r="AY50" s="187">
        <f t="shared" si="64"/>
        <v>0</v>
      </c>
      <c r="AZ50" s="187">
        <f t="shared" si="64"/>
        <v>0</v>
      </c>
      <c r="BA50" s="187">
        <f t="shared" si="64"/>
        <v>8333.3333333333339</v>
      </c>
      <c r="BB50" s="187">
        <f t="shared" si="64"/>
        <v>0</v>
      </c>
      <c r="BC50" s="187">
        <f t="shared" si="64"/>
        <v>0</v>
      </c>
      <c r="BD50" s="187">
        <f t="shared" si="64"/>
        <v>8333.3333333333339</v>
      </c>
      <c r="BE50" s="187">
        <f t="shared" si="64"/>
        <v>0</v>
      </c>
      <c r="BF50" s="187">
        <f t="shared" si="64"/>
        <v>0</v>
      </c>
      <c r="BG50" s="187">
        <f t="shared" si="64"/>
        <v>8333.3333333333339</v>
      </c>
      <c r="BH50" s="187">
        <f t="shared" si="64"/>
        <v>0</v>
      </c>
      <c r="BI50" s="187">
        <f t="shared" si="64"/>
        <v>0</v>
      </c>
      <c r="BJ50" s="187">
        <f t="shared" si="64"/>
        <v>0</v>
      </c>
      <c r="BK50" s="187">
        <f t="shared" si="64"/>
        <v>0</v>
      </c>
      <c r="BL50" s="187">
        <f t="shared" si="64"/>
        <v>0</v>
      </c>
      <c r="BM50" s="187">
        <f t="shared" si="64"/>
        <v>0</v>
      </c>
      <c r="BN50" s="187">
        <f t="shared" si="64"/>
        <v>0</v>
      </c>
      <c r="BO50" s="187">
        <f t="shared" si="64"/>
        <v>0</v>
      </c>
      <c r="BP50" s="187">
        <f t="shared" si="64"/>
        <v>0</v>
      </c>
      <c r="BQ50" s="187">
        <f t="shared" si="64"/>
        <v>0</v>
      </c>
      <c r="BR50" s="187">
        <f t="shared" si="64"/>
        <v>0</v>
      </c>
      <c r="BS50" s="187">
        <f t="shared" si="64"/>
        <v>0</v>
      </c>
      <c r="BT50" s="187">
        <f t="shared" si="64"/>
        <v>0</v>
      </c>
      <c r="BU50" s="187">
        <f t="shared" si="64"/>
        <v>0</v>
      </c>
      <c r="BV50" s="187">
        <f t="shared" si="64"/>
        <v>0</v>
      </c>
      <c r="BW50" s="187">
        <f t="shared" si="64"/>
        <v>400000</v>
      </c>
      <c r="BX50" s="88">
        <f t="shared" si="3"/>
        <v>0</v>
      </c>
      <c r="BY50" s="57"/>
      <c r="BZ50" s="187">
        <f t="shared" si="4"/>
        <v>8333.3333333333339</v>
      </c>
      <c r="CA50" s="187">
        <f t="shared" si="5"/>
        <v>213333.33333333334</v>
      </c>
      <c r="CB50" s="187">
        <f t="shared" si="6"/>
        <v>153333.33333333334</v>
      </c>
      <c r="CC50" s="187">
        <f t="shared" si="7"/>
        <v>25000</v>
      </c>
      <c r="CD50" s="187">
        <f t="shared" si="8"/>
        <v>0</v>
      </c>
      <c r="CE50" s="187">
        <f t="shared" ref="CE50" si="65">SUM(CE51:CE52)</f>
        <v>400000</v>
      </c>
      <c r="CF50" s="64">
        <f t="shared" si="10"/>
        <v>0</v>
      </c>
    </row>
    <row r="51" spans="1:93" ht="14.4" hidden="1" customHeight="1" outlineLevel="1" x14ac:dyDescent="0.3">
      <c r="A51" s="67" t="str">
        <f>'CC detallado'!A51</f>
        <v>1.9.1</v>
      </c>
      <c r="B51" s="67">
        <f>'CC detallado'!B51</f>
        <v>1</v>
      </c>
      <c r="C51" s="67">
        <f>'CC detallado'!C51</f>
        <v>260</v>
      </c>
      <c r="D51" s="67" t="str">
        <f>'CC detallado'!D51</f>
        <v>FC</v>
      </c>
      <c r="E51" s="67" t="str">
        <f>'CC detallado'!E51</f>
        <v>SBCC</v>
      </c>
      <c r="F51" s="67" t="str">
        <f>'CC detallado'!F51</f>
        <v>X Prod</v>
      </c>
      <c r="G51" s="166" t="str">
        <f>'CC detallado'!G51</f>
        <v>Contratación de firma para de desarrollo de cursos (nivel estratégico, táctico, operativo)</v>
      </c>
      <c r="H51" s="69">
        <f>'CC detallado'!H51</f>
        <v>9</v>
      </c>
      <c r="I51" s="69" t="str">
        <f>'CC detallado'!I51</f>
        <v>cursos</v>
      </c>
      <c r="J51" s="69">
        <f>'CC detallado'!J51</f>
        <v>0</v>
      </c>
      <c r="K51" s="69">
        <f>'CC detallado'!K51</f>
        <v>0</v>
      </c>
      <c r="L51" s="70">
        <f>'CC detallado'!L51</f>
        <v>11111.111111111111</v>
      </c>
      <c r="M51" s="70">
        <f>'CC detallado'!M51</f>
        <v>100000</v>
      </c>
      <c r="O51" s="194"/>
      <c r="P51" s="194"/>
      <c r="Q51" s="194"/>
      <c r="R51" s="194"/>
      <c r="S51" s="194"/>
      <c r="T51" s="198"/>
      <c r="U51" s="198"/>
      <c r="V51" s="198"/>
      <c r="W51" s="198"/>
      <c r="X51" s="198"/>
      <c r="Y51" s="198"/>
      <c r="Z51" s="197">
        <f>$M$51/12</f>
        <v>8333.3333333333339</v>
      </c>
      <c r="AA51" s="197"/>
      <c r="AB51" s="197"/>
      <c r="AC51" s="197">
        <f>$M$51/12</f>
        <v>8333.3333333333339</v>
      </c>
      <c r="AD51" s="197"/>
      <c r="AE51" s="197"/>
      <c r="AF51" s="197">
        <f>$M$51/12</f>
        <v>8333.3333333333339</v>
      </c>
      <c r="AG51" s="197"/>
      <c r="AH51" s="197"/>
      <c r="AI51" s="197">
        <f>$M$51/12</f>
        <v>8333.3333333333339</v>
      </c>
      <c r="AJ51" s="197"/>
      <c r="AK51" s="197"/>
      <c r="AL51" s="197">
        <f>$M$51/12</f>
        <v>8333.3333333333339</v>
      </c>
      <c r="AM51" s="197"/>
      <c r="AN51" s="197"/>
      <c r="AO51" s="197">
        <f>$M$51/12</f>
        <v>8333.3333333333339</v>
      </c>
      <c r="AP51" s="197"/>
      <c r="AQ51" s="197"/>
      <c r="AR51" s="197">
        <f>$M$51/12</f>
        <v>8333.3333333333339</v>
      </c>
      <c r="AS51" s="197"/>
      <c r="AT51" s="197"/>
      <c r="AU51" s="197">
        <f>$M$51/12</f>
        <v>8333.3333333333339</v>
      </c>
      <c r="AV51" s="197"/>
      <c r="AW51" s="197"/>
      <c r="AX51" s="197">
        <f>$M$51/12</f>
        <v>8333.3333333333339</v>
      </c>
      <c r="AY51" s="197"/>
      <c r="AZ51" s="197"/>
      <c r="BA51" s="197">
        <f>$M$51/12</f>
        <v>8333.3333333333339</v>
      </c>
      <c r="BB51" s="197"/>
      <c r="BC51" s="197"/>
      <c r="BD51" s="197">
        <f>$M$51/12</f>
        <v>8333.3333333333339</v>
      </c>
      <c r="BE51" s="197"/>
      <c r="BF51" s="197"/>
      <c r="BG51" s="197">
        <f>$M$51/12</f>
        <v>8333.3333333333339</v>
      </c>
      <c r="BH51" s="197"/>
      <c r="BI51" s="197"/>
      <c r="BJ51" s="194"/>
      <c r="BK51" s="194"/>
      <c r="BL51" s="194"/>
      <c r="BM51" s="194"/>
      <c r="BN51" s="194"/>
      <c r="BO51" s="194"/>
      <c r="BP51" s="194"/>
      <c r="BQ51" s="194"/>
      <c r="BR51" s="194"/>
      <c r="BS51" s="194"/>
      <c r="BT51" s="194"/>
      <c r="BU51" s="194"/>
      <c r="BV51" s="194"/>
      <c r="BW51" s="195">
        <f t="shared" si="61"/>
        <v>99999.999999999985</v>
      </c>
      <c r="BX51" s="88">
        <f t="shared" ref="BX51:BX112" si="66">BW51-M51</f>
        <v>0</v>
      </c>
      <c r="BY51" s="57"/>
      <c r="BZ51" s="70">
        <f t="shared" ref="BZ51:BZ112" si="67">SUM(O51:Z51)</f>
        <v>8333.3333333333339</v>
      </c>
      <c r="CA51" s="70">
        <f t="shared" ref="CA51:CA112" si="68">SUM(AA51:AL51)</f>
        <v>33333.333333333336</v>
      </c>
      <c r="CB51" s="70">
        <f t="shared" ref="CB51:CB112" si="69">SUM(AM51:AX51)</f>
        <v>33333.333333333336</v>
      </c>
      <c r="CC51" s="70">
        <f t="shared" ref="CC51:CC112" si="70">SUM(AY51:BJ51)</f>
        <v>25000</v>
      </c>
      <c r="CD51" s="70">
        <f t="shared" ref="CD51:CD112" si="71">SUM(BK51:BV51)</f>
        <v>0</v>
      </c>
      <c r="CE51" s="70">
        <f t="shared" si="62"/>
        <v>100000</v>
      </c>
      <c r="CF51" s="64">
        <f t="shared" si="10"/>
        <v>0</v>
      </c>
    </row>
    <row r="52" spans="1:93" s="49" customFormat="1" ht="14.4" hidden="1" customHeight="1" outlineLevel="1" x14ac:dyDescent="0.3">
      <c r="A52" s="67" t="str">
        <f>'CC detallado'!A52</f>
        <v>1.9.2</v>
      </c>
      <c r="B52" s="67">
        <f>'CC detallado'!B52</f>
        <v>1</v>
      </c>
      <c r="C52" s="67">
        <f>'CC detallado'!C52</f>
        <v>260</v>
      </c>
      <c r="D52" s="67" t="str">
        <f>'CC detallado'!D52</f>
        <v>FC</v>
      </c>
      <c r="E52" s="67" t="str">
        <f>'CC detallado'!E52</f>
        <v>SBCC</v>
      </c>
      <c r="F52" s="67" t="str">
        <f>'CC detallado'!F52</f>
        <v>X Prod</v>
      </c>
      <c r="G52" s="166" t="str">
        <f>'CC detallado'!G52</f>
        <v>Programa de modernización organizacional</v>
      </c>
      <c r="H52" s="69">
        <f>'CC detallado'!H52</f>
        <v>1</v>
      </c>
      <c r="I52" s="69">
        <f>'CC detallado'!I52</f>
        <v>0</v>
      </c>
      <c r="J52" s="69">
        <f>'CC detallado'!J52</f>
        <v>0</v>
      </c>
      <c r="K52" s="69">
        <f>'CC detallado'!K52</f>
        <v>0</v>
      </c>
      <c r="L52" s="70">
        <f>'CC detallado'!L52</f>
        <v>300000</v>
      </c>
      <c r="M52" s="70">
        <f>'CC detallado'!M52</f>
        <v>300000</v>
      </c>
      <c r="N52" s="76"/>
      <c r="O52" s="70"/>
      <c r="P52" s="195"/>
      <c r="Q52" s="195"/>
      <c r="R52" s="195"/>
      <c r="S52" s="195"/>
      <c r="T52" s="195"/>
      <c r="U52" s="195"/>
      <c r="V52" s="198"/>
      <c r="W52" s="198"/>
      <c r="X52" s="198"/>
      <c r="Y52" s="198"/>
      <c r="Z52" s="198"/>
      <c r="AA52" s="198"/>
      <c r="AB52" s="197">
        <f>$M$52*20%</f>
        <v>60000</v>
      </c>
      <c r="AC52" s="197"/>
      <c r="AD52" s="197"/>
      <c r="AE52" s="197"/>
      <c r="AF52" s="197">
        <f>$M$52*20%</f>
        <v>60000</v>
      </c>
      <c r="AG52" s="197"/>
      <c r="AH52" s="197"/>
      <c r="AI52" s="197"/>
      <c r="AJ52" s="197">
        <f>$M$52*20%</f>
        <v>60000</v>
      </c>
      <c r="AK52" s="197"/>
      <c r="AL52" s="197"/>
      <c r="AM52" s="197"/>
      <c r="AN52" s="197"/>
      <c r="AO52" s="197">
        <f>$M$52*20%</f>
        <v>60000</v>
      </c>
      <c r="AP52" s="197"/>
      <c r="AQ52" s="197"/>
      <c r="AR52" s="197"/>
      <c r="AS52" s="197">
        <f>$M$52*20%</f>
        <v>60000</v>
      </c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>
        <f t="shared" ref="BW52" si="72">SUM(O52:BV52)</f>
        <v>300000</v>
      </c>
      <c r="BX52" s="88">
        <f t="shared" si="66"/>
        <v>0</v>
      </c>
      <c r="BY52" s="57"/>
      <c r="BZ52" s="70">
        <f t="shared" si="67"/>
        <v>0</v>
      </c>
      <c r="CA52" s="70">
        <f t="shared" si="68"/>
        <v>180000</v>
      </c>
      <c r="CB52" s="70">
        <f t="shared" si="69"/>
        <v>120000</v>
      </c>
      <c r="CC52" s="70">
        <f t="shared" si="70"/>
        <v>0</v>
      </c>
      <c r="CD52" s="70">
        <f t="shared" si="71"/>
        <v>0</v>
      </c>
      <c r="CE52" s="70">
        <f t="shared" ref="CE52" si="73">SUM(BZ52:CD52)</f>
        <v>300000</v>
      </c>
      <c r="CF52" s="64">
        <f t="shared" si="10"/>
        <v>0</v>
      </c>
    </row>
    <row r="53" spans="1:93" s="58" customFormat="1" ht="14.4" customHeight="1" collapsed="1" x14ac:dyDescent="0.3">
      <c r="A53" s="193">
        <f>'CC detallado'!A53</f>
        <v>2</v>
      </c>
      <c r="B53" s="193" t="str">
        <f>'CC detallado'!B53</f>
        <v>C-2</v>
      </c>
      <c r="C53" s="193" t="str">
        <f>'CC detallado'!C53</f>
        <v>-</v>
      </c>
      <c r="D53" s="193" t="str">
        <f>'CC detallado'!D53</f>
        <v>-</v>
      </c>
      <c r="E53" s="193" t="str">
        <f>'CC detallado'!E53</f>
        <v>-</v>
      </c>
      <c r="F53" s="193" t="str">
        <f>'CC detallado'!F53</f>
        <v>-</v>
      </c>
      <c r="G53" s="61" t="str">
        <f>'CC detallado'!G53</f>
        <v xml:space="preserve">Componente 2: Ampliación de los servicios </v>
      </c>
      <c r="H53" s="62">
        <f>'CC detallado'!H53</f>
        <v>0</v>
      </c>
      <c r="I53" s="62">
        <f>'CC detallado'!I53</f>
        <v>0</v>
      </c>
      <c r="J53" s="62">
        <f>'CC detallado'!J53</f>
        <v>0</v>
      </c>
      <c r="K53" s="62">
        <f>'CC detallado'!K53</f>
        <v>0</v>
      </c>
      <c r="L53" s="77">
        <f>'CC detallado'!L53</f>
        <v>0</v>
      </c>
      <c r="M53" s="93">
        <f>M54+M60+M67+M78+M83+M87</f>
        <v>3074400</v>
      </c>
      <c r="N53" s="63">
        <f>M53/$M$112</f>
        <v>0.20496</v>
      </c>
      <c r="O53" s="93">
        <f>O54+O60+O67+O78+O83+O87</f>
        <v>0</v>
      </c>
      <c r="P53" s="93">
        <f t="shared" ref="P53:BW53" si="74">P54+P60+P67+P78+P83+P87</f>
        <v>0</v>
      </c>
      <c r="Q53" s="93">
        <f t="shared" si="74"/>
        <v>0</v>
      </c>
      <c r="R53" s="93">
        <f t="shared" si="74"/>
        <v>0</v>
      </c>
      <c r="S53" s="93">
        <f t="shared" si="74"/>
        <v>2000</v>
      </c>
      <c r="T53" s="93">
        <f t="shared" si="74"/>
        <v>13666.666666666668</v>
      </c>
      <c r="U53" s="93">
        <f t="shared" si="74"/>
        <v>13666.666666666668</v>
      </c>
      <c r="V53" s="93">
        <f t="shared" si="74"/>
        <v>40166.666666666672</v>
      </c>
      <c r="W53" s="93">
        <f t="shared" si="74"/>
        <v>5750</v>
      </c>
      <c r="X53" s="93">
        <f t="shared" si="74"/>
        <v>53750</v>
      </c>
      <c r="Y53" s="93">
        <f t="shared" si="74"/>
        <v>65250</v>
      </c>
      <c r="Z53" s="93">
        <f t="shared" si="74"/>
        <v>46750</v>
      </c>
      <c r="AA53" s="93">
        <f t="shared" si="74"/>
        <v>75780</v>
      </c>
      <c r="AB53" s="93">
        <f t="shared" si="74"/>
        <v>39000</v>
      </c>
      <c r="AC53" s="93">
        <f t="shared" si="74"/>
        <v>3000</v>
      </c>
      <c r="AD53" s="93">
        <f t="shared" si="74"/>
        <v>126280</v>
      </c>
      <c r="AE53" s="93">
        <f t="shared" si="74"/>
        <v>157000</v>
      </c>
      <c r="AF53" s="93">
        <f t="shared" si="74"/>
        <v>10500</v>
      </c>
      <c r="AG53" s="93">
        <f t="shared" si="74"/>
        <v>322280</v>
      </c>
      <c r="AH53" s="93">
        <f t="shared" si="74"/>
        <v>10500</v>
      </c>
      <c r="AI53" s="93">
        <f t="shared" si="74"/>
        <v>144000</v>
      </c>
      <c r="AJ53" s="93">
        <f t="shared" si="74"/>
        <v>147280</v>
      </c>
      <c r="AK53" s="93">
        <f t="shared" si="74"/>
        <v>3000</v>
      </c>
      <c r="AL53" s="93">
        <f t="shared" si="74"/>
        <v>204780</v>
      </c>
      <c r="AM53" s="93">
        <f t="shared" si="74"/>
        <v>73638.888888888891</v>
      </c>
      <c r="AN53" s="93">
        <f t="shared" si="74"/>
        <v>196555.55555555556</v>
      </c>
      <c r="AO53" s="93">
        <f t="shared" si="74"/>
        <v>59722.222222222219</v>
      </c>
      <c r="AP53" s="93">
        <f t="shared" si="74"/>
        <v>126972.22222222223</v>
      </c>
      <c r="AQ53" s="93">
        <f t="shared" si="74"/>
        <v>73555.555555555562</v>
      </c>
      <c r="AR53" s="93">
        <f t="shared" si="74"/>
        <v>28055.555555555555</v>
      </c>
      <c r="AS53" s="93">
        <f t="shared" si="74"/>
        <v>114472.22222222222</v>
      </c>
      <c r="AT53" s="93">
        <f t="shared" si="74"/>
        <v>3055.5555555555557</v>
      </c>
      <c r="AU53" s="93">
        <f t="shared" si="74"/>
        <v>3055.5555555555557</v>
      </c>
      <c r="AV53" s="93">
        <f t="shared" si="74"/>
        <v>90472.222222222219</v>
      </c>
      <c r="AW53" s="93">
        <f t="shared" si="74"/>
        <v>58055.555555555555</v>
      </c>
      <c r="AX53" s="93">
        <f t="shared" si="74"/>
        <v>8055.5555555555557</v>
      </c>
      <c r="AY53" s="93">
        <f t="shared" si="74"/>
        <v>76138.888888888891</v>
      </c>
      <c r="AZ53" s="93">
        <f t="shared" si="74"/>
        <v>8055.5555555555557</v>
      </c>
      <c r="BA53" s="93">
        <f t="shared" si="74"/>
        <v>84722.222222222219</v>
      </c>
      <c r="BB53" s="93">
        <f t="shared" si="74"/>
        <v>126972.22222222223</v>
      </c>
      <c r="BC53" s="93">
        <f t="shared" si="74"/>
        <v>3055.5555555555557</v>
      </c>
      <c r="BD53" s="93">
        <f t="shared" si="74"/>
        <v>28055.555555555555</v>
      </c>
      <c r="BE53" s="93">
        <f t="shared" si="74"/>
        <v>64472.222222222226</v>
      </c>
      <c r="BF53" s="93">
        <f t="shared" si="74"/>
        <v>3055.5555555555557</v>
      </c>
      <c r="BG53" s="93">
        <f t="shared" si="74"/>
        <v>3055.5555555555557</v>
      </c>
      <c r="BH53" s="93">
        <f t="shared" si="74"/>
        <v>70472.222222222219</v>
      </c>
      <c r="BI53" s="93">
        <f t="shared" si="74"/>
        <v>3055.5555555555557</v>
      </c>
      <c r="BJ53" s="93">
        <f t="shared" si="74"/>
        <v>3055.5555555555557</v>
      </c>
      <c r="BK53" s="93">
        <f t="shared" si="74"/>
        <v>37638.888888888891</v>
      </c>
      <c r="BL53" s="93">
        <f t="shared" si="74"/>
        <v>3055.5555555555557</v>
      </c>
      <c r="BM53" s="93">
        <f t="shared" si="74"/>
        <v>34722.222222222219</v>
      </c>
      <c r="BN53" s="93">
        <f t="shared" si="74"/>
        <v>93472.222222222234</v>
      </c>
      <c r="BO53" s="93">
        <f t="shared" si="74"/>
        <v>3055.5555555555557</v>
      </c>
      <c r="BP53" s="93">
        <f t="shared" si="74"/>
        <v>28055.555555555555</v>
      </c>
      <c r="BQ53" s="93">
        <f t="shared" si="74"/>
        <v>30972.222222222223</v>
      </c>
      <c r="BR53" s="93">
        <f t="shared" si="74"/>
        <v>9055.5555555555547</v>
      </c>
      <c r="BS53" s="93">
        <f t="shared" si="74"/>
        <v>3055.5555555555557</v>
      </c>
      <c r="BT53" s="93">
        <f t="shared" si="74"/>
        <v>30972.222222222223</v>
      </c>
      <c r="BU53" s="93">
        <f t="shared" si="74"/>
        <v>3055.5555555555557</v>
      </c>
      <c r="BV53" s="93">
        <f t="shared" si="74"/>
        <v>3055.5555555555557</v>
      </c>
      <c r="BW53" s="93">
        <f t="shared" si="74"/>
        <v>3074400</v>
      </c>
      <c r="BX53" s="88">
        <f t="shared" si="66"/>
        <v>0</v>
      </c>
      <c r="BY53" s="57"/>
      <c r="BZ53" s="93">
        <f t="shared" ref="BZ53:CE53" si="75">BZ54+BZ60+BZ67+BZ78+BZ83+BZ87</f>
        <v>241000</v>
      </c>
      <c r="CA53" s="93">
        <f t="shared" si="75"/>
        <v>1243400</v>
      </c>
      <c r="CB53" s="93">
        <f t="shared" si="75"/>
        <v>835666.66666666674</v>
      </c>
      <c r="CC53" s="93">
        <f t="shared" si="75"/>
        <v>474166.66666666669</v>
      </c>
      <c r="CD53" s="93">
        <f t="shared" si="75"/>
        <v>280166.66666666669</v>
      </c>
      <c r="CE53" s="93">
        <f t="shared" si="75"/>
        <v>3074400</v>
      </c>
      <c r="CF53" s="64">
        <f t="shared" ref="CF53:CF112" si="76">BW53-CE53</f>
        <v>0</v>
      </c>
      <c r="CG53" s="57"/>
      <c r="CH53" s="57"/>
      <c r="CI53" s="57"/>
      <c r="CJ53" s="57"/>
      <c r="CK53" s="57"/>
      <c r="CL53" s="57"/>
      <c r="CM53" s="57"/>
      <c r="CN53" s="57"/>
      <c r="CO53" s="57"/>
    </row>
    <row r="54" spans="1:93" s="65" customFormat="1" ht="14.4" customHeight="1" x14ac:dyDescent="0.3">
      <c r="A54" s="190" t="str">
        <f>'CC detallado'!A54</f>
        <v>2.1</v>
      </c>
      <c r="B54" s="190" t="str">
        <f>'CC detallado'!B54</f>
        <v>C-2</v>
      </c>
      <c r="C54" s="190" t="str">
        <f>'CC detallado'!C54</f>
        <v>-</v>
      </c>
      <c r="D54" s="190" t="str">
        <f>'CC detallado'!D54</f>
        <v>-</v>
      </c>
      <c r="E54" s="190" t="str">
        <f>'CC detallado'!E54</f>
        <v>-</v>
      </c>
      <c r="F54" s="190" t="str">
        <f>'CC detallado'!F54</f>
        <v>-</v>
      </c>
      <c r="G54" s="185" t="str">
        <f>'CC detallado'!G54</f>
        <v>Producto 10: Registros de stock ovinos y caprinos  señalados y control de movimientos funcionando</v>
      </c>
      <c r="H54" s="186">
        <f>'CC detallado'!H54</f>
        <v>0</v>
      </c>
      <c r="I54" s="186">
        <f>'CC detallado'!I54</f>
        <v>0</v>
      </c>
      <c r="J54" s="186">
        <f>'CC detallado'!J54</f>
        <v>0</v>
      </c>
      <c r="K54" s="186">
        <f>'CC detallado'!K54</f>
        <v>0</v>
      </c>
      <c r="L54" s="187">
        <f>'CC detallado'!L54</f>
        <v>0</v>
      </c>
      <c r="M54" s="187">
        <f>SUM(M55:M59)</f>
        <v>338900</v>
      </c>
      <c r="N54" s="48"/>
      <c r="O54" s="187">
        <f>SUM(O55:O59)</f>
        <v>0</v>
      </c>
      <c r="P54" s="187">
        <f t="shared" ref="P54:BW54" si="77">SUM(P55:P59)</f>
        <v>0</v>
      </c>
      <c r="Q54" s="187">
        <f t="shared" si="77"/>
        <v>0</v>
      </c>
      <c r="R54" s="187">
        <f t="shared" si="77"/>
        <v>0</v>
      </c>
      <c r="S54" s="187">
        <f t="shared" si="77"/>
        <v>0</v>
      </c>
      <c r="T54" s="187">
        <f t="shared" si="77"/>
        <v>5000</v>
      </c>
      <c r="U54" s="187">
        <f t="shared" si="77"/>
        <v>5000</v>
      </c>
      <c r="V54" s="187">
        <f t="shared" si="77"/>
        <v>0</v>
      </c>
      <c r="W54" s="187">
        <f t="shared" si="77"/>
        <v>0</v>
      </c>
      <c r="X54" s="187">
        <f t="shared" si="77"/>
        <v>0</v>
      </c>
      <c r="Y54" s="187">
        <f t="shared" si="77"/>
        <v>0</v>
      </c>
      <c r="Z54" s="187">
        <f t="shared" si="77"/>
        <v>0</v>
      </c>
      <c r="AA54" s="187">
        <f t="shared" si="77"/>
        <v>60780</v>
      </c>
      <c r="AB54" s="187">
        <f t="shared" si="77"/>
        <v>0</v>
      </c>
      <c r="AC54" s="187">
        <f t="shared" si="77"/>
        <v>0</v>
      </c>
      <c r="AD54" s="187">
        <f t="shared" si="77"/>
        <v>60780</v>
      </c>
      <c r="AE54" s="187">
        <f t="shared" si="77"/>
        <v>0</v>
      </c>
      <c r="AF54" s="187">
        <f t="shared" si="77"/>
        <v>0</v>
      </c>
      <c r="AG54" s="187">
        <f t="shared" si="77"/>
        <v>60780</v>
      </c>
      <c r="AH54" s="187">
        <f t="shared" si="77"/>
        <v>0</v>
      </c>
      <c r="AI54" s="187">
        <f t="shared" si="77"/>
        <v>0</v>
      </c>
      <c r="AJ54" s="187">
        <f t="shared" si="77"/>
        <v>60780</v>
      </c>
      <c r="AK54" s="187">
        <f t="shared" si="77"/>
        <v>0</v>
      </c>
      <c r="AL54" s="187">
        <f t="shared" si="77"/>
        <v>60780</v>
      </c>
      <c r="AM54" s="187">
        <f t="shared" si="77"/>
        <v>2555.5555555555557</v>
      </c>
      <c r="AN54" s="187">
        <f t="shared" si="77"/>
        <v>2555.5555555555557</v>
      </c>
      <c r="AO54" s="187">
        <f t="shared" si="77"/>
        <v>55.555555555555557</v>
      </c>
      <c r="AP54" s="187">
        <f t="shared" si="77"/>
        <v>55.555555555555557</v>
      </c>
      <c r="AQ54" s="187">
        <f t="shared" si="77"/>
        <v>55.555555555555557</v>
      </c>
      <c r="AR54" s="187">
        <f t="shared" si="77"/>
        <v>55.555555555555557</v>
      </c>
      <c r="AS54" s="187">
        <f t="shared" si="77"/>
        <v>55.555555555555557</v>
      </c>
      <c r="AT54" s="187">
        <f t="shared" si="77"/>
        <v>55.555555555555557</v>
      </c>
      <c r="AU54" s="187">
        <f t="shared" si="77"/>
        <v>55.555555555555557</v>
      </c>
      <c r="AV54" s="187">
        <f t="shared" si="77"/>
        <v>6055.5555555555557</v>
      </c>
      <c r="AW54" s="187">
        <f t="shared" si="77"/>
        <v>55.555555555555557</v>
      </c>
      <c r="AX54" s="187">
        <f t="shared" si="77"/>
        <v>55.555555555555557</v>
      </c>
      <c r="AY54" s="187">
        <f t="shared" si="77"/>
        <v>55.555555555555557</v>
      </c>
      <c r="AZ54" s="187">
        <f t="shared" si="77"/>
        <v>55.555555555555557</v>
      </c>
      <c r="BA54" s="187">
        <f t="shared" si="77"/>
        <v>55.555555555555557</v>
      </c>
      <c r="BB54" s="187">
        <f t="shared" si="77"/>
        <v>55.555555555555557</v>
      </c>
      <c r="BC54" s="187">
        <f t="shared" si="77"/>
        <v>55.555555555555557</v>
      </c>
      <c r="BD54" s="187">
        <f t="shared" si="77"/>
        <v>55.555555555555557</v>
      </c>
      <c r="BE54" s="187">
        <f t="shared" si="77"/>
        <v>55.555555555555557</v>
      </c>
      <c r="BF54" s="187">
        <f t="shared" si="77"/>
        <v>55.555555555555557</v>
      </c>
      <c r="BG54" s="187">
        <f t="shared" si="77"/>
        <v>55.555555555555557</v>
      </c>
      <c r="BH54" s="187">
        <f t="shared" si="77"/>
        <v>6055.5555555555557</v>
      </c>
      <c r="BI54" s="187">
        <f t="shared" si="77"/>
        <v>55.555555555555557</v>
      </c>
      <c r="BJ54" s="187">
        <f t="shared" si="77"/>
        <v>55.555555555555557</v>
      </c>
      <c r="BK54" s="187">
        <f t="shared" si="77"/>
        <v>55.555555555555557</v>
      </c>
      <c r="BL54" s="187">
        <f t="shared" si="77"/>
        <v>55.555555555555557</v>
      </c>
      <c r="BM54" s="187">
        <f t="shared" si="77"/>
        <v>55.555555555555557</v>
      </c>
      <c r="BN54" s="187">
        <f t="shared" si="77"/>
        <v>55.555555555555557</v>
      </c>
      <c r="BO54" s="187">
        <f t="shared" si="77"/>
        <v>55.555555555555557</v>
      </c>
      <c r="BP54" s="187">
        <f t="shared" si="77"/>
        <v>55.555555555555557</v>
      </c>
      <c r="BQ54" s="187">
        <f t="shared" si="77"/>
        <v>55.555555555555557</v>
      </c>
      <c r="BR54" s="187">
        <f t="shared" si="77"/>
        <v>6055.5555555555557</v>
      </c>
      <c r="BS54" s="187">
        <f t="shared" si="77"/>
        <v>55.555555555555557</v>
      </c>
      <c r="BT54" s="187">
        <f t="shared" si="77"/>
        <v>55.555555555555557</v>
      </c>
      <c r="BU54" s="187">
        <f t="shared" si="77"/>
        <v>55.555555555555557</v>
      </c>
      <c r="BV54" s="187">
        <f t="shared" si="77"/>
        <v>55.555555555555557</v>
      </c>
      <c r="BW54" s="187">
        <f t="shared" si="77"/>
        <v>338900</v>
      </c>
      <c r="BX54" s="88">
        <f t="shared" si="66"/>
        <v>0</v>
      </c>
      <c r="BY54" s="57"/>
      <c r="BZ54" s="187">
        <f t="shared" si="67"/>
        <v>10000</v>
      </c>
      <c r="CA54" s="187">
        <f t="shared" si="68"/>
        <v>303900</v>
      </c>
      <c r="CB54" s="187">
        <f t="shared" si="69"/>
        <v>11666.666666666666</v>
      </c>
      <c r="CC54" s="187">
        <f t="shared" si="70"/>
        <v>6666.666666666667</v>
      </c>
      <c r="CD54" s="187">
        <f t="shared" si="71"/>
        <v>6666.666666666667</v>
      </c>
      <c r="CE54" s="187">
        <f t="shared" ref="CE54" si="78">SUM(CE55:CE59)</f>
        <v>338900</v>
      </c>
      <c r="CF54" s="64">
        <f t="shared" ref="CF54:CF64" si="79">BW54-CE54</f>
        <v>0</v>
      </c>
    </row>
    <row r="55" spans="1:93" s="65" customFormat="1" ht="14.4" hidden="1" customHeight="1" outlineLevel="1" x14ac:dyDescent="0.3">
      <c r="A55" s="74" t="str">
        <f>'CC detallado'!A55</f>
        <v>2.1.1</v>
      </c>
      <c r="B55" s="74">
        <f>'CC detallado'!B55</f>
        <v>2</v>
      </c>
      <c r="C55" s="74">
        <f>'CC detallado'!C55</f>
        <v>145</v>
      </c>
      <c r="D55" s="74" t="str">
        <f>'CC detallado'!D55</f>
        <v>CI</v>
      </c>
      <c r="E55" s="74" t="str">
        <f>'CC detallado'!E55</f>
        <v>3CV</v>
      </c>
      <c r="F55" s="74" t="str">
        <f>'CC detallado'!F55</f>
        <v>X Prod</v>
      </c>
      <c r="G55" s="166" t="str">
        <f>'CC detallado'!G55</f>
        <v>Elaboración de Términos de referencia y borrador de contrato para firma</v>
      </c>
      <c r="H55" s="71">
        <f>'CC detallado'!H55</f>
        <v>1</v>
      </c>
      <c r="I55" s="71" t="str">
        <f>'CC detallado'!I55</f>
        <v>consultoría</v>
      </c>
      <c r="J55" s="71">
        <f>'CC detallado'!J55</f>
        <v>1</v>
      </c>
      <c r="K55" s="71" t="str">
        <f>'CC detallado'!K55</f>
        <v>meses</v>
      </c>
      <c r="L55" s="155">
        <f>'CC detallado'!L55</f>
        <v>10000</v>
      </c>
      <c r="M55" s="153">
        <f>'CC detallado'!M55</f>
        <v>10000</v>
      </c>
      <c r="N55" s="48"/>
      <c r="O55" s="153"/>
      <c r="P55" s="195"/>
      <c r="Q55" s="195"/>
      <c r="R55" s="196"/>
      <c r="S55" s="196"/>
      <c r="T55" s="197">
        <f>$M$55/2</f>
        <v>5000</v>
      </c>
      <c r="U55" s="197">
        <f>$M$55/2</f>
        <v>5000</v>
      </c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5"/>
      <c r="BP55" s="195"/>
      <c r="BQ55" s="195"/>
      <c r="BR55" s="195"/>
      <c r="BS55" s="195"/>
      <c r="BT55" s="195"/>
      <c r="BU55" s="195"/>
      <c r="BV55" s="195"/>
      <c r="BW55" s="195">
        <f>SUM(O55:BV55)</f>
        <v>10000</v>
      </c>
      <c r="BX55" s="88">
        <f t="shared" si="66"/>
        <v>0</v>
      </c>
      <c r="BY55" s="57"/>
      <c r="BZ55" s="153">
        <f t="shared" si="67"/>
        <v>10000</v>
      </c>
      <c r="CA55" s="153">
        <f t="shared" si="68"/>
        <v>0</v>
      </c>
      <c r="CB55" s="153">
        <f t="shared" si="69"/>
        <v>0</v>
      </c>
      <c r="CC55" s="153">
        <f t="shared" si="70"/>
        <v>0</v>
      </c>
      <c r="CD55" s="153">
        <f t="shared" si="71"/>
        <v>0</v>
      </c>
      <c r="CE55" s="153">
        <f>SUM(BZ55:CD55)</f>
        <v>10000</v>
      </c>
      <c r="CF55" s="64">
        <f t="shared" si="79"/>
        <v>0</v>
      </c>
    </row>
    <row r="56" spans="1:93" s="65" customFormat="1" ht="14.4" hidden="1" customHeight="1" outlineLevel="1" x14ac:dyDescent="0.3">
      <c r="A56" s="74" t="str">
        <f>'CC detallado'!A56</f>
        <v>2.1.2</v>
      </c>
      <c r="B56" s="74">
        <f>'CC detallado'!B56</f>
        <v>2</v>
      </c>
      <c r="C56" s="74">
        <f>'CC detallado'!C56</f>
        <v>260</v>
      </c>
      <c r="D56" s="74" t="str">
        <f>'CC detallado'!D56</f>
        <v>FC</v>
      </c>
      <c r="E56" s="74" t="str">
        <f>'CC detallado'!E56</f>
        <v>SBCC</v>
      </c>
      <c r="F56" s="74" t="str">
        <f>'CC detallado'!F56</f>
        <v>X Prod</v>
      </c>
      <c r="G56" s="166" t="str">
        <f>'CC detallado'!G56</f>
        <v>Instrumentar registro</v>
      </c>
      <c r="H56" s="71">
        <f>'CC detallado'!H56</f>
        <v>1</v>
      </c>
      <c r="I56" s="71" t="str">
        <f>'CC detallado'!I56</f>
        <v>consultoría</v>
      </c>
      <c r="J56" s="71">
        <f>'CC detallado'!J56</f>
        <v>12</v>
      </c>
      <c r="K56" s="71" t="str">
        <f>'CC detallado'!K56</f>
        <v>meses</v>
      </c>
      <c r="L56" s="155">
        <f>'CC detallado'!L56</f>
        <v>303900</v>
      </c>
      <c r="M56" s="153">
        <f>'CC detallado'!M56</f>
        <v>303900</v>
      </c>
      <c r="N56" s="48"/>
      <c r="O56" s="153"/>
      <c r="P56" s="195"/>
      <c r="Q56" s="195"/>
      <c r="R56" s="195"/>
      <c r="S56" s="195"/>
      <c r="T56" s="195"/>
      <c r="U56" s="196"/>
      <c r="V56" s="196"/>
      <c r="W56" s="196"/>
      <c r="X56" s="196"/>
      <c r="Y56" s="196"/>
      <c r="Z56" s="196"/>
      <c r="AA56" s="197">
        <f>$M$56*20%</f>
        <v>60780</v>
      </c>
      <c r="AB56" s="197"/>
      <c r="AC56" s="197"/>
      <c r="AD56" s="197">
        <f>$M$56*20%</f>
        <v>60780</v>
      </c>
      <c r="AE56" s="197"/>
      <c r="AF56" s="197"/>
      <c r="AG56" s="197">
        <f>$M$56*20%</f>
        <v>60780</v>
      </c>
      <c r="AH56" s="197"/>
      <c r="AI56" s="197"/>
      <c r="AJ56" s="197">
        <f>$M$56*20%</f>
        <v>60780</v>
      </c>
      <c r="AK56" s="197"/>
      <c r="AL56" s="197">
        <f>$M$56*20%</f>
        <v>60780</v>
      </c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  <c r="BR56" s="195"/>
      <c r="BS56" s="195"/>
      <c r="BT56" s="195"/>
      <c r="BU56" s="195"/>
      <c r="BV56" s="195"/>
      <c r="BW56" s="195">
        <f>SUM(O56:BV56)</f>
        <v>303900</v>
      </c>
      <c r="BX56" s="88">
        <f t="shared" si="66"/>
        <v>0</v>
      </c>
      <c r="BY56" s="57"/>
      <c r="BZ56" s="153">
        <f t="shared" si="67"/>
        <v>0</v>
      </c>
      <c r="CA56" s="153">
        <f t="shared" si="68"/>
        <v>303900</v>
      </c>
      <c r="CB56" s="153">
        <f t="shared" si="69"/>
        <v>0</v>
      </c>
      <c r="CC56" s="153">
        <f t="shared" si="70"/>
        <v>0</v>
      </c>
      <c r="CD56" s="153">
        <f t="shared" si="71"/>
        <v>0</v>
      </c>
      <c r="CE56" s="153">
        <f t="shared" ref="CE56:CE59" si="80">SUM(BZ56:CD56)</f>
        <v>303900</v>
      </c>
      <c r="CF56" s="64">
        <f t="shared" si="79"/>
        <v>0</v>
      </c>
    </row>
    <row r="57" spans="1:93" ht="14.4" hidden="1" customHeight="1" outlineLevel="1" x14ac:dyDescent="0.3">
      <c r="A57" s="74" t="str">
        <f>'CC detallado'!A57</f>
        <v>2.1.3</v>
      </c>
      <c r="B57" s="74">
        <f>'CC detallado'!B57</f>
        <v>2</v>
      </c>
      <c r="C57" s="74">
        <f>'CC detallado'!C57</f>
        <v>145</v>
      </c>
      <c r="D57" s="74" t="str">
        <f>'CC detallado'!D57</f>
        <v>CI</v>
      </c>
      <c r="E57" s="74" t="str">
        <f>'CC detallado'!E57</f>
        <v>3CV</v>
      </c>
      <c r="F57" s="74" t="str">
        <f>'CC detallado'!F57</f>
        <v>X Prod</v>
      </c>
      <c r="G57" s="166" t="str">
        <f>'CC detallado'!G57</f>
        <v>Diseño y Difusión - Declaración Jurada y Planillas de Exist. y Trat. Sanitarios</v>
      </c>
      <c r="H57" s="71">
        <f>'CC detallado'!H57</f>
        <v>1</v>
      </c>
      <c r="I57" s="71" t="str">
        <f>'CC detallado'!I57</f>
        <v>persona</v>
      </c>
      <c r="J57" s="71">
        <f>'CC detallado'!J57</f>
        <v>1</v>
      </c>
      <c r="K57" s="71" t="str">
        <f>'CC detallado'!K57</f>
        <v>mes</v>
      </c>
      <c r="L57" s="155">
        <f>'CC detallado'!L57</f>
        <v>5000</v>
      </c>
      <c r="M57" s="153">
        <f>'CC detallado'!M57</f>
        <v>5000</v>
      </c>
      <c r="O57" s="153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6"/>
      <c r="AK57" s="196"/>
      <c r="AL57" s="196"/>
      <c r="AM57" s="197">
        <f>$M$57/2</f>
        <v>2500</v>
      </c>
      <c r="AN57" s="197">
        <f>$M$57/2</f>
        <v>2500</v>
      </c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5"/>
      <c r="BR57" s="195"/>
      <c r="BS57" s="195"/>
      <c r="BT57" s="195"/>
      <c r="BU57" s="195"/>
      <c r="BV57" s="195"/>
      <c r="BW57" s="195">
        <f>SUM(O57:BV57)</f>
        <v>5000</v>
      </c>
      <c r="BX57" s="88">
        <f t="shared" si="66"/>
        <v>0</v>
      </c>
      <c r="BY57" s="57"/>
      <c r="BZ57" s="153">
        <f t="shared" si="67"/>
        <v>0</v>
      </c>
      <c r="CA57" s="153">
        <f t="shared" si="68"/>
        <v>0</v>
      </c>
      <c r="CB57" s="153">
        <f t="shared" si="69"/>
        <v>5000</v>
      </c>
      <c r="CC57" s="153">
        <f t="shared" si="70"/>
        <v>0</v>
      </c>
      <c r="CD57" s="153">
        <f t="shared" si="71"/>
        <v>0</v>
      </c>
      <c r="CE57" s="153">
        <f t="shared" si="80"/>
        <v>5000</v>
      </c>
      <c r="CF57" s="64">
        <f t="shared" si="79"/>
        <v>0</v>
      </c>
    </row>
    <row r="58" spans="1:93" ht="14.4" hidden="1" customHeight="1" outlineLevel="1" x14ac:dyDescent="0.3">
      <c r="A58" s="74" t="str">
        <f>'CC detallado'!A58</f>
        <v>2.1.4</v>
      </c>
      <c r="B58" s="74">
        <f>'CC detallado'!B58</f>
        <v>2</v>
      </c>
      <c r="C58" s="74">
        <f>'CC detallado'!C58</f>
        <v>145</v>
      </c>
      <c r="D58" s="74" t="str">
        <f>'CC detallado'!D58</f>
        <v>CI</v>
      </c>
      <c r="E58" s="74" t="str">
        <f>'CC detallado'!E58</f>
        <v>3CV</v>
      </c>
      <c r="F58" s="74" t="str">
        <f>'CC detallado'!F58</f>
        <v>X Prod</v>
      </c>
      <c r="G58" s="166" t="str">
        <f>'CC detallado'!G58</f>
        <v>Análisis de datos - Declaración Jurada y Planillas de Exist. y Trat. Sanitarios</v>
      </c>
      <c r="H58" s="71">
        <f>'CC detallado'!H58</f>
        <v>1</v>
      </c>
      <c r="I58" s="71" t="str">
        <f>'CC detallado'!I58</f>
        <v>persona</v>
      </c>
      <c r="J58" s="71">
        <f>'CC detallado'!J58</f>
        <v>1</v>
      </c>
      <c r="K58" s="71" t="str">
        <f>'CC detallado'!K58</f>
        <v>mes</v>
      </c>
      <c r="L58" s="155">
        <f>'CC detallado'!L58</f>
        <v>18000</v>
      </c>
      <c r="M58" s="153">
        <f>'CC detallado'!M58</f>
        <v>18000</v>
      </c>
      <c r="O58" s="153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6"/>
      <c r="AU58" s="196"/>
      <c r="AV58" s="197">
        <v>6000</v>
      </c>
      <c r="AW58" s="195"/>
      <c r="AX58" s="195"/>
      <c r="AY58" s="195"/>
      <c r="AZ58" s="195"/>
      <c r="BA58" s="195"/>
      <c r="BB58" s="195"/>
      <c r="BC58" s="195"/>
      <c r="BD58" s="195"/>
      <c r="BE58" s="195"/>
      <c r="BF58" s="196"/>
      <c r="BG58" s="196"/>
      <c r="BH58" s="197">
        <v>6000</v>
      </c>
      <c r="BI58" s="195"/>
      <c r="BJ58" s="195"/>
      <c r="BK58" s="195"/>
      <c r="BL58" s="195"/>
      <c r="BM58" s="195"/>
      <c r="BN58" s="195"/>
      <c r="BO58" s="195"/>
      <c r="BP58" s="196"/>
      <c r="BQ58" s="196"/>
      <c r="BR58" s="197">
        <v>6000</v>
      </c>
      <c r="BS58" s="195"/>
      <c r="BT58" s="195"/>
      <c r="BU58" s="195"/>
      <c r="BV58" s="195"/>
      <c r="BW58" s="195">
        <f>SUM(O58:BV58)</f>
        <v>18000</v>
      </c>
      <c r="BX58" s="88">
        <f t="shared" si="66"/>
        <v>0</v>
      </c>
      <c r="BY58" s="57"/>
      <c r="BZ58" s="153">
        <f t="shared" si="67"/>
        <v>0</v>
      </c>
      <c r="CA58" s="153">
        <f t="shared" si="68"/>
        <v>0</v>
      </c>
      <c r="CB58" s="153">
        <f t="shared" si="69"/>
        <v>6000</v>
      </c>
      <c r="CC58" s="153">
        <f t="shared" si="70"/>
        <v>6000</v>
      </c>
      <c r="CD58" s="153">
        <f t="shared" si="71"/>
        <v>6000</v>
      </c>
      <c r="CE58" s="153">
        <f t="shared" si="80"/>
        <v>18000</v>
      </c>
      <c r="CF58" s="64">
        <f t="shared" si="79"/>
        <v>0</v>
      </c>
    </row>
    <row r="59" spans="1:93" ht="14.4" hidden="1" customHeight="1" outlineLevel="1" x14ac:dyDescent="0.3">
      <c r="A59" s="74" t="str">
        <f>'CC detallado'!A59</f>
        <v>2.1.5</v>
      </c>
      <c r="B59" s="74">
        <f>'CC detallado'!B59</f>
        <v>2</v>
      </c>
      <c r="C59" s="74">
        <f>'CC detallado'!C59</f>
        <v>145</v>
      </c>
      <c r="D59" s="74" t="str">
        <f>'CC detallado'!D59</f>
        <v>CI</v>
      </c>
      <c r="E59" s="74" t="str">
        <f>'CC detallado'!E59</f>
        <v>3CV</v>
      </c>
      <c r="F59" s="74" t="str">
        <f>'CC detallado'!F59</f>
        <v>x Tiempo</v>
      </c>
      <c r="G59" s="166" t="str">
        <f>'CC detallado'!G59</f>
        <v>Control de Movimientos</v>
      </c>
      <c r="H59" s="71">
        <f>'CC detallado'!H59</f>
        <v>2</v>
      </c>
      <c r="I59" s="71" t="str">
        <f>'CC detallado'!I59</f>
        <v>persona</v>
      </c>
      <c r="J59" s="71">
        <f>'CC detallado'!J59</f>
        <v>36</v>
      </c>
      <c r="K59" s="71" t="str">
        <f>'CC detallado'!K59</f>
        <v>meses</v>
      </c>
      <c r="L59" s="155">
        <f>'CC detallado'!L59</f>
        <v>1000</v>
      </c>
      <c r="M59" s="153">
        <f>'CC detallado'!M59</f>
        <v>2000</v>
      </c>
      <c r="O59" s="153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6"/>
      <c r="AK59" s="196"/>
      <c r="AL59" s="196"/>
      <c r="AM59" s="197">
        <f t="shared" ref="AM59:BV59" si="81">$M$59/36</f>
        <v>55.555555555555557</v>
      </c>
      <c r="AN59" s="197">
        <f t="shared" si="81"/>
        <v>55.555555555555557</v>
      </c>
      <c r="AO59" s="197">
        <f t="shared" si="81"/>
        <v>55.555555555555557</v>
      </c>
      <c r="AP59" s="197">
        <f t="shared" si="81"/>
        <v>55.555555555555557</v>
      </c>
      <c r="AQ59" s="197">
        <f t="shared" si="81"/>
        <v>55.555555555555557</v>
      </c>
      <c r="AR59" s="197">
        <f t="shared" si="81"/>
        <v>55.555555555555557</v>
      </c>
      <c r="AS59" s="197">
        <f t="shared" si="81"/>
        <v>55.555555555555557</v>
      </c>
      <c r="AT59" s="197">
        <f t="shared" si="81"/>
        <v>55.555555555555557</v>
      </c>
      <c r="AU59" s="197">
        <f t="shared" si="81"/>
        <v>55.555555555555557</v>
      </c>
      <c r="AV59" s="197">
        <f t="shared" si="81"/>
        <v>55.555555555555557</v>
      </c>
      <c r="AW59" s="197">
        <f t="shared" si="81"/>
        <v>55.555555555555557</v>
      </c>
      <c r="AX59" s="197">
        <f t="shared" si="81"/>
        <v>55.555555555555557</v>
      </c>
      <c r="AY59" s="197">
        <f t="shared" si="81"/>
        <v>55.555555555555557</v>
      </c>
      <c r="AZ59" s="197">
        <f t="shared" si="81"/>
        <v>55.555555555555557</v>
      </c>
      <c r="BA59" s="197">
        <f t="shared" si="81"/>
        <v>55.555555555555557</v>
      </c>
      <c r="BB59" s="197">
        <f t="shared" si="81"/>
        <v>55.555555555555557</v>
      </c>
      <c r="BC59" s="197">
        <f t="shared" si="81"/>
        <v>55.555555555555557</v>
      </c>
      <c r="BD59" s="197">
        <f t="shared" si="81"/>
        <v>55.555555555555557</v>
      </c>
      <c r="BE59" s="197">
        <f t="shared" si="81"/>
        <v>55.555555555555557</v>
      </c>
      <c r="BF59" s="197">
        <f t="shared" si="81"/>
        <v>55.555555555555557</v>
      </c>
      <c r="BG59" s="197">
        <f t="shared" si="81"/>
        <v>55.555555555555557</v>
      </c>
      <c r="BH59" s="197">
        <f t="shared" si="81"/>
        <v>55.555555555555557</v>
      </c>
      <c r="BI59" s="197">
        <f t="shared" si="81"/>
        <v>55.555555555555557</v>
      </c>
      <c r="BJ59" s="197">
        <f t="shared" si="81"/>
        <v>55.555555555555557</v>
      </c>
      <c r="BK59" s="197">
        <f t="shared" si="81"/>
        <v>55.555555555555557</v>
      </c>
      <c r="BL59" s="197">
        <f t="shared" si="81"/>
        <v>55.555555555555557</v>
      </c>
      <c r="BM59" s="197">
        <f t="shared" si="81"/>
        <v>55.555555555555557</v>
      </c>
      <c r="BN59" s="197">
        <f t="shared" si="81"/>
        <v>55.555555555555557</v>
      </c>
      <c r="BO59" s="197">
        <f t="shared" si="81"/>
        <v>55.555555555555557</v>
      </c>
      <c r="BP59" s="197">
        <f t="shared" si="81"/>
        <v>55.555555555555557</v>
      </c>
      <c r="BQ59" s="197">
        <f t="shared" si="81"/>
        <v>55.555555555555557</v>
      </c>
      <c r="BR59" s="197">
        <f t="shared" si="81"/>
        <v>55.555555555555557</v>
      </c>
      <c r="BS59" s="197">
        <f t="shared" si="81"/>
        <v>55.555555555555557</v>
      </c>
      <c r="BT59" s="197">
        <f t="shared" si="81"/>
        <v>55.555555555555557</v>
      </c>
      <c r="BU59" s="197">
        <f t="shared" si="81"/>
        <v>55.555555555555557</v>
      </c>
      <c r="BV59" s="197">
        <f t="shared" si="81"/>
        <v>55.555555555555557</v>
      </c>
      <c r="BW59" s="195">
        <f>SUM(O59:BV59)</f>
        <v>2000.0000000000016</v>
      </c>
      <c r="BX59" s="88">
        <f t="shared" si="66"/>
        <v>0</v>
      </c>
      <c r="BY59" s="57"/>
      <c r="BZ59" s="153">
        <f t="shared" si="67"/>
        <v>0</v>
      </c>
      <c r="CA59" s="153">
        <f t="shared" si="68"/>
        <v>0</v>
      </c>
      <c r="CB59" s="153">
        <f t="shared" si="69"/>
        <v>666.66666666666663</v>
      </c>
      <c r="CC59" s="153">
        <f t="shared" si="70"/>
        <v>666.66666666666663</v>
      </c>
      <c r="CD59" s="153">
        <f t="shared" si="71"/>
        <v>666.66666666666663</v>
      </c>
      <c r="CE59" s="153">
        <f t="shared" si="80"/>
        <v>2000</v>
      </c>
      <c r="CF59" s="64">
        <f t="shared" si="79"/>
        <v>0</v>
      </c>
    </row>
    <row r="60" spans="1:93" s="65" customFormat="1" ht="14.4" customHeight="1" collapsed="1" x14ac:dyDescent="0.3">
      <c r="A60" s="190" t="str">
        <f>'CC detallado'!A60</f>
        <v>2.2</v>
      </c>
      <c r="B60" s="190" t="str">
        <f>'CC detallado'!B60</f>
        <v>C-2</v>
      </c>
      <c r="C60" s="190" t="str">
        <f>'CC detallado'!C60</f>
        <v>-</v>
      </c>
      <c r="D60" s="190" t="str">
        <f>'CC detallado'!D60</f>
        <v>-</v>
      </c>
      <c r="E60" s="190" t="str">
        <f>'CC detallado'!E60</f>
        <v>-</v>
      </c>
      <c r="F60" s="190" t="str">
        <f>'CC detallado'!F60</f>
        <v>-</v>
      </c>
      <c r="G60" s="185" t="str">
        <f>'CC detallado'!G60</f>
        <v>Producto 11: Planes sanitarios con vigilancia epidemiológica implementados en ovinos, caprinos y porcinos</v>
      </c>
      <c r="H60" s="186">
        <f>'CC detallado'!H60</f>
        <v>0</v>
      </c>
      <c r="I60" s="186">
        <f>'CC detallado'!I60</f>
        <v>0</v>
      </c>
      <c r="J60" s="186">
        <f>'CC detallado'!J60</f>
        <v>0</v>
      </c>
      <c r="K60" s="186">
        <f>'CC detallado'!K60</f>
        <v>0</v>
      </c>
      <c r="L60" s="187">
        <f>'CC detallado'!L60</f>
        <v>0</v>
      </c>
      <c r="M60" s="187">
        <f>SUM(M61:M66)</f>
        <v>413000</v>
      </c>
      <c r="N60" s="48"/>
      <c r="O60" s="187">
        <f t="shared" ref="O60:AT60" si="82">SUM(O61:O66)</f>
        <v>0</v>
      </c>
      <c r="P60" s="187">
        <f t="shared" si="82"/>
        <v>0</v>
      </c>
      <c r="Q60" s="187">
        <f t="shared" si="82"/>
        <v>0</v>
      </c>
      <c r="R60" s="187">
        <f t="shared" si="82"/>
        <v>0</v>
      </c>
      <c r="S60" s="187">
        <f t="shared" si="82"/>
        <v>0</v>
      </c>
      <c r="T60" s="187">
        <f t="shared" si="82"/>
        <v>6666.666666666667</v>
      </c>
      <c r="U60" s="187">
        <f t="shared" si="82"/>
        <v>6666.666666666667</v>
      </c>
      <c r="V60" s="187">
        <f t="shared" si="82"/>
        <v>6666.666666666667</v>
      </c>
      <c r="W60" s="187">
        <f t="shared" si="82"/>
        <v>0</v>
      </c>
      <c r="X60" s="187">
        <f t="shared" si="82"/>
        <v>0</v>
      </c>
      <c r="Y60" s="187">
        <f t="shared" si="82"/>
        <v>0</v>
      </c>
      <c r="Z60" s="187">
        <f t="shared" si="82"/>
        <v>0</v>
      </c>
      <c r="AA60" s="187">
        <f t="shared" si="82"/>
        <v>1000</v>
      </c>
      <c r="AB60" s="187">
        <f t="shared" si="82"/>
        <v>1000</v>
      </c>
      <c r="AC60" s="187">
        <f t="shared" si="82"/>
        <v>1000</v>
      </c>
      <c r="AD60" s="187">
        <f t="shared" si="82"/>
        <v>63500</v>
      </c>
      <c r="AE60" s="187">
        <f t="shared" si="82"/>
        <v>1000</v>
      </c>
      <c r="AF60" s="187">
        <f t="shared" si="82"/>
        <v>1000</v>
      </c>
      <c r="AG60" s="187">
        <f t="shared" si="82"/>
        <v>1000</v>
      </c>
      <c r="AH60" s="187">
        <f t="shared" si="82"/>
        <v>1000</v>
      </c>
      <c r="AI60" s="187">
        <f t="shared" si="82"/>
        <v>1000</v>
      </c>
      <c r="AJ60" s="187">
        <f t="shared" si="82"/>
        <v>1000</v>
      </c>
      <c r="AK60" s="187">
        <f t="shared" si="82"/>
        <v>1000</v>
      </c>
      <c r="AL60" s="187">
        <f t="shared" si="82"/>
        <v>1000</v>
      </c>
      <c r="AM60" s="187">
        <f t="shared" si="82"/>
        <v>1000</v>
      </c>
      <c r="AN60" s="187">
        <f t="shared" si="82"/>
        <v>1000</v>
      </c>
      <c r="AO60" s="187">
        <f t="shared" si="82"/>
        <v>32666.666666666668</v>
      </c>
      <c r="AP60" s="187">
        <f t="shared" si="82"/>
        <v>63500</v>
      </c>
      <c r="AQ60" s="187">
        <f t="shared" si="82"/>
        <v>1000</v>
      </c>
      <c r="AR60" s="187">
        <f t="shared" si="82"/>
        <v>1000</v>
      </c>
      <c r="AS60" s="187">
        <f t="shared" si="82"/>
        <v>1000</v>
      </c>
      <c r="AT60" s="187">
        <f t="shared" si="82"/>
        <v>1000</v>
      </c>
      <c r="AU60" s="187">
        <f t="shared" ref="AU60:BW60" si="83">SUM(AU61:AU66)</f>
        <v>1000</v>
      </c>
      <c r="AV60" s="187">
        <f t="shared" si="83"/>
        <v>1000</v>
      </c>
      <c r="AW60" s="187">
        <f t="shared" si="83"/>
        <v>1000</v>
      </c>
      <c r="AX60" s="187">
        <f t="shared" si="83"/>
        <v>1000</v>
      </c>
      <c r="AY60" s="187">
        <f t="shared" si="83"/>
        <v>1000</v>
      </c>
      <c r="AZ60" s="187">
        <f t="shared" si="83"/>
        <v>1000</v>
      </c>
      <c r="BA60" s="187">
        <f t="shared" si="83"/>
        <v>32666.666666666668</v>
      </c>
      <c r="BB60" s="187">
        <f t="shared" si="83"/>
        <v>63500</v>
      </c>
      <c r="BC60" s="187">
        <f t="shared" si="83"/>
        <v>1000</v>
      </c>
      <c r="BD60" s="187">
        <f t="shared" si="83"/>
        <v>1000</v>
      </c>
      <c r="BE60" s="187">
        <f t="shared" si="83"/>
        <v>1000</v>
      </c>
      <c r="BF60" s="187">
        <f t="shared" si="83"/>
        <v>1000</v>
      </c>
      <c r="BG60" s="187">
        <f t="shared" si="83"/>
        <v>1000</v>
      </c>
      <c r="BH60" s="187">
        <f t="shared" si="83"/>
        <v>1000</v>
      </c>
      <c r="BI60" s="187">
        <f t="shared" si="83"/>
        <v>1000</v>
      </c>
      <c r="BJ60" s="187">
        <f t="shared" si="83"/>
        <v>1000</v>
      </c>
      <c r="BK60" s="187">
        <f t="shared" si="83"/>
        <v>1000</v>
      </c>
      <c r="BL60" s="187">
        <f t="shared" si="83"/>
        <v>1000</v>
      </c>
      <c r="BM60" s="187">
        <f t="shared" si="83"/>
        <v>32666.666666666668</v>
      </c>
      <c r="BN60" s="187">
        <f t="shared" si="83"/>
        <v>63500</v>
      </c>
      <c r="BO60" s="187">
        <f t="shared" si="83"/>
        <v>1000</v>
      </c>
      <c r="BP60" s="187">
        <f t="shared" si="83"/>
        <v>1000</v>
      </c>
      <c r="BQ60" s="187">
        <f t="shared" si="83"/>
        <v>1000</v>
      </c>
      <c r="BR60" s="187">
        <f t="shared" si="83"/>
        <v>1000</v>
      </c>
      <c r="BS60" s="187">
        <f t="shared" si="83"/>
        <v>1000</v>
      </c>
      <c r="BT60" s="187">
        <f t="shared" si="83"/>
        <v>1000</v>
      </c>
      <c r="BU60" s="187">
        <f t="shared" si="83"/>
        <v>1000</v>
      </c>
      <c r="BV60" s="187">
        <f t="shared" si="83"/>
        <v>1000</v>
      </c>
      <c r="BW60" s="187">
        <f t="shared" si="83"/>
        <v>413000</v>
      </c>
      <c r="BX60" s="88">
        <f t="shared" si="66"/>
        <v>0</v>
      </c>
      <c r="BY60" s="57"/>
      <c r="BZ60" s="187">
        <f t="shared" si="67"/>
        <v>20000</v>
      </c>
      <c r="CA60" s="187">
        <f t="shared" si="68"/>
        <v>74500</v>
      </c>
      <c r="CB60" s="187">
        <f t="shared" si="69"/>
        <v>106166.66666666667</v>
      </c>
      <c r="CC60" s="187">
        <f t="shared" si="70"/>
        <v>106166.66666666667</v>
      </c>
      <c r="CD60" s="187">
        <f t="shared" si="71"/>
        <v>106166.66666666667</v>
      </c>
      <c r="CE60" s="187">
        <f t="shared" ref="CE60" si="84">SUM(CE61:CE66)</f>
        <v>413000</v>
      </c>
      <c r="CF60" s="64">
        <f t="shared" si="79"/>
        <v>0</v>
      </c>
    </row>
    <row r="61" spans="1:93" ht="14.4" hidden="1" customHeight="1" outlineLevel="1" x14ac:dyDescent="0.3">
      <c r="A61" s="74" t="str">
        <f>'CC detallado'!A61</f>
        <v>2.2.1</v>
      </c>
      <c r="B61" s="74">
        <f>'CC detallado'!B61</f>
        <v>2</v>
      </c>
      <c r="C61" s="74">
        <f>'CC detallado'!C61</f>
        <v>145</v>
      </c>
      <c r="D61" s="74" t="str">
        <f>'CC detallado'!D61</f>
        <v>CI</v>
      </c>
      <c r="E61" s="74" t="str">
        <f>'CC detallado'!E61</f>
        <v>3CV</v>
      </c>
      <c r="F61" s="74" t="str">
        <f>'CC detallado'!F61</f>
        <v>x Tiempo</v>
      </c>
      <c r="G61" s="206" t="str">
        <f>'CC detallado'!G61</f>
        <v xml:space="preserve">Técnicos para laboratorio </v>
      </c>
      <c r="H61" s="72">
        <f>'CC detallado'!H61</f>
        <v>1</v>
      </c>
      <c r="I61" s="72" t="str">
        <f>'CC detallado'!I61</f>
        <v>personas</v>
      </c>
      <c r="J61" s="72">
        <f>'CC detallado'!J61</f>
        <v>48</v>
      </c>
      <c r="K61" s="72" t="str">
        <f>'CC detallado'!K61</f>
        <v>meses</v>
      </c>
      <c r="L61" s="156">
        <f>'CC detallado'!L61</f>
        <v>1000</v>
      </c>
      <c r="M61" s="153">
        <f>'CC detallado'!M61</f>
        <v>48000</v>
      </c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97">
        <f t="shared" ref="AA61:BV61" si="85">$M$61/48</f>
        <v>1000</v>
      </c>
      <c r="AB61" s="197">
        <f t="shared" si="85"/>
        <v>1000</v>
      </c>
      <c r="AC61" s="197">
        <f t="shared" si="85"/>
        <v>1000</v>
      </c>
      <c r="AD61" s="197">
        <f t="shared" si="85"/>
        <v>1000</v>
      </c>
      <c r="AE61" s="197">
        <f t="shared" si="85"/>
        <v>1000</v>
      </c>
      <c r="AF61" s="197">
        <f t="shared" si="85"/>
        <v>1000</v>
      </c>
      <c r="AG61" s="197">
        <f t="shared" si="85"/>
        <v>1000</v>
      </c>
      <c r="AH61" s="197">
        <f t="shared" si="85"/>
        <v>1000</v>
      </c>
      <c r="AI61" s="197">
        <f t="shared" si="85"/>
        <v>1000</v>
      </c>
      <c r="AJ61" s="197">
        <f t="shared" si="85"/>
        <v>1000</v>
      </c>
      <c r="AK61" s="197">
        <f t="shared" si="85"/>
        <v>1000</v>
      </c>
      <c r="AL61" s="197">
        <f t="shared" si="85"/>
        <v>1000</v>
      </c>
      <c r="AM61" s="197">
        <f t="shared" si="85"/>
        <v>1000</v>
      </c>
      <c r="AN61" s="197">
        <f t="shared" si="85"/>
        <v>1000</v>
      </c>
      <c r="AO61" s="197">
        <f t="shared" si="85"/>
        <v>1000</v>
      </c>
      <c r="AP61" s="197">
        <f t="shared" si="85"/>
        <v>1000</v>
      </c>
      <c r="AQ61" s="197">
        <f t="shared" si="85"/>
        <v>1000</v>
      </c>
      <c r="AR61" s="197">
        <f t="shared" si="85"/>
        <v>1000</v>
      </c>
      <c r="AS61" s="197">
        <f t="shared" si="85"/>
        <v>1000</v>
      </c>
      <c r="AT61" s="197">
        <f t="shared" si="85"/>
        <v>1000</v>
      </c>
      <c r="AU61" s="197">
        <f t="shared" si="85"/>
        <v>1000</v>
      </c>
      <c r="AV61" s="197">
        <f t="shared" si="85"/>
        <v>1000</v>
      </c>
      <c r="AW61" s="197">
        <f t="shared" si="85"/>
        <v>1000</v>
      </c>
      <c r="AX61" s="197">
        <f t="shared" si="85"/>
        <v>1000</v>
      </c>
      <c r="AY61" s="197">
        <f t="shared" si="85"/>
        <v>1000</v>
      </c>
      <c r="AZ61" s="197">
        <f t="shared" si="85"/>
        <v>1000</v>
      </c>
      <c r="BA61" s="197">
        <f t="shared" si="85"/>
        <v>1000</v>
      </c>
      <c r="BB61" s="197">
        <f t="shared" si="85"/>
        <v>1000</v>
      </c>
      <c r="BC61" s="197">
        <f t="shared" si="85"/>
        <v>1000</v>
      </c>
      <c r="BD61" s="197">
        <f t="shared" si="85"/>
        <v>1000</v>
      </c>
      <c r="BE61" s="197">
        <f t="shared" si="85"/>
        <v>1000</v>
      </c>
      <c r="BF61" s="197">
        <f t="shared" si="85"/>
        <v>1000</v>
      </c>
      <c r="BG61" s="197">
        <f t="shared" si="85"/>
        <v>1000</v>
      </c>
      <c r="BH61" s="197">
        <f t="shared" si="85"/>
        <v>1000</v>
      </c>
      <c r="BI61" s="197">
        <f t="shared" si="85"/>
        <v>1000</v>
      </c>
      <c r="BJ61" s="197">
        <f t="shared" si="85"/>
        <v>1000</v>
      </c>
      <c r="BK61" s="197">
        <f t="shared" si="85"/>
        <v>1000</v>
      </c>
      <c r="BL61" s="197">
        <f t="shared" si="85"/>
        <v>1000</v>
      </c>
      <c r="BM61" s="197">
        <f t="shared" si="85"/>
        <v>1000</v>
      </c>
      <c r="BN61" s="197">
        <f t="shared" si="85"/>
        <v>1000</v>
      </c>
      <c r="BO61" s="197">
        <f t="shared" si="85"/>
        <v>1000</v>
      </c>
      <c r="BP61" s="197">
        <f t="shared" si="85"/>
        <v>1000</v>
      </c>
      <c r="BQ61" s="197">
        <f t="shared" si="85"/>
        <v>1000</v>
      </c>
      <c r="BR61" s="197">
        <f t="shared" si="85"/>
        <v>1000</v>
      </c>
      <c r="BS61" s="197">
        <f t="shared" si="85"/>
        <v>1000</v>
      </c>
      <c r="BT61" s="197">
        <f t="shared" si="85"/>
        <v>1000</v>
      </c>
      <c r="BU61" s="197">
        <f t="shared" si="85"/>
        <v>1000</v>
      </c>
      <c r="BV61" s="197">
        <f t="shared" si="85"/>
        <v>1000</v>
      </c>
      <c r="BW61" s="195">
        <f>SUM(O61:BV61)</f>
        <v>48000</v>
      </c>
      <c r="BX61" s="88">
        <f t="shared" si="66"/>
        <v>0</v>
      </c>
      <c r="BY61" s="57"/>
      <c r="BZ61" s="153">
        <f t="shared" si="67"/>
        <v>0</v>
      </c>
      <c r="CA61" s="153">
        <f t="shared" si="68"/>
        <v>12000</v>
      </c>
      <c r="CB61" s="153">
        <f t="shared" si="69"/>
        <v>12000</v>
      </c>
      <c r="CC61" s="153">
        <f t="shared" si="70"/>
        <v>12000</v>
      </c>
      <c r="CD61" s="153">
        <f t="shared" si="71"/>
        <v>12000</v>
      </c>
      <c r="CE61" s="153">
        <f>SUM(BZ61:CD61)</f>
        <v>48000</v>
      </c>
      <c r="CF61" s="64">
        <f t="shared" si="79"/>
        <v>0</v>
      </c>
    </row>
    <row r="62" spans="1:93" ht="14.4" hidden="1" customHeight="1" outlineLevel="1" x14ac:dyDescent="0.3">
      <c r="A62" s="74" t="str">
        <f>'CC detallado'!A62</f>
        <v>2.2.2</v>
      </c>
      <c r="B62" s="74">
        <f>'CC detallado'!B62</f>
        <v>2</v>
      </c>
      <c r="C62" s="74">
        <f>'CC detallado'!C62</f>
        <v>145</v>
      </c>
      <c r="D62" s="74" t="str">
        <f>'CC detallado'!D62</f>
        <v>CI</v>
      </c>
      <c r="E62" s="74" t="str">
        <f>'CC detallado'!E62</f>
        <v>3CV</v>
      </c>
      <c r="F62" s="74" t="str">
        <f>'CC detallado'!F62</f>
        <v>x Tiempo</v>
      </c>
      <c r="G62" s="206" t="str">
        <f>'CC detallado'!G62</f>
        <v>Consultoría para formulación de Planes Sanitarios</v>
      </c>
      <c r="H62" s="72">
        <f>'CC detallado'!H62</f>
        <v>1</v>
      </c>
      <c r="I62" s="72" t="str">
        <f>'CC detallado'!I62</f>
        <v>Consultoría</v>
      </c>
      <c r="J62" s="72">
        <f>'CC detallado'!J62</f>
        <v>3</v>
      </c>
      <c r="K62" s="72" t="str">
        <f>'CC detallado'!K62</f>
        <v>meses</v>
      </c>
      <c r="L62" s="156">
        <f>'CC detallado'!L62</f>
        <v>20000</v>
      </c>
      <c r="M62" s="153">
        <f>'CC detallado'!M62</f>
        <v>20000</v>
      </c>
      <c r="O62" s="153"/>
      <c r="P62" s="153"/>
      <c r="Q62" s="153"/>
      <c r="R62" s="196"/>
      <c r="S62" s="196"/>
      <c r="T62" s="197">
        <f>$M$62/3</f>
        <v>6666.666666666667</v>
      </c>
      <c r="U62" s="197">
        <f>$M$62/3</f>
        <v>6666.666666666667</v>
      </c>
      <c r="V62" s="197">
        <f>$M$62/3</f>
        <v>6666.666666666667</v>
      </c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  <c r="BJ62" s="153"/>
      <c r="BK62" s="153"/>
      <c r="BL62" s="153"/>
      <c r="BM62" s="153"/>
      <c r="BN62" s="153"/>
      <c r="BO62" s="153"/>
      <c r="BP62" s="153"/>
      <c r="BQ62" s="153"/>
      <c r="BR62" s="153"/>
      <c r="BS62" s="153"/>
      <c r="BT62" s="153"/>
      <c r="BU62" s="153"/>
      <c r="BV62" s="153"/>
      <c r="BW62" s="195">
        <f t="shared" ref="BW62:BW66" si="86">SUM(O62:BV62)</f>
        <v>20000</v>
      </c>
      <c r="BX62" s="88">
        <f t="shared" si="66"/>
        <v>0</v>
      </c>
      <c r="BY62" s="57"/>
      <c r="BZ62" s="153">
        <f t="shared" si="67"/>
        <v>20000</v>
      </c>
      <c r="CA62" s="153">
        <f t="shared" si="68"/>
        <v>0</v>
      </c>
      <c r="CB62" s="153">
        <f t="shared" si="69"/>
        <v>0</v>
      </c>
      <c r="CC62" s="153">
        <f t="shared" si="70"/>
        <v>0</v>
      </c>
      <c r="CD62" s="153">
        <f t="shared" si="71"/>
        <v>0</v>
      </c>
      <c r="CE62" s="153">
        <f t="shared" ref="CE62:CE66" si="87">SUM(BZ62:CD62)</f>
        <v>20000</v>
      </c>
      <c r="CF62" s="64"/>
    </row>
    <row r="63" spans="1:93" ht="14.4" hidden="1" customHeight="1" outlineLevel="1" x14ac:dyDescent="0.3">
      <c r="A63" s="74" t="str">
        <f>'CC detallado'!A63</f>
        <v>2.2.3</v>
      </c>
      <c r="B63" s="74">
        <f>'CC detallado'!B63</f>
        <v>2</v>
      </c>
      <c r="C63" s="74">
        <f>'CC detallado'!C63</f>
        <v>145</v>
      </c>
      <c r="D63" s="74" t="str">
        <f>'CC detallado'!D63</f>
        <v>CI</v>
      </c>
      <c r="E63" s="74" t="str">
        <f>'CC detallado'!E63</f>
        <v>3CV</v>
      </c>
      <c r="F63" s="74" t="str">
        <f>'CC detallado'!F63</f>
        <v>x Tiempo</v>
      </c>
      <c r="G63" s="166" t="str">
        <f>'CC detallado'!G63</f>
        <v>Vigilancia de predios (revisación, toma de muestras, respuesta inmediata)</v>
      </c>
      <c r="H63" s="71">
        <f>'CC detallado'!H63</f>
        <v>15</v>
      </c>
      <c r="I63" s="71" t="str">
        <f>'CC detallado'!I63</f>
        <v>funcionario SENACSA</v>
      </c>
      <c r="J63" s="71">
        <f>'CC detallado'!J63</f>
        <v>48</v>
      </c>
      <c r="K63" s="71" t="str">
        <f>'CC detallado'!K63</f>
        <v>meses</v>
      </c>
      <c r="L63" s="155">
        <f>'CC detallado'!L63</f>
        <v>0</v>
      </c>
      <c r="M63" s="153">
        <f>'CC detallado'!M63</f>
        <v>0</v>
      </c>
      <c r="O63" s="153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6"/>
      <c r="AK63" s="196"/>
      <c r="AL63" s="196"/>
      <c r="AM63" s="197">
        <f t="shared" ref="AM63:BV63" si="88">$M$63/36</f>
        <v>0</v>
      </c>
      <c r="AN63" s="197">
        <f t="shared" si="88"/>
        <v>0</v>
      </c>
      <c r="AO63" s="197">
        <f t="shared" si="88"/>
        <v>0</v>
      </c>
      <c r="AP63" s="197">
        <f t="shared" si="88"/>
        <v>0</v>
      </c>
      <c r="AQ63" s="197">
        <f t="shared" si="88"/>
        <v>0</v>
      </c>
      <c r="AR63" s="197">
        <f t="shared" si="88"/>
        <v>0</v>
      </c>
      <c r="AS63" s="197">
        <f t="shared" si="88"/>
        <v>0</v>
      </c>
      <c r="AT63" s="197">
        <f t="shared" si="88"/>
        <v>0</v>
      </c>
      <c r="AU63" s="197">
        <f t="shared" si="88"/>
        <v>0</v>
      </c>
      <c r="AV63" s="197">
        <f t="shared" si="88"/>
        <v>0</v>
      </c>
      <c r="AW63" s="197">
        <f t="shared" si="88"/>
        <v>0</v>
      </c>
      <c r="AX63" s="197">
        <f t="shared" si="88"/>
        <v>0</v>
      </c>
      <c r="AY63" s="197">
        <f t="shared" si="88"/>
        <v>0</v>
      </c>
      <c r="AZ63" s="197">
        <f t="shared" si="88"/>
        <v>0</v>
      </c>
      <c r="BA63" s="197">
        <f t="shared" si="88"/>
        <v>0</v>
      </c>
      <c r="BB63" s="197">
        <f t="shared" si="88"/>
        <v>0</v>
      </c>
      <c r="BC63" s="197">
        <f t="shared" si="88"/>
        <v>0</v>
      </c>
      <c r="BD63" s="197">
        <f t="shared" si="88"/>
        <v>0</v>
      </c>
      <c r="BE63" s="197">
        <f t="shared" si="88"/>
        <v>0</v>
      </c>
      <c r="BF63" s="197">
        <f t="shared" si="88"/>
        <v>0</v>
      </c>
      <c r="BG63" s="197">
        <f t="shared" si="88"/>
        <v>0</v>
      </c>
      <c r="BH63" s="197">
        <f t="shared" si="88"/>
        <v>0</v>
      </c>
      <c r="BI63" s="197">
        <f t="shared" si="88"/>
        <v>0</v>
      </c>
      <c r="BJ63" s="197">
        <f t="shared" si="88"/>
        <v>0</v>
      </c>
      <c r="BK63" s="197">
        <f t="shared" si="88"/>
        <v>0</v>
      </c>
      <c r="BL63" s="197">
        <f t="shared" si="88"/>
        <v>0</v>
      </c>
      <c r="BM63" s="197">
        <f t="shared" si="88"/>
        <v>0</v>
      </c>
      <c r="BN63" s="197">
        <f t="shared" si="88"/>
        <v>0</v>
      </c>
      <c r="BO63" s="197">
        <f t="shared" si="88"/>
        <v>0</v>
      </c>
      <c r="BP63" s="197">
        <f t="shared" si="88"/>
        <v>0</v>
      </c>
      <c r="BQ63" s="197">
        <f t="shared" si="88"/>
        <v>0</v>
      </c>
      <c r="BR63" s="197">
        <f t="shared" si="88"/>
        <v>0</v>
      </c>
      <c r="BS63" s="197">
        <f t="shared" si="88"/>
        <v>0</v>
      </c>
      <c r="BT63" s="197">
        <f t="shared" si="88"/>
        <v>0</v>
      </c>
      <c r="BU63" s="197">
        <f t="shared" si="88"/>
        <v>0</v>
      </c>
      <c r="BV63" s="197">
        <f t="shared" si="88"/>
        <v>0</v>
      </c>
      <c r="BW63" s="195">
        <f t="shared" si="86"/>
        <v>0</v>
      </c>
      <c r="BX63" s="88">
        <f t="shared" si="66"/>
        <v>0</v>
      </c>
      <c r="BY63" s="57"/>
      <c r="BZ63" s="153">
        <f t="shared" si="67"/>
        <v>0</v>
      </c>
      <c r="CA63" s="153">
        <f t="shared" si="68"/>
        <v>0</v>
      </c>
      <c r="CB63" s="153">
        <f t="shared" si="69"/>
        <v>0</v>
      </c>
      <c r="CC63" s="153">
        <f t="shared" si="70"/>
        <v>0</v>
      </c>
      <c r="CD63" s="153">
        <f t="shared" si="71"/>
        <v>0</v>
      </c>
      <c r="CE63" s="153">
        <f t="shared" si="87"/>
        <v>0</v>
      </c>
      <c r="CF63" s="64">
        <f t="shared" si="79"/>
        <v>0</v>
      </c>
    </row>
    <row r="64" spans="1:93" s="65" customFormat="1" ht="14.4" hidden="1" customHeight="1" outlineLevel="1" x14ac:dyDescent="0.3">
      <c r="A64" s="74" t="str">
        <f>'CC detallado'!A64</f>
        <v>2.2.4</v>
      </c>
      <c r="B64" s="74">
        <f>'CC detallado'!B64</f>
        <v>2</v>
      </c>
      <c r="C64" s="74">
        <f>'CC detallado'!C64</f>
        <v>145</v>
      </c>
      <c r="D64" s="74" t="str">
        <f>'CC detallado'!D64</f>
        <v>CI</v>
      </c>
      <c r="E64" s="74" t="str">
        <f>'CC detallado'!E64</f>
        <v>3CV</v>
      </c>
      <c r="F64" s="74" t="str">
        <f>'CC detallado'!F64</f>
        <v>x Tiempo</v>
      </c>
      <c r="G64" s="166" t="str">
        <f>'CC detallado'!G64</f>
        <v>Vigilancia de faena</v>
      </c>
      <c r="H64" s="71">
        <f>'CC detallado'!H64</f>
        <v>2</v>
      </c>
      <c r="I64" s="71" t="str">
        <f>'CC detallado'!I64</f>
        <v>funcionario SENACSA</v>
      </c>
      <c r="J64" s="71">
        <f>'CC detallado'!J64</f>
        <v>48</v>
      </c>
      <c r="K64" s="71" t="str">
        <f>'CC detallado'!K64</f>
        <v>meses</v>
      </c>
      <c r="L64" s="155">
        <f>'CC detallado'!L64</f>
        <v>0</v>
      </c>
      <c r="M64" s="153">
        <f>'CC detallado'!M64</f>
        <v>0</v>
      </c>
      <c r="N64" s="48"/>
      <c r="O64" s="153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96"/>
      <c r="AL64" s="196"/>
      <c r="AM64" s="197">
        <f t="shared" ref="AM64:BV64" si="89">$M$64/36</f>
        <v>0</v>
      </c>
      <c r="AN64" s="197">
        <f t="shared" si="89"/>
        <v>0</v>
      </c>
      <c r="AO64" s="197">
        <f t="shared" si="89"/>
        <v>0</v>
      </c>
      <c r="AP64" s="197">
        <f t="shared" si="89"/>
        <v>0</v>
      </c>
      <c r="AQ64" s="197">
        <f t="shared" si="89"/>
        <v>0</v>
      </c>
      <c r="AR64" s="197">
        <f t="shared" si="89"/>
        <v>0</v>
      </c>
      <c r="AS64" s="197">
        <f t="shared" si="89"/>
        <v>0</v>
      </c>
      <c r="AT64" s="197">
        <f t="shared" si="89"/>
        <v>0</v>
      </c>
      <c r="AU64" s="197">
        <f t="shared" si="89"/>
        <v>0</v>
      </c>
      <c r="AV64" s="197">
        <f t="shared" si="89"/>
        <v>0</v>
      </c>
      <c r="AW64" s="197">
        <f t="shared" si="89"/>
        <v>0</v>
      </c>
      <c r="AX64" s="197">
        <f t="shared" si="89"/>
        <v>0</v>
      </c>
      <c r="AY64" s="197">
        <f t="shared" si="89"/>
        <v>0</v>
      </c>
      <c r="AZ64" s="197">
        <f t="shared" si="89"/>
        <v>0</v>
      </c>
      <c r="BA64" s="197">
        <f t="shared" si="89"/>
        <v>0</v>
      </c>
      <c r="BB64" s="197">
        <f t="shared" si="89"/>
        <v>0</v>
      </c>
      <c r="BC64" s="197">
        <f t="shared" si="89"/>
        <v>0</v>
      </c>
      <c r="BD64" s="197">
        <f t="shared" si="89"/>
        <v>0</v>
      </c>
      <c r="BE64" s="197">
        <f t="shared" si="89"/>
        <v>0</v>
      </c>
      <c r="BF64" s="197">
        <f t="shared" si="89"/>
        <v>0</v>
      </c>
      <c r="BG64" s="197">
        <f t="shared" si="89"/>
        <v>0</v>
      </c>
      <c r="BH64" s="197">
        <f t="shared" si="89"/>
        <v>0</v>
      </c>
      <c r="BI64" s="197">
        <f t="shared" si="89"/>
        <v>0</v>
      </c>
      <c r="BJ64" s="197">
        <f t="shared" si="89"/>
        <v>0</v>
      </c>
      <c r="BK64" s="197">
        <f t="shared" si="89"/>
        <v>0</v>
      </c>
      <c r="BL64" s="197">
        <f t="shared" si="89"/>
        <v>0</v>
      </c>
      <c r="BM64" s="197">
        <f t="shared" si="89"/>
        <v>0</v>
      </c>
      <c r="BN64" s="197">
        <f t="shared" si="89"/>
        <v>0</v>
      </c>
      <c r="BO64" s="197">
        <f t="shared" si="89"/>
        <v>0</v>
      </c>
      <c r="BP64" s="197">
        <f t="shared" si="89"/>
        <v>0</v>
      </c>
      <c r="BQ64" s="197">
        <f t="shared" si="89"/>
        <v>0</v>
      </c>
      <c r="BR64" s="197">
        <f t="shared" si="89"/>
        <v>0</v>
      </c>
      <c r="BS64" s="197">
        <f t="shared" si="89"/>
        <v>0</v>
      </c>
      <c r="BT64" s="197">
        <f t="shared" si="89"/>
        <v>0</v>
      </c>
      <c r="BU64" s="197">
        <f t="shared" si="89"/>
        <v>0</v>
      </c>
      <c r="BV64" s="197">
        <f t="shared" si="89"/>
        <v>0</v>
      </c>
      <c r="BW64" s="195">
        <f t="shared" si="86"/>
        <v>0</v>
      </c>
      <c r="BX64" s="88">
        <f t="shared" si="66"/>
        <v>0</v>
      </c>
      <c r="BY64" s="57"/>
      <c r="BZ64" s="153">
        <f t="shared" si="67"/>
        <v>0</v>
      </c>
      <c r="CA64" s="153">
        <f t="shared" si="68"/>
        <v>0</v>
      </c>
      <c r="CB64" s="153">
        <f t="shared" si="69"/>
        <v>0</v>
      </c>
      <c r="CC64" s="153">
        <f t="shared" si="70"/>
        <v>0</v>
      </c>
      <c r="CD64" s="153">
        <f t="shared" si="71"/>
        <v>0</v>
      </c>
      <c r="CE64" s="153">
        <f t="shared" si="87"/>
        <v>0</v>
      </c>
      <c r="CF64" s="64">
        <f t="shared" si="79"/>
        <v>0</v>
      </c>
    </row>
    <row r="65" spans="1:93" ht="14.4" hidden="1" customHeight="1" outlineLevel="1" x14ac:dyDescent="0.3">
      <c r="A65" s="74" t="str">
        <f>'CC detallado'!A65</f>
        <v>2.2.5</v>
      </c>
      <c r="B65" s="74">
        <f>'CC detallado'!B65</f>
        <v>2</v>
      </c>
      <c r="C65" s="74">
        <f>'CC detallado'!C65</f>
        <v>350</v>
      </c>
      <c r="D65" s="74" t="str">
        <f>'CC detallado'!D65</f>
        <v>B</v>
      </c>
      <c r="E65" s="74" t="str">
        <f>'CC detallado'!E65</f>
        <v>LPN</v>
      </c>
      <c r="F65" s="74" t="str">
        <f>'CC detallado'!F65</f>
        <v>Insumos</v>
      </c>
      <c r="G65" s="166" t="str">
        <f>'CC detallado'!G65</f>
        <v>Vacunación brucelosis caprina</v>
      </c>
      <c r="H65" s="71">
        <f>'CC detallado'!H65</f>
        <v>1</v>
      </c>
      <c r="I65" s="71" t="str">
        <f>'CC detallado'!I65</f>
        <v>insumos</v>
      </c>
      <c r="J65" s="71">
        <f>'CC detallado'!J65</f>
        <v>0</v>
      </c>
      <c r="K65" s="71">
        <f>'CC detallado'!K65</f>
        <v>0</v>
      </c>
      <c r="L65" s="155">
        <f>'CC detallado'!L65</f>
        <v>95000</v>
      </c>
      <c r="M65" s="153">
        <f>'CC detallado'!M65</f>
        <v>95000</v>
      </c>
      <c r="O65" s="153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6"/>
      <c r="AM65" s="196"/>
      <c r="AN65" s="196"/>
      <c r="AO65" s="197">
        <f>$M$65/3</f>
        <v>31666.666666666668</v>
      </c>
      <c r="AP65" s="195"/>
      <c r="AQ65" s="195"/>
      <c r="AR65" s="195"/>
      <c r="AS65" s="195"/>
      <c r="AT65" s="195"/>
      <c r="AU65" s="195"/>
      <c r="AV65" s="195"/>
      <c r="AW65" s="195"/>
      <c r="AX65" s="196"/>
      <c r="AY65" s="196"/>
      <c r="AZ65" s="196"/>
      <c r="BA65" s="197">
        <f>$M$65/3</f>
        <v>31666.666666666668</v>
      </c>
      <c r="BB65" s="195"/>
      <c r="BC65" s="195"/>
      <c r="BD65" s="195"/>
      <c r="BE65" s="195"/>
      <c r="BF65" s="195"/>
      <c r="BG65" s="195"/>
      <c r="BH65" s="195"/>
      <c r="BI65" s="195"/>
      <c r="BJ65" s="196"/>
      <c r="BK65" s="196"/>
      <c r="BL65" s="196"/>
      <c r="BM65" s="197">
        <f>$M$65/3</f>
        <v>31666.666666666668</v>
      </c>
      <c r="BN65" s="195"/>
      <c r="BO65" s="195"/>
      <c r="BP65" s="195"/>
      <c r="BQ65" s="195"/>
      <c r="BR65" s="195"/>
      <c r="BS65" s="195"/>
      <c r="BT65" s="195"/>
      <c r="BU65" s="195"/>
      <c r="BV65" s="195"/>
      <c r="BW65" s="195">
        <f t="shared" si="86"/>
        <v>95000</v>
      </c>
      <c r="BX65" s="88">
        <f t="shared" si="66"/>
        <v>0</v>
      </c>
      <c r="BY65" s="57"/>
      <c r="BZ65" s="153">
        <f t="shared" si="67"/>
        <v>0</v>
      </c>
      <c r="CA65" s="153">
        <f t="shared" si="68"/>
        <v>0</v>
      </c>
      <c r="CB65" s="153">
        <f t="shared" si="69"/>
        <v>31666.666666666668</v>
      </c>
      <c r="CC65" s="153">
        <f t="shared" si="70"/>
        <v>31666.666666666668</v>
      </c>
      <c r="CD65" s="153">
        <f t="shared" si="71"/>
        <v>31666.666666666668</v>
      </c>
      <c r="CE65" s="153">
        <f t="shared" si="87"/>
        <v>95000</v>
      </c>
      <c r="CF65" s="64"/>
    </row>
    <row r="66" spans="1:93" ht="14.4" hidden="1" customHeight="1" outlineLevel="1" x14ac:dyDescent="0.3">
      <c r="A66" s="74" t="str">
        <f>'CC detallado'!A66</f>
        <v>2.2.6</v>
      </c>
      <c r="B66" s="74">
        <f>'CC detallado'!B66</f>
        <v>2</v>
      </c>
      <c r="C66" s="74">
        <f>'CC detallado'!C66</f>
        <v>350</v>
      </c>
      <c r="D66" s="74" t="str">
        <f>'CC detallado'!D66</f>
        <v>B</v>
      </c>
      <c r="E66" s="74" t="str">
        <f>'CC detallado'!E66</f>
        <v>LPI</v>
      </c>
      <c r="F66" s="74" t="str">
        <f>'CC detallado'!F66</f>
        <v>kits</v>
      </c>
      <c r="G66" s="166" t="str">
        <f>'CC detallado'!G66</f>
        <v>Kits y materiales (938 para ovinos, 4.583 de suinos, 730 de caprinos)</v>
      </c>
      <c r="H66" s="71">
        <f>'CC detallado'!H66</f>
        <v>6250</v>
      </c>
      <c r="I66" s="71" t="str">
        <f>'CC detallado'!I66</f>
        <v>kits</v>
      </c>
      <c r="J66" s="71">
        <f>'CC detallado'!J66</f>
        <v>4</v>
      </c>
      <c r="K66" s="71" t="str">
        <f>'CC detallado'!K66</f>
        <v>años</v>
      </c>
      <c r="L66" s="155">
        <f>'CC detallado'!L66</f>
        <v>40</v>
      </c>
      <c r="M66" s="153">
        <f>'CC detallado'!M66</f>
        <v>250000</v>
      </c>
      <c r="O66" s="153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6"/>
      <c r="AB66" s="196"/>
      <c r="AC66" s="196"/>
      <c r="AD66" s="197">
        <f>$M$66/4</f>
        <v>62500</v>
      </c>
      <c r="AE66" s="195"/>
      <c r="AF66" s="195"/>
      <c r="AG66" s="195"/>
      <c r="AH66" s="195"/>
      <c r="AI66" s="195"/>
      <c r="AJ66" s="195"/>
      <c r="AK66" s="195"/>
      <c r="AL66" s="195"/>
      <c r="AM66" s="196"/>
      <c r="AN66" s="196"/>
      <c r="AO66" s="196"/>
      <c r="AP66" s="197">
        <f>$M$66/4</f>
        <v>62500</v>
      </c>
      <c r="AQ66" s="195"/>
      <c r="AR66" s="195"/>
      <c r="AS66" s="195"/>
      <c r="AT66" s="195"/>
      <c r="AU66" s="195"/>
      <c r="AV66" s="195"/>
      <c r="AW66" s="195"/>
      <c r="AX66" s="195"/>
      <c r="AY66" s="196"/>
      <c r="AZ66" s="196"/>
      <c r="BA66" s="196"/>
      <c r="BB66" s="197">
        <f>$M$66/4</f>
        <v>62500</v>
      </c>
      <c r="BC66" s="195"/>
      <c r="BD66" s="195"/>
      <c r="BE66" s="195"/>
      <c r="BF66" s="195"/>
      <c r="BG66" s="195"/>
      <c r="BH66" s="195"/>
      <c r="BI66" s="195"/>
      <c r="BJ66" s="195"/>
      <c r="BK66" s="196"/>
      <c r="BL66" s="196"/>
      <c r="BM66" s="196"/>
      <c r="BN66" s="197">
        <f>$M$66/4</f>
        <v>62500</v>
      </c>
      <c r="BO66" s="195"/>
      <c r="BP66" s="195"/>
      <c r="BQ66" s="195"/>
      <c r="BR66" s="195"/>
      <c r="BS66" s="195"/>
      <c r="BT66" s="195"/>
      <c r="BU66" s="195"/>
      <c r="BV66" s="195"/>
      <c r="BW66" s="195">
        <f t="shared" si="86"/>
        <v>250000</v>
      </c>
      <c r="BX66" s="88">
        <f t="shared" si="66"/>
        <v>0</v>
      </c>
      <c r="BY66" s="57"/>
      <c r="BZ66" s="153">
        <f t="shared" si="67"/>
        <v>0</v>
      </c>
      <c r="CA66" s="153">
        <f t="shared" si="68"/>
        <v>62500</v>
      </c>
      <c r="CB66" s="153">
        <f t="shared" si="69"/>
        <v>62500</v>
      </c>
      <c r="CC66" s="153">
        <f t="shared" si="70"/>
        <v>62500</v>
      </c>
      <c r="CD66" s="153">
        <f t="shared" si="71"/>
        <v>62500</v>
      </c>
      <c r="CE66" s="153">
        <f t="shared" si="87"/>
        <v>250000</v>
      </c>
      <c r="CF66" s="64">
        <f t="shared" ref="CF66:CF77" si="90">BW66-CE66</f>
        <v>0</v>
      </c>
    </row>
    <row r="67" spans="1:93" ht="14.4" customHeight="1" collapsed="1" x14ac:dyDescent="0.3">
      <c r="A67" s="190" t="str">
        <f>'CC detallado'!A67</f>
        <v>2.3</v>
      </c>
      <c r="B67" s="190" t="str">
        <f>'CC detallado'!B67</f>
        <v>C-1</v>
      </c>
      <c r="C67" s="190" t="str">
        <f>'CC detallado'!C67</f>
        <v>-</v>
      </c>
      <c r="D67" s="190" t="str">
        <f>'CC detallado'!D67</f>
        <v>-</v>
      </c>
      <c r="E67" s="190" t="str">
        <f>'CC detallado'!E67</f>
        <v>-</v>
      </c>
      <c r="F67" s="190" t="str">
        <f>'CC detallado'!F67</f>
        <v>-</v>
      </c>
      <c r="G67" s="185" t="str">
        <f>'CC detallado'!G67</f>
        <v>Producto 12: Población de aves y cerdos bajo programas de vigilancia y certificación</v>
      </c>
      <c r="H67" s="186">
        <f>'CC detallado'!H67</f>
        <v>0</v>
      </c>
      <c r="I67" s="186">
        <f>'CC detallado'!I67</f>
        <v>0</v>
      </c>
      <c r="J67" s="186">
        <f>'CC detallado'!J67</f>
        <v>0</v>
      </c>
      <c r="K67" s="186">
        <f>'CC detallado'!K67</f>
        <v>0</v>
      </c>
      <c r="L67" s="187">
        <f>'CC detallado'!L67</f>
        <v>0</v>
      </c>
      <c r="M67" s="187">
        <f>SUM(M68:M77)</f>
        <v>155500</v>
      </c>
      <c r="O67" s="187">
        <f>SUM(O68:O77)</f>
        <v>0</v>
      </c>
      <c r="P67" s="187">
        <f t="shared" ref="P67:BW67" si="91">SUM(P68:P77)</f>
        <v>0</v>
      </c>
      <c r="Q67" s="187">
        <f t="shared" si="91"/>
        <v>0</v>
      </c>
      <c r="R67" s="187">
        <f t="shared" si="91"/>
        <v>0</v>
      </c>
      <c r="S67" s="187">
        <f t="shared" si="91"/>
        <v>0</v>
      </c>
      <c r="T67" s="187">
        <f t="shared" si="91"/>
        <v>0</v>
      </c>
      <c r="U67" s="187">
        <f t="shared" si="91"/>
        <v>0</v>
      </c>
      <c r="V67" s="187">
        <f t="shared" si="91"/>
        <v>0</v>
      </c>
      <c r="W67" s="187">
        <f t="shared" si="91"/>
        <v>3750</v>
      </c>
      <c r="X67" s="187">
        <f t="shared" si="91"/>
        <v>3750</v>
      </c>
      <c r="Y67" s="187">
        <f t="shared" si="91"/>
        <v>3750</v>
      </c>
      <c r="Z67" s="187">
        <f t="shared" si="91"/>
        <v>8750</v>
      </c>
      <c r="AA67" s="187">
        <f t="shared" si="91"/>
        <v>0</v>
      </c>
      <c r="AB67" s="187">
        <f t="shared" si="91"/>
        <v>0</v>
      </c>
      <c r="AC67" s="187">
        <f t="shared" si="91"/>
        <v>0</v>
      </c>
      <c r="AD67" s="187">
        <f t="shared" si="91"/>
        <v>0</v>
      </c>
      <c r="AE67" s="187">
        <f t="shared" si="91"/>
        <v>17500</v>
      </c>
      <c r="AF67" s="187">
        <f t="shared" si="91"/>
        <v>2500</v>
      </c>
      <c r="AG67" s="187">
        <f t="shared" si="91"/>
        <v>48000</v>
      </c>
      <c r="AH67" s="187">
        <f t="shared" si="91"/>
        <v>7500</v>
      </c>
      <c r="AI67" s="187">
        <f t="shared" si="91"/>
        <v>0</v>
      </c>
      <c r="AJ67" s="187">
        <f t="shared" si="91"/>
        <v>0</v>
      </c>
      <c r="AK67" s="187">
        <f t="shared" si="91"/>
        <v>0</v>
      </c>
      <c r="AL67" s="187">
        <f t="shared" si="91"/>
        <v>0</v>
      </c>
      <c r="AM67" s="187">
        <f t="shared" si="91"/>
        <v>6666.666666666667</v>
      </c>
      <c r="AN67" s="187">
        <f t="shared" si="91"/>
        <v>0</v>
      </c>
      <c r="AO67" s="187">
        <f t="shared" si="91"/>
        <v>0</v>
      </c>
      <c r="AP67" s="187">
        <f t="shared" si="91"/>
        <v>0</v>
      </c>
      <c r="AQ67" s="187">
        <f t="shared" si="91"/>
        <v>0</v>
      </c>
      <c r="AR67" s="187">
        <f t="shared" si="91"/>
        <v>0</v>
      </c>
      <c r="AS67" s="187">
        <f t="shared" si="91"/>
        <v>0</v>
      </c>
      <c r="AT67" s="187">
        <f t="shared" si="91"/>
        <v>0</v>
      </c>
      <c r="AU67" s="187">
        <f t="shared" si="91"/>
        <v>0</v>
      </c>
      <c r="AV67" s="187">
        <f t="shared" si="91"/>
        <v>20000</v>
      </c>
      <c r="AW67" s="187">
        <f t="shared" si="91"/>
        <v>5000</v>
      </c>
      <c r="AX67" s="187">
        <f t="shared" si="91"/>
        <v>5000</v>
      </c>
      <c r="AY67" s="187">
        <f t="shared" si="91"/>
        <v>11666.666666666668</v>
      </c>
      <c r="AZ67" s="187">
        <f t="shared" si="91"/>
        <v>5000</v>
      </c>
      <c r="BA67" s="187">
        <f t="shared" si="91"/>
        <v>0</v>
      </c>
      <c r="BB67" s="187">
        <f t="shared" si="91"/>
        <v>0</v>
      </c>
      <c r="BC67" s="187">
        <f t="shared" si="91"/>
        <v>0</v>
      </c>
      <c r="BD67" s="187">
        <f t="shared" si="91"/>
        <v>0</v>
      </c>
      <c r="BE67" s="187">
        <f t="shared" si="91"/>
        <v>0</v>
      </c>
      <c r="BF67" s="187">
        <f t="shared" si="91"/>
        <v>0</v>
      </c>
      <c r="BG67" s="187">
        <f t="shared" si="91"/>
        <v>0</v>
      </c>
      <c r="BH67" s="187">
        <f t="shared" si="91"/>
        <v>0</v>
      </c>
      <c r="BI67" s="187">
        <f t="shared" si="91"/>
        <v>0</v>
      </c>
      <c r="BJ67" s="187">
        <f t="shared" si="91"/>
        <v>0</v>
      </c>
      <c r="BK67" s="187">
        <f t="shared" si="91"/>
        <v>6666.666666666667</v>
      </c>
      <c r="BL67" s="187">
        <f t="shared" si="91"/>
        <v>0</v>
      </c>
      <c r="BM67" s="187">
        <f t="shared" si="91"/>
        <v>0</v>
      </c>
      <c r="BN67" s="187">
        <f t="shared" si="91"/>
        <v>0</v>
      </c>
      <c r="BO67" s="187">
        <f t="shared" si="91"/>
        <v>0</v>
      </c>
      <c r="BP67" s="187">
        <f t="shared" si="91"/>
        <v>0</v>
      </c>
      <c r="BQ67" s="187">
        <f t="shared" si="91"/>
        <v>0</v>
      </c>
      <c r="BR67" s="187">
        <f t="shared" si="91"/>
        <v>0</v>
      </c>
      <c r="BS67" s="187">
        <f t="shared" si="91"/>
        <v>0</v>
      </c>
      <c r="BT67" s="187">
        <f t="shared" si="91"/>
        <v>0</v>
      </c>
      <c r="BU67" s="187">
        <f t="shared" si="91"/>
        <v>0</v>
      </c>
      <c r="BV67" s="187">
        <f t="shared" si="91"/>
        <v>0</v>
      </c>
      <c r="BW67" s="187">
        <f t="shared" si="91"/>
        <v>155500</v>
      </c>
      <c r="BX67" s="88">
        <f t="shared" ref="BX67:BX77" si="92">BW67-M67</f>
        <v>0</v>
      </c>
      <c r="BY67" s="57"/>
      <c r="BZ67" s="187">
        <f t="shared" ref="BZ67:BZ77" si="93">SUM(O67:Z67)</f>
        <v>20000</v>
      </c>
      <c r="CA67" s="187">
        <f t="shared" ref="CA67:CA77" si="94">SUM(AA67:AL67)</f>
        <v>75500</v>
      </c>
      <c r="CB67" s="187">
        <f t="shared" ref="CB67:CB77" si="95">SUM(AM67:AX67)</f>
        <v>36666.666666666672</v>
      </c>
      <c r="CC67" s="187">
        <f t="shared" ref="CC67:CC77" si="96">SUM(AY67:BJ67)</f>
        <v>16666.666666666668</v>
      </c>
      <c r="CD67" s="187">
        <f t="shared" ref="CD67:CD77" si="97">SUM(BK67:BV67)</f>
        <v>6666.666666666667</v>
      </c>
      <c r="CE67" s="187">
        <f t="shared" ref="CE67" si="98">SUM(CE68:CE77)</f>
        <v>155500</v>
      </c>
      <c r="CF67" s="64">
        <f t="shared" si="90"/>
        <v>0</v>
      </c>
    </row>
    <row r="68" spans="1:93" ht="14.4" hidden="1" customHeight="1" outlineLevel="1" x14ac:dyDescent="0.3">
      <c r="A68" s="67" t="str">
        <f>'CC detallado'!A68</f>
        <v>2.3.1</v>
      </c>
      <c r="B68" s="67">
        <f>'CC detallado'!B68</f>
        <v>1</v>
      </c>
      <c r="C68" s="67">
        <f>'CC detallado'!C68</f>
        <v>145</v>
      </c>
      <c r="D68" s="67" t="str">
        <f>'CC detallado'!D68</f>
        <v>CI</v>
      </c>
      <c r="E68" s="67" t="str">
        <f>'CC detallado'!E68</f>
        <v>3CV</v>
      </c>
      <c r="F68" s="67" t="str">
        <f>'CC detallado'!F68</f>
        <v>X Prod</v>
      </c>
      <c r="G68" s="166" t="str">
        <f>'CC detallado'!G68</f>
        <v>Consultoría para establecimiento sistema de certificación de granjas bajo control oficial</v>
      </c>
      <c r="H68" s="69">
        <f>'CC detallado'!H68</f>
        <v>1</v>
      </c>
      <c r="I68" s="69" t="str">
        <f>'CC detallado'!I68</f>
        <v>Consultoría</v>
      </c>
      <c r="J68" s="69">
        <f>'CC detallado'!J68</f>
        <v>0</v>
      </c>
      <c r="K68" s="69">
        <f>'CC detallado'!K68</f>
        <v>0</v>
      </c>
      <c r="L68" s="70">
        <f>'CC detallado'!L68</f>
        <v>10000</v>
      </c>
      <c r="M68" s="70">
        <f>'CC detallado'!M68</f>
        <v>10000</v>
      </c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8"/>
      <c r="AB68" s="198"/>
      <c r="AC68" s="198"/>
      <c r="AD68" s="198"/>
      <c r="AE68" s="197">
        <f>$M$68/4</f>
        <v>2500</v>
      </c>
      <c r="AF68" s="197">
        <f>$M$68/4</f>
        <v>2500</v>
      </c>
      <c r="AG68" s="197">
        <f>$M$68/4</f>
        <v>2500</v>
      </c>
      <c r="AH68" s="197">
        <f>$M$68/4</f>
        <v>2500</v>
      </c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  <c r="BI68" s="194"/>
      <c r="BJ68" s="194"/>
      <c r="BK68" s="194"/>
      <c r="BL68" s="194"/>
      <c r="BM68" s="194"/>
      <c r="BN68" s="194"/>
      <c r="BO68" s="194"/>
      <c r="BP68" s="194"/>
      <c r="BQ68" s="194"/>
      <c r="BR68" s="194"/>
      <c r="BS68" s="194"/>
      <c r="BT68" s="194"/>
      <c r="BU68" s="194"/>
      <c r="BV68" s="194"/>
      <c r="BW68" s="195">
        <f t="shared" ref="BW68:BW77" si="99">SUM(O68:BV68)</f>
        <v>10000</v>
      </c>
      <c r="BX68" s="88">
        <f t="shared" si="92"/>
        <v>0</v>
      </c>
      <c r="BY68" s="57"/>
      <c r="BZ68" s="70">
        <f t="shared" si="93"/>
        <v>0</v>
      </c>
      <c r="CA68" s="70">
        <f t="shared" si="94"/>
        <v>10000</v>
      </c>
      <c r="CB68" s="70">
        <f t="shared" si="95"/>
        <v>0</v>
      </c>
      <c r="CC68" s="70">
        <f t="shared" si="96"/>
        <v>0</v>
      </c>
      <c r="CD68" s="70">
        <f t="shared" si="97"/>
        <v>0</v>
      </c>
      <c r="CE68" s="70">
        <f>SUM(BZ68:CD68)</f>
        <v>10000</v>
      </c>
      <c r="CF68" s="64">
        <f t="shared" si="90"/>
        <v>0</v>
      </c>
    </row>
    <row r="69" spans="1:93" ht="14.4" hidden="1" customHeight="1" outlineLevel="1" x14ac:dyDescent="0.3">
      <c r="A69" s="67" t="str">
        <f>'CC detallado'!A69</f>
        <v>2.3.2</v>
      </c>
      <c r="B69" s="67">
        <f>'CC detallado'!B69</f>
        <v>1</v>
      </c>
      <c r="C69" s="67">
        <f>'CC detallado'!C69</f>
        <v>280</v>
      </c>
      <c r="D69" s="67" t="str">
        <f>'CC detallado'!D69</f>
        <v>SNC</v>
      </c>
      <c r="E69" s="67" t="str">
        <f>'CC detallado'!E69</f>
        <v>LPI</v>
      </c>
      <c r="F69" s="67" t="str">
        <f>'CC detallado'!F69</f>
        <v>Taller</v>
      </c>
      <c r="G69" s="166" t="str">
        <f>'CC detallado'!G69</f>
        <v>Seminario y  taller ( elaboración de procedimientos e instructivos) para adopción sistema</v>
      </c>
      <c r="H69" s="69">
        <f>'CC detallado'!H69</f>
        <v>2</v>
      </c>
      <c r="I69" s="69" t="str">
        <f>'CC detallado'!I69</f>
        <v>Seminario</v>
      </c>
      <c r="J69" s="69">
        <f>'CC detallado'!J69</f>
        <v>0</v>
      </c>
      <c r="K69" s="69">
        <f>'CC detallado'!K69</f>
        <v>0</v>
      </c>
      <c r="L69" s="70">
        <f>'CC detallado'!L69</f>
        <v>5000</v>
      </c>
      <c r="M69" s="70">
        <f>'CC detallado'!M69</f>
        <v>10000</v>
      </c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/>
      <c r="AE69" s="194"/>
      <c r="AF69" s="194"/>
      <c r="AG69" s="197">
        <f>$M$69/2</f>
        <v>5000</v>
      </c>
      <c r="AH69" s="197">
        <f>$M$69/2</f>
        <v>5000</v>
      </c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  <c r="BI69" s="194"/>
      <c r="BJ69" s="194"/>
      <c r="BK69" s="194"/>
      <c r="BL69" s="194"/>
      <c r="BM69" s="194"/>
      <c r="BN69" s="194"/>
      <c r="BO69" s="194"/>
      <c r="BP69" s="194"/>
      <c r="BQ69" s="194"/>
      <c r="BR69" s="194"/>
      <c r="BS69" s="194"/>
      <c r="BT69" s="194"/>
      <c r="BU69" s="194"/>
      <c r="BV69" s="194"/>
      <c r="BW69" s="195">
        <f t="shared" si="99"/>
        <v>10000</v>
      </c>
      <c r="BX69" s="88">
        <f t="shared" si="92"/>
        <v>0</v>
      </c>
      <c r="BY69" s="57"/>
      <c r="BZ69" s="70">
        <f t="shared" si="93"/>
        <v>0</v>
      </c>
      <c r="CA69" s="70">
        <f t="shared" si="94"/>
        <v>10000</v>
      </c>
      <c r="CB69" s="70">
        <f t="shared" si="95"/>
        <v>0</v>
      </c>
      <c r="CC69" s="70">
        <f t="shared" si="96"/>
        <v>0</v>
      </c>
      <c r="CD69" s="70">
        <f t="shared" si="97"/>
        <v>0</v>
      </c>
      <c r="CE69" s="70">
        <f t="shared" ref="CE69:CE77" si="100">SUM(BZ69:CD69)</f>
        <v>10000</v>
      </c>
      <c r="CF69" s="64">
        <f t="shared" si="90"/>
        <v>0</v>
      </c>
    </row>
    <row r="70" spans="1:93" ht="14.4" hidden="1" customHeight="1" outlineLevel="1" x14ac:dyDescent="0.3">
      <c r="A70" s="67" t="str">
        <f>'CC detallado'!A70</f>
        <v>2.3.3</v>
      </c>
      <c r="B70" s="67">
        <f>'CC detallado'!B70</f>
        <v>1</v>
      </c>
      <c r="C70" s="67">
        <f>'CC detallado'!C70</f>
        <v>260</v>
      </c>
      <c r="D70" s="67" t="str">
        <f>'CC detallado'!D70</f>
        <v>SNC</v>
      </c>
      <c r="E70" s="67" t="str">
        <f>'CC detallado'!E70</f>
        <v>CP</v>
      </c>
      <c r="F70" s="67" t="str">
        <f>'CC detallado'!F70</f>
        <v>CP</v>
      </c>
      <c r="G70" s="166" t="str">
        <f>'CC detallado'!G70</f>
        <v>Operación del sistema de monitoreo con envío de muestras</v>
      </c>
      <c r="H70" s="69">
        <f>'CC detallado'!H70</f>
        <v>2000</v>
      </c>
      <c r="I70" s="69" t="str">
        <f>'CC detallado'!I70</f>
        <v>Muestras</v>
      </c>
      <c r="J70" s="69">
        <f>'CC detallado'!J70</f>
        <v>0</v>
      </c>
      <c r="K70" s="69">
        <f>'CC detallado'!K70</f>
        <v>0</v>
      </c>
      <c r="L70" s="70">
        <f>'CC detallado'!L70</f>
        <v>10</v>
      </c>
      <c r="M70" s="70">
        <f>'CC detallado'!M70</f>
        <v>20000</v>
      </c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6"/>
      <c r="AJ70" s="196"/>
      <c r="AK70" s="196"/>
      <c r="AL70" s="196"/>
      <c r="AM70" s="197">
        <f>$M$70/3</f>
        <v>6666.666666666667</v>
      </c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>
        <f>$M$70/3</f>
        <v>6666.666666666667</v>
      </c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>
        <f>$M$70/3</f>
        <v>6666.666666666667</v>
      </c>
      <c r="BL70" s="197"/>
      <c r="BM70" s="197"/>
      <c r="BN70" s="197"/>
      <c r="BO70" s="197"/>
      <c r="BP70" s="197"/>
      <c r="BQ70" s="197"/>
      <c r="BR70" s="197"/>
      <c r="BS70" s="197"/>
      <c r="BT70" s="197"/>
      <c r="BU70" s="197"/>
      <c r="BV70" s="197"/>
      <c r="BW70" s="195">
        <f t="shared" si="99"/>
        <v>20000</v>
      </c>
      <c r="BX70" s="88">
        <f t="shared" si="92"/>
        <v>0</v>
      </c>
      <c r="BZ70" s="70">
        <f t="shared" si="93"/>
        <v>0</v>
      </c>
      <c r="CA70" s="70">
        <f t="shared" si="94"/>
        <v>0</v>
      </c>
      <c r="CB70" s="70">
        <f t="shared" si="95"/>
        <v>6666.666666666667</v>
      </c>
      <c r="CC70" s="70">
        <f t="shared" si="96"/>
        <v>6666.666666666667</v>
      </c>
      <c r="CD70" s="70">
        <f t="shared" si="97"/>
        <v>6666.666666666667</v>
      </c>
      <c r="CE70" s="70">
        <f t="shared" si="100"/>
        <v>20000</v>
      </c>
      <c r="CF70" s="64">
        <f t="shared" si="90"/>
        <v>0</v>
      </c>
    </row>
    <row r="71" spans="1:93" ht="14.4" hidden="1" customHeight="1" outlineLevel="1" x14ac:dyDescent="0.3">
      <c r="A71" s="67" t="str">
        <f>'CC detallado'!A71</f>
        <v>2.3.4</v>
      </c>
      <c r="B71" s="67">
        <f>'CC detallado'!B71</f>
        <v>1</v>
      </c>
      <c r="C71" s="67">
        <f>'CC detallado'!C71</f>
        <v>145</v>
      </c>
      <c r="D71" s="67" t="str">
        <f>'CC detallado'!D71</f>
        <v>CI</v>
      </c>
      <c r="E71" s="67" t="str">
        <f>'CC detallado'!E71</f>
        <v>3CV</v>
      </c>
      <c r="F71" s="67" t="str">
        <f>'CC detallado'!F71</f>
        <v>X Prod</v>
      </c>
      <c r="G71" s="166" t="str">
        <f>'CC detallado'!G71</f>
        <v>Consultoría para gestión de riesgo y auto declaración de IA y NC(incluye taller)</v>
      </c>
      <c r="H71" s="69">
        <f>'CC detallado'!H71</f>
        <v>1</v>
      </c>
      <c r="I71" s="69" t="str">
        <f>'CC detallado'!I71</f>
        <v>Consultoría</v>
      </c>
      <c r="J71" s="69">
        <f>'CC detallado'!J71</f>
        <v>0</v>
      </c>
      <c r="K71" s="69">
        <f>'CC detallado'!K71</f>
        <v>0</v>
      </c>
      <c r="L71" s="70">
        <f>'CC detallado'!L71</f>
        <v>15000</v>
      </c>
      <c r="M71" s="70">
        <f>'CC detallado'!M71</f>
        <v>15000</v>
      </c>
      <c r="O71" s="194"/>
      <c r="P71" s="194"/>
      <c r="Q71" s="194"/>
      <c r="R71" s="194"/>
      <c r="S71" s="198"/>
      <c r="T71" s="198"/>
      <c r="U71" s="198"/>
      <c r="V71" s="198"/>
      <c r="W71" s="197">
        <f>$M$71/4</f>
        <v>3750</v>
      </c>
      <c r="X71" s="197">
        <f>$M$71/4</f>
        <v>3750</v>
      </c>
      <c r="Y71" s="197">
        <f>$M$71/4</f>
        <v>3750</v>
      </c>
      <c r="Z71" s="197">
        <f>$M$71/4</f>
        <v>3750</v>
      </c>
      <c r="AA71" s="195"/>
      <c r="AB71" s="195"/>
      <c r="AC71" s="195"/>
      <c r="AD71" s="195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  <c r="BI71" s="194"/>
      <c r="BJ71" s="194"/>
      <c r="BK71" s="194"/>
      <c r="BL71" s="194"/>
      <c r="BM71" s="194"/>
      <c r="BN71" s="194"/>
      <c r="BO71" s="194"/>
      <c r="BP71" s="194"/>
      <c r="BQ71" s="194"/>
      <c r="BR71" s="194"/>
      <c r="BS71" s="194"/>
      <c r="BT71" s="194"/>
      <c r="BU71" s="194"/>
      <c r="BV71" s="194"/>
      <c r="BW71" s="195">
        <f t="shared" si="99"/>
        <v>15000</v>
      </c>
      <c r="BX71" s="88">
        <f t="shared" si="92"/>
        <v>0</v>
      </c>
      <c r="BY71" s="57"/>
      <c r="BZ71" s="70">
        <f t="shared" si="93"/>
        <v>15000</v>
      </c>
      <c r="CA71" s="70">
        <f t="shared" si="94"/>
        <v>0</v>
      </c>
      <c r="CB71" s="70">
        <f t="shared" si="95"/>
        <v>0</v>
      </c>
      <c r="CC71" s="70">
        <f t="shared" si="96"/>
        <v>0</v>
      </c>
      <c r="CD71" s="70">
        <f t="shared" si="97"/>
        <v>0</v>
      </c>
      <c r="CE71" s="70">
        <f t="shared" si="100"/>
        <v>15000</v>
      </c>
      <c r="CF71" s="64">
        <f t="shared" si="90"/>
        <v>0</v>
      </c>
    </row>
    <row r="72" spans="1:93" ht="14.4" hidden="1" customHeight="1" outlineLevel="1" x14ac:dyDescent="0.3">
      <c r="A72" s="67" t="str">
        <f>'CC detallado'!A72</f>
        <v>2.3.5</v>
      </c>
      <c r="B72" s="67">
        <f>'CC detallado'!B72</f>
        <v>1</v>
      </c>
      <c r="C72" s="67">
        <f>'CC detallado'!C72</f>
        <v>280</v>
      </c>
      <c r="D72" s="67" t="str">
        <f>'CC detallado'!D72</f>
        <v>SNC</v>
      </c>
      <c r="E72" s="67" t="str">
        <f>'CC detallado'!E72</f>
        <v>LPI</v>
      </c>
      <c r="F72" s="67" t="str">
        <f>'CC detallado'!F72</f>
        <v>Taller</v>
      </c>
      <c r="G72" s="166" t="str">
        <f>'CC detallado'!G72</f>
        <v>Seminario taller sobre gestión de riesgo de IA y NC</v>
      </c>
      <c r="H72" s="69">
        <f>'CC detallado'!H72</f>
        <v>1</v>
      </c>
      <c r="I72" s="69" t="str">
        <f>'CC detallado'!I72</f>
        <v>Seminario</v>
      </c>
      <c r="J72" s="69">
        <f>'CC detallado'!J72</f>
        <v>0</v>
      </c>
      <c r="K72" s="69">
        <f>'CC detallado'!K72</f>
        <v>0</v>
      </c>
      <c r="L72" s="70">
        <f>'CC detallado'!L72</f>
        <v>5000</v>
      </c>
      <c r="M72" s="70">
        <f>'CC detallado'!M72</f>
        <v>5000</v>
      </c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7">
        <f>$M$72</f>
        <v>5000</v>
      </c>
      <c r="AA72" s="194"/>
      <c r="AB72" s="194"/>
      <c r="AC72" s="194"/>
      <c r="AD72" s="194"/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  <c r="BI72" s="194"/>
      <c r="BJ72" s="194"/>
      <c r="BK72" s="194"/>
      <c r="BL72" s="194"/>
      <c r="BM72" s="194"/>
      <c r="BN72" s="194"/>
      <c r="BO72" s="194"/>
      <c r="BP72" s="194"/>
      <c r="BQ72" s="194"/>
      <c r="BR72" s="194"/>
      <c r="BS72" s="194"/>
      <c r="BT72" s="194"/>
      <c r="BU72" s="194"/>
      <c r="BV72" s="194"/>
      <c r="BW72" s="195">
        <f t="shared" si="99"/>
        <v>5000</v>
      </c>
      <c r="BX72" s="88">
        <f t="shared" si="92"/>
        <v>0</v>
      </c>
      <c r="BY72" s="57"/>
      <c r="BZ72" s="70">
        <f t="shared" si="93"/>
        <v>5000</v>
      </c>
      <c r="CA72" s="70">
        <f t="shared" si="94"/>
        <v>0</v>
      </c>
      <c r="CB72" s="70">
        <f t="shared" si="95"/>
        <v>0</v>
      </c>
      <c r="CC72" s="70">
        <f t="shared" si="96"/>
        <v>0</v>
      </c>
      <c r="CD72" s="70">
        <f t="shared" si="97"/>
        <v>0</v>
      </c>
      <c r="CE72" s="70">
        <f t="shared" si="100"/>
        <v>5000</v>
      </c>
      <c r="CF72" s="64">
        <f t="shared" si="90"/>
        <v>0</v>
      </c>
    </row>
    <row r="73" spans="1:93" ht="14.4" hidden="1" customHeight="1" outlineLevel="1" x14ac:dyDescent="0.3">
      <c r="A73" s="67" t="str">
        <f>'CC detallado'!A73</f>
        <v>2.3.6</v>
      </c>
      <c r="B73" s="67">
        <f>'CC detallado'!B73</f>
        <v>1</v>
      </c>
      <c r="C73" s="67">
        <f>'CC detallado'!C73</f>
        <v>350</v>
      </c>
      <c r="D73" s="67" t="str">
        <f>'CC detallado'!D73</f>
        <v>B</v>
      </c>
      <c r="E73" s="67" t="str">
        <f>'CC detallado'!E73</f>
        <v>CP</v>
      </c>
      <c r="F73" s="67" t="str">
        <f>'CC detallado'!F73</f>
        <v>Vacun</v>
      </c>
      <c r="G73" s="166" t="str">
        <f>'CC detallado'!G73</f>
        <v>Monitoreo seroepidemiológico Influenza Aviar y molecular para New Castle</v>
      </c>
      <c r="H73" s="69">
        <f>'CC detallado'!H73</f>
        <v>1</v>
      </c>
      <c r="I73" s="69" t="str">
        <f>'CC detallado'!I73</f>
        <v>reactivos</v>
      </c>
      <c r="J73" s="69">
        <f>'CC detallado'!J73</f>
        <v>0</v>
      </c>
      <c r="K73" s="69">
        <f>'CC detallado'!K73</f>
        <v>0</v>
      </c>
      <c r="L73" s="70">
        <f>'CC detallado'!L73</f>
        <v>50000</v>
      </c>
      <c r="M73" s="70">
        <f>'CC detallado'!M73</f>
        <v>50000</v>
      </c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8"/>
      <c r="AB73" s="198"/>
      <c r="AC73" s="198"/>
      <c r="AD73" s="198"/>
      <c r="AE73" s="197">
        <f>$M$73*30%</f>
        <v>15000</v>
      </c>
      <c r="AF73" s="199"/>
      <c r="AG73" s="197">
        <f>$M$73*70%</f>
        <v>35000</v>
      </c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  <c r="BI73" s="194"/>
      <c r="BJ73" s="194"/>
      <c r="BK73" s="194"/>
      <c r="BL73" s="194"/>
      <c r="BM73" s="194"/>
      <c r="BN73" s="194"/>
      <c r="BO73" s="194"/>
      <c r="BP73" s="194"/>
      <c r="BQ73" s="194"/>
      <c r="BR73" s="194"/>
      <c r="BS73" s="194"/>
      <c r="BT73" s="194"/>
      <c r="BU73" s="194"/>
      <c r="BV73" s="194"/>
      <c r="BW73" s="195">
        <f t="shared" si="99"/>
        <v>50000</v>
      </c>
      <c r="BX73" s="88">
        <f t="shared" si="92"/>
        <v>0</v>
      </c>
      <c r="BY73" s="57"/>
      <c r="BZ73" s="70">
        <f t="shared" si="93"/>
        <v>0</v>
      </c>
      <c r="CA73" s="70">
        <f t="shared" si="94"/>
        <v>50000</v>
      </c>
      <c r="CB73" s="70">
        <f t="shared" si="95"/>
        <v>0</v>
      </c>
      <c r="CC73" s="70">
        <f t="shared" si="96"/>
        <v>0</v>
      </c>
      <c r="CD73" s="70">
        <f t="shared" si="97"/>
        <v>0</v>
      </c>
      <c r="CE73" s="70">
        <f t="shared" si="100"/>
        <v>50000</v>
      </c>
      <c r="CF73" s="64">
        <f t="shared" si="90"/>
        <v>0</v>
      </c>
    </row>
    <row r="74" spans="1:93" ht="14.4" hidden="1" customHeight="1" outlineLevel="1" x14ac:dyDescent="0.3">
      <c r="A74" s="67" t="str">
        <f>'CC detallado'!A74</f>
        <v>2.3.7</v>
      </c>
      <c r="B74" s="67">
        <f>'CC detallado'!B74</f>
        <v>1</v>
      </c>
      <c r="C74" s="67">
        <f>'CC detallado'!C74</f>
        <v>280</v>
      </c>
      <c r="D74" s="67" t="str">
        <f>'CC detallado'!D74</f>
        <v>SNC</v>
      </c>
      <c r="E74" s="67" t="str">
        <f>'CC detallado'!E74</f>
        <v>LPI</v>
      </c>
      <c r="F74" s="67" t="str">
        <f>'CC detallado'!F74</f>
        <v>Taller</v>
      </c>
      <c r="G74" s="166" t="str">
        <f>'CC detallado'!G74</f>
        <v>Elaboración plan de trabajo de asistencia</v>
      </c>
      <c r="H74" s="69">
        <f>'CC detallado'!H74</f>
        <v>1</v>
      </c>
      <c r="I74" s="69" t="str">
        <f>'CC detallado'!I74</f>
        <v>Taller de trabajo</v>
      </c>
      <c r="J74" s="69">
        <f>'CC detallado'!J74</f>
        <v>0</v>
      </c>
      <c r="K74" s="69">
        <f>'CC detallado'!K74</f>
        <v>0</v>
      </c>
      <c r="L74" s="70">
        <f>'CC detallado'!L74</f>
        <v>5500</v>
      </c>
      <c r="M74" s="70">
        <f>'CC detallado'!M74</f>
        <v>5500</v>
      </c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7">
        <f>$M$74</f>
        <v>5500</v>
      </c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  <c r="BI74" s="194"/>
      <c r="BJ74" s="194"/>
      <c r="BK74" s="194"/>
      <c r="BL74" s="194"/>
      <c r="BM74" s="194"/>
      <c r="BN74" s="194"/>
      <c r="BO74" s="194"/>
      <c r="BP74" s="194"/>
      <c r="BQ74" s="194"/>
      <c r="BR74" s="194"/>
      <c r="BS74" s="194"/>
      <c r="BT74" s="194"/>
      <c r="BU74" s="194"/>
      <c r="BV74" s="194"/>
      <c r="BW74" s="195">
        <f t="shared" si="99"/>
        <v>5500</v>
      </c>
      <c r="BX74" s="88">
        <f t="shared" si="92"/>
        <v>0</v>
      </c>
      <c r="BY74" s="57"/>
      <c r="BZ74" s="70">
        <f t="shared" si="93"/>
        <v>0</v>
      </c>
      <c r="CA74" s="70">
        <f t="shared" si="94"/>
        <v>5500</v>
      </c>
      <c r="CB74" s="70">
        <f t="shared" si="95"/>
        <v>0</v>
      </c>
      <c r="CC74" s="70">
        <f t="shared" si="96"/>
        <v>0</v>
      </c>
      <c r="CD74" s="70">
        <f t="shared" si="97"/>
        <v>0</v>
      </c>
      <c r="CE74" s="70">
        <f t="shared" si="100"/>
        <v>5500</v>
      </c>
      <c r="CF74" s="64">
        <f t="shared" si="90"/>
        <v>0</v>
      </c>
    </row>
    <row r="75" spans="1:93" ht="14.4" hidden="1" customHeight="1" outlineLevel="1" x14ac:dyDescent="0.3">
      <c r="A75" s="67" t="str">
        <f>'CC detallado'!A75</f>
        <v>2.3.8</v>
      </c>
      <c r="B75" s="67">
        <f>'CC detallado'!B75</f>
        <v>1</v>
      </c>
      <c r="C75" s="67">
        <f>'CC detallado'!C75</f>
        <v>350</v>
      </c>
      <c r="D75" s="67" t="str">
        <f>'CC detallado'!D75</f>
        <v>B</v>
      </c>
      <c r="E75" s="67" t="str">
        <f>'CC detallado'!E75</f>
        <v>CP</v>
      </c>
      <c r="F75" s="67" t="str">
        <f>'CC detallado'!F75</f>
        <v>Vacun</v>
      </c>
      <c r="G75" s="166" t="str">
        <f>'CC detallado'!G75</f>
        <v>Adquisición vacunas</v>
      </c>
      <c r="H75" s="69">
        <f>'CC detallado'!H75</f>
        <v>200000</v>
      </c>
      <c r="I75" s="69" t="str">
        <f>'CC detallado'!I75</f>
        <v>Vacunas</v>
      </c>
      <c r="J75" s="69">
        <f>'CC detallado'!J75</f>
        <v>0</v>
      </c>
      <c r="K75" s="69">
        <f>'CC detallado'!K75</f>
        <v>0</v>
      </c>
      <c r="L75" s="70">
        <f>'CC detallado'!L75</f>
        <v>0.05</v>
      </c>
      <c r="M75" s="70">
        <f>'CC detallado'!M75</f>
        <v>10000</v>
      </c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194"/>
      <c r="AK75" s="194"/>
      <c r="AL75" s="194"/>
      <c r="AM75" s="194"/>
      <c r="AN75" s="194"/>
      <c r="AO75" s="194"/>
      <c r="AP75" s="198"/>
      <c r="AQ75" s="198"/>
      <c r="AR75" s="198"/>
      <c r="AS75" s="198"/>
      <c r="AT75" s="197">
        <v>0</v>
      </c>
      <c r="AU75" s="199"/>
      <c r="AV75" s="197">
        <f>$M$75</f>
        <v>10000</v>
      </c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  <c r="BI75" s="194"/>
      <c r="BJ75" s="194"/>
      <c r="BK75" s="194"/>
      <c r="BL75" s="194"/>
      <c r="BM75" s="194"/>
      <c r="BN75" s="194"/>
      <c r="BO75" s="194"/>
      <c r="BP75" s="194"/>
      <c r="BQ75" s="194"/>
      <c r="BR75" s="194"/>
      <c r="BS75" s="194"/>
      <c r="BT75" s="194"/>
      <c r="BU75" s="194"/>
      <c r="BV75" s="194"/>
      <c r="BW75" s="195">
        <f t="shared" si="99"/>
        <v>10000</v>
      </c>
      <c r="BX75" s="88">
        <f t="shared" si="92"/>
        <v>0</v>
      </c>
      <c r="BY75" s="57"/>
      <c r="BZ75" s="70">
        <f t="shared" si="93"/>
        <v>0</v>
      </c>
      <c r="CA75" s="70">
        <f t="shared" si="94"/>
        <v>0</v>
      </c>
      <c r="CB75" s="70">
        <f t="shared" si="95"/>
        <v>10000</v>
      </c>
      <c r="CC75" s="70">
        <f t="shared" si="96"/>
        <v>0</v>
      </c>
      <c r="CD75" s="70">
        <f t="shared" si="97"/>
        <v>0</v>
      </c>
      <c r="CE75" s="70">
        <f t="shared" si="100"/>
        <v>10000</v>
      </c>
      <c r="CF75" s="64">
        <f t="shared" si="90"/>
        <v>0</v>
      </c>
    </row>
    <row r="76" spans="1:93" ht="14.4" hidden="1" customHeight="1" outlineLevel="1" x14ac:dyDescent="0.3">
      <c r="A76" s="67" t="str">
        <f>'CC detallado'!A76</f>
        <v>2.3.9</v>
      </c>
      <c r="B76" s="67">
        <f>'CC detallado'!B76</f>
        <v>1</v>
      </c>
      <c r="C76" s="67">
        <f>'CC detallado'!C76</f>
        <v>350</v>
      </c>
      <c r="D76" s="67" t="str">
        <f>'CC detallado'!D76</f>
        <v>B</v>
      </c>
      <c r="E76" s="67" t="str">
        <f>'CC detallado'!E76</f>
        <v>CP</v>
      </c>
      <c r="F76" s="67" t="str">
        <f>'CC detallado'!F76</f>
        <v>Vacun</v>
      </c>
      <c r="G76" s="166" t="str">
        <f>'CC detallado'!G76</f>
        <v>Adquisición de Antiparasitarios</v>
      </c>
      <c r="H76" s="69">
        <f>'CC detallado'!H76</f>
        <v>50000</v>
      </c>
      <c r="I76" s="69" t="str">
        <f>'CC detallado'!I76</f>
        <v>Antiparasitarios</v>
      </c>
      <c r="J76" s="69">
        <f>'CC detallado'!J76</f>
        <v>0</v>
      </c>
      <c r="K76" s="69">
        <f>'CC detallado'!K76</f>
        <v>0</v>
      </c>
      <c r="L76" s="70">
        <f>'CC detallado'!L76</f>
        <v>0.1</v>
      </c>
      <c r="M76" s="70">
        <f>'CC detallado'!M76</f>
        <v>5000</v>
      </c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8"/>
      <c r="AQ76" s="198"/>
      <c r="AR76" s="198"/>
      <c r="AS76" s="198"/>
      <c r="AT76" s="197">
        <v>0</v>
      </c>
      <c r="AU76" s="199"/>
      <c r="AV76" s="197">
        <f>$M$76</f>
        <v>5000</v>
      </c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  <c r="BI76" s="194"/>
      <c r="BJ76" s="194"/>
      <c r="BK76" s="194"/>
      <c r="BL76" s="194"/>
      <c r="BM76" s="194"/>
      <c r="BN76" s="194"/>
      <c r="BO76" s="194"/>
      <c r="BP76" s="194"/>
      <c r="BQ76" s="194"/>
      <c r="BR76" s="194"/>
      <c r="BS76" s="194"/>
      <c r="BT76" s="194"/>
      <c r="BU76" s="194"/>
      <c r="BV76" s="194"/>
      <c r="BW76" s="195">
        <f t="shared" si="99"/>
        <v>5000</v>
      </c>
      <c r="BX76" s="88">
        <f t="shared" si="92"/>
        <v>0</v>
      </c>
      <c r="BY76" s="57"/>
      <c r="BZ76" s="70">
        <f t="shared" si="93"/>
        <v>0</v>
      </c>
      <c r="CA76" s="70">
        <f t="shared" si="94"/>
        <v>0</v>
      </c>
      <c r="CB76" s="70">
        <f t="shared" si="95"/>
        <v>5000</v>
      </c>
      <c r="CC76" s="70">
        <f t="shared" si="96"/>
        <v>0</v>
      </c>
      <c r="CD76" s="70">
        <f t="shared" si="97"/>
        <v>0</v>
      </c>
      <c r="CE76" s="70">
        <f t="shared" si="100"/>
        <v>5000</v>
      </c>
      <c r="CF76" s="64">
        <f t="shared" si="90"/>
        <v>0</v>
      </c>
    </row>
    <row r="77" spans="1:93" ht="14.4" hidden="1" customHeight="1" outlineLevel="1" x14ac:dyDescent="0.3">
      <c r="A77" s="67" t="str">
        <f>'CC detallado'!A77</f>
        <v>2.3.10</v>
      </c>
      <c r="B77" s="67">
        <f>'CC detallado'!B77</f>
        <v>1</v>
      </c>
      <c r="C77" s="67">
        <f>'CC detallado'!C77</f>
        <v>280</v>
      </c>
      <c r="D77" s="67" t="str">
        <f>'CC detallado'!D77</f>
        <v>SNC</v>
      </c>
      <c r="E77" s="67" t="str">
        <f>'CC detallado'!E77</f>
        <v>LPI</v>
      </c>
      <c r="F77" s="67" t="str">
        <f>'CC detallado'!F77</f>
        <v>Taller</v>
      </c>
      <c r="G77" s="166" t="str">
        <f>'CC detallado'!G77</f>
        <v>Distribución y aplicación</v>
      </c>
      <c r="H77" s="69">
        <f>'CC detallado'!H77</f>
        <v>500</v>
      </c>
      <c r="I77" s="69" t="str">
        <f>'CC detallado'!I77</f>
        <v>Jornadas</v>
      </c>
      <c r="J77" s="69">
        <f>'CC detallado'!J77</f>
        <v>0</v>
      </c>
      <c r="K77" s="69">
        <f>'CC detallado'!K77</f>
        <v>0</v>
      </c>
      <c r="L77" s="70">
        <f>'CC detallado'!L77</f>
        <v>50</v>
      </c>
      <c r="M77" s="70">
        <f>'CC detallado'!M77</f>
        <v>25000</v>
      </c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7">
        <f>$M$77/5</f>
        <v>5000</v>
      </c>
      <c r="AW77" s="197">
        <f>$M$77/5</f>
        <v>5000</v>
      </c>
      <c r="AX77" s="197">
        <f>$M$77/5</f>
        <v>5000</v>
      </c>
      <c r="AY77" s="197">
        <f>$M$77/5</f>
        <v>5000</v>
      </c>
      <c r="AZ77" s="197">
        <f>$M$77/5</f>
        <v>5000</v>
      </c>
      <c r="BA77" s="194"/>
      <c r="BB77" s="194"/>
      <c r="BC77" s="194"/>
      <c r="BD77" s="194"/>
      <c r="BE77" s="194"/>
      <c r="BF77" s="194"/>
      <c r="BG77" s="194"/>
      <c r="BH77" s="194"/>
      <c r="BI77" s="194"/>
      <c r="BJ77" s="194"/>
      <c r="BK77" s="194"/>
      <c r="BL77" s="194"/>
      <c r="BM77" s="194"/>
      <c r="BN77" s="194"/>
      <c r="BO77" s="194"/>
      <c r="BP77" s="194"/>
      <c r="BQ77" s="194"/>
      <c r="BR77" s="194"/>
      <c r="BS77" s="194"/>
      <c r="BT77" s="194"/>
      <c r="BU77" s="194"/>
      <c r="BV77" s="194"/>
      <c r="BW77" s="195">
        <f t="shared" si="99"/>
        <v>25000</v>
      </c>
      <c r="BX77" s="88">
        <f t="shared" si="92"/>
        <v>0</v>
      </c>
      <c r="BY77" s="57"/>
      <c r="BZ77" s="70">
        <f t="shared" si="93"/>
        <v>0</v>
      </c>
      <c r="CA77" s="70">
        <f t="shared" si="94"/>
        <v>0</v>
      </c>
      <c r="CB77" s="70">
        <f t="shared" si="95"/>
        <v>15000</v>
      </c>
      <c r="CC77" s="70">
        <f t="shared" si="96"/>
        <v>10000</v>
      </c>
      <c r="CD77" s="70">
        <f t="shared" si="97"/>
        <v>0</v>
      </c>
      <c r="CE77" s="70">
        <f t="shared" si="100"/>
        <v>25000</v>
      </c>
      <c r="CF77" s="64">
        <f t="shared" si="90"/>
        <v>0</v>
      </c>
    </row>
    <row r="78" spans="1:93" s="66" customFormat="1" ht="14.4" customHeight="1" collapsed="1" x14ac:dyDescent="0.3">
      <c r="A78" s="190" t="str">
        <f>'CC detallado'!A78</f>
        <v>2.4</v>
      </c>
      <c r="B78" s="190" t="str">
        <f>'CC detallado'!B78</f>
        <v>C-2</v>
      </c>
      <c r="C78" s="190" t="str">
        <f>'CC detallado'!C78</f>
        <v>-</v>
      </c>
      <c r="D78" s="190" t="str">
        <f>'CC detallado'!D78</f>
        <v>-</v>
      </c>
      <c r="E78" s="190" t="str">
        <f>'CC detallado'!E78</f>
        <v>-</v>
      </c>
      <c r="F78" s="190" t="str">
        <f>'CC detallado'!F78</f>
        <v>-</v>
      </c>
      <c r="G78" s="185" t="str">
        <f>'CC detallado'!G78</f>
        <v xml:space="preserve">Producto 13:  APP de ganado menor operando </v>
      </c>
      <c r="H78" s="186">
        <f>'CC detallado'!H78</f>
        <v>0</v>
      </c>
      <c r="I78" s="186">
        <f>'CC detallado'!I78</f>
        <v>0</v>
      </c>
      <c r="J78" s="186">
        <f>'CC detallado'!J78</f>
        <v>0</v>
      </c>
      <c r="K78" s="186">
        <f>'CC detallado'!K78</f>
        <v>0</v>
      </c>
      <c r="L78" s="187">
        <f>'CC detallado'!L78</f>
        <v>0</v>
      </c>
      <c r="M78" s="187">
        <f>SUM(M79:M82)</f>
        <v>387000</v>
      </c>
      <c r="N78" s="48"/>
      <c r="O78" s="187">
        <f t="shared" ref="O78:AT78" si="101">SUM(O79:O82)</f>
        <v>0</v>
      </c>
      <c r="P78" s="187">
        <f t="shared" si="101"/>
        <v>0</v>
      </c>
      <c r="Q78" s="187">
        <f t="shared" si="101"/>
        <v>0</v>
      </c>
      <c r="R78" s="187">
        <f t="shared" si="101"/>
        <v>0</v>
      </c>
      <c r="S78" s="187">
        <f t="shared" si="101"/>
        <v>2000</v>
      </c>
      <c r="T78" s="187">
        <f t="shared" si="101"/>
        <v>2000</v>
      </c>
      <c r="U78" s="187">
        <f t="shared" si="101"/>
        <v>2000</v>
      </c>
      <c r="V78" s="187">
        <f t="shared" si="101"/>
        <v>2000</v>
      </c>
      <c r="W78" s="187">
        <f t="shared" si="101"/>
        <v>2000</v>
      </c>
      <c r="X78" s="187">
        <f t="shared" si="101"/>
        <v>2000</v>
      </c>
      <c r="Y78" s="187">
        <f t="shared" si="101"/>
        <v>2000</v>
      </c>
      <c r="Z78" s="187">
        <f t="shared" si="101"/>
        <v>2000</v>
      </c>
      <c r="AA78" s="187">
        <f t="shared" si="101"/>
        <v>2000</v>
      </c>
      <c r="AB78" s="187">
        <f t="shared" si="101"/>
        <v>2000</v>
      </c>
      <c r="AC78" s="187">
        <f t="shared" si="101"/>
        <v>2000</v>
      </c>
      <c r="AD78" s="187">
        <f t="shared" si="101"/>
        <v>2000</v>
      </c>
      <c r="AE78" s="187">
        <f t="shared" si="101"/>
        <v>2000</v>
      </c>
      <c r="AF78" s="187">
        <f t="shared" si="101"/>
        <v>2000</v>
      </c>
      <c r="AG78" s="187">
        <f t="shared" si="101"/>
        <v>2000</v>
      </c>
      <c r="AH78" s="187">
        <f t="shared" si="101"/>
        <v>2000</v>
      </c>
      <c r="AI78" s="187">
        <f t="shared" si="101"/>
        <v>2000</v>
      </c>
      <c r="AJ78" s="187">
        <f t="shared" si="101"/>
        <v>52000</v>
      </c>
      <c r="AK78" s="187">
        <f t="shared" si="101"/>
        <v>2000</v>
      </c>
      <c r="AL78" s="187">
        <f t="shared" si="101"/>
        <v>2000</v>
      </c>
      <c r="AM78" s="187">
        <f t="shared" si="101"/>
        <v>2000</v>
      </c>
      <c r="AN78" s="187">
        <f t="shared" si="101"/>
        <v>52000</v>
      </c>
      <c r="AO78" s="187">
        <f t="shared" si="101"/>
        <v>27000</v>
      </c>
      <c r="AP78" s="187">
        <f t="shared" si="101"/>
        <v>2000</v>
      </c>
      <c r="AQ78" s="187">
        <f t="shared" si="101"/>
        <v>2000</v>
      </c>
      <c r="AR78" s="187">
        <f t="shared" si="101"/>
        <v>2000</v>
      </c>
      <c r="AS78" s="187">
        <f t="shared" si="101"/>
        <v>52000</v>
      </c>
      <c r="AT78" s="187">
        <f t="shared" si="101"/>
        <v>2000</v>
      </c>
      <c r="AU78" s="187">
        <f t="shared" ref="AU78:BW78" si="102">SUM(AU79:AU82)</f>
        <v>2000</v>
      </c>
      <c r="AV78" s="187">
        <f t="shared" si="102"/>
        <v>2000</v>
      </c>
      <c r="AW78" s="187">
        <f t="shared" si="102"/>
        <v>52000</v>
      </c>
      <c r="AX78" s="187">
        <f t="shared" si="102"/>
        <v>2000</v>
      </c>
      <c r="AY78" s="187">
        <f t="shared" si="102"/>
        <v>2000</v>
      </c>
      <c r="AZ78" s="187">
        <f t="shared" si="102"/>
        <v>2000</v>
      </c>
      <c r="BA78" s="187">
        <f t="shared" si="102"/>
        <v>52000</v>
      </c>
      <c r="BB78" s="187">
        <f t="shared" si="102"/>
        <v>2000</v>
      </c>
      <c r="BC78" s="187">
        <f t="shared" si="102"/>
        <v>2000</v>
      </c>
      <c r="BD78" s="187">
        <f t="shared" si="102"/>
        <v>2000</v>
      </c>
      <c r="BE78" s="187">
        <f t="shared" si="102"/>
        <v>2000</v>
      </c>
      <c r="BF78" s="187">
        <f t="shared" si="102"/>
        <v>2000</v>
      </c>
      <c r="BG78" s="187">
        <f t="shared" si="102"/>
        <v>2000</v>
      </c>
      <c r="BH78" s="187">
        <f t="shared" si="102"/>
        <v>2000</v>
      </c>
      <c r="BI78" s="187">
        <f t="shared" si="102"/>
        <v>2000</v>
      </c>
      <c r="BJ78" s="187">
        <f t="shared" si="102"/>
        <v>2000</v>
      </c>
      <c r="BK78" s="187">
        <f t="shared" si="102"/>
        <v>2000</v>
      </c>
      <c r="BL78" s="187">
        <f t="shared" si="102"/>
        <v>2000</v>
      </c>
      <c r="BM78" s="187">
        <f t="shared" si="102"/>
        <v>2000</v>
      </c>
      <c r="BN78" s="187">
        <f t="shared" si="102"/>
        <v>2000</v>
      </c>
      <c r="BO78" s="187">
        <f t="shared" si="102"/>
        <v>2000</v>
      </c>
      <c r="BP78" s="187">
        <f t="shared" si="102"/>
        <v>2000</v>
      </c>
      <c r="BQ78" s="187">
        <f t="shared" si="102"/>
        <v>2000</v>
      </c>
      <c r="BR78" s="187">
        <f t="shared" si="102"/>
        <v>2000</v>
      </c>
      <c r="BS78" s="187">
        <f t="shared" si="102"/>
        <v>2000</v>
      </c>
      <c r="BT78" s="187">
        <f t="shared" si="102"/>
        <v>2000</v>
      </c>
      <c r="BU78" s="187">
        <f t="shared" si="102"/>
        <v>2000</v>
      </c>
      <c r="BV78" s="187">
        <f t="shared" si="102"/>
        <v>2000</v>
      </c>
      <c r="BW78" s="187">
        <f t="shared" si="102"/>
        <v>387000</v>
      </c>
      <c r="BX78" s="88">
        <f t="shared" si="66"/>
        <v>0</v>
      </c>
      <c r="BY78" s="57"/>
      <c r="BZ78" s="187">
        <f t="shared" si="67"/>
        <v>16000</v>
      </c>
      <c r="CA78" s="187">
        <f t="shared" si="68"/>
        <v>74000</v>
      </c>
      <c r="CB78" s="187">
        <f t="shared" si="69"/>
        <v>199000</v>
      </c>
      <c r="CC78" s="187">
        <f t="shared" si="70"/>
        <v>74000</v>
      </c>
      <c r="CD78" s="187">
        <f t="shared" si="71"/>
        <v>24000</v>
      </c>
      <c r="CE78" s="187">
        <f t="shared" ref="CE78" si="103">SUM(CE79:CE82)</f>
        <v>387000</v>
      </c>
      <c r="CF78" s="64">
        <f t="shared" si="76"/>
        <v>0</v>
      </c>
      <c r="CG78" s="65"/>
      <c r="CH78" s="65"/>
      <c r="CI78" s="65"/>
      <c r="CJ78" s="65"/>
      <c r="CK78" s="65"/>
      <c r="CL78" s="65"/>
      <c r="CM78" s="65"/>
      <c r="CN78" s="65"/>
      <c r="CO78" s="65"/>
    </row>
    <row r="79" spans="1:93" s="65" customFormat="1" ht="14.4" hidden="1" customHeight="1" outlineLevel="1" x14ac:dyDescent="0.3">
      <c r="A79" s="74" t="str">
        <f>'CC detallado'!A79</f>
        <v>2.4.1</v>
      </c>
      <c r="B79" s="74">
        <f>'CC detallado'!B79</f>
        <v>2</v>
      </c>
      <c r="C79" s="74">
        <f>'CC detallado'!C79</f>
        <v>145</v>
      </c>
      <c r="D79" s="74" t="str">
        <f>'CC detallado'!D79</f>
        <v>CI</v>
      </c>
      <c r="E79" s="74" t="str">
        <f>'CC detallado'!E79</f>
        <v>3CV</v>
      </c>
      <c r="F79" s="74" t="str">
        <f>'CC detallado'!F79</f>
        <v>x Tiempo</v>
      </c>
      <c r="G79" s="166" t="str">
        <f>'CC detallado'!G79</f>
        <v>Coordinador Técnico</v>
      </c>
      <c r="H79" s="75">
        <f>'CC detallado'!H79</f>
        <v>1</v>
      </c>
      <c r="I79" s="75" t="str">
        <f>'CC detallado'!I79</f>
        <v>persona</v>
      </c>
      <c r="J79" s="75">
        <f>'CC detallado'!J79</f>
        <v>56</v>
      </c>
      <c r="K79" s="75" t="str">
        <f>'CC detallado'!K79</f>
        <v>meses</v>
      </c>
      <c r="L79" s="153">
        <f>'CC detallado'!L79</f>
        <v>2000</v>
      </c>
      <c r="M79" s="153">
        <f>'CC detallado'!M79</f>
        <v>112000</v>
      </c>
      <c r="N79" s="48"/>
      <c r="O79" s="153"/>
      <c r="P79" s="153"/>
      <c r="Q79" s="196"/>
      <c r="R79" s="196"/>
      <c r="S79" s="197">
        <v>2000</v>
      </c>
      <c r="T79" s="197">
        <f>S79</f>
        <v>2000</v>
      </c>
      <c r="U79" s="197">
        <f t="shared" ref="U79:BV79" si="104">T79</f>
        <v>2000</v>
      </c>
      <c r="V79" s="197">
        <f t="shared" si="104"/>
        <v>2000</v>
      </c>
      <c r="W79" s="197">
        <f t="shared" si="104"/>
        <v>2000</v>
      </c>
      <c r="X79" s="197">
        <f t="shared" si="104"/>
        <v>2000</v>
      </c>
      <c r="Y79" s="197">
        <f t="shared" si="104"/>
        <v>2000</v>
      </c>
      <c r="Z79" s="197">
        <f t="shared" si="104"/>
        <v>2000</v>
      </c>
      <c r="AA79" s="197">
        <f t="shared" si="104"/>
        <v>2000</v>
      </c>
      <c r="AB79" s="197">
        <f t="shared" si="104"/>
        <v>2000</v>
      </c>
      <c r="AC79" s="197">
        <f t="shared" si="104"/>
        <v>2000</v>
      </c>
      <c r="AD79" s="197">
        <f t="shared" si="104"/>
        <v>2000</v>
      </c>
      <c r="AE79" s="197">
        <f t="shared" si="104"/>
        <v>2000</v>
      </c>
      <c r="AF79" s="197">
        <f t="shared" si="104"/>
        <v>2000</v>
      </c>
      <c r="AG79" s="197">
        <f t="shared" si="104"/>
        <v>2000</v>
      </c>
      <c r="AH79" s="197">
        <f t="shared" si="104"/>
        <v>2000</v>
      </c>
      <c r="AI79" s="197">
        <f t="shared" si="104"/>
        <v>2000</v>
      </c>
      <c r="AJ79" s="197">
        <f t="shared" si="104"/>
        <v>2000</v>
      </c>
      <c r="AK79" s="197">
        <f t="shared" si="104"/>
        <v>2000</v>
      </c>
      <c r="AL79" s="197">
        <f t="shared" si="104"/>
        <v>2000</v>
      </c>
      <c r="AM79" s="197">
        <f t="shared" si="104"/>
        <v>2000</v>
      </c>
      <c r="AN79" s="197">
        <f t="shared" si="104"/>
        <v>2000</v>
      </c>
      <c r="AO79" s="197">
        <f t="shared" si="104"/>
        <v>2000</v>
      </c>
      <c r="AP79" s="197">
        <f t="shared" si="104"/>
        <v>2000</v>
      </c>
      <c r="AQ79" s="197">
        <f t="shared" si="104"/>
        <v>2000</v>
      </c>
      <c r="AR79" s="197">
        <f t="shared" si="104"/>
        <v>2000</v>
      </c>
      <c r="AS79" s="197">
        <f t="shared" si="104"/>
        <v>2000</v>
      </c>
      <c r="AT79" s="197">
        <f t="shared" si="104"/>
        <v>2000</v>
      </c>
      <c r="AU79" s="197">
        <f t="shared" si="104"/>
        <v>2000</v>
      </c>
      <c r="AV79" s="197">
        <f t="shared" si="104"/>
        <v>2000</v>
      </c>
      <c r="AW79" s="197">
        <f t="shared" si="104"/>
        <v>2000</v>
      </c>
      <c r="AX79" s="197">
        <f t="shared" si="104"/>
        <v>2000</v>
      </c>
      <c r="AY79" s="197">
        <f t="shared" si="104"/>
        <v>2000</v>
      </c>
      <c r="AZ79" s="197">
        <f t="shared" si="104"/>
        <v>2000</v>
      </c>
      <c r="BA79" s="197">
        <f t="shared" si="104"/>
        <v>2000</v>
      </c>
      <c r="BB79" s="197">
        <f t="shared" si="104"/>
        <v>2000</v>
      </c>
      <c r="BC79" s="197">
        <f t="shared" si="104"/>
        <v>2000</v>
      </c>
      <c r="BD79" s="197">
        <f t="shared" si="104"/>
        <v>2000</v>
      </c>
      <c r="BE79" s="197">
        <f t="shared" si="104"/>
        <v>2000</v>
      </c>
      <c r="BF79" s="197">
        <f t="shared" si="104"/>
        <v>2000</v>
      </c>
      <c r="BG79" s="197">
        <f t="shared" si="104"/>
        <v>2000</v>
      </c>
      <c r="BH79" s="197">
        <f t="shared" si="104"/>
        <v>2000</v>
      </c>
      <c r="BI79" s="197">
        <f t="shared" si="104"/>
        <v>2000</v>
      </c>
      <c r="BJ79" s="197">
        <f t="shared" si="104"/>
        <v>2000</v>
      </c>
      <c r="BK79" s="197">
        <f t="shared" si="104"/>
        <v>2000</v>
      </c>
      <c r="BL79" s="197">
        <f t="shared" si="104"/>
        <v>2000</v>
      </c>
      <c r="BM79" s="197">
        <f t="shared" si="104"/>
        <v>2000</v>
      </c>
      <c r="BN79" s="197">
        <f t="shared" si="104"/>
        <v>2000</v>
      </c>
      <c r="BO79" s="197">
        <f t="shared" si="104"/>
        <v>2000</v>
      </c>
      <c r="BP79" s="197">
        <f t="shared" si="104"/>
        <v>2000</v>
      </c>
      <c r="BQ79" s="197">
        <f t="shared" si="104"/>
        <v>2000</v>
      </c>
      <c r="BR79" s="197">
        <f t="shared" si="104"/>
        <v>2000</v>
      </c>
      <c r="BS79" s="197">
        <f t="shared" si="104"/>
        <v>2000</v>
      </c>
      <c r="BT79" s="197">
        <f t="shared" si="104"/>
        <v>2000</v>
      </c>
      <c r="BU79" s="197">
        <f t="shared" si="104"/>
        <v>2000</v>
      </c>
      <c r="BV79" s="197">
        <f t="shared" si="104"/>
        <v>2000</v>
      </c>
      <c r="BW79" s="195">
        <f t="shared" ref="BW79:BW86" si="105">SUM(O79:BV79)</f>
        <v>112000</v>
      </c>
      <c r="BX79" s="88">
        <f t="shared" si="66"/>
        <v>0</v>
      </c>
      <c r="BY79" s="57"/>
      <c r="BZ79" s="153">
        <f t="shared" si="67"/>
        <v>16000</v>
      </c>
      <c r="CA79" s="153">
        <f t="shared" si="68"/>
        <v>24000</v>
      </c>
      <c r="CB79" s="153">
        <f t="shared" si="69"/>
        <v>24000</v>
      </c>
      <c r="CC79" s="153">
        <f t="shared" si="70"/>
        <v>24000</v>
      </c>
      <c r="CD79" s="153">
        <f t="shared" si="71"/>
        <v>24000</v>
      </c>
      <c r="CE79" s="153">
        <f t="shared" ref="CE79:CE80" si="106">SUM(BZ79:CD79)</f>
        <v>112000</v>
      </c>
      <c r="CF79" s="64">
        <f t="shared" si="76"/>
        <v>0</v>
      </c>
    </row>
    <row r="80" spans="1:93" s="65" customFormat="1" ht="14.4" hidden="1" customHeight="1" outlineLevel="1" x14ac:dyDescent="0.3">
      <c r="A80" s="74" t="str">
        <f>'CC detallado'!A80</f>
        <v>2.4.2</v>
      </c>
      <c r="B80" s="74">
        <f>'CC detallado'!B80</f>
        <v>2</v>
      </c>
      <c r="C80" s="74">
        <f>'CC detallado'!C80</f>
        <v>840</v>
      </c>
      <c r="D80" s="74" t="str">
        <f>'CC detallado'!D80</f>
        <v>Tra</v>
      </c>
      <c r="E80" s="74" t="str">
        <f>'CC detallado'!E80</f>
        <v>SD</v>
      </c>
      <c r="F80" s="74" t="str">
        <f>'CC detallado'!F80</f>
        <v>Transf</v>
      </c>
      <c r="G80" s="166" t="str">
        <f>'CC detallado'!G80</f>
        <v>Planes Nacionales de desarrollo para ovinos, caprinos y suinos: convenio con IICA o similar</v>
      </c>
      <c r="H80" s="75">
        <f>'CC detallado'!H80</f>
        <v>1</v>
      </c>
      <c r="I80" s="75">
        <f>'CC detallado'!I80</f>
        <v>0</v>
      </c>
      <c r="J80" s="75">
        <f>'CC detallado'!J80</f>
        <v>0</v>
      </c>
      <c r="K80" s="75">
        <f>'CC detallado'!K80</f>
        <v>0</v>
      </c>
      <c r="L80" s="154">
        <f>'CC detallado'!L80</f>
        <v>250000</v>
      </c>
      <c r="M80" s="153">
        <f>'CC detallado'!M80</f>
        <v>250000</v>
      </c>
      <c r="N80" s="48"/>
      <c r="O80" s="153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6"/>
      <c r="AF80" s="196"/>
      <c r="AG80" s="196"/>
      <c r="AH80" s="196"/>
      <c r="AI80" s="196"/>
      <c r="AJ80" s="197">
        <f>$M$80*20%</f>
        <v>50000</v>
      </c>
      <c r="AK80" s="197"/>
      <c r="AL80" s="197"/>
      <c r="AM80" s="197"/>
      <c r="AN80" s="197">
        <f>$M$80*20%</f>
        <v>50000</v>
      </c>
      <c r="AO80" s="197"/>
      <c r="AP80" s="197"/>
      <c r="AQ80" s="197"/>
      <c r="AR80" s="197">
        <v>0</v>
      </c>
      <c r="AS80" s="197">
        <f>$M$80*20%</f>
        <v>50000</v>
      </c>
      <c r="AT80" s="197"/>
      <c r="AU80" s="197"/>
      <c r="AV80" s="197"/>
      <c r="AW80" s="197">
        <f>$M$80*20%</f>
        <v>50000</v>
      </c>
      <c r="AX80" s="197"/>
      <c r="AY80" s="197"/>
      <c r="AZ80" s="197"/>
      <c r="BA80" s="197">
        <f>$M$80*20%</f>
        <v>50000</v>
      </c>
      <c r="BB80" s="195"/>
      <c r="BC80" s="195"/>
      <c r="BD80" s="195"/>
      <c r="BE80" s="195"/>
      <c r="BF80" s="195"/>
      <c r="BG80" s="195"/>
      <c r="BH80" s="195"/>
      <c r="BI80" s="195"/>
      <c r="BJ80" s="195"/>
      <c r="BK80" s="195"/>
      <c r="BL80" s="195"/>
      <c r="BM80" s="195"/>
      <c r="BN80" s="195"/>
      <c r="BO80" s="195"/>
      <c r="BP80" s="195"/>
      <c r="BQ80" s="195"/>
      <c r="BR80" s="195"/>
      <c r="BS80" s="195"/>
      <c r="BT80" s="195"/>
      <c r="BU80" s="195"/>
      <c r="BV80" s="195"/>
      <c r="BW80" s="195">
        <f t="shared" si="105"/>
        <v>250000</v>
      </c>
      <c r="BX80" s="88">
        <f t="shared" si="66"/>
        <v>0</v>
      </c>
      <c r="BY80" s="57"/>
      <c r="BZ80" s="153">
        <f t="shared" si="67"/>
        <v>0</v>
      </c>
      <c r="CA80" s="153">
        <f t="shared" si="68"/>
        <v>50000</v>
      </c>
      <c r="CB80" s="153">
        <f t="shared" si="69"/>
        <v>150000</v>
      </c>
      <c r="CC80" s="153">
        <f t="shared" si="70"/>
        <v>50000</v>
      </c>
      <c r="CD80" s="153">
        <f t="shared" si="71"/>
        <v>0</v>
      </c>
      <c r="CE80" s="153">
        <f t="shared" si="106"/>
        <v>250000</v>
      </c>
      <c r="CF80" s="64">
        <f t="shared" si="76"/>
        <v>0</v>
      </c>
    </row>
    <row r="81" spans="1:93" s="65" customFormat="1" ht="14.4" hidden="1" customHeight="1" outlineLevel="1" x14ac:dyDescent="0.3">
      <c r="A81" s="74" t="str">
        <f>'CC detallado'!A81</f>
        <v>2.4.3</v>
      </c>
      <c r="B81" s="74">
        <f>'CC detallado'!B81</f>
        <v>2</v>
      </c>
      <c r="C81" s="74">
        <f>'CC detallado'!C81</f>
        <v>145</v>
      </c>
      <c r="D81" s="74" t="str">
        <f>'CC detallado'!D81</f>
        <v>CI</v>
      </c>
      <c r="E81" s="74" t="str">
        <f>'CC detallado'!E81</f>
        <v>3CV</v>
      </c>
      <c r="F81" s="74" t="str">
        <f>'CC detallado'!F81</f>
        <v>X Prod</v>
      </c>
      <c r="G81" s="166" t="str">
        <f>'CC detallado'!G81</f>
        <v>Apoyo técnico a certificaciones</v>
      </c>
      <c r="H81" s="75">
        <f>'CC detallado'!H81</f>
        <v>1</v>
      </c>
      <c r="I81" s="75" t="str">
        <f>'CC detallado'!I81</f>
        <v>funcionario SENACSA</v>
      </c>
      <c r="J81" s="75">
        <f>'CC detallado'!J81</f>
        <v>3</v>
      </c>
      <c r="K81" s="75" t="str">
        <f>'CC detallado'!K81</f>
        <v>meses</v>
      </c>
      <c r="L81" s="154">
        <f>'CC detallado'!L81</f>
        <v>0</v>
      </c>
      <c r="M81" s="153">
        <f>'CC detallado'!M81</f>
        <v>0</v>
      </c>
      <c r="N81" s="48"/>
      <c r="O81" s="153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  <c r="BI81" s="195"/>
      <c r="BJ81" s="195"/>
      <c r="BK81" s="195"/>
      <c r="BL81" s="195"/>
      <c r="BM81" s="195"/>
      <c r="BN81" s="195"/>
      <c r="BO81" s="195"/>
      <c r="BP81" s="195"/>
      <c r="BQ81" s="195"/>
      <c r="BR81" s="195"/>
      <c r="BS81" s="195"/>
      <c r="BT81" s="195"/>
      <c r="BU81" s="195"/>
      <c r="BV81" s="195"/>
      <c r="BW81" s="195">
        <f t="shared" si="105"/>
        <v>0</v>
      </c>
      <c r="BX81" s="88">
        <f t="shared" si="66"/>
        <v>0</v>
      </c>
      <c r="BY81" s="57"/>
      <c r="BZ81" s="153">
        <f t="shared" si="67"/>
        <v>0</v>
      </c>
      <c r="CA81" s="153">
        <f t="shared" si="68"/>
        <v>0</v>
      </c>
      <c r="CB81" s="153">
        <f t="shared" si="69"/>
        <v>0</v>
      </c>
      <c r="CC81" s="153">
        <f t="shared" si="70"/>
        <v>0</v>
      </c>
      <c r="CD81" s="153">
        <f t="shared" si="71"/>
        <v>0</v>
      </c>
      <c r="CE81" s="153">
        <f t="shared" ref="CE81:CE82" si="107">SUM(BZ81:CD81)</f>
        <v>0</v>
      </c>
      <c r="CF81" s="64">
        <f t="shared" si="76"/>
        <v>0</v>
      </c>
    </row>
    <row r="82" spans="1:93" s="65" customFormat="1" ht="14.4" hidden="1" customHeight="1" outlineLevel="1" x14ac:dyDescent="0.3">
      <c r="A82" s="74" t="str">
        <f>'CC detallado'!A82</f>
        <v>2.4.4</v>
      </c>
      <c r="B82" s="74">
        <f>'CC detallado'!B82</f>
        <v>2</v>
      </c>
      <c r="C82" s="74">
        <f>'CC detallado'!C82</f>
        <v>280</v>
      </c>
      <c r="D82" s="74" t="str">
        <f>'CC detallado'!D82</f>
        <v>SNC</v>
      </c>
      <c r="E82" s="74" t="str">
        <f>'CC detallado'!E82</f>
        <v>LPI</v>
      </c>
      <c r="F82" s="74" t="str">
        <f>'CC detallado'!F82</f>
        <v>Taller</v>
      </c>
      <c r="G82" s="166" t="str">
        <f>'CC detallado'!G82</f>
        <v>Congresos anuales de ganado menor</v>
      </c>
      <c r="H82" s="75">
        <f>'CC detallado'!H82</f>
        <v>1</v>
      </c>
      <c r="I82" s="75" t="str">
        <f>'CC detallado'!I82</f>
        <v>congresos</v>
      </c>
      <c r="J82" s="75">
        <f>'CC detallado'!J82</f>
        <v>3</v>
      </c>
      <c r="K82" s="75" t="str">
        <f>'CC detallado'!K82</f>
        <v>semanas</v>
      </c>
      <c r="L82" s="154">
        <f>'CC detallado'!L82</f>
        <v>25000</v>
      </c>
      <c r="M82" s="153">
        <f>'CC detallado'!M82</f>
        <v>25000</v>
      </c>
      <c r="N82" s="48"/>
      <c r="O82" s="153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7">
        <v>25000</v>
      </c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  <c r="BR82" s="195"/>
      <c r="BS82" s="195"/>
      <c r="BT82" s="195"/>
      <c r="BU82" s="195"/>
      <c r="BV82" s="195"/>
      <c r="BW82" s="195">
        <f t="shared" si="105"/>
        <v>25000</v>
      </c>
      <c r="BX82" s="88">
        <f t="shared" si="66"/>
        <v>0</v>
      </c>
      <c r="BY82" s="57"/>
      <c r="BZ82" s="153">
        <f t="shared" si="67"/>
        <v>0</v>
      </c>
      <c r="CA82" s="153">
        <f t="shared" si="68"/>
        <v>0</v>
      </c>
      <c r="CB82" s="153">
        <f t="shared" si="69"/>
        <v>25000</v>
      </c>
      <c r="CC82" s="153">
        <f t="shared" si="70"/>
        <v>0</v>
      </c>
      <c r="CD82" s="153">
        <f t="shared" si="71"/>
        <v>0</v>
      </c>
      <c r="CE82" s="153">
        <f t="shared" si="107"/>
        <v>25000</v>
      </c>
      <c r="CF82" s="64">
        <f t="shared" si="76"/>
        <v>0</v>
      </c>
    </row>
    <row r="83" spans="1:93" s="65" customFormat="1" ht="14.4" customHeight="1" collapsed="1" x14ac:dyDescent="0.3">
      <c r="A83" s="190" t="str">
        <f>'CC detallado'!A83</f>
        <v>2.5</v>
      </c>
      <c r="B83" s="190" t="str">
        <f>'CC detallado'!B83</f>
        <v>C-2</v>
      </c>
      <c r="C83" s="190" t="str">
        <f>'CC detallado'!C83</f>
        <v>-</v>
      </c>
      <c r="D83" s="190" t="str">
        <f>'CC detallado'!D83</f>
        <v>-</v>
      </c>
      <c r="E83" s="190" t="str">
        <f>'CC detallado'!E83</f>
        <v>-</v>
      </c>
      <c r="F83" s="190" t="str">
        <f>'CC detallado'!F83</f>
        <v>-</v>
      </c>
      <c r="G83" s="185" t="str">
        <f>'CC detallado'!G83</f>
        <v>Producto 14: Técnicos y productores capacitados en sanidad aplicada a ovinos, caprinos y porcinos</v>
      </c>
      <c r="H83" s="186">
        <f>'CC detallado'!H83</f>
        <v>0</v>
      </c>
      <c r="I83" s="186">
        <f>'CC detallado'!I83</f>
        <v>0</v>
      </c>
      <c r="J83" s="186">
        <f>'CC detallado'!J83</f>
        <v>0</v>
      </c>
      <c r="K83" s="186">
        <f>'CC detallado'!K83</f>
        <v>0</v>
      </c>
      <c r="L83" s="187">
        <f>'CC detallado'!L83</f>
        <v>0</v>
      </c>
      <c r="M83" s="187">
        <f>SUM(M84:M86)</f>
        <v>680000</v>
      </c>
      <c r="N83" s="48"/>
      <c r="O83" s="187">
        <f>SUM(O84:O86)</f>
        <v>0</v>
      </c>
      <c r="P83" s="187">
        <f t="shared" ref="P83:BW83" si="108">SUM(P84:P86)</f>
        <v>0</v>
      </c>
      <c r="Q83" s="187">
        <f t="shared" si="108"/>
        <v>0</v>
      </c>
      <c r="R83" s="187">
        <f t="shared" si="108"/>
        <v>0</v>
      </c>
      <c r="S83" s="187">
        <f t="shared" si="108"/>
        <v>0</v>
      </c>
      <c r="T83" s="187">
        <f t="shared" si="108"/>
        <v>0</v>
      </c>
      <c r="U83" s="187">
        <f t="shared" si="108"/>
        <v>0</v>
      </c>
      <c r="V83" s="187">
        <f t="shared" si="108"/>
        <v>0</v>
      </c>
      <c r="W83" s="187">
        <f t="shared" si="108"/>
        <v>0</v>
      </c>
      <c r="X83" s="187">
        <f t="shared" si="108"/>
        <v>0</v>
      </c>
      <c r="Y83" s="187">
        <f t="shared" si="108"/>
        <v>0</v>
      </c>
      <c r="Z83" s="187">
        <f t="shared" si="108"/>
        <v>0</v>
      </c>
      <c r="AA83" s="187">
        <f t="shared" si="108"/>
        <v>0</v>
      </c>
      <c r="AB83" s="187">
        <f t="shared" si="108"/>
        <v>0</v>
      </c>
      <c r="AC83" s="187">
        <f t="shared" si="108"/>
        <v>0</v>
      </c>
      <c r="AD83" s="187">
        <f t="shared" si="108"/>
        <v>0</v>
      </c>
      <c r="AE83" s="187">
        <f t="shared" si="108"/>
        <v>5000</v>
      </c>
      <c r="AF83" s="187">
        <f t="shared" si="108"/>
        <v>5000</v>
      </c>
      <c r="AG83" s="187">
        <f t="shared" si="108"/>
        <v>33500</v>
      </c>
      <c r="AH83" s="187">
        <f t="shared" si="108"/>
        <v>0</v>
      </c>
      <c r="AI83" s="187">
        <f t="shared" si="108"/>
        <v>0</v>
      </c>
      <c r="AJ83" s="187">
        <f t="shared" si="108"/>
        <v>33500</v>
      </c>
      <c r="AK83" s="187">
        <f t="shared" si="108"/>
        <v>0</v>
      </c>
      <c r="AL83" s="187">
        <f t="shared" si="108"/>
        <v>0</v>
      </c>
      <c r="AM83" s="187">
        <f t="shared" si="108"/>
        <v>61416.666666666672</v>
      </c>
      <c r="AN83" s="187">
        <f t="shared" si="108"/>
        <v>0</v>
      </c>
      <c r="AO83" s="187">
        <f t="shared" si="108"/>
        <v>0</v>
      </c>
      <c r="AP83" s="187">
        <f t="shared" si="108"/>
        <v>61416.666666666672</v>
      </c>
      <c r="AQ83" s="187">
        <f t="shared" si="108"/>
        <v>0</v>
      </c>
      <c r="AR83" s="187">
        <f t="shared" si="108"/>
        <v>0</v>
      </c>
      <c r="AS83" s="187">
        <f t="shared" si="108"/>
        <v>61416.666666666672</v>
      </c>
      <c r="AT83" s="187">
        <f t="shared" si="108"/>
        <v>0</v>
      </c>
      <c r="AU83" s="187">
        <f t="shared" si="108"/>
        <v>0</v>
      </c>
      <c r="AV83" s="187">
        <f t="shared" si="108"/>
        <v>61416.666666666672</v>
      </c>
      <c r="AW83" s="187">
        <f t="shared" si="108"/>
        <v>0</v>
      </c>
      <c r="AX83" s="187">
        <f t="shared" si="108"/>
        <v>0</v>
      </c>
      <c r="AY83" s="187">
        <f t="shared" si="108"/>
        <v>61416.666666666672</v>
      </c>
      <c r="AZ83" s="187">
        <f t="shared" si="108"/>
        <v>0</v>
      </c>
      <c r="BA83" s="187">
        <f t="shared" si="108"/>
        <v>0</v>
      </c>
      <c r="BB83" s="187">
        <f t="shared" si="108"/>
        <v>61416.666666666672</v>
      </c>
      <c r="BC83" s="187">
        <f t="shared" si="108"/>
        <v>0</v>
      </c>
      <c r="BD83" s="187">
        <f t="shared" si="108"/>
        <v>0</v>
      </c>
      <c r="BE83" s="187">
        <f t="shared" si="108"/>
        <v>61416.666666666672</v>
      </c>
      <c r="BF83" s="187">
        <f t="shared" si="108"/>
        <v>0</v>
      </c>
      <c r="BG83" s="187">
        <f t="shared" si="108"/>
        <v>0</v>
      </c>
      <c r="BH83" s="187">
        <f t="shared" si="108"/>
        <v>61416.666666666672</v>
      </c>
      <c r="BI83" s="187">
        <f t="shared" si="108"/>
        <v>0</v>
      </c>
      <c r="BJ83" s="187">
        <f t="shared" si="108"/>
        <v>0</v>
      </c>
      <c r="BK83" s="187">
        <f t="shared" si="108"/>
        <v>27916.666666666668</v>
      </c>
      <c r="BL83" s="187">
        <f t="shared" si="108"/>
        <v>0</v>
      </c>
      <c r="BM83" s="187">
        <f t="shared" si="108"/>
        <v>0</v>
      </c>
      <c r="BN83" s="187">
        <f t="shared" si="108"/>
        <v>27916.666666666668</v>
      </c>
      <c r="BO83" s="187">
        <f t="shared" si="108"/>
        <v>0</v>
      </c>
      <c r="BP83" s="187">
        <f t="shared" si="108"/>
        <v>0</v>
      </c>
      <c r="BQ83" s="187">
        <f t="shared" si="108"/>
        <v>27916.666666666668</v>
      </c>
      <c r="BR83" s="187">
        <f t="shared" si="108"/>
        <v>0</v>
      </c>
      <c r="BS83" s="187">
        <f t="shared" si="108"/>
        <v>0</v>
      </c>
      <c r="BT83" s="187">
        <f t="shared" si="108"/>
        <v>27916.666666666668</v>
      </c>
      <c r="BU83" s="187">
        <f t="shared" si="108"/>
        <v>0</v>
      </c>
      <c r="BV83" s="187">
        <f t="shared" si="108"/>
        <v>0</v>
      </c>
      <c r="BW83" s="187">
        <f t="shared" si="108"/>
        <v>680000</v>
      </c>
      <c r="BX83" s="88">
        <f t="shared" si="66"/>
        <v>0</v>
      </c>
      <c r="BY83" s="57"/>
      <c r="BZ83" s="187">
        <f t="shared" si="67"/>
        <v>0</v>
      </c>
      <c r="CA83" s="187">
        <f t="shared" si="68"/>
        <v>77000</v>
      </c>
      <c r="CB83" s="187">
        <f t="shared" si="69"/>
        <v>245666.66666666669</v>
      </c>
      <c r="CC83" s="187">
        <f t="shared" si="70"/>
        <v>245666.66666666669</v>
      </c>
      <c r="CD83" s="187">
        <f t="shared" si="71"/>
        <v>111666.66666666667</v>
      </c>
      <c r="CE83" s="187">
        <f t="shared" ref="CE83" si="109">SUM(CE84:CE86)</f>
        <v>680000</v>
      </c>
      <c r="CF83" s="64">
        <f t="shared" si="76"/>
        <v>0</v>
      </c>
    </row>
    <row r="84" spans="1:93" ht="14.4" hidden="1" customHeight="1" outlineLevel="1" x14ac:dyDescent="0.3">
      <c r="A84" s="74" t="str">
        <f>'CC detallado'!A84</f>
        <v>2.5.1</v>
      </c>
      <c r="B84" s="74">
        <f>'CC detallado'!B84</f>
        <v>2</v>
      </c>
      <c r="C84" s="74">
        <f>'CC detallado'!C84</f>
        <v>145</v>
      </c>
      <c r="D84" s="74" t="str">
        <f>'CC detallado'!D84</f>
        <v>CI</v>
      </c>
      <c r="E84" s="74" t="str">
        <f>'CC detallado'!E84</f>
        <v>3CV</v>
      </c>
      <c r="F84" s="74" t="str">
        <f>'CC detallado'!F84</f>
        <v>X Prod</v>
      </c>
      <c r="G84" s="166" t="str">
        <f>'CC detallado'!G84</f>
        <v>Elaboración de Términos de referencia y borrador de contrato para firmas: capac. Técnicos, capac. Productores</v>
      </c>
      <c r="H84" s="71">
        <f>'CC detallado'!H84</f>
        <v>1</v>
      </c>
      <c r="I84" s="71" t="str">
        <f>'CC detallado'!I84</f>
        <v>persona</v>
      </c>
      <c r="J84" s="71">
        <f>'CC detallado'!J84</f>
        <v>2</v>
      </c>
      <c r="K84" s="71" t="str">
        <f>'CC detallado'!K84</f>
        <v>meses</v>
      </c>
      <c r="L84" s="155">
        <f>'CC detallado'!L84</f>
        <v>5000</v>
      </c>
      <c r="M84" s="153">
        <f>'CC detallado'!M84</f>
        <v>10000</v>
      </c>
      <c r="O84" s="153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6"/>
      <c r="AC84" s="196"/>
      <c r="AD84" s="196"/>
      <c r="AE84" s="197">
        <f>$M$84/2</f>
        <v>5000</v>
      </c>
      <c r="AF84" s="197">
        <f>$M$84/2</f>
        <v>5000</v>
      </c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  <c r="BR84" s="195"/>
      <c r="BS84" s="195"/>
      <c r="BT84" s="195"/>
      <c r="BU84" s="195"/>
      <c r="BV84" s="195"/>
      <c r="BW84" s="195">
        <f t="shared" si="105"/>
        <v>10000</v>
      </c>
      <c r="BX84" s="88">
        <f t="shared" si="66"/>
        <v>0</v>
      </c>
      <c r="BY84" s="57"/>
      <c r="BZ84" s="153">
        <f t="shared" si="67"/>
        <v>0</v>
      </c>
      <c r="CA84" s="153">
        <f t="shared" si="68"/>
        <v>10000</v>
      </c>
      <c r="CB84" s="153">
        <f t="shared" si="69"/>
        <v>0</v>
      </c>
      <c r="CC84" s="153">
        <f t="shared" si="70"/>
        <v>0</v>
      </c>
      <c r="CD84" s="153">
        <f t="shared" si="71"/>
        <v>0</v>
      </c>
      <c r="CE84" s="153">
        <f t="shared" ref="CE84" si="110">SUM(BZ84:CD84)</f>
        <v>10000</v>
      </c>
      <c r="CF84" s="64">
        <f t="shared" si="76"/>
        <v>0</v>
      </c>
    </row>
    <row r="85" spans="1:93" ht="14.4" hidden="1" customHeight="1" outlineLevel="1" x14ac:dyDescent="0.3">
      <c r="A85" s="74" t="str">
        <f>'CC detallado'!A85</f>
        <v>2.5.2</v>
      </c>
      <c r="B85" s="74">
        <f>'CC detallado'!B85</f>
        <v>2</v>
      </c>
      <c r="C85" s="74">
        <f>'CC detallado'!C85</f>
        <v>260</v>
      </c>
      <c r="D85" s="74" t="str">
        <f>'CC detallado'!D85</f>
        <v>FC</v>
      </c>
      <c r="E85" s="74" t="str">
        <f>'CC detallado'!E85</f>
        <v>SBCC</v>
      </c>
      <c r="F85" s="74" t="str">
        <f>'CC detallado'!F85</f>
        <v>Capac</v>
      </c>
      <c r="G85" s="166" t="str">
        <f>'CC detallado'!G85</f>
        <v>Contratación firma consultora para capacitación de técnicos (90 tec. Oficiales, 90 privados, 90 acreditación)</v>
      </c>
      <c r="H85" s="71">
        <f>'CC detallado'!H85</f>
        <v>1</v>
      </c>
      <c r="I85" s="71" t="str">
        <f>'CC detallado'!I85</f>
        <v>firma</v>
      </c>
      <c r="J85" s="71">
        <f>'CC detallado'!J85</f>
        <v>0</v>
      </c>
      <c r="K85" s="71">
        <f>'CC detallado'!K85</f>
        <v>0</v>
      </c>
      <c r="L85" s="155">
        <f>'CC detallado'!L85</f>
        <v>335000</v>
      </c>
      <c r="M85" s="153">
        <f>'CC detallado'!M85</f>
        <v>335000</v>
      </c>
      <c r="O85" s="153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6"/>
      <c r="AB85" s="196"/>
      <c r="AC85" s="196"/>
      <c r="AD85" s="196"/>
      <c r="AE85" s="196"/>
      <c r="AF85" s="196"/>
      <c r="AG85" s="197">
        <f>$M$85/10</f>
        <v>33500</v>
      </c>
      <c r="AH85" s="197"/>
      <c r="AI85" s="197"/>
      <c r="AJ85" s="197">
        <f>$M$85/10</f>
        <v>33500</v>
      </c>
      <c r="AK85" s="197"/>
      <c r="AL85" s="197"/>
      <c r="AM85" s="197">
        <f>$M$85/10</f>
        <v>33500</v>
      </c>
      <c r="AN85" s="197"/>
      <c r="AO85" s="197"/>
      <c r="AP85" s="197">
        <f>$M$85/10</f>
        <v>33500</v>
      </c>
      <c r="AQ85" s="197"/>
      <c r="AR85" s="197"/>
      <c r="AS85" s="197">
        <f>$M$85/10</f>
        <v>33500</v>
      </c>
      <c r="AT85" s="197"/>
      <c r="AU85" s="197"/>
      <c r="AV85" s="197">
        <f>$M$85/10</f>
        <v>33500</v>
      </c>
      <c r="AW85" s="197"/>
      <c r="AX85" s="197"/>
      <c r="AY85" s="197">
        <f>$M$85/10</f>
        <v>33500</v>
      </c>
      <c r="AZ85" s="197"/>
      <c r="BA85" s="197"/>
      <c r="BB85" s="197">
        <f>$M$85/10</f>
        <v>33500</v>
      </c>
      <c r="BC85" s="197"/>
      <c r="BD85" s="197"/>
      <c r="BE85" s="197">
        <f>$M$85/10</f>
        <v>33500</v>
      </c>
      <c r="BF85" s="197"/>
      <c r="BG85" s="197"/>
      <c r="BH85" s="197">
        <f>$M$85/10</f>
        <v>33500</v>
      </c>
      <c r="BI85" s="197"/>
      <c r="BJ85" s="197"/>
      <c r="BK85" s="195"/>
      <c r="BL85" s="195"/>
      <c r="BM85" s="195"/>
      <c r="BN85" s="195"/>
      <c r="BO85" s="195"/>
      <c r="BP85" s="195"/>
      <c r="BQ85" s="195"/>
      <c r="BR85" s="195"/>
      <c r="BS85" s="195"/>
      <c r="BT85" s="195"/>
      <c r="BU85" s="195"/>
      <c r="BV85" s="195"/>
      <c r="BW85" s="195">
        <f t="shared" si="105"/>
        <v>335000</v>
      </c>
      <c r="BX85" s="88">
        <f t="shared" si="66"/>
        <v>0</v>
      </c>
      <c r="BY85" s="57"/>
      <c r="BZ85" s="153">
        <f t="shared" si="67"/>
        <v>0</v>
      </c>
      <c r="CA85" s="153">
        <f t="shared" si="68"/>
        <v>67000</v>
      </c>
      <c r="CB85" s="153">
        <f t="shared" si="69"/>
        <v>134000</v>
      </c>
      <c r="CC85" s="153">
        <f t="shared" si="70"/>
        <v>134000</v>
      </c>
      <c r="CD85" s="153">
        <f t="shared" si="71"/>
        <v>0</v>
      </c>
      <c r="CE85" s="153">
        <f t="shared" ref="CE85:CE86" si="111">SUM(BZ85:CD85)</f>
        <v>335000</v>
      </c>
      <c r="CF85" s="64">
        <f t="shared" si="76"/>
        <v>0</v>
      </c>
    </row>
    <row r="86" spans="1:93" ht="14.4" hidden="1" customHeight="1" outlineLevel="1" x14ac:dyDescent="0.3">
      <c r="A86" s="74" t="str">
        <f>'CC detallado'!A86</f>
        <v>2.5.3</v>
      </c>
      <c r="B86" s="74">
        <f>'CC detallado'!B86</f>
        <v>2</v>
      </c>
      <c r="C86" s="74">
        <f>'CC detallado'!C86</f>
        <v>260</v>
      </c>
      <c r="D86" s="74" t="str">
        <f>'CC detallado'!D86</f>
        <v>FC</v>
      </c>
      <c r="E86" s="74" t="str">
        <f>'CC detallado'!E86</f>
        <v>SBCC</v>
      </c>
      <c r="F86" s="74" t="str">
        <f>'CC detallado'!F86</f>
        <v>Capac</v>
      </c>
      <c r="G86" s="166" t="str">
        <f>'CC detallado'!G86</f>
        <v>Contratación firma consultora para capacitación de productores (800 suinos y 800 en ovinos-caprinos)</v>
      </c>
      <c r="H86" s="71">
        <f>'CC detallado'!H86</f>
        <v>1</v>
      </c>
      <c r="I86" s="71" t="str">
        <f>'CC detallado'!I86</f>
        <v>firma</v>
      </c>
      <c r="J86" s="71">
        <f>'CC detallado'!J86</f>
        <v>0</v>
      </c>
      <c r="K86" s="71">
        <f>'CC detallado'!K86</f>
        <v>0</v>
      </c>
      <c r="L86" s="155">
        <f>'CC detallado'!L86</f>
        <v>335000</v>
      </c>
      <c r="M86" s="153">
        <f>'CC detallado'!M86</f>
        <v>335000</v>
      </c>
      <c r="O86" s="153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6"/>
      <c r="AH86" s="196"/>
      <c r="AI86" s="196"/>
      <c r="AJ86" s="196"/>
      <c r="AK86" s="196"/>
      <c r="AL86" s="196"/>
      <c r="AM86" s="197">
        <f>$M$86/12</f>
        <v>27916.666666666668</v>
      </c>
      <c r="AN86" s="197"/>
      <c r="AO86" s="197"/>
      <c r="AP86" s="197">
        <f>$M$86/12</f>
        <v>27916.666666666668</v>
      </c>
      <c r="AQ86" s="197"/>
      <c r="AR86" s="197"/>
      <c r="AS86" s="197">
        <f>$M$86/12</f>
        <v>27916.666666666668</v>
      </c>
      <c r="AT86" s="197"/>
      <c r="AU86" s="197"/>
      <c r="AV86" s="197">
        <f>$M$86/12</f>
        <v>27916.666666666668</v>
      </c>
      <c r="AW86" s="197"/>
      <c r="AX86" s="197"/>
      <c r="AY86" s="197">
        <f>$M$86/12</f>
        <v>27916.666666666668</v>
      </c>
      <c r="AZ86" s="197"/>
      <c r="BA86" s="197"/>
      <c r="BB86" s="197">
        <f>$M$86/12</f>
        <v>27916.666666666668</v>
      </c>
      <c r="BC86" s="197"/>
      <c r="BD86" s="197"/>
      <c r="BE86" s="197">
        <f>$M$86/12</f>
        <v>27916.666666666668</v>
      </c>
      <c r="BF86" s="197"/>
      <c r="BG86" s="197"/>
      <c r="BH86" s="197">
        <f>$M$86/12</f>
        <v>27916.666666666668</v>
      </c>
      <c r="BI86" s="197"/>
      <c r="BJ86" s="197"/>
      <c r="BK86" s="197">
        <f>$M$86/12</f>
        <v>27916.666666666668</v>
      </c>
      <c r="BL86" s="197"/>
      <c r="BM86" s="197"/>
      <c r="BN86" s="197">
        <f>$M$86/12</f>
        <v>27916.666666666668</v>
      </c>
      <c r="BO86" s="197"/>
      <c r="BP86" s="197"/>
      <c r="BQ86" s="197">
        <f>$M$86/12</f>
        <v>27916.666666666668</v>
      </c>
      <c r="BR86" s="197"/>
      <c r="BS86" s="197"/>
      <c r="BT86" s="197">
        <f>$M$86/12</f>
        <v>27916.666666666668</v>
      </c>
      <c r="BU86" s="197"/>
      <c r="BV86" s="197"/>
      <c r="BW86" s="195">
        <f t="shared" si="105"/>
        <v>335000</v>
      </c>
      <c r="BX86" s="88">
        <f t="shared" si="66"/>
        <v>0</v>
      </c>
      <c r="BY86" s="57"/>
      <c r="BZ86" s="153">
        <f t="shared" si="67"/>
        <v>0</v>
      </c>
      <c r="CA86" s="153">
        <f t="shared" si="68"/>
        <v>0</v>
      </c>
      <c r="CB86" s="153">
        <f t="shared" si="69"/>
        <v>111666.66666666667</v>
      </c>
      <c r="CC86" s="153">
        <f t="shared" si="70"/>
        <v>111666.66666666667</v>
      </c>
      <c r="CD86" s="153">
        <f t="shared" si="71"/>
        <v>111666.66666666667</v>
      </c>
      <c r="CE86" s="153">
        <f t="shared" si="111"/>
        <v>335000</v>
      </c>
      <c r="CF86" s="64">
        <f t="shared" si="76"/>
        <v>0</v>
      </c>
    </row>
    <row r="87" spans="1:93" s="57" customFormat="1" ht="14.4" customHeight="1" collapsed="1" x14ac:dyDescent="0.3">
      <c r="A87" s="190" t="str">
        <f>'CC detallado'!A87</f>
        <v>2.6</v>
      </c>
      <c r="B87" s="190" t="str">
        <f>'CC detallado'!B87</f>
        <v>C-2</v>
      </c>
      <c r="C87" s="190" t="str">
        <f>'CC detallado'!C87</f>
        <v>-</v>
      </c>
      <c r="D87" s="190" t="str">
        <f>'CC detallado'!D87</f>
        <v>-</v>
      </c>
      <c r="E87" s="190" t="str">
        <f>'CC detallado'!E87</f>
        <v>-</v>
      </c>
      <c r="F87" s="190" t="str">
        <f>'CC detallado'!F87</f>
        <v>-</v>
      </c>
      <c r="G87" s="185" t="str">
        <f>'CC detallado'!G87</f>
        <v>Producto 15: Eficiencia en la prestación de servicios a usuarios mejorada</v>
      </c>
      <c r="H87" s="186">
        <f>'CC detallado'!H87</f>
        <v>0</v>
      </c>
      <c r="I87" s="186">
        <f>'CC detallado'!I87</f>
        <v>0</v>
      </c>
      <c r="J87" s="186">
        <f>'CC detallado'!J87</f>
        <v>0</v>
      </c>
      <c r="K87" s="186">
        <f>'CC detallado'!K87</f>
        <v>0</v>
      </c>
      <c r="L87" s="187">
        <f>'CC detallado'!L87</f>
        <v>0</v>
      </c>
      <c r="M87" s="187">
        <f>SUM(M88:M94)</f>
        <v>1100000</v>
      </c>
      <c r="N87" s="63"/>
      <c r="O87" s="187">
        <f>SUM(O88:O94)</f>
        <v>0</v>
      </c>
      <c r="P87" s="187">
        <f t="shared" ref="P87:BW87" si="112">SUM(P88:P94)</f>
        <v>0</v>
      </c>
      <c r="Q87" s="187">
        <f t="shared" si="112"/>
        <v>0</v>
      </c>
      <c r="R87" s="187">
        <f t="shared" si="112"/>
        <v>0</v>
      </c>
      <c r="S87" s="187">
        <f t="shared" si="112"/>
        <v>0</v>
      </c>
      <c r="T87" s="187">
        <f t="shared" si="112"/>
        <v>0</v>
      </c>
      <c r="U87" s="187">
        <f t="shared" si="112"/>
        <v>0</v>
      </c>
      <c r="V87" s="187">
        <f t="shared" si="112"/>
        <v>31500</v>
      </c>
      <c r="W87" s="187">
        <f t="shared" si="112"/>
        <v>0</v>
      </c>
      <c r="X87" s="187">
        <f t="shared" si="112"/>
        <v>48000</v>
      </c>
      <c r="Y87" s="187">
        <f t="shared" si="112"/>
        <v>59500</v>
      </c>
      <c r="Z87" s="187">
        <f t="shared" si="112"/>
        <v>36000</v>
      </c>
      <c r="AA87" s="187">
        <f t="shared" si="112"/>
        <v>12000</v>
      </c>
      <c r="AB87" s="187">
        <f t="shared" si="112"/>
        <v>36000</v>
      </c>
      <c r="AC87" s="187">
        <f t="shared" si="112"/>
        <v>0</v>
      </c>
      <c r="AD87" s="187">
        <f t="shared" si="112"/>
        <v>0</v>
      </c>
      <c r="AE87" s="187">
        <f t="shared" si="112"/>
        <v>131500</v>
      </c>
      <c r="AF87" s="187">
        <f t="shared" si="112"/>
        <v>0</v>
      </c>
      <c r="AG87" s="187">
        <f t="shared" si="112"/>
        <v>177000</v>
      </c>
      <c r="AH87" s="187">
        <f t="shared" si="112"/>
        <v>0</v>
      </c>
      <c r="AI87" s="187">
        <f t="shared" si="112"/>
        <v>141000</v>
      </c>
      <c r="AJ87" s="187">
        <f t="shared" si="112"/>
        <v>0</v>
      </c>
      <c r="AK87" s="187">
        <f t="shared" si="112"/>
        <v>0</v>
      </c>
      <c r="AL87" s="187">
        <f t="shared" si="112"/>
        <v>141000</v>
      </c>
      <c r="AM87" s="187">
        <f t="shared" si="112"/>
        <v>0</v>
      </c>
      <c r="AN87" s="187">
        <f t="shared" si="112"/>
        <v>141000</v>
      </c>
      <c r="AO87" s="187">
        <f t="shared" si="112"/>
        <v>0</v>
      </c>
      <c r="AP87" s="187">
        <f t="shared" si="112"/>
        <v>0</v>
      </c>
      <c r="AQ87" s="187">
        <f t="shared" si="112"/>
        <v>70500</v>
      </c>
      <c r="AR87" s="187">
        <f t="shared" si="112"/>
        <v>25000</v>
      </c>
      <c r="AS87" s="187">
        <f t="shared" si="112"/>
        <v>0</v>
      </c>
      <c r="AT87" s="187">
        <f t="shared" si="112"/>
        <v>0</v>
      </c>
      <c r="AU87" s="187">
        <f t="shared" si="112"/>
        <v>0</v>
      </c>
      <c r="AV87" s="187">
        <f t="shared" si="112"/>
        <v>0</v>
      </c>
      <c r="AW87" s="187">
        <f t="shared" si="112"/>
        <v>0</v>
      </c>
      <c r="AX87" s="187">
        <f t="shared" si="112"/>
        <v>0</v>
      </c>
      <c r="AY87" s="187">
        <f t="shared" si="112"/>
        <v>0</v>
      </c>
      <c r="AZ87" s="187">
        <f t="shared" si="112"/>
        <v>0</v>
      </c>
      <c r="BA87" s="187">
        <f t="shared" si="112"/>
        <v>0</v>
      </c>
      <c r="BB87" s="187">
        <f t="shared" si="112"/>
        <v>0</v>
      </c>
      <c r="BC87" s="187">
        <f t="shared" si="112"/>
        <v>0</v>
      </c>
      <c r="BD87" s="187">
        <f t="shared" si="112"/>
        <v>25000</v>
      </c>
      <c r="BE87" s="187">
        <f t="shared" si="112"/>
        <v>0</v>
      </c>
      <c r="BF87" s="187">
        <f t="shared" si="112"/>
        <v>0</v>
      </c>
      <c r="BG87" s="187">
        <f t="shared" si="112"/>
        <v>0</v>
      </c>
      <c r="BH87" s="187">
        <f t="shared" si="112"/>
        <v>0</v>
      </c>
      <c r="BI87" s="187">
        <f t="shared" si="112"/>
        <v>0</v>
      </c>
      <c r="BJ87" s="187">
        <f t="shared" si="112"/>
        <v>0</v>
      </c>
      <c r="BK87" s="187">
        <f t="shared" si="112"/>
        <v>0</v>
      </c>
      <c r="BL87" s="187">
        <f t="shared" si="112"/>
        <v>0</v>
      </c>
      <c r="BM87" s="187">
        <f t="shared" si="112"/>
        <v>0</v>
      </c>
      <c r="BN87" s="187">
        <f t="shared" si="112"/>
        <v>0</v>
      </c>
      <c r="BO87" s="187">
        <f t="shared" si="112"/>
        <v>0</v>
      </c>
      <c r="BP87" s="187">
        <f t="shared" si="112"/>
        <v>25000</v>
      </c>
      <c r="BQ87" s="187">
        <f t="shared" si="112"/>
        <v>0</v>
      </c>
      <c r="BR87" s="187">
        <f t="shared" si="112"/>
        <v>0</v>
      </c>
      <c r="BS87" s="187">
        <f t="shared" si="112"/>
        <v>0</v>
      </c>
      <c r="BT87" s="187">
        <f t="shared" si="112"/>
        <v>0</v>
      </c>
      <c r="BU87" s="187">
        <f t="shared" si="112"/>
        <v>0</v>
      </c>
      <c r="BV87" s="187">
        <f t="shared" si="112"/>
        <v>0</v>
      </c>
      <c r="BW87" s="187">
        <f t="shared" si="112"/>
        <v>1100000</v>
      </c>
      <c r="BX87" s="88">
        <f t="shared" si="66"/>
        <v>0</v>
      </c>
      <c r="BZ87" s="187">
        <f t="shared" ref="BZ87:BZ94" si="113">SUM(O87:Z87)</f>
        <v>175000</v>
      </c>
      <c r="CA87" s="187">
        <f t="shared" ref="CA87:CA94" si="114">SUM(AA87:AL87)</f>
        <v>638500</v>
      </c>
      <c r="CB87" s="187">
        <f t="shared" ref="CB87:CB94" si="115">SUM(AM87:AX87)</f>
        <v>236500</v>
      </c>
      <c r="CC87" s="187">
        <f t="shared" ref="CC87:CC94" si="116">SUM(AY87:BJ87)</f>
        <v>25000</v>
      </c>
      <c r="CD87" s="187">
        <f t="shared" ref="CD87:CD94" si="117">SUM(BK87:BV87)</f>
        <v>25000</v>
      </c>
      <c r="CE87" s="187">
        <f t="shared" ref="CE87" si="118">SUM(CE88:CE94)</f>
        <v>1100000</v>
      </c>
      <c r="CF87" s="64">
        <f t="shared" ref="CF87:CF100" si="119">BW87-CE87</f>
        <v>0</v>
      </c>
    </row>
    <row r="88" spans="1:93" ht="14.4" hidden="1" customHeight="1" outlineLevel="1" x14ac:dyDescent="0.3">
      <c r="A88" s="191" t="str">
        <f>'CC detallado'!A88</f>
        <v>2.6.1</v>
      </c>
      <c r="B88" s="191">
        <f>'CC detallado'!B88</f>
        <v>1</v>
      </c>
      <c r="C88" s="191">
        <f>'CC detallado'!C88</f>
        <v>260</v>
      </c>
      <c r="D88" s="191" t="str">
        <f>'CC detallado'!D88</f>
        <v>FC</v>
      </c>
      <c r="E88" s="191" t="str">
        <f>'CC detallado'!E88</f>
        <v>SBCC</v>
      </c>
      <c r="F88" s="191" t="str">
        <f>'CC detallado'!F88</f>
        <v>X Prod</v>
      </c>
      <c r="G88" s="206" t="str">
        <f>'CC detallado'!G88</f>
        <v>Modelado y rediseño de todos los procesos de negocio vinculados a las tramitaciones; revisión de costos y tiempos; diseño de indicadores y medición de línea de base y Plan de fortalecimiento de capacidades</v>
      </c>
      <c r="H88" s="75">
        <f>'CC detallado'!H88</f>
        <v>1</v>
      </c>
      <c r="I88" s="75" t="str">
        <f>'CC detallado'!I88</f>
        <v>Consultoría</v>
      </c>
      <c r="J88" s="75">
        <f>'CC detallado'!J88</f>
        <v>10</v>
      </c>
      <c r="K88" s="75" t="str">
        <f>'CC detallado'!K88</f>
        <v>meses</v>
      </c>
      <c r="L88" s="153">
        <f>'CC detallado'!L88</f>
        <v>180000</v>
      </c>
      <c r="M88" s="153">
        <f>'CC detallado'!M88</f>
        <v>180000</v>
      </c>
      <c r="O88" s="94"/>
      <c r="P88" s="195"/>
      <c r="Q88" s="195"/>
      <c r="R88" s="196"/>
      <c r="S88" s="196"/>
      <c r="T88" s="196"/>
      <c r="U88" s="196"/>
      <c r="V88" s="196"/>
      <c r="W88" s="196"/>
      <c r="X88" s="197">
        <f>$L$88*20%</f>
        <v>36000</v>
      </c>
      <c r="Y88" s="197">
        <v>0</v>
      </c>
      <c r="Z88" s="197">
        <f>$L$88*20%</f>
        <v>36000</v>
      </c>
      <c r="AA88" s="197">
        <v>0</v>
      </c>
      <c r="AB88" s="197">
        <f>$L$88*20%</f>
        <v>36000</v>
      </c>
      <c r="AC88" s="197">
        <v>0</v>
      </c>
      <c r="AD88" s="197">
        <v>0</v>
      </c>
      <c r="AE88" s="197">
        <f>$L$88*20%</f>
        <v>36000</v>
      </c>
      <c r="AF88" s="197">
        <v>0</v>
      </c>
      <c r="AG88" s="197">
        <f>$L$88*20%</f>
        <v>36000</v>
      </c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  <c r="BI88" s="195"/>
      <c r="BJ88" s="195"/>
      <c r="BK88" s="195"/>
      <c r="BL88" s="195"/>
      <c r="BM88" s="195"/>
      <c r="BN88" s="195"/>
      <c r="BO88" s="195"/>
      <c r="BP88" s="195"/>
      <c r="BQ88" s="195"/>
      <c r="BR88" s="195"/>
      <c r="BS88" s="195"/>
      <c r="BT88" s="195"/>
      <c r="BU88" s="195"/>
      <c r="BV88" s="195"/>
      <c r="BW88" s="195">
        <f t="shared" ref="BW88:BW94" si="120">SUM(O88:BV88)</f>
        <v>180000</v>
      </c>
      <c r="BX88" s="88">
        <f t="shared" si="66"/>
        <v>0</v>
      </c>
      <c r="BY88" s="57"/>
      <c r="BZ88" s="153">
        <f t="shared" si="113"/>
        <v>72000</v>
      </c>
      <c r="CA88" s="153">
        <f t="shared" si="114"/>
        <v>108000</v>
      </c>
      <c r="CB88" s="153">
        <f t="shared" si="115"/>
        <v>0</v>
      </c>
      <c r="CC88" s="153">
        <f t="shared" si="116"/>
        <v>0</v>
      </c>
      <c r="CD88" s="153">
        <f t="shared" si="117"/>
        <v>0</v>
      </c>
      <c r="CE88" s="153">
        <f>SUM(BZ88:CD88)</f>
        <v>180000</v>
      </c>
      <c r="CF88" s="64">
        <f t="shared" si="119"/>
        <v>0</v>
      </c>
    </row>
    <row r="89" spans="1:93" ht="14.4" hidden="1" customHeight="1" outlineLevel="1" x14ac:dyDescent="0.3">
      <c r="A89" s="191" t="str">
        <f>'CC detallado'!A89</f>
        <v>2.6.2</v>
      </c>
      <c r="B89" s="191">
        <f>'CC detallado'!B89</f>
        <v>1</v>
      </c>
      <c r="C89" s="191">
        <f>'CC detallado'!C89</f>
        <v>260</v>
      </c>
      <c r="D89" s="191" t="str">
        <f>'CC detallado'!D89</f>
        <v>FC</v>
      </c>
      <c r="E89" s="191" t="str">
        <f>'CC detallado'!E89</f>
        <v>SBCC</v>
      </c>
      <c r="F89" s="191" t="str">
        <f>'CC detallado'!F89</f>
        <v>Sistema</v>
      </c>
      <c r="G89" s="206" t="str">
        <f>'CC detallado'!G89</f>
        <v>Diseño y desarrollo de nuevas prestaciones del SIGOR, plan de seguridad de sistemas y firma electrónica</v>
      </c>
      <c r="H89" s="75">
        <f>'CC detallado'!H89</f>
        <v>1</v>
      </c>
      <c r="I89" s="75" t="str">
        <f>'CC detallado'!I89</f>
        <v>Consultoría</v>
      </c>
      <c r="J89" s="75">
        <f>'CC detallado'!J89</f>
        <v>10</v>
      </c>
      <c r="K89" s="75" t="str">
        <f>'CC detallado'!K89</f>
        <v>meses</v>
      </c>
      <c r="L89" s="153">
        <f>'CC detallado'!L89</f>
        <v>605000</v>
      </c>
      <c r="M89" s="153">
        <f>'CC detallado'!M89</f>
        <v>605000</v>
      </c>
      <c r="N89" s="76"/>
      <c r="O89" s="94"/>
      <c r="P89" s="195"/>
      <c r="Q89" s="195"/>
      <c r="R89" s="195"/>
      <c r="S89" s="195"/>
      <c r="T89" s="195"/>
      <c r="U89" s="195"/>
      <c r="V89" s="195"/>
      <c r="W89" s="195"/>
      <c r="X89" s="195"/>
      <c r="Y89" s="196"/>
      <c r="Z89" s="196"/>
      <c r="AA89" s="196"/>
      <c r="AB89" s="196"/>
      <c r="AC89" s="196"/>
      <c r="AD89" s="196"/>
      <c r="AE89" s="197">
        <f>$L$89*10%</f>
        <v>60500</v>
      </c>
      <c r="AF89" s="197">
        <v>0</v>
      </c>
      <c r="AG89" s="197">
        <f>$L$89*20%</f>
        <v>121000</v>
      </c>
      <c r="AH89" s="197">
        <v>0</v>
      </c>
      <c r="AI89" s="197">
        <f>$L$89*20%</f>
        <v>121000</v>
      </c>
      <c r="AJ89" s="197">
        <v>0</v>
      </c>
      <c r="AK89" s="197">
        <v>0</v>
      </c>
      <c r="AL89" s="197">
        <f>$L$89*20%</f>
        <v>121000</v>
      </c>
      <c r="AM89" s="197">
        <v>0</v>
      </c>
      <c r="AN89" s="197">
        <f>$L$89*20%</f>
        <v>121000</v>
      </c>
      <c r="AO89" s="197"/>
      <c r="AP89" s="197"/>
      <c r="AQ89" s="197">
        <f>$L$89*10%</f>
        <v>60500</v>
      </c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  <c r="BI89" s="195"/>
      <c r="BJ89" s="195"/>
      <c r="BK89" s="195"/>
      <c r="BL89" s="195"/>
      <c r="BM89" s="195"/>
      <c r="BN89" s="195"/>
      <c r="BO89" s="195"/>
      <c r="BP89" s="195"/>
      <c r="BQ89" s="195"/>
      <c r="BR89" s="195"/>
      <c r="BS89" s="195"/>
      <c r="BT89" s="195"/>
      <c r="BU89" s="195"/>
      <c r="BV89" s="195"/>
      <c r="BW89" s="195">
        <f t="shared" si="120"/>
        <v>605000</v>
      </c>
      <c r="BX89" s="88">
        <f t="shared" si="66"/>
        <v>0</v>
      </c>
      <c r="BY89" s="57"/>
      <c r="BZ89" s="153">
        <f t="shared" si="113"/>
        <v>0</v>
      </c>
      <c r="CA89" s="153">
        <f t="shared" si="114"/>
        <v>423500</v>
      </c>
      <c r="CB89" s="153">
        <f t="shared" si="115"/>
        <v>181500</v>
      </c>
      <c r="CC89" s="153">
        <f t="shared" si="116"/>
        <v>0</v>
      </c>
      <c r="CD89" s="153">
        <f t="shared" si="117"/>
        <v>0</v>
      </c>
      <c r="CE89" s="153">
        <f t="shared" ref="CE89:CE94" si="121">SUM(BZ89:CD89)</f>
        <v>605000</v>
      </c>
      <c r="CF89" s="64">
        <f t="shared" si="119"/>
        <v>0</v>
      </c>
    </row>
    <row r="90" spans="1:93" ht="14.4" hidden="1" customHeight="1" outlineLevel="1" x14ac:dyDescent="0.3">
      <c r="A90" s="191" t="str">
        <f>'CC detallado'!A90</f>
        <v>2.6.3</v>
      </c>
      <c r="B90" s="191">
        <f>'CC detallado'!B90</f>
        <v>1</v>
      </c>
      <c r="C90" s="191">
        <f>'CC detallado'!C90</f>
        <v>260</v>
      </c>
      <c r="D90" s="191" t="str">
        <f>'CC detallado'!D90</f>
        <v>FC</v>
      </c>
      <c r="E90" s="191" t="str">
        <f>'CC detallado'!E90</f>
        <v>SBCC</v>
      </c>
      <c r="F90" s="191" t="str">
        <f>'CC detallado'!F90</f>
        <v>Sistema</v>
      </c>
      <c r="G90" s="206" t="str">
        <f>'CC detallado'!G90</f>
        <v>Integración de información generadas en diferentes áreas para accesibilidad en tiempo real para la toma de decisiones</v>
      </c>
      <c r="H90" s="75">
        <f>'CC detallado'!H90</f>
        <v>1</v>
      </c>
      <c r="I90" s="75" t="str">
        <f>'CC detallado'!I90</f>
        <v>Software</v>
      </c>
      <c r="J90" s="75">
        <f>'CC detallado'!J90</f>
        <v>2</v>
      </c>
      <c r="K90" s="75" t="str">
        <f>'CC detallado'!K90</f>
        <v>meses</v>
      </c>
      <c r="L90" s="153">
        <f>'CC detallado'!L90</f>
        <v>100000</v>
      </c>
      <c r="M90" s="153">
        <f>'CC detallado'!M90</f>
        <v>100000</v>
      </c>
      <c r="O90" s="70"/>
      <c r="P90" s="195"/>
      <c r="Q90" s="195"/>
      <c r="R90" s="195"/>
      <c r="S90" s="195"/>
      <c r="T90" s="195"/>
      <c r="U90" s="195"/>
      <c r="V90" s="195"/>
      <c r="W90" s="195"/>
      <c r="X90" s="195"/>
      <c r="Y90" s="196"/>
      <c r="Z90" s="196"/>
      <c r="AA90" s="196"/>
      <c r="AB90" s="196"/>
      <c r="AC90" s="196"/>
      <c r="AD90" s="196"/>
      <c r="AE90" s="197">
        <f>$L$90*10%</f>
        <v>10000</v>
      </c>
      <c r="AF90" s="197">
        <v>0</v>
      </c>
      <c r="AG90" s="197">
        <f>$L$90*20%</f>
        <v>20000</v>
      </c>
      <c r="AH90" s="197">
        <v>0</v>
      </c>
      <c r="AI90" s="197">
        <f>$L$90*20%</f>
        <v>20000</v>
      </c>
      <c r="AJ90" s="197">
        <v>0</v>
      </c>
      <c r="AK90" s="197">
        <v>0</v>
      </c>
      <c r="AL90" s="197">
        <f>$L$90*20%</f>
        <v>20000</v>
      </c>
      <c r="AM90" s="197">
        <v>0</v>
      </c>
      <c r="AN90" s="197">
        <f>$L$90*20%</f>
        <v>20000</v>
      </c>
      <c r="AO90" s="197"/>
      <c r="AP90" s="197"/>
      <c r="AQ90" s="197">
        <f>$L$90*10%</f>
        <v>10000</v>
      </c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  <c r="BI90" s="195"/>
      <c r="BJ90" s="195"/>
      <c r="BK90" s="195"/>
      <c r="BL90" s="195"/>
      <c r="BM90" s="195"/>
      <c r="BN90" s="195"/>
      <c r="BO90" s="195"/>
      <c r="BP90" s="195"/>
      <c r="BQ90" s="195"/>
      <c r="BR90" s="195"/>
      <c r="BS90" s="195"/>
      <c r="BT90" s="195"/>
      <c r="BU90" s="195"/>
      <c r="BV90" s="195"/>
      <c r="BW90" s="195">
        <f t="shared" si="120"/>
        <v>100000</v>
      </c>
      <c r="BX90" s="88">
        <f t="shared" si="66"/>
        <v>0</v>
      </c>
      <c r="BY90" s="57"/>
      <c r="BZ90" s="153">
        <f t="shared" si="113"/>
        <v>0</v>
      </c>
      <c r="CA90" s="153">
        <f t="shared" si="114"/>
        <v>70000</v>
      </c>
      <c r="CB90" s="153">
        <f t="shared" si="115"/>
        <v>30000</v>
      </c>
      <c r="CC90" s="153">
        <f t="shared" si="116"/>
        <v>0</v>
      </c>
      <c r="CD90" s="153">
        <f t="shared" si="117"/>
        <v>0</v>
      </c>
      <c r="CE90" s="153">
        <f t="shared" si="121"/>
        <v>100000</v>
      </c>
      <c r="CF90" s="64">
        <f t="shared" si="119"/>
        <v>0</v>
      </c>
    </row>
    <row r="91" spans="1:93" ht="14.4" hidden="1" customHeight="1" outlineLevel="1" x14ac:dyDescent="0.3">
      <c r="A91" s="191" t="str">
        <f>'CC detallado'!A91</f>
        <v>2.6.4</v>
      </c>
      <c r="B91" s="191">
        <f>'CC detallado'!B91</f>
        <v>1</v>
      </c>
      <c r="C91" s="191">
        <f>'CC detallado'!C91</f>
        <v>145</v>
      </c>
      <c r="D91" s="191" t="str">
        <f>'CC detallado'!D91</f>
        <v>CI</v>
      </c>
      <c r="E91" s="191" t="str">
        <f>'CC detallado'!E91</f>
        <v>3CV</v>
      </c>
      <c r="F91" s="191" t="str">
        <f>'CC detallado'!F91</f>
        <v>X Prod</v>
      </c>
      <c r="G91" s="166" t="str">
        <f>'CC detallado'!G91</f>
        <v>Plan de mejora de los servicios vinculados a la apertura y habilitaciones de mercados.</v>
      </c>
      <c r="H91" s="68">
        <f>'CC detallado'!H91</f>
        <v>1</v>
      </c>
      <c r="I91" s="68" t="str">
        <f>'CC detallado'!I91</f>
        <v>Consultoría</v>
      </c>
      <c r="J91" s="68">
        <f>'CC detallado'!J91</f>
        <v>6</v>
      </c>
      <c r="K91" s="68" t="str">
        <f>'CC detallado'!K91</f>
        <v>meses</v>
      </c>
      <c r="L91" s="70">
        <f>'CC detallado'!L91</f>
        <v>30000</v>
      </c>
      <c r="M91" s="70">
        <f>'CC detallado'!M91</f>
        <v>30000</v>
      </c>
      <c r="O91" s="70"/>
      <c r="P91" s="195"/>
      <c r="Q91" s="195"/>
      <c r="R91" s="195"/>
      <c r="S91" s="196"/>
      <c r="T91" s="196"/>
      <c r="U91" s="196"/>
      <c r="V91" s="197">
        <f>$M$91*20%</f>
        <v>6000</v>
      </c>
      <c r="W91" s="197"/>
      <c r="X91" s="197">
        <f>$M$91*40%</f>
        <v>12000</v>
      </c>
      <c r="Y91" s="197"/>
      <c r="Z91" s="197"/>
      <c r="AA91" s="197">
        <f>$M$91*40%</f>
        <v>12000</v>
      </c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  <c r="BI91" s="195"/>
      <c r="BJ91" s="195"/>
      <c r="BK91" s="195"/>
      <c r="BL91" s="195"/>
      <c r="BM91" s="195"/>
      <c r="BN91" s="195"/>
      <c r="BO91" s="195"/>
      <c r="BP91" s="195"/>
      <c r="BQ91" s="195"/>
      <c r="BR91" s="195"/>
      <c r="BS91" s="195"/>
      <c r="BT91" s="195"/>
      <c r="BU91" s="195"/>
      <c r="BV91" s="195"/>
      <c r="BW91" s="195">
        <f t="shared" si="120"/>
        <v>30000</v>
      </c>
      <c r="BX91" s="88">
        <f t="shared" si="66"/>
        <v>0</v>
      </c>
      <c r="BY91" s="57"/>
      <c r="BZ91" s="153">
        <f t="shared" si="113"/>
        <v>18000</v>
      </c>
      <c r="CA91" s="153">
        <f t="shared" si="114"/>
        <v>12000</v>
      </c>
      <c r="CB91" s="153">
        <f t="shared" si="115"/>
        <v>0</v>
      </c>
      <c r="CC91" s="153">
        <f t="shared" si="116"/>
        <v>0</v>
      </c>
      <c r="CD91" s="153">
        <f t="shared" si="117"/>
        <v>0</v>
      </c>
      <c r="CE91" s="153">
        <f t="shared" si="121"/>
        <v>30000</v>
      </c>
      <c r="CF91" s="64">
        <f t="shared" si="119"/>
        <v>0</v>
      </c>
    </row>
    <row r="92" spans="1:93" s="49" customFormat="1" ht="14.4" hidden="1" customHeight="1" outlineLevel="1" x14ac:dyDescent="0.3">
      <c r="A92" s="191" t="str">
        <f>'CC detallado'!A92</f>
        <v>2.6.5</v>
      </c>
      <c r="B92" s="191">
        <f>'CC detallado'!B92</f>
        <v>1</v>
      </c>
      <c r="C92" s="191">
        <f>'CC detallado'!C92</f>
        <v>280</v>
      </c>
      <c r="D92" s="191" t="str">
        <f>'CC detallado'!D92</f>
        <v>SNC</v>
      </c>
      <c r="E92" s="191" t="str">
        <f>'CC detallado'!E92</f>
        <v>LPI</v>
      </c>
      <c r="F92" s="191" t="str">
        <f>'CC detallado'!F92</f>
        <v>Taller</v>
      </c>
      <c r="G92" s="166" t="str">
        <f>'CC detallado'!G92</f>
        <v>Inversiones para cubrir brecha de capacidades (capacitaciones al personal, contratación de técnicos, etc.)</v>
      </c>
      <c r="H92" s="68">
        <f>'CC detallado'!H92</f>
        <v>1</v>
      </c>
      <c r="I92" s="68" t="str">
        <f>'CC detallado'!I92</f>
        <v>Capacitaciones</v>
      </c>
      <c r="J92" s="68">
        <f>'CC detallado'!J92</f>
        <v>4</v>
      </c>
      <c r="K92" s="68" t="str">
        <f>'CC detallado'!K92</f>
        <v>Años</v>
      </c>
      <c r="L92" s="153">
        <f>'CC detallado'!L92</f>
        <v>100000</v>
      </c>
      <c r="M92" s="70">
        <f>'CC detallado'!M92</f>
        <v>100000</v>
      </c>
      <c r="N92" s="48"/>
      <c r="O92" s="70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6"/>
      <c r="AB92" s="196"/>
      <c r="AC92" s="196"/>
      <c r="AD92" s="196"/>
      <c r="AE92" s="197">
        <f>$M$92*25%</f>
        <v>25000</v>
      </c>
      <c r="AF92" s="197">
        <v>0</v>
      </c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>
        <f>$M$92*25%</f>
        <v>25000</v>
      </c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>
        <f>$M$92*25%</f>
        <v>25000</v>
      </c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>
        <f>$M$92*25%</f>
        <v>25000</v>
      </c>
      <c r="BQ92" s="197"/>
      <c r="BR92" s="197"/>
      <c r="BS92" s="197"/>
      <c r="BT92" s="197"/>
      <c r="BU92" s="197"/>
      <c r="BV92" s="197"/>
      <c r="BW92" s="195">
        <f t="shared" si="120"/>
        <v>100000</v>
      </c>
      <c r="BX92" s="88">
        <f t="shared" si="66"/>
        <v>0</v>
      </c>
      <c r="BY92" s="57"/>
      <c r="BZ92" s="153">
        <f t="shared" si="113"/>
        <v>0</v>
      </c>
      <c r="CA92" s="153">
        <f t="shared" si="114"/>
        <v>25000</v>
      </c>
      <c r="CB92" s="153">
        <f t="shared" si="115"/>
        <v>25000</v>
      </c>
      <c r="CC92" s="153">
        <f t="shared" si="116"/>
        <v>25000</v>
      </c>
      <c r="CD92" s="153">
        <f t="shared" si="117"/>
        <v>25000</v>
      </c>
      <c r="CE92" s="153">
        <f t="shared" si="121"/>
        <v>100000</v>
      </c>
      <c r="CF92" s="64">
        <f t="shared" si="119"/>
        <v>0</v>
      </c>
    </row>
    <row r="93" spans="1:93" s="49" customFormat="1" ht="14.4" hidden="1" customHeight="1" outlineLevel="1" x14ac:dyDescent="0.3">
      <c r="A93" s="191" t="str">
        <f>'CC detallado'!A93</f>
        <v>2.6.6</v>
      </c>
      <c r="B93" s="191">
        <f>'CC detallado'!B93</f>
        <v>1</v>
      </c>
      <c r="C93" s="191">
        <f>'CC detallado'!C93</f>
        <v>530</v>
      </c>
      <c r="D93" s="191" t="str">
        <f>'CC detallado'!D93</f>
        <v>B</v>
      </c>
      <c r="E93" s="191" t="str">
        <f>'CC detallado'!E93</f>
        <v>SBE</v>
      </c>
      <c r="F93" s="191" t="str">
        <f>'CC detallado'!F93</f>
        <v>Mov Int</v>
      </c>
      <c r="G93" s="166" t="str">
        <f>'CC detallado'!G93</f>
        <v xml:space="preserve">Infraestructura de comunicaciones y equipamiento de unidades zonales para mejorar la disponibilidad, previendo sistemas de redundancia. </v>
      </c>
      <c r="H93" s="68">
        <f>'CC detallado'!H93</f>
        <v>1</v>
      </c>
      <c r="I93" s="73" t="str">
        <f>'CC detallado'!I93</f>
        <v>Anexo Plan de Segurización</v>
      </c>
      <c r="J93" s="68">
        <f>'CC detallado'!J93</f>
        <v>2</v>
      </c>
      <c r="K93" s="68" t="str">
        <f>'CC detallado'!K93</f>
        <v>Meses</v>
      </c>
      <c r="L93" s="153">
        <f>'CC detallado'!L93</f>
        <v>60000</v>
      </c>
      <c r="M93" s="70">
        <f>'CC detallado'!M93</f>
        <v>60000</v>
      </c>
      <c r="N93" s="48"/>
      <c r="O93" s="70"/>
      <c r="P93" s="195"/>
      <c r="Q93" s="195"/>
      <c r="R93" s="195"/>
      <c r="S93" s="196"/>
      <c r="T93" s="196"/>
      <c r="U93" s="196"/>
      <c r="V93" s="197">
        <f>$M$93*30%</f>
        <v>18000</v>
      </c>
      <c r="W93" s="197"/>
      <c r="X93" s="197"/>
      <c r="Y93" s="197">
        <f>$M$93*70%</f>
        <v>42000</v>
      </c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  <c r="BI93" s="195"/>
      <c r="BJ93" s="195"/>
      <c r="BK93" s="195"/>
      <c r="BL93" s="195"/>
      <c r="BM93" s="195"/>
      <c r="BN93" s="195"/>
      <c r="BO93" s="195"/>
      <c r="BP93" s="195"/>
      <c r="BQ93" s="195"/>
      <c r="BR93" s="195"/>
      <c r="BS93" s="195"/>
      <c r="BT93" s="195"/>
      <c r="BU93" s="195"/>
      <c r="BV93" s="195"/>
      <c r="BW93" s="195">
        <f t="shared" si="120"/>
        <v>60000</v>
      </c>
      <c r="BX93" s="88">
        <f t="shared" si="66"/>
        <v>0</v>
      </c>
      <c r="BY93" s="57"/>
      <c r="BZ93" s="153">
        <f t="shared" si="113"/>
        <v>60000</v>
      </c>
      <c r="CA93" s="153">
        <f t="shared" si="114"/>
        <v>0</v>
      </c>
      <c r="CB93" s="153">
        <f t="shared" si="115"/>
        <v>0</v>
      </c>
      <c r="CC93" s="153">
        <f t="shared" si="116"/>
        <v>0</v>
      </c>
      <c r="CD93" s="153">
        <f t="shared" si="117"/>
        <v>0</v>
      </c>
      <c r="CE93" s="153">
        <f t="shared" si="121"/>
        <v>60000</v>
      </c>
      <c r="CF93" s="64">
        <f t="shared" si="119"/>
        <v>0</v>
      </c>
    </row>
    <row r="94" spans="1:93" s="49" customFormat="1" ht="14.4" hidden="1" customHeight="1" outlineLevel="1" x14ac:dyDescent="0.3">
      <c r="A94" s="191" t="str">
        <f>'CC detallado'!A94</f>
        <v>2.6.7</v>
      </c>
      <c r="B94" s="191">
        <f>'CC detallado'!B94</f>
        <v>1</v>
      </c>
      <c r="C94" s="191">
        <f>'CC detallado'!C94</f>
        <v>540</v>
      </c>
      <c r="D94" s="191" t="str">
        <f>'CC detallado'!D94</f>
        <v>B</v>
      </c>
      <c r="E94" s="191" t="str">
        <f>'CC detallado'!E94</f>
        <v>SBE</v>
      </c>
      <c r="F94" s="191" t="str">
        <f>'CC detallado'!F94</f>
        <v>Mov Int</v>
      </c>
      <c r="G94" s="166" t="str">
        <f>'CC detallado'!G94</f>
        <v>Adquisición de nuevas licencias de Bases de Datos</v>
      </c>
      <c r="H94" s="68">
        <f>'CC detallado'!H94</f>
        <v>1</v>
      </c>
      <c r="I94" s="68" t="str">
        <f>'CC detallado'!I94</f>
        <v>Licencia</v>
      </c>
      <c r="J94" s="68">
        <f>'CC detallado'!J94</f>
        <v>2</v>
      </c>
      <c r="K94" s="68" t="str">
        <f>'CC detallado'!K94</f>
        <v>Meses</v>
      </c>
      <c r="L94" s="153">
        <f>'CC detallado'!L94</f>
        <v>25000</v>
      </c>
      <c r="M94" s="70">
        <f>'CC detallado'!M94</f>
        <v>25000</v>
      </c>
      <c r="N94" s="48"/>
      <c r="O94" s="70"/>
      <c r="P94" s="195"/>
      <c r="Q94" s="195"/>
      <c r="R94" s="195"/>
      <c r="S94" s="196"/>
      <c r="T94" s="196"/>
      <c r="U94" s="196"/>
      <c r="V94" s="197">
        <f>$M$94*30%</f>
        <v>7500</v>
      </c>
      <c r="W94" s="197"/>
      <c r="X94" s="197"/>
      <c r="Y94" s="197">
        <f>$M$94*70%</f>
        <v>17500</v>
      </c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  <c r="BI94" s="195"/>
      <c r="BJ94" s="195"/>
      <c r="BK94" s="195"/>
      <c r="BL94" s="195"/>
      <c r="BM94" s="195"/>
      <c r="BN94" s="195"/>
      <c r="BO94" s="195"/>
      <c r="BP94" s="195"/>
      <c r="BQ94" s="195"/>
      <c r="BR94" s="195"/>
      <c r="BS94" s="195"/>
      <c r="BT94" s="195"/>
      <c r="BU94" s="195"/>
      <c r="BV94" s="195"/>
      <c r="BW94" s="195">
        <f t="shared" si="120"/>
        <v>25000</v>
      </c>
      <c r="BX94" s="88">
        <f t="shared" si="66"/>
        <v>0</v>
      </c>
      <c r="BY94" s="57"/>
      <c r="BZ94" s="153">
        <f t="shared" si="113"/>
        <v>25000</v>
      </c>
      <c r="CA94" s="153">
        <f t="shared" si="114"/>
        <v>0</v>
      </c>
      <c r="CB94" s="153">
        <f t="shared" si="115"/>
        <v>0</v>
      </c>
      <c r="CC94" s="153">
        <f t="shared" si="116"/>
        <v>0</v>
      </c>
      <c r="CD94" s="153">
        <f t="shared" si="117"/>
        <v>0</v>
      </c>
      <c r="CE94" s="153">
        <f t="shared" si="121"/>
        <v>25000</v>
      </c>
      <c r="CF94" s="64">
        <f t="shared" si="119"/>
        <v>0</v>
      </c>
    </row>
    <row r="95" spans="1:93" s="58" customFormat="1" ht="14.4" customHeight="1" collapsed="1" x14ac:dyDescent="0.3">
      <c r="A95" s="193">
        <f>'CC detallado'!A95</f>
        <v>3</v>
      </c>
      <c r="B95" s="193" t="str">
        <f>'CC detallado'!B95</f>
        <v>A-S</v>
      </c>
      <c r="C95" s="193" t="str">
        <f>'CC detallado'!C95</f>
        <v>-</v>
      </c>
      <c r="D95" s="193" t="str">
        <f>'CC detallado'!D95</f>
        <v>-</v>
      </c>
      <c r="E95" s="193" t="str">
        <f>'CC detallado'!E95</f>
        <v>-</v>
      </c>
      <c r="F95" s="193" t="str">
        <f>'CC detallado'!F95</f>
        <v>-</v>
      </c>
      <c r="G95" s="61" t="str">
        <f>'CC detallado'!G95</f>
        <v>Administración y supervisión del programa</v>
      </c>
      <c r="H95" s="62">
        <f>'CC detallado'!H95</f>
        <v>0</v>
      </c>
      <c r="I95" s="62">
        <f>'CC detallado'!I95</f>
        <v>0</v>
      </c>
      <c r="J95" s="62">
        <f>'CC detallado'!J95</f>
        <v>0</v>
      </c>
      <c r="K95" s="62">
        <f>'CC detallado'!K95</f>
        <v>0</v>
      </c>
      <c r="L95" s="77">
        <f>'CC detallado'!L95</f>
        <v>0</v>
      </c>
      <c r="M95" s="93">
        <f>M96</f>
        <v>566000</v>
      </c>
      <c r="N95" s="63">
        <f>M95/$M$112</f>
        <v>3.7733333333333334E-2</v>
      </c>
      <c r="O95" s="93">
        <f>O96</f>
        <v>2500</v>
      </c>
      <c r="P95" s="93">
        <f t="shared" ref="P95:BW95" si="122">P96</f>
        <v>14000</v>
      </c>
      <c r="Q95" s="93">
        <f t="shared" si="122"/>
        <v>14000</v>
      </c>
      <c r="R95" s="93">
        <f t="shared" si="122"/>
        <v>14000</v>
      </c>
      <c r="S95" s="93">
        <f t="shared" si="122"/>
        <v>14000</v>
      </c>
      <c r="T95" s="93">
        <f t="shared" si="122"/>
        <v>14000</v>
      </c>
      <c r="U95" s="93">
        <f t="shared" si="122"/>
        <v>14000</v>
      </c>
      <c r="V95" s="93">
        <f t="shared" si="122"/>
        <v>10000</v>
      </c>
      <c r="W95" s="93">
        <f t="shared" si="122"/>
        <v>10000</v>
      </c>
      <c r="X95" s="93">
        <f t="shared" si="122"/>
        <v>10000</v>
      </c>
      <c r="Y95" s="93">
        <f t="shared" si="122"/>
        <v>10000</v>
      </c>
      <c r="Z95" s="93">
        <f t="shared" si="122"/>
        <v>10000</v>
      </c>
      <c r="AA95" s="93">
        <f t="shared" si="122"/>
        <v>10000</v>
      </c>
      <c r="AB95" s="93">
        <f t="shared" si="122"/>
        <v>10000</v>
      </c>
      <c r="AC95" s="93">
        <f t="shared" si="122"/>
        <v>10000</v>
      </c>
      <c r="AD95" s="93">
        <f t="shared" si="122"/>
        <v>10000</v>
      </c>
      <c r="AE95" s="93">
        <f t="shared" si="122"/>
        <v>10000</v>
      </c>
      <c r="AF95" s="93">
        <f t="shared" si="122"/>
        <v>10000</v>
      </c>
      <c r="AG95" s="93">
        <f t="shared" si="122"/>
        <v>10000</v>
      </c>
      <c r="AH95" s="93">
        <f t="shared" si="122"/>
        <v>10000</v>
      </c>
      <c r="AI95" s="93">
        <f t="shared" si="122"/>
        <v>10000</v>
      </c>
      <c r="AJ95" s="93">
        <f t="shared" si="122"/>
        <v>10000</v>
      </c>
      <c r="AK95" s="93">
        <f t="shared" si="122"/>
        <v>10000</v>
      </c>
      <c r="AL95" s="93">
        <f t="shared" si="122"/>
        <v>10000</v>
      </c>
      <c r="AM95" s="93">
        <f t="shared" si="122"/>
        <v>10000</v>
      </c>
      <c r="AN95" s="93">
        <f t="shared" si="122"/>
        <v>10000</v>
      </c>
      <c r="AO95" s="93">
        <f t="shared" si="122"/>
        <v>10000</v>
      </c>
      <c r="AP95" s="93">
        <f t="shared" si="122"/>
        <v>10000</v>
      </c>
      <c r="AQ95" s="93">
        <f t="shared" si="122"/>
        <v>10000</v>
      </c>
      <c r="AR95" s="93">
        <f t="shared" si="122"/>
        <v>10000</v>
      </c>
      <c r="AS95" s="93">
        <f t="shared" si="122"/>
        <v>10000</v>
      </c>
      <c r="AT95" s="93">
        <f t="shared" si="122"/>
        <v>10000</v>
      </c>
      <c r="AU95" s="93">
        <f t="shared" si="122"/>
        <v>10000</v>
      </c>
      <c r="AV95" s="93">
        <f t="shared" si="122"/>
        <v>10000</v>
      </c>
      <c r="AW95" s="93">
        <f t="shared" si="122"/>
        <v>10000</v>
      </c>
      <c r="AX95" s="93">
        <f t="shared" si="122"/>
        <v>10000</v>
      </c>
      <c r="AY95" s="93">
        <f t="shared" si="122"/>
        <v>10000</v>
      </c>
      <c r="AZ95" s="93">
        <f t="shared" si="122"/>
        <v>10000</v>
      </c>
      <c r="BA95" s="93">
        <f t="shared" si="122"/>
        <v>10000</v>
      </c>
      <c r="BB95" s="93">
        <f t="shared" si="122"/>
        <v>10000</v>
      </c>
      <c r="BC95" s="93">
        <f t="shared" si="122"/>
        <v>10000</v>
      </c>
      <c r="BD95" s="93">
        <f t="shared" si="122"/>
        <v>10000</v>
      </c>
      <c r="BE95" s="93">
        <f t="shared" si="122"/>
        <v>10000</v>
      </c>
      <c r="BF95" s="93">
        <f t="shared" si="122"/>
        <v>10000</v>
      </c>
      <c r="BG95" s="93">
        <f t="shared" si="122"/>
        <v>10000</v>
      </c>
      <c r="BH95" s="93">
        <f t="shared" si="122"/>
        <v>10000</v>
      </c>
      <c r="BI95" s="93">
        <f t="shared" si="122"/>
        <v>10000</v>
      </c>
      <c r="BJ95" s="93">
        <f t="shared" si="122"/>
        <v>10000</v>
      </c>
      <c r="BK95" s="93">
        <f t="shared" si="122"/>
        <v>10000</v>
      </c>
      <c r="BL95" s="93">
        <f t="shared" si="122"/>
        <v>6500</v>
      </c>
      <c r="BM95" s="93">
        <f t="shared" si="122"/>
        <v>6500</v>
      </c>
      <c r="BN95" s="93">
        <f t="shared" si="122"/>
        <v>6500</v>
      </c>
      <c r="BO95" s="93">
        <f t="shared" si="122"/>
        <v>6500</v>
      </c>
      <c r="BP95" s="93">
        <f t="shared" si="122"/>
        <v>6500</v>
      </c>
      <c r="BQ95" s="93">
        <f t="shared" si="122"/>
        <v>4500</v>
      </c>
      <c r="BR95" s="93">
        <f t="shared" si="122"/>
        <v>4500</v>
      </c>
      <c r="BS95" s="93">
        <f t="shared" si="122"/>
        <v>4500</v>
      </c>
      <c r="BT95" s="93">
        <f t="shared" si="122"/>
        <v>4500</v>
      </c>
      <c r="BU95" s="93">
        <f t="shared" si="122"/>
        <v>4500</v>
      </c>
      <c r="BV95" s="93">
        <f t="shared" si="122"/>
        <v>4500</v>
      </c>
      <c r="BW95" s="93">
        <f t="shared" si="122"/>
        <v>566000</v>
      </c>
      <c r="BX95" s="88">
        <f t="shared" si="66"/>
        <v>0</v>
      </c>
      <c r="BY95" s="57"/>
      <c r="BZ95" s="93">
        <f t="shared" si="67"/>
        <v>136500</v>
      </c>
      <c r="CA95" s="93">
        <f t="shared" si="68"/>
        <v>120000</v>
      </c>
      <c r="CB95" s="93">
        <f t="shared" si="69"/>
        <v>120000</v>
      </c>
      <c r="CC95" s="93">
        <f t="shared" si="70"/>
        <v>120000</v>
      </c>
      <c r="CD95" s="93">
        <f t="shared" si="71"/>
        <v>69500</v>
      </c>
      <c r="CE95" s="93">
        <f t="shared" ref="CE95" si="123">CE96</f>
        <v>566000</v>
      </c>
      <c r="CF95" s="64">
        <f t="shared" si="119"/>
        <v>0</v>
      </c>
      <c r="CG95" s="57"/>
      <c r="CH95" s="57"/>
      <c r="CI95" s="57"/>
      <c r="CJ95" s="57"/>
      <c r="CK95" s="57"/>
      <c r="CL95" s="57"/>
      <c r="CM95" s="57"/>
      <c r="CN95" s="57"/>
      <c r="CO95" s="57"/>
    </row>
    <row r="96" spans="1:93" s="66" customFormat="1" ht="14.4" customHeight="1" x14ac:dyDescent="0.3">
      <c r="A96" s="189" t="str">
        <f>'CC detallado'!A96</f>
        <v>3.1</v>
      </c>
      <c r="B96" s="189" t="str">
        <f>'CC detallado'!B96</f>
        <v>-</v>
      </c>
      <c r="C96" s="189" t="str">
        <f>'CC detallado'!C96</f>
        <v>-</v>
      </c>
      <c r="D96" s="189" t="str">
        <f>'CC detallado'!D96</f>
        <v>-</v>
      </c>
      <c r="E96" s="189" t="str">
        <f>'CC detallado'!E96</f>
        <v>-</v>
      </c>
      <c r="F96" s="189" t="str">
        <f>'CC detallado'!F96</f>
        <v>-</v>
      </c>
      <c r="G96" s="185" t="str">
        <f>'CC detallado'!G96</f>
        <v>Unidad Ejecutora</v>
      </c>
      <c r="H96" s="186">
        <f>'CC detallado'!H96</f>
        <v>0</v>
      </c>
      <c r="I96" s="186">
        <f>'CC detallado'!I96</f>
        <v>0</v>
      </c>
      <c r="J96" s="186">
        <f>'CC detallado'!J96</f>
        <v>0</v>
      </c>
      <c r="K96" s="186">
        <f>'CC detallado'!K96</f>
        <v>0</v>
      </c>
      <c r="L96" s="187">
        <f>'CC detallado'!L96</f>
        <v>0</v>
      </c>
      <c r="M96" s="187">
        <f>SUM(M97:M103)</f>
        <v>566000</v>
      </c>
      <c r="N96" s="63">
        <f>M96/$M$112</f>
        <v>3.7733333333333334E-2</v>
      </c>
      <c r="O96" s="187">
        <f>SUM(O97:O103)</f>
        <v>2500</v>
      </c>
      <c r="P96" s="187">
        <f t="shared" ref="P96:CA96" si="124">SUM(P97:P103)</f>
        <v>14000</v>
      </c>
      <c r="Q96" s="187">
        <f t="shared" si="124"/>
        <v>14000</v>
      </c>
      <c r="R96" s="187">
        <f t="shared" si="124"/>
        <v>14000</v>
      </c>
      <c r="S96" s="187">
        <f t="shared" si="124"/>
        <v>14000</v>
      </c>
      <c r="T96" s="187">
        <f t="shared" si="124"/>
        <v>14000</v>
      </c>
      <c r="U96" s="187">
        <f t="shared" si="124"/>
        <v>14000</v>
      </c>
      <c r="V96" s="187">
        <f t="shared" si="124"/>
        <v>10000</v>
      </c>
      <c r="W96" s="187">
        <f t="shared" si="124"/>
        <v>10000</v>
      </c>
      <c r="X96" s="187">
        <f t="shared" si="124"/>
        <v>10000</v>
      </c>
      <c r="Y96" s="187">
        <f t="shared" si="124"/>
        <v>10000</v>
      </c>
      <c r="Z96" s="187">
        <f t="shared" si="124"/>
        <v>10000</v>
      </c>
      <c r="AA96" s="187">
        <f t="shared" si="124"/>
        <v>10000</v>
      </c>
      <c r="AB96" s="187">
        <f t="shared" si="124"/>
        <v>10000</v>
      </c>
      <c r="AC96" s="187">
        <f t="shared" si="124"/>
        <v>10000</v>
      </c>
      <c r="AD96" s="187">
        <f t="shared" si="124"/>
        <v>10000</v>
      </c>
      <c r="AE96" s="187">
        <f t="shared" si="124"/>
        <v>10000</v>
      </c>
      <c r="AF96" s="187">
        <f t="shared" si="124"/>
        <v>10000</v>
      </c>
      <c r="AG96" s="187">
        <f t="shared" si="124"/>
        <v>10000</v>
      </c>
      <c r="AH96" s="187">
        <f t="shared" si="124"/>
        <v>10000</v>
      </c>
      <c r="AI96" s="187">
        <f t="shared" si="124"/>
        <v>10000</v>
      </c>
      <c r="AJ96" s="187">
        <f t="shared" si="124"/>
        <v>10000</v>
      </c>
      <c r="AK96" s="187">
        <f t="shared" si="124"/>
        <v>10000</v>
      </c>
      <c r="AL96" s="187">
        <f t="shared" si="124"/>
        <v>10000</v>
      </c>
      <c r="AM96" s="187">
        <f t="shared" si="124"/>
        <v>10000</v>
      </c>
      <c r="AN96" s="187">
        <f t="shared" si="124"/>
        <v>10000</v>
      </c>
      <c r="AO96" s="187">
        <f t="shared" si="124"/>
        <v>10000</v>
      </c>
      <c r="AP96" s="187">
        <f t="shared" si="124"/>
        <v>10000</v>
      </c>
      <c r="AQ96" s="187">
        <f t="shared" si="124"/>
        <v>10000</v>
      </c>
      <c r="AR96" s="187">
        <f t="shared" si="124"/>
        <v>10000</v>
      </c>
      <c r="AS96" s="187">
        <f t="shared" si="124"/>
        <v>10000</v>
      </c>
      <c r="AT96" s="187">
        <f t="shared" si="124"/>
        <v>10000</v>
      </c>
      <c r="AU96" s="187">
        <f t="shared" si="124"/>
        <v>10000</v>
      </c>
      <c r="AV96" s="187">
        <f t="shared" si="124"/>
        <v>10000</v>
      </c>
      <c r="AW96" s="187">
        <f t="shared" si="124"/>
        <v>10000</v>
      </c>
      <c r="AX96" s="187">
        <f t="shared" si="124"/>
        <v>10000</v>
      </c>
      <c r="AY96" s="187">
        <f t="shared" si="124"/>
        <v>10000</v>
      </c>
      <c r="AZ96" s="187">
        <f t="shared" si="124"/>
        <v>10000</v>
      </c>
      <c r="BA96" s="187">
        <f t="shared" si="124"/>
        <v>10000</v>
      </c>
      <c r="BB96" s="187">
        <f t="shared" si="124"/>
        <v>10000</v>
      </c>
      <c r="BC96" s="187">
        <f t="shared" si="124"/>
        <v>10000</v>
      </c>
      <c r="BD96" s="187">
        <f t="shared" si="124"/>
        <v>10000</v>
      </c>
      <c r="BE96" s="187">
        <f t="shared" si="124"/>
        <v>10000</v>
      </c>
      <c r="BF96" s="187">
        <f t="shared" si="124"/>
        <v>10000</v>
      </c>
      <c r="BG96" s="187">
        <f t="shared" si="124"/>
        <v>10000</v>
      </c>
      <c r="BH96" s="187">
        <f t="shared" si="124"/>
        <v>10000</v>
      </c>
      <c r="BI96" s="187">
        <f t="shared" si="124"/>
        <v>10000</v>
      </c>
      <c r="BJ96" s="187">
        <f t="shared" si="124"/>
        <v>10000</v>
      </c>
      <c r="BK96" s="187">
        <f t="shared" si="124"/>
        <v>10000</v>
      </c>
      <c r="BL96" s="187">
        <f t="shared" si="124"/>
        <v>6500</v>
      </c>
      <c r="BM96" s="187">
        <f t="shared" si="124"/>
        <v>6500</v>
      </c>
      <c r="BN96" s="187">
        <f t="shared" si="124"/>
        <v>6500</v>
      </c>
      <c r="BO96" s="187">
        <f t="shared" si="124"/>
        <v>6500</v>
      </c>
      <c r="BP96" s="187">
        <f t="shared" si="124"/>
        <v>6500</v>
      </c>
      <c r="BQ96" s="187">
        <f t="shared" si="124"/>
        <v>4500</v>
      </c>
      <c r="BR96" s="187">
        <f t="shared" si="124"/>
        <v>4500</v>
      </c>
      <c r="BS96" s="187">
        <f t="shared" si="124"/>
        <v>4500</v>
      </c>
      <c r="BT96" s="187">
        <f t="shared" si="124"/>
        <v>4500</v>
      </c>
      <c r="BU96" s="187">
        <f t="shared" si="124"/>
        <v>4500</v>
      </c>
      <c r="BV96" s="187">
        <f t="shared" si="124"/>
        <v>4500</v>
      </c>
      <c r="BW96" s="187">
        <f t="shared" si="124"/>
        <v>566000</v>
      </c>
      <c r="BX96" s="88">
        <f t="shared" si="66"/>
        <v>0</v>
      </c>
      <c r="BY96" s="57"/>
      <c r="BZ96" s="187">
        <f t="shared" si="124"/>
        <v>136500</v>
      </c>
      <c r="CA96" s="187">
        <f t="shared" si="124"/>
        <v>120000</v>
      </c>
      <c r="CB96" s="187">
        <f t="shared" ref="CB96:CE96" si="125">SUM(CB97:CB103)</f>
        <v>120000</v>
      </c>
      <c r="CC96" s="187">
        <f t="shared" si="125"/>
        <v>120000</v>
      </c>
      <c r="CD96" s="187">
        <f t="shared" si="125"/>
        <v>69500</v>
      </c>
      <c r="CE96" s="187">
        <f t="shared" si="125"/>
        <v>566000</v>
      </c>
      <c r="CF96" s="64">
        <f t="shared" si="119"/>
        <v>0</v>
      </c>
      <c r="CG96" s="65"/>
      <c r="CH96" s="65"/>
      <c r="CI96" s="65"/>
      <c r="CJ96" s="65"/>
      <c r="CK96" s="65"/>
      <c r="CL96" s="65"/>
      <c r="CM96" s="65"/>
      <c r="CN96" s="65"/>
      <c r="CO96" s="65"/>
    </row>
    <row r="97" spans="1:93" ht="14.4" hidden="1" customHeight="1" outlineLevel="1" x14ac:dyDescent="0.3">
      <c r="A97" s="67" t="str">
        <f>'CC detallado'!A97</f>
        <v>3.1.1</v>
      </c>
      <c r="B97" s="67" t="str">
        <f>'CC detallado'!B97</f>
        <v>A-S</v>
      </c>
      <c r="C97" s="67">
        <f>'CC detallado'!C97</f>
        <v>145</v>
      </c>
      <c r="D97" s="67" t="str">
        <f>'CC detallado'!D97</f>
        <v>CI</v>
      </c>
      <c r="E97" s="67" t="str">
        <f>'CC detallado'!E97</f>
        <v>3CV</v>
      </c>
      <c r="F97" s="67" t="str">
        <f>'CC detallado'!F97</f>
        <v>x Tiempo</v>
      </c>
      <c r="G97" s="166" t="str">
        <f>'CC detallado'!G97</f>
        <v>Coordinador General del Programa</v>
      </c>
      <c r="H97" s="69">
        <f>'CC detallado'!H97</f>
        <v>1</v>
      </c>
      <c r="I97" s="75" t="str">
        <f>'CC detallado'!I97</f>
        <v>persona</v>
      </c>
      <c r="J97" s="69">
        <f>'CC detallado'!J97</f>
        <v>60</v>
      </c>
      <c r="K97" s="75" t="str">
        <f>'CC detallado'!K97</f>
        <v>meses</v>
      </c>
      <c r="L97" s="155">
        <f>'CC detallado'!L97</f>
        <v>2500</v>
      </c>
      <c r="M97" s="70">
        <f>'CC detallado'!M97</f>
        <v>150000</v>
      </c>
      <c r="N97" s="63"/>
      <c r="O97" s="197">
        <f>$M$97/J97</f>
        <v>2500</v>
      </c>
      <c r="P97" s="197">
        <f>O97</f>
        <v>2500</v>
      </c>
      <c r="Q97" s="197">
        <f>P97</f>
        <v>2500</v>
      </c>
      <c r="R97" s="197">
        <f t="shared" ref="R97:BV97" si="126">Q97</f>
        <v>2500</v>
      </c>
      <c r="S97" s="197">
        <f t="shared" si="126"/>
        <v>2500</v>
      </c>
      <c r="T97" s="197">
        <f t="shared" si="126"/>
        <v>2500</v>
      </c>
      <c r="U97" s="197">
        <f t="shared" si="126"/>
        <v>2500</v>
      </c>
      <c r="V97" s="197">
        <f t="shared" si="126"/>
        <v>2500</v>
      </c>
      <c r="W97" s="197">
        <f t="shared" si="126"/>
        <v>2500</v>
      </c>
      <c r="X97" s="197">
        <f t="shared" si="126"/>
        <v>2500</v>
      </c>
      <c r="Y97" s="197">
        <f t="shared" si="126"/>
        <v>2500</v>
      </c>
      <c r="Z97" s="197">
        <f t="shared" si="126"/>
        <v>2500</v>
      </c>
      <c r="AA97" s="197">
        <f t="shared" si="126"/>
        <v>2500</v>
      </c>
      <c r="AB97" s="197">
        <f t="shared" si="126"/>
        <v>2500</v>
      </c>
      <c r="AC97" s="197">
        <f t="shared" si="126"/>
        <v>2500</v>
      </c>
      <c r="AD97" s="197">
        <f t="shared" si="126"/>
        <v>2500</v>
      </c>
      <c r="AE97" s="197">
        <f t="shared" si="126"/>
        <v>2500</v>
      </c>
      <c r="AF97" s="197">
        <f t="shared" si="126"/>
        <v>2500</v>
      </c>
      <c r="AG97" s="197">
        <f t="shared" si="126"/>
        <v>2500</v>
      </c>
      <c r="AH97" s="197">
        <f t="shared" si="126"/>
        <v>2500</v>
      </c>
      <c r="AI97" s="197">
        <f t="shared" si="126"/>
        <v>2500</v>
      </c>
      <c r="AJ97" s="197">
        <f t="shared" si="126"/>
        <v>2500</v>
      </c>
      <c r="AK97" s="197">
        <f t="shared" si="126"/>
        <v>2500</v>
      </c>
      <c r="AL97" s="197">
        <f t="shared" si="126"/>
        <v>2500</v>
      </c>
      <c r="AM97" s="197">
        <f t="shared" si="126"/>
        <v>2500</v>
      </c>
      <c r="AN97" s="197">
        <f t="shared" si="126"/>
        <v>2500</v>
      </c>
      <c r="AO97" s="197">
        <f t="shared" si="126"/>
        <v>2500</v>
      </c>
      <c r="AP97" s="197">
        <f t="shared" si="126"/>
        <v>2500</v>
      </c>
      <c r="AQ97" s="197">
        <f t="shared" si="126"/>
        <v>2500</v>
      </c>
      <c r="AR97" s="197">
        <f t="shared" si="126"/>
        <v>2500</v>
      </c>
      <c r="AS97" s="197">
        <f t="shared" si="126"/>
        <v>2500</v>
      </c>
      <c r="AT97" s="197">
        <f t="shared" si="126"/>
        <v>2500</v>
      </c>
      <c r="AU97" s="197">
        <f t="shared" si="126"/>
        <v>2500</v>
      </c>
      <c r="AV97" s="197">
        <f t="shared" si="126"/>
        <v>2500</v>
      </c>
      <c r="AW97" s="197">
        <f t="shared" si="126"/>
        <v>2500</v>
      </c>
      <c r="AX97" s="197">
        <f t="shared" si="126"/>
        <v>2500</v>
      </c>
      <c r="AY97" s="197">
        <f t="shared" si="126"/>
        <v>2500</v>
      </c>
      <c r="AZ97" s="197">
        <f t="shared" si="126"/>
        <v>2500</v>
      </c>
      <c r="BA97" s="197">
        <f t="shared" si="126"/>
        <v>2500</v>
      </c>
      <c r="BB97" s="197">
        <f t="shared" si="126"/>
        <v>2500</v>
      </c>
      <c r="BC97" s="197">
        <f t="shared" si="126"/>
        <v>2500</v>
      </c>
      <c r="BD97" s="197">
        <f t="shared" si="126"/>
        <v>2500</v>
      </c>
      <c r="BE97" s="197">
        <f t="shared" si="126"/>
        <v>2500</v>
      </c>
      <c r="BF97" s="197">
        <f t="shared" si="126"/>
        <v>2500</v>
      </c>
      <c r="BG97" s="197">
        <f t="shared" si="126"/>
        <v>2500</v>
      </c>
      <c r="BH97" s="197">
        <f t="shared" si="126"/>
        <v>2500</v>
      </c>
      <c r="BI97" s="197">
        <f t="shared" si="126"/>
        <v>2500</v>
      </c>
      <c r="BJ97" s="197">
        <f t="shared" si="126"/>
        <v>2500</v>
      </c>
      <c r="BK97" s="197">
        <f t="shared" si="126"/>
        <v>2500</v>
      </c>
      <c r="BL97" s="197">
        <f t="shared" si="126"/>
        <v>2500</v>
      </c>
      <c r="BM97" s="197">
        <f t="shared" si="126"/>
        <v>2500</v>
      </c>
      <c r="BN97" s="197">
        <f t="shared" si="126"/>
        <v>2500</v>
      </c>
      <c r="BO97" s="197">
        <f t="shared" si="126"/>
        <v>2500</v>
      </c>
      <c r="BP97" s="197">
        <f t="shared" si="126"/>
        <v>2500</v>
      </c>
      <c r="BQ97" s="197">
        <f t="shared" si="126"/>
        <v>2500</v>
      </c>
      <c r="BR97" s="197">
        <f t="shared" si="126"/>
        <v>2500</v>
      </c>
      <c r="BS97" s="197">
        <f t="shared" si="126"/>
        <v>2500</v>
      </c>
      <c r="BT97" s="197">
        <f t="shared" si="126"/>
        <v>2500</v>
      </c>
      <c r="BU97" s="197">
        <f t="shared" si="126"/>
        <v>2500</v>
      </c>
      <c r="BV97" s="197">
        <f t="shared" si="126"/>
        <v>2500</v>
      </c>
      <c r="BW97" s="195">
        <f>SUM(O97:BV97)</f>
        <v>150000</v>
      </c>
      <c r="BX97" s="88">
        <f t="shared" si="66"/>
        <v>0</v>
      </c>
      <c r="BY97" s="57"/>
      <c r="BZ97" s="70">
        <f t="shared" si="67"/>
        <v>30000</v>
      </c>
      <c r="CA97" s="70">
        <f t="shared" si="68"/>
        <v>30000</v>
      </c>
      <c r="CB97" s="70">
        <f t="shared" si="69"/>
        <v>30000</v>
      </c>
      <c r="CC97" s="70">
        <f t="shared" si="70"/>
        <v>30000</v>
      </c>
      <c r="CD97" s="70">
        <f t="shared" si="71"/>
        <v>30000</v>
      </c>
      <c r="CE97" s="70">
        <f t="shared" ref="CE97:CE111" si="127">SUM(BZ97:CD97)</f>
        <v>150000</v>
      </c>
      <c r="CF97" s="64">
        <f t="shared" si="119"/>
        <v>0</v>
      </c>
    </row>
    <row r="98" spans="1:93" ht="14.4" hidden="1" customHeight="1" outlineLevel="1" x14ac:dyDescent="0.3">
      <c r="A98" s="67" t="str">
        <f>'CC detallado'!A98</f>
        <v>3.1.2</v>
      </c>
      <c r="B98" s="67" t="str">
        <f>'CC detallado'!B98</f>
        <v>A-S</v>
      </c>
      <c r="C98" s="67">
        <f>'CC detallado'!C98</f>
        <v>145</v>
      </c>
      <c r="D98" s="67" t="str">
        <f>'CC detallado'!D98</f>
        <v>CI</v>
      </c>
      <c r="E98" s="67" t="str">
        <f>'CC detallado'!E98</f>
        <v>3CV</v>
      </c>
      <c r="F98" s="67" t="str">
        <f>'CC detallado'!F98</f>
        <v>x Tiempo</v>
      </c>
      <c r="G98" s="166" t="str">
        <f>'CC detallado'!G98</f>
        <v>Coordinador Componente 1</v>
      </c>
      <c r="H98" s="69">
        <f>'CC detallado'!H98</f>
        <v>1</v>
      </c>
      <c r="I98" s="75" t="str">
        <f>'CC detallado'!I98</f>
        <v>persona</v>
      </c>
      <c r="J98" s="69">
        <f>'CC detallado'!J98</f>
        <v>59</v>
      </c>
      <c r="K98" s="75" t="str">
        <f>'CC detallado'!K98</f>
        <v>meses</v>
      </c>
      <c r="L98" s="155">
        <f>'CC detallado'!L98</f>
        <v>2000</v>
      </c>
      <c r="M98" s="70">
        <f>'CC detallado'!M98</f>
        <v>118000</v>
      </c>
      <c r="N98" s="63"/>
      <c r="O98" s="196"/>
      <c r="P98" s="197">
        <f>$M$98/J98</f>
        <v>2000</v>
      </c>
      <c r="Q98" s="197">
        <f>P98</f>
        <v>2000</v>
      </c>
      <c r="R98" s="197">
        <f t="shared" ref="R98:BV98" si="128">Q98</f>
        <v>2000</v>
      </c>
      <c r="S98" s="197">
        <f t="shared" si="128"/>
        <v>2000</v>
      </c>
      <c r="T98" s="197">
        <f t="shared" si="128"/>
        <v>2000</v>
      </c>
      <c r="U98" s="197">
        <f t="shared" si="128"/>
        <v>2000</v>
      </c>
      <c r="V98" s="197">
        <f t="shared" si="128"/>
        <v>2000</v>
      </c>
      <c r="W98" s="197">
        <f t="shared" si="128"/>
        <v>2000</v>
      </c>
      <c r="X98" s="197">
        <f t="shared" si="128"/>
        <v>2000</v>
      </c>
      <c r="Y98" s="197">
        <f t="shared" si="128"/>
        <v>2000</v>
      </c>
      <c r="Z98" s="197">
        <f t="shared" si="128"/>
        <v>2000</v>
      </c>
      <c r="AA98" s="197">
        <f t="shared" si="128"/>
        <v>2000</v>
      </c>
      <c r="AB98" s="197">
        <f t="shared" si="128"/>
        <v>2000</v>
      </c>
      <c r="AC98" s="197">
        <f t="shared" si="128"/>
        <v>2000</v>
      </c>
      <c r="AD98" s="197">
        <f t="shared" si="128"/>
        <v>2000</v>
      </c>
      <c r="AE98" s="197">
        <f t="shared" si="128"/>
        <v>2000</v>
      </c>
      <c r="AF98" s="197">
        <f t="shared" si="128"/>
        <v>2000</v>
      </c>
      <c r="AG98" s="197">
        <f t="shared" si="128"/>
        <v>2000</v>
      </c>
      <c r="AH98" s="197">
        <f t="shared" si="128"/>
        <v>2000</v>
      </c>
      <c r="AI98" s="197">
        <f t="shared" si="128"/>
        <v>2000</v>
      </c>
      <c r="AJ98" s="197">
        <f t="shared" si="128"/>
        <v>2000</v>
      </c>
      <c r="AK98" s="197">
        <f t="shared" si="128"/>
        <v>2000</v>
      </c>
      <c r="AL98" s="197">
        <f t="shared" si="128"/>
        <v>2000</v>
      </c>
      <c r="AM98" s="197">
        <f t="shared" si="128"/>
        <v>2000</v>
      </c>
      <c r="AN98" s="197">
        <f t="shared" si="128"/>
        <v>2000</v>
      </c>
      <c r="AO98" s="197">
        <f t="shared" si="128"/>
        <v>2000</v>
      </c>
      <c r="AP98" s="197">
        <f t="shared" si="128"/>
        <v>2000</v>
      </c>
      <c r="AQ98" s="197">
        <f t="shared" si="128"/>
        <v>2000</v>
      </c>
      <c r="AR98" s="197">
        <f t="shared" si="128"/>
        <v>2000</v>
      </c>
      <c r="AS98" s="197">
        <f t="shared" si="128"/>
        <v>2000</v>
      </c>
      <c r="AT98" s="197">
        <f t="shared" si="128"/>
        <v>2000</v>
      </c>
      <c r="AU98" s="197">
        <f t="shared" si="128"/>
        <v>2000</v>
      </c>
      <c r="AV98" s="197">
        <f t="shared" si="128"/>
        <v>2000</v>
      </c>
      <c r="AW98" s="197">
        <f t="shared" si="128"/>
        <v>2000</v>
      </c>
      <c r="AX98" s="197">
        <f t="shared" si="128"/>
        <v>2000</v>
      </c>
      <c r="AY98" s="197">
        <f t="shared" si="128"/>
        <v>2000</v>
      </c>
      <c r="AZ98" s="197">
        <f t="shared" si="128"/>
        <v>2000</v>
      </c>
      <c r="BA98" s="197">
        <f t="shared" si="128"/>
        <v>2000</v>
      </c>
      <c r="BB98" s="197">
        <f t="shared" si="128"/>
        <v>2000</v>
      </c>
      <c r="BC98" s="197">
        <f t="shared" si="128"/>
        <v>2000</v>
      </c>
      <c r="BD98" s="197">
        <f t="shared" si="128"/>
        <v>2000</v>
      </c>
      <c r="BE98" s="197">
        <f t="shared" si="128"/>
        <v>2000</v>
      </c>
      <c r="BF98" s="197">
        <f t="shared" si="128"/>
        <v>2000</v>
      </c>
      <c r="BG98" s="197">
        <f t="shared" si="128"/>
        <v>2000</v>
      </c>
      <c r="BH98" s="197">
        <f t="shared" si="128"/>
        <v>2000</v>
      </c>
      <c r="BI98" s="197">
        <f t="shared" si="128"/>
        <v>2000</v>
      </c>
      <c r="BJ98" s="197">
        <f t="shared" si="128"/>
        <v>2000</v>
      </c>
      <c r="BK98" s="197">
        <f t="shared" si="128"/>
        <v>2000</v>
      </c>
      <c r="BL98" s="197">
        <f t="shared" si="128"/>
        <v>2000</v>
      </c>
      <c r="BM98" s="197">
        <f t="shared" si="128"/>
        <v>2000</v>
      </c>
      <c r="BN98" s="197">
        <f t="shared" si="128"/>
        <v>2000</v>
      </c>
      <c r="BO98" s="197">
        <f t="shared" si="128"/>
        <v>2000</v>
      </c>
      <c r="BP98" s="197">
        <f t="shared" si="128"/>
        <v>2000</v>
      </c>
      <c r="BQ98" s="197">
        <f t="shared" si="128"/>
        <v>2000</v>
      </c>
      <c r="BR98" s="197">
        <f t="shared" si="128"/>
        <v>2000</v>
      </c>
      <c r="BS98" s="197">
        <f t="shared" si="128"/>
        <v>2000</v>
      </c>
      <c r="BT98" s="197">
        <f t="shared" si="128"/>
        <v>2000</v>
      </c>
      <c r="BU98" s="197">
        <f t="shared" si="128"/>
        <v>2000</v>
      </c>
      <c r="BV98" s="197">
        <f t="shared" si="128"/>
        <v>2000</v>
      </c>
      <c r="BW98" s="195">
        <f t="shared" ref="BW98:BW111" si="129">SUM(O98:BV98)</f>
        <v>118000</v>
      </c>
      <c r="BX98" s="88">
        <f t="shared" si="66"/>
        <v>0</v>
      </c>
      <c r="BY98" s="57"/>
      <c r="BZ98" s="70">
        <f t="shared" si="67"/>
        <v>22000</v>
      </c>
      <c r="CA98" s="70">
        <f t="shared" si="68"/>
        <v>24000</v>
      </c>
      <c r="CB98" s="70">
        <f t="shared" si="69"/>
        <v>24000</v>
      </c>
      <c r="CC98" s="70">
        <f t="shared" si="70"/>
        <v>24000</v>
      </c>
      <c r="CD98" s="70">
        <f t="shared" si="71"/>
        <v>24000</v>
      </c>
      <c r="CE98" s="70">
        <f t="shared" si="127"/>
        <v>118000</v>
      </c>
      <c r="CF98" s="64">
        <f t="shared" si="119"/>
        <v>0</v>
      </c>
    </row>
    <row r="99" spans="1:93" ht="14.4" hidden="1" customHeight="1" outlineLevel="1" x14ac:dyDescent="0.3">
      <c r="A99" s="67" t="str">
        <f>'CC detallado'!A99</f>
        <v>3.1.4</v>
      </c>
      <c r="B99" s="67" t="str">
        <f>'CC detallado'!B99</f>
        <v>A-S</v>
      </c>
      <c r="C99" s="67">
        <f>'CC detallado'!C99</f>
        <v>145</v>
      </c>
      <c r="D99" s="67" t="str">
        <f>'CC detallado'!D99</f>
        <v>CI</v>
      </c>
      <c r="E99" s="67" t="str">
        <f>'CC detallado'!E99</f>
        <v>3CV</v>
      </c>
      <c r="F99" s="67" t="str">
        <f>'CC detallado'!F99</f>
        <v>x Tiempo</v>
      </c>
      <c r="G99" s="166" t="str">
        <f>'CC detallado'!G99</f>
        <v>Especialista en Planificación y Monitoreo</v>
      </c>
      <c r="H99" s="69">
        <f>'CC detallado'!H99</f>
        <v>1</v>
      </c>
      <c r="I99" s="75" t="str">
        <f>'CC detallado'!I99</f>
        <v>persona</v>
      </c>
      <c r="J99" s="69">
        <f>'CC detallado'!J99</f>
        <v>53</v>
      </c>
      <c r="K99" s="75" t="str">
        <f>'CC detallado'!K99</f>
        <v>meses</v>
      </c>
      <c r="L99" s="155">
        <f>'CC detallado'!L99</f>
        <v>2000</v>
      </c>
      <c r="M99" s="70">
        <f>'CC detallado'!M99</f>
        <v>106000</v>
      </c>
      <c r="N99" s="63"/>
      <c r="O99" s="196"/>
      <c r="P99" s="197">
        <f>$M$99/J99</f>
        <v>2000</v>
      </c>
      <c r="Q99" s="197">
        <f t="shared" ref="Q99:AF102" si="130">P99</f>
        <v>2000</v>
      </c>
      <c r="R99" s="197">
        <f t="shared" si="130"/>
        <v>2000</v>
      </c>
      <c r="S99" s="197">
        <f t="shared" si="130"/>
        <v>2000</v>
      </c>
      <c r="T99" s="197">
        <f t="shared" si="130"/>
        <v>2000</v>
      </c>
      <c r="U99" s="197">
        <f t="shared" si="130"/>
        <v>2000</v>
      </c>
      <c r="V99" s="197">
        <f t="shared" si="130"/>
        <v>2000</v>
      </c>
      <c r="W99" s="197">
        <f t="shared" si="130"/>
        <v>2000</v>
      </c>
      <c r="X99" s="197">
        <f t="shared" si="130"/>
        <v>2000</v>
      </c>
      <c r="Y99" s="197">
        <f t="shared" si="130"/>
        <v>2000</v>
      </c>
      <c r="Z99" s="197">
        <f t="shared" si="130"/>
        <v>2000</v>
      </c>
      <c r="AA99" s="197">
        <f t="shared" si="130"/>
        <v>2000</v>
      </c>
      <c r="AB99" s="197">
        <f t="shared" si="130"/>
        <v>2000</v>
      </c>
      <c r="AC99" s="197">
        <f t="shared" si="130"/>
        <v>2000</v>
      </c>
      <c r="AD99" s="197">
        <f t="shared" si="130"/>
        <v>2000</v>
      </c>
      <c r="AE99" s="197">
        <f t="shared" si="130"/>
        <v>2000</v>
      </c>
      <c r="AF99" s="197">
        <f t="shared" si="130"/>
        <v>2000</v>
      </c>
      <c r="AG99" s="197">
        <f t="shared" ref="R99:BP102" si="131">AF99</f>
        <v>2000</v>
      </c>
      <c r="AH99" s="197">
        <f t="shared" si="131"/>
        <v>2000</v>
      </c>
      <c r="AI99" s="197">
        <f t="shared" si="131"/>
        <v>2000</v>
      </c>
      <c r="AJ99" s="197">
        <f t="shared" si="131"/>
        <v>2000</v>
      </c>
      <c r="AK99" s="197">
        <f t="shared" si="131"/>
        <v>2000</v>
      </c>
      <c r="AL99" s="197">
        <f t="shared" si="131"/>
        <v>2000</v>
      </c>
      <c r="AM99" s="197">
        <f t="shared" si="131"/>
        <v>2000</v>
      </c>
      <c r="AN99" s="197">
        <f t="shared" si="131"/>
        <v>2000</v>
      </c>
      <c r="AO99" s="197">
        <f t="shared" si="131"/>
        <v>2000</v>
      </c>
      <c r="AP99" s="197">
        <f t="shared" si="131"/>
        <v>2000</v>
      </c>
      <c r="AQ99" s="197">
        <f t="shared" si="131"/>
        <v>2000</v>
      </c>
      <c r="AR99" s="197">
        <f t="shared" si="131"/>
        <v>2000</v>
      </c>
      <c r="AS99" s="197">
        <f t="shared" si="131"/>
        <v>2000</v>
      </c>
      <c r="AT99" s="197">
        <f t="shared" si="131"/>
        <v>2000</v>
      </c>
      <c r="AU99" s="197">
        <f t="shared" si="131"/>
        <v>2000</v>
      </c>
      <c r="AV99" s="197">
        <f t="shared" si="131"/>
        <v>2000</v>
      </c>
      <c r="AW99" s="197">
        <f t="shared" si="131"/>
        <v>2000</v>
      </c>
      <c r="AX99" s="197">
        <f t="shared" si="131"/>
        <v>2000</v>
      </c>
      <c r="AY99" s="197">
        <f t="shared" si="131"/>
        <v>2000</v>
      </c>
      <c r="AZ99" s="197">
        <f t="shared" si="131"/>
        <v>2000</v>
      </c>
      <c r="BA99" s="197">
        <f t="shared" si="131"/>
        <v>2000</v>
      </c>
      <c r="BB99" s="197">
        <f t="shared" si="131"/>
        <v>2000</v>
      </c>
      <c r="BC99" s="197">
        <f t="shared" si="131"/>
        <v>2000</v>
      </c>
      <c r="BD99" s="197">
        <f t="shared" si="131"/>
        <v>2000</v>
      </c>
      <c r="BE99" s="197">
        <f t="shared" si="131"/>
        <v>2000</v>
      </c>
      <c r="BF99" s="197">
        <f t="shared" si="131"/>
        <v>2000</v>
      </c>
      <c r="BG99" s="197">
        <f t="shared" si="131"/>
        <v>2000</v>
      </c>
      <c r="BH99" s="197">
        <f t="shared" si="131"/>
        <v>2000</v>
      </c>
      <c r="BI99" s="197">
        <f t="shared" si="131"/>
        <v>2000</v>
      </c>
      <c r="BJ99" s="197">
        <f t="shared" si="131"/>
        <v>2000</v>
      </c>
      <c r="BK99" s="197">
        <f t="shared" si="131"/>
        <v>2000</v>
      </c>
      <c r="BL99" s="197">
        <f t="shared" si="131"/>
        <v>2000</v>
      </c>
      <c r="BM99" s="197">
        <f t="shared" si="131"/>
        <v>2000</v>
      </c>
      <c r="BN99" s="197">
        <f t="shared" si="131"/>
        <v>2000</v>
      </c>
      <c r="BO99" s="197">
        <f t="shared" si="131"/>
        <v>2000</v>
      </c>
      <c r="BP99" s="197">
        <f t="shared" si="131"/>
        <v>2000</v>
      </c>
      <c r="BQ99" s="197">
        <v>0</v>
      </c>
      <c r="BR99" s="197">
        <v>0</v>
      </c>
      <c r="BS99" s="197">
        <v>0</v>
      </c>
      <c r="BT99" s="197">
        <v>0</v>
      </c>
      <c r="BU99" s="197">
        <v>0</v>
      </c>
      <c r="BV99" s="197">
        <v>0</v>
      </c>
      <c r="BW99" s="195">
        <f t="shared" si="129"/>
        <v>106000</v>
      </c>
      <c r="BX99" s="88">
        <f t="shared" si="66"/>
        <v>0</v>
      </c>
      <c r="BY99" s="57"/>
      <c r="BZ99" s="70">
        <f t="shared" si="67"/>
        <v>22000</v>
      </c>
      <c r="CA99" s="70">
        <f t="shared" si="68"/>
        <v>24000</v>
      </c>
      <c r="CB99" s="70">
        <f t="shared" si="69"/>
        <v>24000</v>
      </c>
      <c r="CC99" s="70">
        <f t="shared" si="70"/>
        <v>24000</v>
      </c>
      <c r="CD99" s="70">
        <f t="shared" si="71"/>
        <v>12000</v>
      </c>
      <c r="CE99" s="70">
        <f t="shared" si="127"/>
        <v>106000</v>
      </c>
      <c r="CF99" s="64">
        <f t="shared" si="119"/>
        <v>0</v>
      </c>
    </row>
    <row r="100" spans="1:93" ht="14.4" hidden="1" customHeight="1" outlineLevel="1" x14ac:dyDescent="0.3">
      <c r="A100" s="67" t="str">
        <f>'CC detallado'!A100</f>
        <v>3.1.5</v>
      </c>
      <c r="B100" s="67" t="str">
        <f>'CC detallado'!B100</f>
        <v>A-S</v>
      </c>
      <c r="C100" s="67">
        <f>'CC detallado'!C100</f>
        <v>145</v>
      </c>
      <c r="D100" s="67" t="str">
        <f>'CC detallado'!D100</f>
        <v>CI</v>
      </c>
      <c r="E100" s="67" t="str">
        <f>'CC detallado'!E100</f>
        <v>3CV</v>
      </c>
      <c r="F100" s="67" t="str">
        <f>'CC detallado'!F100</f>
        <v>x Tiempo</v>
      </c>
      <c r="G100" s="166" t="str">
        <f>'CC detallado'!G100</f>
        <v>Especialista en Adquisiciones y Contrataciones</v>
      </c>
      <c r="H100" s="69">
        <f>'CC detallado'!H100</f>
        <v>1</v>
      </c>
      <c r="I100" s="75" t="str">
        <f>'CC detallado'!I100</f>
        <v>persona</v>
      </c>
      <c r="J100" s="69">
        <f>'CC detallado'!J100</f>
        <v>48</v>
      </c>
      <c r="K100" s="75" t="str">
        <f>'CC detallado'!K100</f>
        <v>meses</v>
      </c>
      <c r="L100" s="155">
        <f>'CC detallado'!L100</f>
        <v>2000</v>
      </c>
      <c r="M100" s="70">
        <f>'CC detallado'!M100</f>
        <v>96000</v>
      </c>
      <c r="N100" s="63"/>
      <c r="O100" s="196"/>
      <c r="P100" s="197">
        <f>$M$100/J100</f>
        <v>2000</v>
      </c>
      <c r="Q100" s="197">
        <f t="shared" si="130"/>
        <v>2000</v>
      </c>
      <c r="R100" s="197">
        <f t="shared" si="131"/>
        <v>2000</v>
      </c>
      <c r="S100" s="197">
        <f t="shared" si="131"/>
        <v>2000</v>
      </c>
      <c r="T100" s="197">
        <f t="shared" si="131"/>
        <v>2000</v>
      </c>
      <c r="U100" s="197">
        <f t="shared" si="131"/>
        <v>2000</v>
      </c>
      <c r="V100" s="197">
        <f t="shared" si="131"/>
        <v>2000</v>
      </c>
      <c r="W100" s="197">
        <f t="shared" si="131"/>
        <v>2000</v>
      </c>
      <c r="X100" s="197">
        <f t="shared" si="131"/>
        <v>2000</v>
      </c>
      <c r="Y100" s="197">
        <f t="shared" si="131"/>
        <v>2000</v>
      </c>
      <c r="Z100" s="197">
        <f t="shared" si="131"/>
        <v>2000</v>
      </c>
      <c r="AA100" s="197">
        <f t="shared" si="131"/>
        <v>2000</v>
      </c>
      <c r="AB100" s="197">
        <f t="shared" si="131"/>
        <v>2000</v>
      </c>
      <c r="AC100" s="197">
        <f t="shared" si="131"/>
        <v>2000</v>
      </c>
      <c r="AD100" s="197">
        <f t="shared" si="131"/>
        <v>2000</v>
      </c>
      <c r="AE100" s="197">
        <f t="shared" si="131"/>
        <v>2000</v>
      </c>
      <c r="AF100" s="197">
        <f t="shared" si="131"/>
        <v>2000</v>
      </c>
      <c r="AG100" s="197">
        <f t="shared" si="131"/>
        <v>2000</v>
      </c>
      <c r="AH100" s="197">
        <f t="shared" si="131"/>
        <v>2000</v>
      </c>
      <c r="AI100" s="197">
        <f t="shared" si="131"/>
        <v>2000</v>
      </c>
      <c r="AJ100" s="197">
        <f t="shared" si="131"/>
        <v>2000</v>
      </c>
      <c r="AK100" s="197">
        <f t="shared" si="131"/>
        <v>2000</v>
      </c>
      <c r="AL100" s="197">
        <f t="shared" si="131"/>
        <v>2000</v>
      </c>
      <c r="AM100" s="197">
        <f t="shared" si="131"/>
        <v>2000</v>
      </c>
      <c r="AN100" s="197">
        <f t="shared" si="131"/>
        <v>2000</v>
      </c>
      <c r="AO100" s="197">
        <f t="shared" si="131"/>
        <v>2000</v>
      </c>
      <c r="AP100" s="197">
        <f t="shared" si="131"/>
        <v>2000</v>
      </c>
      <c r="AQ100" s="197">
        <f t="shared" si="131"/>
        <v>2000</v>
      </c>
      <c r="AR100" s="197">
        <f t="shared" si="131"/>
        <v>2000</v>
      </c>
      <c r="AS100" s="197">
        <f t="shared" si="131"/>
        <v>2000</v>
      </c>
      <c r="AT100" s="197">
        <f t="shared" si="131"/>
        <v>2000</v>
      </c>
      <c r="AU100" s="197">
        <f t="shared" si="131"/>
        <v>2000</v>
      </c>
      <c r="AV100" s="197">
        <f t="shared" si="131"/>
        <v>2000</v>
      </c>
      <c r="AW100" s="197">
        <f t="shared" si="131"/>
        <v>2000</v>
      </c>
      <c r="AX100" s="197">
        <f t="shared" si="131"/>
        <v>2000</v>
      </c>
      <c r="AY100" s="197">
        <f t="shared" si="131"/>
        <v>2000</v>
      </c>
      <c r="AZ100" s="197">
        <f t="shared" si="131"/>
        <v>2000</v>
      </c>
      <c r="BA100" s="197">
        <f t="shared" si="131"/>
        <v>2000</v>
      </c>
      <c r="BB100" s="197">
        <f t="shared" si="131"/>
        <v>2000</v>
      </c>
      <c r="BC100" s="197">
        <f t="shared" si="131"/>
        <v>2000</v>
      </c>
      <c r="BD100" s="197">
        <f t="shared" si="131"/>
        <v>2000</v>
      </c>
      <c r="BE100" s="197">
        <f t="shared" si="131"/>
        <v>2000</v>
      </c>
      <c r="BF100" s="197">
        <f t="shared" si="131"/>
        <v>2000</v>
      </c>
      <c r="BG100" s="197">
        <f t="shared" si="131"/>
        <v>2000</v>
      </c>
      <c r="BH100" s="197">
        <f t="shared" si="131"/>
        <v>2000</v>
      </c>
      <c r="BI100" s="197">
        <f t="shared" si="131"/>
        <v>2000</v>
      </c>
      <c r="BJ100" s="197">
        <f t="shared" si="131"/>
        <v>2000</v>
      </c>
      <c r="BK100" s="197">
        <f t="shared" si="131"/>
        <v>2000</v>
      </c>
      <c r="BL100" s="197">
        <v>0</v>
      </c>
      <c r="BM100" s="197">
        <f t="shared" si="131"/>
        <v>0</v>
      </c>
      <c r="BN100" s="197">
        <f t="shared" si="131"/>
        <v>0</v>
      </c>
      <c r="BO100" s="197">
        <f t="shared" si="131"/>
        <v>0</v>
      </c>
      <c r="BP100" s="197">
        <f t="shared" si="131"/>
        <v>0</v>
      </c>
      <c r="BQ100" s="197">
        <v>0</v>
      </c>
      <c r="BR100" s="197">
        <v>0</v>
      </c>
      <c r="BS100" s="197">
        <v>0</v>
      </c>
      <c r="BT100" s="197">
        <v>0</v>
      </c>
      <c r="BU100" s="197">
        <v>0</v>
      </c>
      <c r="BV100" s="197">
        <v>0</v>
      </c>
      <c r="BW100" s="195">
        <f t="shared" si="129"/>
        <v>96000</v>
      </c>
      <c r="BX100" s="88">
        <f t="shared" si="66"/>
        <v>0</v>
      </c>
      <c r="BY100" s="57"/>
      <c r="BZ100" s="70">
        <f t="shared" si="67"/>
        <v>22000</v>
      </c>
      <c r="CA100" s="70">
        <f t="shared" si="68"/>
        <v>24000</v>
      </c>
      <c r="CB100" s="70">
        <f t="shared" si="69"/>
        <v>24000</v>
      </c>
      <c r="CC100" s="70">
        <f t="shared" si="70"/>
        <v>24000</v>
      </c>
      <c r="CD100" s="70">
        <f t="shared" si="71"/>
        <v>2000</v>
      </c>
      <c r="CE100" s="70">
        <f t="shared" si="127"/>
        <v>96000</v>
      </c>
      <c r="CF100" s="64">
        <f t="shared" si="119"/>
        <v>0</v>
      </c>
    </row>
    <row r="101" spans="1:93" ht="14.4" hidden="1" customHeight="1" outlineLevel="1" x14ac:dyDescent="0.3">
      <c r="A101" s="67" t="str">
        <f>'CC detallado'!A101</f>
        <v>3.1.6</v>
      </c>
      <c r="B101" s="67" t="str">
        <f>'CC detallado'!B101</f>
        <v>A-S</v>
      </c>
      <c r="C101" s="67">
        <f>'CC detallado'!C101</f>
        <v>145</v>
      </c>
      <c r="D101" s="67" t="str">
        <f>'CC detallado'!D101</f>
        <v>CI</v>
      </c>
      <c r="E101" s="67" t="str">
        <f>'CC detallado'!E101</f>
        <v>3CV</v>
      </c>
      <c r="F101" s="67" t="str">
        <f>'CC detallado'!F101</f>
        <v>x Tiempo</v>
      </c>
      <c r="G101" s="166" t="str">
        <f>'CC detallado'!G101</f>
        <v>Especialista Financiero</v>
      </c>
      <c r="H101" s="69">
        <f>'CC detallado'!H101</f>
        <v>2</v>
      </c>
      <c r="I101" s="75" t="str">
        <f>'CC detallado'!I101</f>
        <v>funcionario SENACSA</v>
      </c>
      <c r="J101" s="69">
        <f>'CC detallado'!J101</f>
        <v>59</v>
      </c>
      <c r="K101" s="75" t="str">
        <f>'CC detallado'!K101</f>
        <v>meses</v>
      </c>
      <c r="L101" s="155">
        <f>'CC detallado'!L101</f>
        <v>0</v>
      </c>
      <c r="M101" s="70">
        <f>'CC detallado'!M101</f>
        <v>0</v>
      </c>
      <c r="N101" s="63"/>
      <c r="O101" s="196"/>
      <c r="P101" s="197">
        <f>$M$101/J101</f>
        <v>0</v>
      </c>
      <c r="Q101" s="197">
        <f t="shared" si="130"/>
        <v>0</v>
      </c>
      <c r="R101" s="197">
        <f t="shared" si="131"/>
        <v>0</v>
      </c>
      <c r="S101" s="197">
        <f t="shared" si="131"/>
        <v>0</v>
      </c>
      <c r="T101" s="197">
        <f t="shared" si="131"/>
        <v>0</v>
      </c>
      <c r="U101" s="197">
        <f t="shared" si="131"/>
        <v>0</v>
      </c>
      <c r="V101" s="197">
        <f t="shared" si="131"/>
        <v>0</v>
      </c>
      <c r="W101" s="197">
        <f t="shared" si="131"/>
        <v>0</v>
      </c>
      <c r="X101" s="197">
        <f t="shared" si="131"/>
        <v>0</v>
      </c>
      <c r="Y101" s="197">
        <f t="shared" si="131"/>
        <v>0</v>
      </c>
      <c r="Z101" s="197">
        <f t="shared" si="131"/>
        <v>0</v>
      </c>
      <c r="AA101" s="197">
        <f t="shared" si="131"/>
        <v>0</v>
      </c>
      <c r="AB101" s="197">
        <f t="shared" si="131"/>
        <v>0</v>
      </c>
      <c r="AC101" s="197">
        <f t="shared" si="131"/>
        <v>0</v>
      </c>
      <c r="AD101" s="197">
        <f t="shared" si="131"/>
        <v>0</v>
      </c>
      <c r="AE101" s="197">
        <f t="shared" si="131"/>
        <v>0</v>
      </c>
      <c r="AF101" s="197">
        <f t="shared" si="131"/>
        <v>0</v>
      </c>
      <c r="AG101" s="197">
        <f t="shared" si="131"/>
        <v>0</v>
      </c>
      <c r="AH101" s="197">
        <f t="shared" si="131"/>
        <v>0</v>
      </c>
      <c r="AI101" s="197">
        <f t="shared" si="131"/>
        <v>0</v>
      </c>
      <c r="AJ101" s="197">
        <f t="shared" si="131"/>
        <v>0</v>
      </c>
      <c r="AK101" s="197">
        <f t="shared" si="131"/>
        <v>0</v>
      </c>
      <c r="AL101" s="197">
        <f t="shared" si="131"/>
        <v>0</v>
      </c>
      <c r="AM101" s="197">
        <f t="shared" si="131"/>
        <v>0</v>
      </c>
      <c r="AN101" s="197">
        <f t="shared" si="131"/>
        <v>0</v>
      </c>
      <c r="AO101" s="197">
        <f t="shared" si="131"/>
        <v>0</v>
      </c>
      <c r="AP101" s="197">
        <f t="shared" si="131"/>
        <v>0</v>
      </c>
      <c r="AQ101" s="197">
        <f t="shared" si="131"/>
        <v>0</v>
      </c>
      <c r="AR101" s="197">
        <f t="shared" si="131"/>
        <v>0</v>
      </c>
      <c r="AS101" s="197">
        <f t="shared" si="131"/>
        <v>0</v>
      </c>
      <c r="AT101" s="197">
        <f t="shared" si="131"/>
        <v>0</v>
      </c>
      <c r="AU101" s="197">
        <f t="shared" si="131"/>
        <v>0</v>
      </c>
      <c r="AV101" s="197">
        <f t="shared" si="131"/>
        <v>0</v>
      </c>
      <c r="AW101" s="197">
        <f t="shared" si="131"/>
        <v>0</v>
      </c>
      <c r="AX101" s="197">
        <f t="shared" si="131"/>
        <v>0</v>
      </c>
      <c r="AY101" s="197">
        <f t="shared" si="131"/>
        <v>0</v>
      </c>
      <c r="AZ101" s="197">
        <f t="shared" si="131"/>
        <v>0</v>
      </c>
      <c r="BA101" s="197">
        <f t="shared" si="131"/>
        <v>0</v>
      </c>
      <c r="BB101" s="197">
        <f t="shared" si="131"/>
        <v>0</v>
      </c>
      <c r="BC101" s="197">
        <f t="shared" si="131"/>
        <v>0</v>
      </c>
      <c r="BD101" s="197">
        <f t="shared" si="131"/>
        <v>0</v>
      </c>
      <c r="BE101" s="197">
        <f t="shared" si="131"/>
        <v>0</v>
      </c>
      <c r="BF101" s="197">
        <f t="shared" si="131"/>
        <v>0</v>
      </c>
      <c r="BG101" s="197">
        <f t="shared" si="131"/>
        <v>0</v>
      </c>
      <c r="BH101" s="197">
        <f t="shared" si="131"/>
        <v>0</v>
      </c>
      <c r="BI101" s="197">
        <f t="shared" si="131"/>
        <v>0</v>
      </c>
      <c r="BJ101" s="197">
        <f t="shared" si="131"/>
        <v>0</v>
      </c>
      <c r="BK101" s="197">
        <f t="shared" si="131"/>
        <v>0</v>
      </c>
      <c r="BL101" s="197">
        <f t="shared" si="131"/>
        <v>0</v>
      </c>
      <c r="BM101" s="197">
        <f t="shared" si="131"/>
        <v>0</v>
      </c>
      <c r="BN101" s="197">
        <f t="shared" si="131"/>
        <v>0</v>
      </c>
      <c r="BO101" s="197">
        <f t="shared" si="131"/>
        <v>0</v>
      </c>
      <c r="BP101" s="197">
        <f t="shared" si="131"/>
        <v>0</v>
      </c>
      <c r="BQ101" s="197">
        <f t="shared" ref="BQ101:BV101" si="132">BP101</f>
        <v>0</v>
      </c>
      <c r="BR101" s="197">
        <f t="shared" si="132"/>
        <v>0</v>
      </c>
      <c r="BS101" s="197">
        <f t="shared" si="132"/>
        <v>0</v>
      </c>
      <c r="BT101" s="197">
        <f t="shared" si="132"/>
        <v>0</v>
      </c>
      <c r="BU101" s="197">
        <f t="shared" si="132"/>
        <v>0</v>
      </c>
      <c r="BV101" s="197">
        <f t="shared" si="132"/>
        <v>0</v>
      </c>
      <c r="BW101" s="195">
        <f t="shared" si="129"/>
        <v>0</v>
      </c>
      <c r="BX101" s="88">
        <f t="shared" si="66"/>
        <v>0</v>
      </c>
      <c r="BY101" s="57"/>
      <c r="BZ101" s="70">
        <f t="shared" si="67"/>
        <v>0</v>
      </c>
      <c r="CA101" s="70">
        <f t="shared" si="68"/>
        <v>0</v>
      </c>
      <c r="CB101" s="70">
        <f t="shared" si="69"/>
        <v>0</v>
      </c>
      <c r="CC101" s="70">
        <f t="shared" si="70"/>
        <v>0</v>
      </c>
      <c r="CD101" s="70">
        <f t="shared" si="71"/>
        <v>0</v>
      </c>
      <c r="CE101" s="70">
        <f t="shared" ref="CE101:CE102" si="133">SUM(BZ101:CD101)</f>
        <v>0</v>
      </c>
      <c r="CF101" s="64">
        <f t="shared" si="76"/>
        <v>0</v>
      </c>
    </row>
    <row r="102" spans="1:93" ht="14.4" hidden="1" customHeight="1" outlineLevel="1" x14ac:dyDescent="0.3">
      <c r="A102" s="67" t="str">
        <f>'CC detallado'!A102</f>
        <v>3.1.7</v>
      </c>
      <c r="B102" s="67" t="str">
        <f>'CC detallado'!B102</f>
        <v>A-S</v>
      </c>
      <c r="C102" s="67">
        <f>'CC detallado'!C102</f>
        <v>145</v>
      </c>
      <c r="D102" s="67" t="str">
        <f>'CC detallado'!D102</f>
        <v>CI</v>
      </c>
      <c r="E102" s="67" t="str">
        <f>'CC detallado'!E102</f>
        <v>3CV</v>
      </c>
      <c r="F102" s="67" t="str">
        <f>'CC detallado'!F102</f>
        <v>x Tiempo</v>
      </c>
      <c r="G102" s="166" t="str">
        <f>'CC detallado'!G102</f>
        <v>Especialista Socioambiental</v>
      </c>
      <c r="H102" s="69">
        <f>'CC detallado'!H102</f>
        <v>1</v>
      </c>
      <c r="I102" s="75" t="str">
        <f>'CC detallado'!I102</f>
        <v>persona</v>
      </c>
      <c r="J102" s="69">
        <f>'CC detallado'!J102</f>
        <v>48</v>
      </c>
      <c r="K102" s="75" t="str">
        <f>'CC detallado'!K102</f>
        <v>meses</v>
      </c>
      <c r="L102" s="155">
        <f>'CC detallado'!L102</f>
        <v>1500</v>
      </c>
      <c r="M102" s="70">
        <f>'CC detallado'!M102</f>
        <v>72000</v>
      </c>
      <c r="N102" s="63"/>
      <c r="O102" s="196"/>
      <c r="P102" s="197">
        <f>$M$102/J102</f>
        <v>1500</v>
      </c>
      <c r="Q102" s="197">
        <f t="shared" si="130"/>
        <v>1500</v>
      </c>
      <c r="R102" s="197">
        <f t="shared" si="131"/>
        <v>1500</v>
      </c>
      <c r="S102" s="197">
        <f t="shared" si="131"/>
        <v>1500</v>
      </c>
      <c r="T102" s="197">
        <f t="shared" si="131"/>
        <v>1500</v>
      </c>
      <c r="U102" s="197">
        <f t="shared" si="131"/>
        <v>1500</v>
      </c>
      <c r="V102" s="197">
        <f t="shared" si="131"/>
        <v>1500</v>
      </c>
      <c r="W102" s="197">
        <f t="shared" si="131"/>
        <v>1500</v>
      </c>
      <c r="X102" s="197">
        <f t="shared" si="131"/>
        <v>1500</v>
      </c>
      <c r="Y102" s="197">
        <f t="shared" si="131"/>
        <v>1500</v>
      </c>
      <c r="Z102" s="197">
        <f t="shared" si="131"/>
        <v>1500</v>
      </c>
      <c r="AA102" s="197">
        <f t="shared" si="131"/>
        <v>1500</v>
      </c>
      <c r="AB102" s="197">
        <f t="shared" si="131"/>
        <v>1500</v>
      </c>
      <c r="AC102" s="197">
        <f t="shared" si="131"/>
        <v>1500</v>
      </c>
      <c r="AD102" s="197">
        <f t="shared" si="131"/>
        <v>1500</v>
      </c>
      <c r="AE102" s="197">
        <f t="shared" si="131"/>
        <v>1500</v>
      </c>
      <c r="AF102" s="197">
        <f t="shared" si="131"/>
        <v>1500</v>
      </c>
      <c r="AG102" s="197">
        <f t="shared" si="131"/>
        <v>1500</v>
      </c>
      <c r="AH102" s="197">
        <f t="shared" si="131"/>
        <v>1500</v>
      </c>
      <c r="AI102" s="197">
        <f t="shared" si="131"/>
        <v>1500</v>
      </c>
      <c r="AJ102" s="197">
        <f t="shared" si="131"/>
        <v>1500</v>
      </c>
      <c r="AK102" s="197">
        <f t="shared" si="131"/>
        <v>1500</v>
      </c>
      <c r="AL102" s="197">
        <f t="shared" si="131"/>
        <v>1500</v>
      </c>
      <c r="AM102" s="197">
        <f t="shared" si="131"/>
        <v>1500</v>
      </c>
      <c r="AN102" s="197">
        <f t="shared" si="131"/>
        <v>1500</v>
      </c>
      <c r="AO102" s="197">
        <f t="shared" si="131"/>
        <v>1500</v>
      </c>
      <c r="AP102" s="197">
        <f t="shared" si="131"/>
        <v>1500</v>
      </c>
      <c r="AQ102" s="197">
        <f t="shared" si="131"/>
        <v>1500</v>
      </c>
      <c r="AR102" s="197">
        <f t="shared" si="131"/>
        <v>1500</v>
      </c>
      <c r="AS102" s="197">
        <f t="shared" si="131"/>
        <v>1500</v>
      </c>
      <c r="AT102" s="197">
        <f t="shared" si="131"/>
        <v>1500</v>
      </c>
      <c r="AU102" s="197">
        <f t="shared" si="131"/>
        <v>1500</v>
      </c>
      <c r="AV102" s="197">
        <f t="shared" si="131"/>
        <v>1500</v>
      </c>
      <c r="AW102" s="197">
        <f t="shared" si="131"/>
        <v>1500</v>
      </c>
      <c r="AX102" s="197">
        <f t="shared" si="131"/>
        <v>1500</v>
      </c>
      <c r="AY102" s="197">
        <f t="shared" si="131"/>
        <v>1500</v>
      </c>
      <c r="AZ102" s="197">
        <f t="shared" si="131"/>
        <v>1500</v>
      </c>
      <c r="BA102" s="197">
        <f t="shared" si="131"/>
        <v>1500</v>
      </c>
      <c r="BB102" s="197">
        <f t="shared" si="131"/>
        <v>1500</v>
      </c>
      <c r="BC102" s="197">
        <f t="shared" si="131"/>
        <v>1500</v>
      </c>
      <c r="BD102" s="197">
        <f t="shared" si="131"/>
        <v>1500</v>
      </c>
      <c r="BE102" s="197">
        <f t="shared" si="131"/>
        <v>1500</v>
      </c>
      <c r="BF102" s="197">
        <f t="shared" si="131"/>
        <v>1500</v>
      </c>
      <c r="BG102" s="197">
        <f t="shared" si="131"/>
        <v>1500</v>
      </c>
      <c r="BH102" s="197">
        <f t="shared" si="131"/>
        <v>1500</v>
      </c>
      <c r="BI102" s="197">
        <f t="shared" si="131"/>
        <v>1500</v>
      </c>
      <c r="BJ102" s="197">
        <f t="shared" si="131"/>
        <v>1500</v>
      </c>
      <c r="BK102" s="197">
        <f t="shared" si="131"/>
        <v>1500</v>
      </c>
      <c r="BL102" s="197">
        <v>0</v>
      </c>
      <c r="BM102" s="197">
        <v>0</v>
      </c>
      <c r="BN102" s="197">
        <v>0</v>
      </c>
      <c r="BO102" s="197">
        <v>0</v>
      </c>
      <c r="BP102" s="197">
        <v>0</v>
      </c>
      <c r="BQ102" s="197">
        <v>0</v>
      </c>
      <c r="BR102" s="197">
        <v>0</v>
      </c>
      <c r="BS102" s="197">
        <v>0</v>
      </c>
      <c r="BT102" s="197">
        <v>0</v>
      </c>
      <c r="BU102" s="197">
        <v>0</v>
      </c>
      <c r="BV102" s="197">
        <v>0</v>
      </c>
      <c r="BW102" s="195">
        <f t="shared" ref="BW102" si="134">SUM(O102:BV102)</f>
        <v>72000</v>
      </c>
      <c r="BX102" s="88">
        <f t="shared" si="66"/>
        <v>0</v>
      </c>
      <c r="BY102" s="57"/>
      <c r="BZ102" s="70">
        <f t="shared" si="67"/>
        <v>16500</v>
      </c>
      <c r="CA102" s="70">
        <f t="shared" si="68"/>
        <v>18000</v>
      </c>
      <c r="CB102" s="70">
        <f t="shared" si="69"/>
        <v>18000</v>
      </c>
      <c r="CC102" s="70">
        <f t="shared" si="70"/>
        <v>18000</v>
      </c>
      <c r="CD102" s="70">
        <f t="shared" si="71"/>
        <v>1500</v>
      </c>
      <c r="CE102" s="70">
        <f t="shared" si="133"/>
        <v>72000</v>
      </c>
      <c r="CF102" s="64">
        <f t="shared" si="76"/>
        <v>0</v>
      </c>
    </row>
    <row r="103" spans="1:93" ht="14.4" hidden="1" customHeight="1" outlineLevel="1" x14ac:dyDescent="0.3">
      <c r="A103" s="67" t="str">
        <f>'CC detallado'!A103</f>
        <v>3.1.8</v>
      </c>
      <c r="B103" s="67">
        <f>'CC detallado'!B103</f>
        <v>0</v>
      </c>
      <c r="C103" s="67">
        <f>'CC detallado'!C103</f>
        <v>0</v>
      </c>
      <c r="D103" s="67">
        <f>'CC detallado'!D103</f>
        <v>0</v>
      </c>
      <c r="E103" s="67">
        <f>'CC detallado'!E103</f>
        <v>0</v>
      </c>
      <c r="F103" s="67">
        <f>'CC detallado'!F103</f>
        <v>0</v>
      </c>
      <c r="G103" s="166" t="str">
        <f>'CC detallado'!G103</f>
        <v>Elaboración de SIGAS</v>
      </c>
      <c r="H103" s="69">
        <f>'CC detallado'!H103</f>
        <v>1</v>
      </c>
      <c r="I103" s="75" t="str">
        <f>'CC detallado'!I103</f>
        <v>persona</v>
      </c>
      <c r="J103" s="69">
        <f>'CC detallado'!J103</f>
        <v>6</v>
      </c>
      <c r="K103" s="75" t="str">
        <f>'CC detallado'!K103</f>
        <v>meses</v>
      </c>
      <c r="L103" s="155">
        <f>'CC detallado'!L103</f>
        <v>4000</v>
      </c>
      <c r="M103" s="70">
        <f>'CC detallado'!M103</f>
        <v>24000</v>
      </c>
      <c r="N103" s="63"/>
      <c r="O103" s="196"/>
      <c r="P103" s="197">
        <v>4000</v>
      </c>
      <c r="Q103" s="197">
        <f t="shared" ref="Q103" si="135">P103</f>
        <v>4000</v>
      </c>
      <c r="R103" s="197">
        <f t="shared" ref="R103" si="136">Q103</f>
        <v>4000</v>
      </c>
      <c r="S103" s="197">
        <f t="shared" ref="S103" si="137">R103</f>
        <v>4000</v>
      </c>
      <c r="T103" s="197">
        <f t="shared" ref="T103" si="138">S103</f>
        <v>4000</v>
      </c>
      <c r="U103" s="197">
        <f t="shared" ref="U103" si="139">T103</f>
        <v>4000</v>
      </c>
      <c r="V103" s="195">
        <v>0</v>
      </c>
      <c r="W103" s="195">
        <v>0</v>
      </c>
      <c r="X103" s="195">
        <v>0</v>
      </c>
      <c r="Y103" s="195">
        <f t="shared" ref="Y103" si="140">X103</f>
        <v>0</v>
      </c>
      <c r="Z103" s="195">
        <f t="shared" ref="Z103" si="141">Y103</f>
        <v>0</v>
      </c>
      <c r="AA103" s="195">
        <v>0</v>
      </c>
      <c r="AB103" s="195">
        <v>0</v>
      </c>
      <c r="AC103" s="195">
        <v>0</v>
      </c>
      <c r="AD103" s="195">
        <v>0</v>
      </c>
      <c r="AE103" s="195">
        <v>0</v>
      </c>
      <c r="AF103" s="195">
        <v>0</v>
      </c>
      <c r="AG103" s="195">
        <v>0</v>
      </c>
      <c r="AH103" s="195">
        <v>0</v>
      </c>
      <c r="AI103" s="195">
        <v>0</v>
      </c>
      <c r="AJ103" s="195">
        <v>0</v>
      </c>
      <c r="AK103" s="195">
        <v>0</v>
      </c>
      <c r="AL103" s="195">
        <v>0</v>
      </c>
      <c r="AM103" s="195">
        <v>0</v>
      </c>
      <c r="AN103" s="195">
        <v>0</v>
      </c>
      <c r="AO103" s="195">
        <v>0</v>
      </c>
      <c r="AP103" s="195">
        <v>0</v>
      </c>
      <c r="AQ103" s="195">
        <v>0</v>
      </c>
      <c r="AR103" s="195">
        <v>0</v>
      </c>
      <c r="AS103" s="195">
        <v>0</v>
      </c>
      <c r="AT103" s="195">
        <v>0</v>
      </c>
      <c r="AU103" s="195">
        <v>0</v>
      </c>
      <c r="AV103" s="195">
        <v>0</v>
      </c>
      <c r="AW103" s="195">
        <v>0</v>
      </c>
      <c r="AX103" s="195">
        <v>0</v>
      </c>
      <c r="AY103" s="195">
        <v>0</v>
      </c>
      <c r="AZ103" s="195">
        <v>0</v>
      </c>
      <c r="BA103" s="195">
        <v>0</v>
      </c>
      <c r="BB103" s="195">
        <v>0</v>
      </c>
      <c r="BC103" s="195">
        <v>0</v>
      </c>
      <c r="BD103" s="195">
        <v>0</v>
      </c>
      <c r="BE103" s="195">
        <v>0</v>
      </c>
      <c r="BF103" s="195">
        <v>0</v>
      </c>
      <c r="BG103" s="195">
        <v>0</v>
      </c>
      <c r="BH103" s="195">
        <v>0</v>
      </c>
      <c r="BI103" s="195">
        <v>0</v>
      </c>
      <c r="BJ103" s="195">
        <v>0</v>
      </c>
      <c r="BK103" s="195">
        <v>0</v>
      </c>
      <c r="BL103" s="195">
        <v>0</v>
      </c>
      <c r="BM103" s="195">
        <v>0</v>
      </c>
      <c r="BN103" s="195">
        <v>0</v>
      </c>
      <c r="BO103" s="195">
        <v>0</v>
      </c>
      <c r="BP103" s="195">
        <v>0</v>
      </c>
      <c r="BQ103" s="195">
        <v>0</v>
      </c>
      <c r="BR103" s="195">
        <v>0</v>
      </c>
      <c r="BS103" s="195">
        <v>0</v>
      </c>
      <c r="BT103" s="195">
        <v>0</v>
      </c>
      <c r="BU103" s="195">
        <v>0</v>
      </c>
      <c r="BV103" s="195">
        <v>0</v>
      </c>
      <c r="BW103" s="195">
        <f t="shared" ref="BW103" si="142">SUM(O103:BV103)</f>
        <v>24000</v>
      </c>
      <c r="BX103" s="88">
        <f t="shared" ref="BX103" si="143">BW103-M103</f>
        <v>0</v>
      </c>
      <c r="BY103" s="57"/>
      <c r="BZ103" s="70">
        <f t="shared" ref="BZ103" si="144">SUM(O103:Z103)</f>
        <v>24000</v>
      </c>
      <c r="CA103" s="70">
        <f t="shared" ref="CA103" si="145">SUM(AA103:AL103)</f>
        <v>0</v>
      </c>
      <c r="CB103" s="70">
        <f t="shared" ref="CB103" si="146">SUM(AM103:AX103)</f>
        <v>0</v>
      </c>
      <c r="CC103" s="70">
        <f t="shared" ref="CC103" si="147">SUM(AY103:BJ103)</f>
        <v>0</v>
      </c>
      <c r="CD103" s="70">
        <f t="shared" ref="CD103" si="148">SUM(BK103:BV103)</f>
        <v>0</v>
      </c>
      <c r="CE103" s="70">
        <f t="shared" ref="CE103" si="149">SUM(BZ103:CD103)</f>
        <v>24000</v>
      </c>
      <c r="CF103" s="64">
        <f t="shared" ref="CF103" si="150">BW103-CE103</f>
        <v>0</v>
      </c>
    </row>
    <row r="104" spans="1:93" s="58" customFormat="1" ht="14.4" customHeight="1" collapsed="1" x14ac:dyDescent="0.3">
      <c r="A104" s="193">
        <f>'CC detallado'!A104</f>
        <v>4</v>
      </c>
      <c r="B104" s="193" t="str">
        <f>'CC detallado'!B104</f>
        <v>-</v>
      </c>
      <c r="C104" s="193" t="str">
        <f>'CC detallado'!C104</f>
        <v>-</v>
      </c>
      <c r="D104" s="193" t="str">
        <f>'CC detallado'!D104</f>
        <v>-</v>
      </c>
      <c r="E104" s="193" t="str">
        <f>'CC detallado'!E104</f>
        <v>-</v>
      </c>
      <c r="F104" s="193" t="str">
        <f>'CC detallado'!F104</f>
        <v>-</v>
      </c>
      <c r="G104" s="61" t="str">
        <f>'CC detallado'!G104</f>
        <v>Evaluaciones y Auditoria Externas</v>
      </c>
      <c r="H104" s="62">
        <f>'CC detallado'!H104</f>
        <v>0</v>
      </c>
      <c r="I104" s="62">
        <f>'CC detallado'!I104</f>
        <v>0</v>
      </c>
      <c r="J104" s="62">
        <f>'CC detallado'!J104</f>
        <v>0</v>
      </c>
      <c r="K104" s="62">
        <f>'CC detallado'!K104</f>
        <v>0</v>
      </c>
      <c r="L104" s="77">
        <f>'CC detallado'!L104</f>
        <v>0</v>
      </c>
      <c r="M104" s="93">
        <f>M105+M109</f>
        <v>350000</v>
      </c>
      <c r="N104" s="63">
        <f>M104/$M$112</f>
        <v>2.3333333333333334E-2</v>
      </c>
      <c r="O104" s="93">
        <f>O105+O110</f>
        <v>0</v>
      </c>
      <c r="P104" s="93">
        <f t="shared" ref="P104:BW104" si="151">P105+P110</f>
        <v>0</v>
      </c>
      <c r="Q104" s="93">
        <f t="shared" si="151"/>
        <v>0</v>
      </c>
      <c r="R104" s="93">
        <f t="shared" si="151"/>
        <v>0</v>
      </c>
      <c r="S104" s="93">
        <f t="shared" si="151"/>
        <v>0</v>
      </c>
      <c r="T104" s="93">
        <f t="shared" si="151"/>
        <v>0</v>
      </c>
      <c r="U104" s="93">
        <f t="shared" si="151"/>
        <v>0</v>
      </c>
      <c r="V104" s="93">
        <f t="shared" si="151"/>
        <v>0</v>
      </c>
      <c r="W104" s="93">
        <f t="shared" si="151"/>
        <v>0</v>
      </c>
      <c r="X104" s="93">
        <f t="shared" si="151"/>
        <v>0</v>
      </c>
      <c r="Y104" s="93">
        <f t="shared" si="151"/>
        <v>20000</v>
      </c>
      <c r="Z104" s="93">
        <f t="shared" si="151"/>
        <v>0</v>
      </c>
      <c r="AA104" s="93">
        <f t="shared" si="151"/>
        <v>0</v>
      </c>
      <c r="AB104" s="93">
        <f t="shared" si="151"/>
        <v>0</v>
      </c>
      <c r="AC104" s="93">
        <f t="shared" si="151"/>
        <v>0</v>
      </c>
      <c r="AD104" s="93">
        <f t="shared" si="151"/>
        <v>20000</v>
      </c>
      <c r="AE104" s="93">
        <f t="shared" si="151"/>
        <v>0</v>
      </c>
      <c r="AF104" s="93">
        <f t="shared" si="151"/>
        <v>0</v>
      </c>
      <c r="AG104" s="93">
        <f t="shared" si="151"/>
        <v>0</v>
      </c>
      <c r="AH104" s="93">
        <f t="shared" si="151"/>
        <v>20000</v>
      </c>
      <c r="AI104" s="93">
        <f t="shared" si="151"/>
        <v>0</v>
      </c>
      <c r="AJ104" s="93">
        <f t="shared" si="151"/>
        <v>0</v>
      </c>
      <c r="AK104" s="93">
        <f t="shared" si="151"/>
        <v>0</v>
      </c>
      <c r="AL104" s="93">
        <f t="shared" si="151"/>
        <v>0</v>
      </c>
      <c r="AM104" s="93">
        <f t="shared" si="151"/>
        <v>0</v>
      </c>
      <c r="AN104" s="93">
        <f t="shared" si="151"/>
        <v>20000</v>
      </c>
      <c r="AO104" s="93">
        <f t="shared" si="151"/>
        <v>0</v>
      </c>
      <c r="AP104" s="93">
        <f t="shared" si="151"/>
        <v>0</v>
      </c>
      <c r="AQ104" s="93">
        <f t="shared" si="151"/>
        <v>0</v>
      </c>
      <c r="AR104" s="93">
        <f t="shared" si="151"/>
        <v>0</v>
      </c>
      <c r="AS104" s="93">
        <f t="shared" si="151"/>
        <v>0</v>
      </c>
      <c r="AT104" s="93">
        <f t="shared" si="151"/>
        <v>24000</v>
      </c>
      <c r="AU104" s="93">
        <f t="shared" si="151"/>
        <v>8000</v>
      </c>
      <c r="AV104" s="93">
        <f t="shared" si="151"/>
        <v>6000</v>
      </c>
      <c r="AW104" s="93">
        <f t="shared" si="151"/>
        <v>2000</v>
      </c>
      <c r="AX104" s="93">
        <f t="shared" si="151"/>
        <v>0</v>
      </c>
      <c r="AY104" s="93">
        <f t="shared" si="151"/>
        <v>0</v>
      </c>
      <c r="AZ104" s="93">
        <f t="shared" si="151"/>
        <v>20000</v>
      </c>
      <c r="BA104" s="93">
        <f t="shared" si="151"/>
        <v>0</v>
      </c>
      <c r="BB104" s="93">
        <f t="shared" si="151"/>
        <v>0</v>
      </c>
      <c r="BC104" s="93">
        <f t="shared" si="151"/>
        <v>0</v>
      </c>
      <c r="BD104" s="93">
        <f t="shared" si="151"/>
        <v>0</v>
      </c>
      <c r="BE104" s="93">
        <f t="shared" si="151"/>
        <v>0</v>
      </c>
      <c r="BF104" s="93">
        <f t="shared" si="151"/>
        <v>20000</v>
      </c>
      <c r="BG104" s="93">
        <f t="shared" si="151"/>
        <v>0</v>
      </c>
      <c r="BH104" s="93">
        <f t="shared" si="151"/>
        <v>0</v>
      </c>
      <c r="BI104" s="93">
        <f t="shared" si="151"/>
        <v>0</v>
      </c>
      <c r="BJ104" s="93">
        <f t="shared" si="151"/>
        <v>0</v>
      </c>
      <c r="BK104" s="93">
        <f t="shared" si="151"/>
        <v>0</v>
      </c>
      <c r="BL104" s="93">
        <f t="shared" si="151"/>
        <v>20000</v>
      </c>
      <c r="BM104" s="93">
        <f t="shared" si="151"/>
        <v>0</v>
      </c>
      <c r="BN104" s="93">
        <f t="shared" si="151"/>
        <v>0</v>
      </c>
      <c r="BO104" s="93">
        <f t="shared" si="151"/>
        <v>0</v>
      </c>
      <c r="BP104" s="93">
        <f t="shared" si="151"/>
        <v>0</v>
      </c>
      <c r="BQ104" s="93">
        <f t="shared" si="151"/>
        <v>20000</v>
      </c>
      <c r="BR104" s="93">
        <f t="shared" si="151"/>
        <v>26000</v>
      </c>
      <c r="BS104" s="93">
        <f t="shared" si="151"/>
        <v>52000</v>
      </c>
      <c r="BT104" s="93">
        <f t="shared" si="151"/>
        <v>39000</v>
      </c>
      <c r="BU104" s="93">
        <f t="shared" si="151"/>
        <v>33000</v>
      </c>
      <c r="BV104" s="93">
        <f t="shared" si="151"/>
        <v>0</v>
      </c>
      <c r="BW104" s="93">
        <f t="shared" si="151"/>
        <v>350000</v>
      </c>
      <c r="BX104" s="88">
        <f t="shared" si="66"/>
        <v>0</v>
      </c>
      <c r="BY104" s="57"/>
      <c r="BZ104" s="93">
        <f t="shared" si="67"/>
        <v>20000</v>
      </c>
      <c r="CA104" s="93">
        <f t="shared" si="68"/>
        <v>40000</v>
      </c>
      <c r="CB104" s="93">
        <f t="shared" si="69"/>
        <v>60000</v>
      </c>
      <c r="CC104" s="93">
        <f t="shared" si="70"/>
        <v>40000</v>
      </c>
      <c r="CD104" s="93">
        <f t="shared" si="71"/>
        <v>190000</v>
      </c>
      <c r="CE104" s="93">
        <f t="shared" ref="CE104" si="152">CE105+CE110</f>
        <v>350000</v>
      </c>
      <c r="CF104" s="64">
        <f t="shared" si="76"/>
        <v>0</v>
      </c>
      <c r="CG104" s="57"/>
      <c r="CH104" s="57"/>
      <c r="CI104" s="57"/>
      <c r="CJ104" s="57"/>
      <c r="CK104" s="57"/>
      <c r="CL104" s="57"/>
      <c r="CM104" s="57"/>
      <c r="CN104" s="57"/>
      <c r="CO104" s="57"/>
    </row>
    <row r="105" spans="1:93" s="66" customFormat="1" ht="14.4" customHeight="1" x14ac:dyDescent="0.3">
      <c r="A105" s="190" t="str">
        <f>'CC detallado'!A105</f>
        <v>4.1</v>
      </c>
      <c r="B105" s="190" t="str">
        <f>'CC detallado'!B105</f>
        <v>-</v>
      </c>
      <c r="C105" s="190" t="str">
        <f>'CC detallado'!C105</f>
        <v>-</v>
      </c>
      <c r="D105" s="190" t="str">
        <f>'CC detallado'!D105</f>
        <v>-</v>
      </c>
      <c r="E105" s="190" t="str">
        <f>'CC detallado'!E105</f>
        <v>-</v>
      </c>
      <c r="F105" s="190" t="str">
        <f>'CC detallado'!F105</f>
        <v>-</v>
      </c>
      <c r="G105" s="185" t="str">
        <f>'CC detallado'!G105</f>
        <v>Evaluaciones</v>
      </c>
      <c r="H105" s="186">
        <f>'CC detallado'!H105</f>
        <v>0</v>
      </c>
      <c r="I105" s="186">
        <f>'CC detallado'!I105</f>
        <v>0</v>
      </c>
      <c r="J105" s="186">
        <f>'CC detallado'!J105</f>
        <v>0</v>
      </c>
      <c r="K105" s="186">
        <f>'CC detallado'!K105</f>
        <v>0</v>
      </c>
      <c r="L105" s="187">
        <f>'CC detallado'!L105</f>
        <v>0</v>
      </c>
      <c r="M105" s="187">
        <f>SUM(M106:M108)</f>
        <v>150000</v>
      </c>
      <c r="N105" s="63">
        <f>M105/$M$112</f>
        <v>0.01</v>
      </c>
      <c r="O105" s="187">
        <f>SUM(O106:O108)</f>
        <v>0</v>
      </c>
      <c r="P105" s="187">
        <f t="shared" ref="P105:BW105" si="153">SUM(P106:P108)</f>
        <v>0</v>
      </c>
      <c r="Q105" s="187">
        <f t="shared" si="153"/>
        <v>0</v>
      </c>
      <c r="R105" s="187">
        <f t="shared" si="153"/>
        <v>0</v>
      </c>
      <c r="S105" s="187">
        <f t="shared" si="153"/>
        <v>0</v>
      </c>
      <c r="T105" s="187">
        <f t="shared" si="153"/>
        <v>0</v>
      </c>
      <c r="U105" s="187">
        <f t="shared" si="153"/>
        <v>0</v>
      </c>
      <c r="V105" s="187">
        <f t="shared" si="153"/>
        <v>0</v>
      </c>
      <c r="W105" s="187">
        <f t="shared" si="153"/>
        <v>0</v>
      </c>
      <c r="X105" s="187">
        <f t="shared" si="153"/>
        <v>0</v>
      </c>
      <c r="Y105" s="187">
        <f t="shared" si="153"/>
        <v>0</v>
      </c>
      <c r="Z105" s="187">
        <f t="shared" si="153"/>
        <v>0</v>
      </c>
      <c r="AA105" s="187">
        <f t="shared" si="153"/>
        <v>0</v>
      </c>
      <c r="AB105" s="187">
        <f t="shared" si="153"/>
        <v>0</v>
      </c>
      <c r="AC105" s="187">
        <f t="shared" si="153"/>
        <v>0</v>
      </c>
      <c r="AD105" s="187">
        <f t="shared" si="153"/>
        <v>0</v>
      </c>
      <c r="AE105" s="187">
        <f t="shared" si="153"/>
        <v>0</v>
      </c>
      <c r="AF105" s="187">
        <f t="shared" si="153"/>
        <v>0</v>
      </c>
      <c r="AG105" s="187">
        <f t="shared" si="153"/>
        <v>0</v>
      </c>
      <c r="AH105" s="187">
        <f t="shared" si="153"/>
        <v>0</v>
      </c>
      <c r="AI105" s="187">
        <f t="shared" si="153"/>
        <v>0</v>
      </c>
      <c r="AJ105" s="187">
        <f t="shared" si="153"/>
        <v>0</v>
      </c>
      <c r="AK105" s="187">
        <f t="shared" si="153"/>
        <v>0</v>
      </c>
      <c r="AL105" s="187">
        <f t="shared" si="153"/>
        <v>0</v>
      </c>
      <c r="AM105" s="187">
        <f t="shared" si="153"/>
        <v>0</v>
      </c>
      <c r="AN105" s="187">
        <f t="shared" si="153"/>
        <v>0</v>
      </c>
      <c r="AO105" s="187">
        <f t="shared" si="153"/>
        <v>0</v>
      </c>
      <c r="AP105" s="187">
        <f t="shared" si="153"/>
        <v>0</v>
      </c>
      <c r="AQ105" s="187">
        <f t="shared" si="153"/>
        <v>0</v>
      </c>
      <c r="AR105" s="187">
        <f t="shared" si="153"/>
        <v>0</v>
      </c>
      <c r="AS105" s="187">
        <f t="shared" si="153"/>
        <v>0</v>
      </c>
      <c r="AT105" s="187">
        <f t="shared" si="153"/>
        <v>4000</v>
      </c>
      <c r="AU105" s="187">
        <f t="shared" si="153"/>
        <v>8000</v>
      </c>
      <c r="AV105" s="187">
        <f t="shared" si="153"/>
        <v>6000</v>
      </c>
      <c r="AW105" s="187">
        <f t="shared" si="153"/>
        <v>2000</v>
      </c>
      <c r="AX105" s="187">
        <f t="shared" si="153"/>
        <v>0</v>
      </c>
      <c r="AY105" s="187">
        <f t="shared" si="153"/>
        <v>0</v>
      </c>
      <c r="AZ105" s="187">
        <f t="shared" si="153"/>
        <v>0</v>
      </c>
      <c r="BA105" s="187">
        <f t="shared" si="153"/>
        <v>0</v>
      </c>
      <c r="BB105" s="187">
        <f t="shared" si="153"/>
        <v>0</v>
      </c>
      <c r="BC105" s="187">
        <f t="shared" si="153"/>
        <v>0</v>
      </c>
      <c r="BD105" s="187">
        <f t="shared" si="153"/>
        <v>0</v>
      </c>
      <c r="BE105" s="187">
        <f t="shared" si="153"/>
        <v>0</v>
      </c>
      <c r="BF105" s="187">
        <f t="shared" si="153"/>
        <v>0</v>
      </c>
      <c r="BG105" s="187">
        <f t="shared" si="153"/>
        <v>0</v>
      </c>
      <c r="BH105" s="187">
        <f t="shared" si="153"/>
        <v>0</v>
      </c>
      <c r="BI105" s="187">
        <f t="shared" si="153"/>
        <v>0</v>
      </c>
      <c r="BJ105" s="187">
        <f t="shared" si="153"/>
        <v>0</v>
      </c>
      <c r="BK105" s="187">
        <f t="shared" si="153"/>
        <v>0</v>
      </c>
      <c r="BL105" s="187">
        <f t="shared" si="153"/>
        <v>0</v>
      </c>
      <c r="BM105" s="187">
        <f t="shared" si="153"/>
        <v>0</v>
      </c>
      <c r="BN105" s="187">
        <f t="shared" si="153"/>
        <v>0</v>
      </c>
      <c r="BO105" s="187">
        <f t="shared" si="153"/>
        <v>0</v>
      </c>
      <c r="BP105" s="187">
        <f t="shared" si="153"/>
        <v>0</v>
      </c>
      <c r="BQ105" s="187">
        <f t="shared" si="153"/>
        <v>0</v>
      </c>
      <c r="BR105" s="187">
        <f t="shared" si="153"/>
        <v>26000</v>
      </c>
      <c r="BS105" s="187">
        <f t="shared" si="153"/>
        <v>52000</v>
      </c>
      <c r="BT105" s="187">
        <f t="shared" si="153"/>
        <v>39000</v>
      </c>
      <c r="BU105" s="187">
        <f t="shared" si="153"/>
        <v>13000</v>
      </c>
      <c r="BV105" s="187">
        <f t="shared" si="153"/>
        <v>0</v>
      </c>
      <c r="BW105" s="187">
        <f t="shared" si="153"/>
        <v>150000</v>
      </c>
      <c r="BX105" s="88">
        <f t="shared" si="66"/>
        <v>0</v>
      </c>
      <c r="BY105" s="57"/>
      <c r="BZ105" s="187">
        <f t="shared" si="67"/>
        <v>0</v>
      </c>
      <c r="CA105" s="187">
        <f t="shared" si="68"/>
        <v>0</v>
      </c>
      <c r="CB105" s="187">
        <f t="shared" si="69"/>
        <v>20000</v>
      </c>
      <c r="CC105" s="187">
        <f t="shared" si="70"/>
        <v>0</v>
      </c>
      <c r="CD105" s="187">
        <f t="shared" si="71"/>
        <v>130000</v>
      </c>
      <c r="CE105" s="187">
        <f t="shared" ref="CE105" si="154">SUM(CE106:CE108)</f>
        <v>150000</v>
      </c>
      <c r="CF105" s="64">
        <f t="shared" si="76"/>
        <v>0</v>
      </c>
      <c r="CG105" s="65"/>
      <c r="CH105" s="65"/>
      <c r="CI105" s="65"/>
      <c r="CJ105" s="65"/>
      <c r="CK105" s="65"/>
      <c r="CL105" s="65"/>
      <c r="CM105" s="65"/>
      <c r="CN105" s="65"/>
      <c r="CO105" s="65"/>
    </row>
    <row r="106" spans="1:93" ht="14.4" hidden="1" customHeight="1" outlineLevel="1" x14ac:dyDescent="0.3">
      <c r="A106" s="67" t="str">
        <f>'CC detallado'!A106</f>
        <v>4.1.1</v>
      </c>
      <c r="B106" s="67" t="str">
        <f>'CC detallado'!B106</f>
        <v>E-A</v>
      </c>
      <c r="C106" s="67">
        <f>'CC detallado'!C106</f>
        <v>260</v>
      </c>
      <c r="D106" s="67" t="str">
        <f>'CC detallado'!D106</f>
        <v>FC</v>
      </c>
      <c r="E106" s="67" t="str">
        <f>'CC detallado'!E106</f>
        <v>SCC</v>
      </c>
      <c r="F106" s="67" t="str">
        <f>'CC detallado'!F106</f>
        <v>Eva</v>
      </c>
      <c r="G106" s="166" t="str">
        <f>'CC detallado'!G106</f>
        <v>Evaluación Intermedia</v>
      </c>
      <c r="H106" s="69">
        <f>'CC detallado'!H106</f>
        <v>1</v>
      </c>
      <c r="I106" s="69" t="str">
        <f>'CC detallado'!I106</f>
        <v>firma</v>
      </c>
      <c r="J106" s="69">
        <f>'CC detallado'!J106</f>
        <v>4</v>
      </c>
      <c r="K106" s="69" t="str">
        <f>'CC detallado'!K106</f>
        <v>meses</v>
      </c>
      <c r="L106" s="70">
        <f>'CC detallado'!L106</f>
        <v>20000</v>
      </c>
      <c r="M106" s="70">
        <f>'CC detallado'!M106</f>
        <v>20000</v>
      </c>
      <c r="N106" s="63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  <c r="AL106" s="195"/>
      <c r="AM106" s="195"/>
      <c r="AN106" s="196"/>
      <c r="AO106" s="196"/>
      <c r="AP106" s="196"/>
      <c r="AQ106" s="196"/>
      <c r="AR106" s="196"/>
      <c r="AS106" s="196"/>
      <c r="AT106" s="197">
        <f>$M$106*20%</f>
        <v>4000</v>
      </c>
      <c r="AU106" s="197">
        <f>$M$106*40%</f>
        <v>8000</v>
      </c>
      <c r="AV106" s="197">
        <f>$M$106*30%</f>
        <v>6000</v>
      </c>
      <c r="AW106" s="197">
        <f>$M$106*10%</f>
        <v>2000</v>
      </c>
      <c r="AX106" s="195"/>
      <c r="AY106" s="195"/>
      <c r="AZ106" s="195"/>
      <c r="BA106" s="195"/>
      <c r="BB106" s="195"/>
      <c r="BC106" s="200"/>
      <c r="BD106" s="200"/>
      <c r="BE106" s="200"/>
      <c r="BF106" s="200"/>
      <c r="BG106" s="200"/>
      <c r="BH106" s="200"/>
      <c r="BI106" s="200"/>
      <c r="BJ106" s="200"/>
      <c r="BK106" s="195"/>
      <c r="BL106" s="195"/>
      <c r="BM106" s="195"/>
      <c r="BN106" s="195"/>
      <c r="BO106" s="195"/>
      <c r="BP106" s="195"/>
      <c r="BQ106" s="195"/>
      <c r="BR106" s="195"/>
      <c r="BS106" s="195"/>
      <c r="BT106" s="195"/>
      <c r="BU106" s="195"/>
      <c r="BV106" s="195"/>
      <c r="BW106" s="195">
        <f t="shared" si="129"/>
        <v>20000</v>
      </c>
      <c r="BX106" s="88">
        <f t="shared" si="66"/>
        <v>0</v>
      </c>
      <c r="BY106" s="57"/>
      <c r="BZ106" s="70">
        <f t="shared" si="67"/>
        <v>0</v>
      </c>
      <c r="CA106" s="70">
        <f t="shared" si="68"/>
        <v>0</v>
      </c>
      <c r="CB106" s="70">
        <f t="shared" si="69"/>
        <v>20000</v>
      </c>
      <c r="CC106" s="70">
        <f t="shared" si="70"/>
        <v>0</v>
      </c>
      <c r="CD106" s="70">
        <f t="shared" si="71"/>
        <v>0</v>
      </c>
      <c r="CE106" s="70">
        <f t="shared" si="127"/>
        <v>20000</v>
      </c>
      <c r="CF106" s="64">
        <f t="shared" si="76"/>
        <v>0</v>
      </c>
    </row>
    <row r="107" spans="1:93" ht="14.4" hidden="1" customHeight="1" outlineLevel="1" x14ac:dyDescent="0.3">
      <c r="A107" s="67" t="str">
        <f>'CC detallado'!A107</f>
        <v>4.1.2</v>
      </c>
      <c r="B107" s="67" t="str">
        <f>'CC detallado'!B107</f>
        <v>E-A</v>
      </c>
      <c r="C107" s="67">
        <f>'CC detallado'!C107</f>
        <v>260</v>
      </c>
      <c r="D107" s="67" t="str">
        <f>'CC detallado'!D107</f>
        <v>FC</v>
      </c>
      <c r="E107" s="67" t="str">
        <f>'CC detallado'!E107</f>
        <v>SCC</v>
      </c>
      <c r="F107" s="67" t="str">
        <f>'CC detallado'!F107</f>
        <v>Eva</v>
      </c>
      <c r="G107" s="166" t="str">
        <f>'CC detallado'!G107</f>
        <v>Evaluación Final</v>
      </c>
      <c r="H107" s="69">
        <f>'CC detallado'!H107</f>
        <v>1</v>
      </c>
      <c r="I107" s="69" t="str">
        <f>'CC detallado'!I107</f>
        <v>firma</v>
      </c>
      <c r="J107" s="69">
        <f>'CC detallado'!J107</f>
        <v>4</v>
      </c>
      <c r="K107" s="69" t="str">
        <f>'CC detallado'!K107</f>
        <v>meses</v>
      </c>
      <c r="L107" s="70">
        <f>'CC detallado'!L107</f>
        <v>30000</v>
      </c>
      <c r="M107" s="70">
        <f>'CC detallado'!M107</f>
        <v>30000</v>
      </c>
      <c r="N107" s="63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  <c r="BI107" s="195"/>
      <c r="BJ107" s="195"/>
      <c r="BK107" s="195"/>
      <c r="BL107" s="196"/>
      <c r="BM107" s="196"/>
      <c r="BN107" s="196"/>
      <c r="BO107" s="196"/>
      <c r="BP107" s="196"/>
      <c r="BQ107" s="196"/>
      <c r="BR107" s="197">
        <f>$M$107*20%</f>
        <v>6000</v>
      </c>
      <c r="BS107" s="197">
        <f>$M$107*40%</f>
        <v>12000</v>
      </c>
      <c r="BT107" s="197">
        <f>$M$107*30%</f>
        <v>9000</v>
      </c>
      <c r="BU107" s="197">
        <f>$M$107*10%</f>
        <v>3000</v>
      </c>
      <c r="BV107" s="195"/>
      <c r="BW107" s="195">
        <f t="shared" si="129"/>
        <v>30000</v>
      </c>
      <c r="BX107" s="88">
        <f t="shared" si="66"/>
        <v>0</v>
      </c>
      <c r="BY107" s="57"/>
      <c r="BZ107" s="70">
        <f t="shared" si="67"/>
        <v>0</v>
      </c>
      <c r="CA107" s="70">
        <f t="shared" si="68"/>
        <v>0</v>
      </c>
      <c r="CB107" s="70">
        <f t="shared" si="69"/>
        <v>0</v>
      </c>
      <c r="CC107" s="70">
        <f t="shared" si="70"/>
        <v>0</v>
      </c>
      <c r="CD107" s="70">
        <f t="shared" si="71"/>
        <v>30000</v>
      </c>
      <c r="CE107" s="70">
        <f t="shared" si="127"/>
        <v>30000</v>
      </c>
      <c r="CF107" s="64">
        <f t="shared" si="76"/>
        <v>0</v>
      </c>
    </row>
    <row r="108" spans="1:93" ht="14.4" hidden="1" customHeight="1" outlineLevel="1" x14ac:dyDescent="0.3">
      <c r="A108" s="67" t="str">
        <f>'CC detallado'!A108</f>
        <v>4.1.3</v>
      </c>
      <c r="B108" s="67" t="str">
        <f>'CC detallado'!B108</f>
        <v>E-A</v>
      </c>
      <c r="C108" s="67">
        <f>'CC detallado'!C108</f>
        <v>260</v>
      </c>
      <c r="D108" s="67" t="str">
        <f>'CC detallado'!D108</f>
        <v>FC</v>
      </c>
      <c r="E108" s="67" t="str">
        <f>'CC detallado'!E108</f>
        <v>SCC</v>
      </c>
      <c r="F108" s="67" t="str">
        <f>'CC detallado'!F108</f>
        <v>Eva</v>
      </c>
      <c r="G108" s="166" t="str">
        <f>'CC detallado'!G108</f>
        <v>Evaluación de Impacto</v>
      </c>
      <c r="H108" s="69">
        <f>'CC detallado'!H108</f>
        <v>1</v>
      </c>
      <c r="I108" s="69" t="str">
        <f>'CC detallado'!I108</f>
        <v>firma</v>
      </c>
      <c r="J108" s="69">
        <f>'CC detallado'!J108</f>
        <v>6</v>
      </c>
      <c r="K108" s="69" t="str">
        <f>'CC detallado'!K108</f>
        <v>meses</v>
      </c>
      <c r="L108" s="70">
        <f>'CC detallado'!L108</f>
        <v>100000</v>
      </c>
      <c r="M108" s="70">
        <f>'CC detallado'!M108</f>
        <v>100000</v>
      </c>
      <c r="N108" s="63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  <c r="BI108" s="195"/>
      <c r="BJ108" s="195"/>
      <c r="BK108" s="195"/>
      <c r="BL108" s="196"/>
      <c r="BM108" s="196"/>
      <c r="BN108" s="196"/>
      <c r="BO108" s="196"/>
      <c r="BP108" s="196"/>
      <c r="BQ108" s="196"/>
      <c r="BR108" s="197">
        <f>$M$108*20%</f>
        <v>20000</v>
      </c>
      <c r="BS108" s="197">
        <f>$M$108*40%</f>
        <v>40000</v>
      </c>
      <c r="BT108" s="197">
        <f>$M$108*30%</f>
        <v>30000</v>
      </c>
      <c r="BU108" s="197">
        <f>$M$108*10%</f>
        <v>10000</v>
      </c>
      <c r="BV108" s="195"/>
      <c r="BW108" s="195">
        <f t="shared" si="129"/>
        <v>100000</v>
      </c>
      <c r="BX108" s="88">
        <f t="shared" si="66"/>
        <v>0</v>
      </c>
      <c r="BY108" s="57"/>
      <c r="BZ108" s="70">
        <f t="shared" si="67"/>
        <v>0</v>
      </c>
      <c r="CA108" s="70">
        <f t="shared" si="68"/>
        <v>0</v>
      </c>
      <c r="CB108" s="70">
        <f t="shared" si="69"/>
        <v>0</v>
      </c>
      <c r="CC108" s="70">
        <f t="shared" si="70"/>
        <v>0</v>
      </c>
      <c r="CD108" s="70">
        <f t="shared" si="71"/>
        <v>100000</v>
      </c>
      <c r="CE108" s="70">
        <f t="shared" ref="CE108" si="155">SUM(BZ108:CD108)</f>
        <v>100000</v>
      </c>
      <c r="CF108" s="64">
        <f t="shared" si="76"/>
        <v>0</v>
      </c>
    </row>
    <row r="109" spans="1:93" s="66" customFormat="1" ht="14.4" customHeight="1" collapsed="1" x14ac:dyDescent="0.3">
      <c r="A109" s="190" t="str">
        <f>'CC detallado'!A109</f>
        <v>4.2</v>
      </c>
      <c r="B109" s="190" t="str">
        <f>'CC detallado'!B109</f>
        <v>-</v>
      </c>
      <c r="C109" s="190" t="str">
        <f>'CC detallado'!C109</f>
        <v>-</v>
      </c>
      <c r="D109" s="190" t="str">
        <f>'CC detallado'!D109</f>
        <v>-</v>
      </c>
      <c r="E109" s="190" t="str">
        <f>'CC detallado'!E109</f>
        <v>-</v>
      </c>
      <c r="F109" s="190">
        <f>'CC detallado'!F109</f>
        <v>0</v>
      </c>
      <c r="G109" s="185" t="str">
        <f>'CC detallado'!G109</f>
        <v>Auditoria Externa</v>
      </c>
      <c r="H109" s="186">
        <f>'CC detallado'!H109</f>
        <v>0</v>
      </c>
      <c r="I109" s="186">
        <f>'CC detallado'!I109</f>
        <v>0</v>
      </c>
      <c r="J109" s="186">
        <f>'CC detallado'!J109</f>
        <v>0</v>
      </c>
      <c r="K109" s="186">
        <f>'CC detallado'!K109</f>
        <v>0</v>
      </c>
      <c r="L109" s="187">
        <f>'CC detallado'!L109</f>
        <v>0</v>
      </c>
      <c r="M109" s="187">
        <f>M110</f>
        <v>200000</v>
      </c>
      <c r="N109" s="63">
        <f>M109/$M$112</f>
        <v>1.3333333333333334E-2</v>
      </c>
      <c r="O109" s="187">
        <f>O110</f>
        <v>0</v>
      </c>
      <c r="P109" s="187">
        <f t="shared" ref="P109:BW109" si="156">P110</f>
        <v>0</v>
      </c>
      <c r="Q109" s="187">
        <f t="shared" si="156"/>
        <v>0</v>
      </c>
      <c r="R109" s="187">
        <f t="shared" si="156"/>
        <v>0</v>
      </c>
      <c r="S109" s="187">
        <f t="shared" si="156"/>
        <v>0</v>
      </c>
      <c r="T109" s="187">
        <f t="shared" si="156"/>
        <v>0</v>
      </c>
      <c r="U109" s="187">
        <f t="shared" si="156"/>
        <v>0</v>
      </c>
      <c r="V109" s="187">
        <f t="shared" si="156"/>
        <v>0</v>
      </c>
      <c r="W109" s="187">
        <f t="shared" si="156"/>
        <v>0</v>
      </c>
      <c r="X109" s="187">
        <f t="shared" si="156"/>
        <v>0</v>
      </c>
      <c r="Y109" s="187">
        <f t="shared" si="156"/>
        <v>20000</v>
      </c>
      <c r="Z109" s="187">
        <f t="shared" si="156"/>
        <v>0</v>
      </c>
      <c r="AA109" s="187">
        <f t="shared" si="156"/>
        <v>0</v>
      </c>
      <c r="AB109" s="187">
        <f t="shared" si="156"/>
        <v>0</v>
      </c>
      <c r="AC109" s="187">
        <f t="shared" si="156"/>
        <v>0</v>
      </c>
      <c r="AD109" s="187">
        <f t="shared" si="156"/>
        <v>20000</v>
      </c>
      <c r="AE109" s="187">
        <f t="shared" si="156"/>
        <v>0</v>
      </c>
      <c r="AF109" s="187">
        <f t="shared" si="156"/>
        <v>0</v>
      </c>
      <c r="AG109" s="187">
        <f t="shared" si="156"/>
        <v>0</v>
      </c>
      <c r="AH109" s="187">
        <f t="shared" si="156"/>
        <v>20000</v>
      </c>
      <c r="AI109" s="187">
        <f t="shared" si="156"/>
        <v>0</v>
      </c>
      <c r="AJ109" s="187">
        <f t="shared" si="156"/>
        <v>0</v>
      </c>
      <c r="AK109" s="187">
        <f t="shared" si="156"/>
        <v>0</v>
      </c>
      <c r="AL109" s="187">
        <f t="shared" si="156"/>
        <v>0</v>
      </c>
      <c r="AM109" s="187">
        <f t="shared" si="156"/>
        <v>0</v>
      </c>
      <c r="AN109" s="187">
        <f t="shared" si="156"/>
        <v>20000</v>
      </c>
      <c r="AO109" s="187">
        <f t="shared" si="156"/>
        <v>0</v>
      </c>
      <c r="AP109" s="187">
        <f t="shared" si="156"/>
        <v>0</v>
      </c>
      <c r="AQ109" s="187">
        <f t="shared" si="156"/>
        <v>0</v>
      </c>
      <c r="AR109" s="187">
        <f t="shared" si="156"/>
        <v>0</v>
      </c>
      <c r="AS109" s="187">
        <f t="shared" si="156"/>
        <v>0</v>
      </c>
      <c r="AT109" s="187">
        <f t="shared" si="156"/>
        <v>20000</v>
      </c>
      <c r="AU109" s="187">
        <f t="shared" si="156"/>
        <v>0</v>
      </c>
      <c r="AV109" s="187">
        <f t="shared" si="156"/>
        <v>0</v>
      </c>
      <c r="AW109" s="187">
        <f t="shared" si="156"/>
        <v>0</v>
      </c>
      <c r="AX109" s="187">
        <f t="shared" si="156"/>
        <v>0</v>
      </c>
      <c r="AY109" s="187">
        <f t="shared" si="156"/>
        <v>0</v>
      </c>
      <c r="AZ109" s="187">
        <f t="shared" si="156"/>
        <v>20000</v>
      </c>
      <c r="BA109" s="187">
        <f t="shared" si="156"/>
        <v>0</v>
      </c>
      <c r="BB109" s="187">
        <f t="shared" si="156"/>
        <v>0</v>
      </c>
      <c r="BC109" s="187">
        <f t="shared" si="156"/>
        <v>0</v>
      </c>
      <c r="BD109" s="187">
        <f t="shared" si="156"/>
        <v>0</v>
      </c>
      <c r="BE109" s="187">
        <f t="shared" si="156"/>
        <v>0</v>
      </c>
      <c r="BF109" s="187">
        <f t="shared" si="156"/>
        <v>20000</v>
      </c>
      <c r="BG109" s="187">
        <f t="shared" si="156"/>
        <v>0</v>
      </c>
      <c r="BH109" s="187">
        <f t="shared" si="156"/>
        <v>0</v>
      </c>
      <c r="BI109" s="187">
        <f t="shared" si="156"/>
        <v>0</v>
      </c>
      <c r="BJ109" s="187">
        <f t="shared" si="156"/>
        <v>0</v>
      </c>
      <c r="BK109" s="187">
        <f t="shared" si="156"/>
        <v>0</v>
      </c>
      <c r="BL109" s="187">
        <f t="shared" si="156"/>
        <v>20000</v>
      </c>
      <c r="BM109" s="187">
        <f t="shared" si="156"/>
        <v>0</v>
      </c>
      <c r="BN109" s="187">
        <f t="shared" si="156"/>
        <v>0</v>
      </c>
      <c r="BO109" s="187">
        <f t="shared" si="156"/>
        <v>0</v>
      </c>
      <c r="BP109" s="187">
        <f t="shared" si="156"/>
        <v>0</v>
      </c>
      <c r="BQ109" s="187">
        <f t="shared" si="156"/>
        <v>20000</v>
      </c>
      <c r="BR109" s="187">
        <f t="shared" si="156"/>
        <v>0</v>
      </c>
      <c r="BS109" s="187">
        <f t="shared" si="156"/>
        <v>0</v>
      </c>
      <c r="BT109" s="187">
        <f t="shared" si="156"/>
        <v>0</v>
      </c>
      <c r="BU109" s="187">
        <f t="shared" si="156"/>
        <v>20000</v>
      </c>
      <c r="BV109" s="187">
        <f t="shared" si="156"/>
        <v>0</v>
      </c>
      <c r="BW109" s="187">
        <f t="shared" si="156"/>
        <v>200000</v>
      </c>
      <c r="BX109" s="88">
        <f t="shared" si="66"/>
        <v>0</v>
      </c>
      <c r="BY109" s="57"/>
      <c r="BZ109" s="187">
        <f t="shared" si="67"/>
        <v>20000</v>
      </c>
      <c r="CA109" s="187">
        <f t="shared" si="68"/>
        <v>40000</v>
      </c>
      <c r="CB109" s="187">
        <f t="shared" si="69"/>
        <v>40000</v>
      </c>
      <c r="CC109" s="187">
        <f t="shared" si="70"/>
        <v>40000</v>
      </c>
      <c r="CD109" s="187">
        <f t="shared" si="71"/>
        <v>60000</v>
      </c>
      <c r="CE109" s="187">
        <f t="shared" ref="CE109" si="157">CE110</f>
        <v>200000</v>
      </c>
      <c r="CF109" s="64">
        <f t="shared" si="76"/>
        <v>0</v>
      </c>
      <c r="CG109" s="65"/>
      <c r="CH109" s="65"/>
      <c r="CI109" s="65"/>
      <c r="CJ109" s="65"/>
      <c r="CK109" s="65"/>
      <c r="CL109" s="65"/>
      <c r="CM109" s="65"/>
      <c r="CN109" s="65"/>
      <c r="CO109" s="65"/>
    </row>
    <row r="110" spans="1:93" ht="14.4" hidden="1" customHeight="1" outlineLevel="1" x14ac:dyDescent="0.3">
      <c r="A110" s="67" t="str">
        <f>'CC detallado'!A110</f>
        <v>4.2.1</v>
      </c>
      <c r="B110" s="67" t="str">
        <f>'CC detallado'!B110</f>
        <v>A-E</v>
      </c>
      <c r="C110" s="67">
        <f>'CC detallado'!C110</f>
        <v>260</v>
      </c>
      <c r="D110" s="67" t="str">
        <f>'CC detallado'!D110</f>
        <v>FC</v>
      </c>
      <c r="E110" s="67" t="str">
        <f>'CC detallado'!E110</f>
        <v>SBCC</v>
      </c>
      <c r="F110" s="67" t="str">
        <f>'CC detallado'!F110</f>
        <v>Aud</v>
      </c>
      <c r="G110" s="166" t="str">
        <f>'CC detallado'!G110</f>
        <v>Auditoria Externa del Programa</v>
      </c>
      <c r="H110" s="69">
        <f>'CC detallado'!H110</f>
        <v>1</v>
      </c>
      <c r="I110" s="69" t="str">
        <f>'CC detallado'!I110</f>
        <v>firma</v>
      </c>
      <c r="J110" s="69">
        <f>'CC detallado'!J110</f>
        <v>5</v>
      </c>
      <c r="K110" s="69" t="str">
        <f>'CC detallado'!K110</f>
        <v>años</v>
      </c>
      <c r="L110" s="70">
        <f>'CC detallado'!L110</f>
        <v>40000</v>
      </c>
      <c r="M110" s="70">
        <f>'CC detallado'!M110</f>
        <v>200000</v>
      </c>
      <c r="N110" s="63">
        <f>M110/$M$112</f>
        <v>1.3333333333333334E-2</v>
      </c>
      <c r="O110" s="195"/>
      <c r="P110" s="195"/>
      <c r="Q110" s="195"/>
      <c r="R110" s="195"/>
      <c r="S110" s="196"/>
      <c r="T110" s="196"/>
      <c r="U110" s="196"/>
      <c r="V110" s="196"/>
      <c r="W110" s="196"/>
      <c r="X110" s="196"/>
      <c r="Y110" s="197">
        <f>$M$110*10%</f>
        <v>20000</v>
      </c>
      <c r="Z110" s="197"/>
      <c r="AA110" s="197"/>
      <c r="AB110" s="197">
        <v>0</v>
      </c>
      <c r="AC110" s="197"/>
      <c r="AD110" s="197">
        <f>$M$110*10%</f>
        <v>20000</v>
      </c>
      <c r="AE110" s="197"/>
      <c r="AF110" s="197"/>
      <c r="AG110" s="197"/>
      <c r="AH110" s="197">
        <f>$M$110*10%</f>
        <v>20000</v>
      </c>
      <c r="AI110" s="197"/>
      <c r="AJ110" s="197"/>
      <c r="AK110" s="197"/>
      <c r="AL110" s="197"/>
      <c r="AM110" s="197"/>
      <c r="AN110" s="197">
        <f>$M$110*10%</f>
        <v>20000</v>
      </c>
      <c r="AO110" s="197"/>
      <c r="AP110" s="197"/>
      <c r="AQ110" s="197"/>
      <c r="AR110" s="197"/>
      <c r="AS110" s="197"/>
      <c r="AT110" s="197">
        <f>$M$110*10%</f>
        <v>20000</v>
      </c>
      <c r="AU110" s="197"/>
      <c r="AV110" s="197"/>
      <c r="AW110" s="197"/>
      <c r="AX110" s="197"/>
      <c r="AY110" s="197"/>
      <c r="AZ110" s="197">
        <f>$M$110*10%</f>
        <v>20000</v>
      </c>
      <c r="BA110" s="197"/>
      <c r="BB110" s="197"/>
      <c r="BC110" s="197"/>
      <c r="BD110" s="197"/>
      <c r="BE110" s="197"/>
      <c r="BF110" s="197">
        <f>$M$110*10%</f>
        <v>20000</v>
      </c>
      <c r="BG110" s="197"/>
      <c r="BH110" s="197"/>
      <c r="BI110" s="197"/>
      <c r="BJ110" s="197"/>
      <c r="BK110" s="197"/>
      <c r="BL110" s="197">
        <f>$M$110*10%</f>
        <v>20000</v>
      </c>
      <c r="BM110" s="197"/>
      <c r="BN110" s="197"/>
      <c r="BO110" s="197"/>
      <c r="BP110" s="197"/>
      <c r="BQ110" s="197">
        <f>$M$110*10%</f>
        <v>20000</v>
      </c>
      <c r="BR110" s="197"/>
      <c r="BS110" s="197"/>
      <c r="BT110" s="197"/>
      <c r="BU110" s="197">
        <f>$M$110*10%</f>
        <v>20000</v>
      </c>
      <c r="BV110" s="195"/>
      <c r="BW110" s="195">
        <f t="shared" si="129"/>
        <v>200000</v>
      </c>
      <c r="BX110" s="88">
        <f t="shared" si="66"/>
        <v>0</v>
      </c>
      <c r="BY110" s="57"/>
      <c r="BZ110" s="70">
        <f t="shared" si="67"/>
        <v>20000</v>
      </c>
      <c r="CA110" s="70">
        <f t="shared" si="68"/>
        <v>40000</v>
      </c>
      <c r="CB110" s="70">
        <f t="shared" si="69"/>
        <v>40000</v>
      </c>
      <c r="CC110" s="70">
        <f t="shared" si="70"/>
        <v>40000</v>
      </c>
      <c r="CD110" s="70">
        <f t="shared" si="71"/>
        <v>60000</v>
      </c>
      <c r="CE110" s="70">
        <f t="shared" si="127"/>
        <v>200000</v>
      </c>
      <c r="CF110" s="64">
        <f t="shared" si="76"/>
        <v>0</v>
      </c>
    </row>
    <row r="111" spans="1:93" s="58" customFormat="1" ht="14.4" customHeight="1" collapsed="1" x14ac:dyDescent="0.3">
      <c r="A111" s="193">
        <f>'CC detallado'!A111</f>
        <v>5</v>
      </c>
      <c r="B111" s="193" t="str">
        <f>'CC detallado'!B111</f>
        <v>Imp</v>
      </c>
      <c r="C111" s="193" t="str">
        <f>'CC detallado'!C111</f>
        <v>-</v>
      </c>
      <c r="D111" s="193" t="str">
        <f>'CC detallado'!D111</f>
        <v>-</v>
      </c>
      <c r="E111" s="193" t="str">
        <f>'CC detallado'!E111</f>
        <v>-</v>
      </c>
      <c r="F111" s="193" t="str">
        <f>'CC detallado'!F111</f>
        <v>-</v>
      </c>
      <c r="G111" s="61" t="str">
        <f>'CC detallado'!G111</f>
        <v>Imprevistos</v>
      </c>
      <c r="H111" s="62">
        <f>'CC detallado'!H111</f>
        <v>0</v>
      </c>
      <c r="I111" s="62">
        <f>'CC detallado'!I111</f>
        <v>0</v>
      </c>
      <c r="J111" s="62">
        <f>'CC detallado'!J111</f>
        <v>0</v>
      </c>
      <c r="K111" s="62">
        <f>'CC detallado'!K111</f>
        <v>0</v>
      </c>
      <c r="L111" s="77">
        <f>'CC detallado'!L111</f>
        <v>0</v>
      </c>
      <c r="M111" s="93">
        <f>'CC detallado'!M111</f>
        <v>150000</v>
      </c>
      <c r="N111" s="63">
        <f>M111/$M$112</f>
        <v>0.01</v>
      </c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>
        <f>M111</f>
        <v>150000</v>
      </c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>
        <f t="shared" si="129"/>
        <v>150000</v>
      </c>
      <c r="BX111" s="88">
        <f t="shared" si="66"/>
        <v>0</v>
      </c>
      <c r="BY111" s="57"/>
      <c r="BZ111" s="93">
        <f t="shared" si="67"/>
        <v>0</v>
      </c>
      <c r="CA111" s="93">
        <f t="shared" si="68"/>
        <v>0</v>
      </c>
      <c r="CB111" s="93">
        <f t="shared" si="69"/>
        <v>0</v>
      </c>
      <c r="CC111" s="93">
        <f t="shared" si="70"/>
        <v>0</v>
      </c>
      <c r="CD111" s="93">
        <f t="shared" si="71"/>
        <v>150000</v>
      </c>
      <c r="CE111" s="93">
        <f t="shared" si="127"/>
        <v>150000</v>
      </c>
      <c r="CF111" s="64">
        <f t="shared" si="76"/>
        <v>0</v>
      </c>
      <c r="CG111" s="57"/>
      <c r="CH111" s="57"/>
      <c r="CI111" s="57"/>
      <c r="CJ111" s="57"/>
      <c r="CK111" s="57"/>
      <c r="CL111" s="57"/>
      <c r="CM111" s="57"/>
      <c r="CN111" s="57"/>
      <c r="CO111" s="57"/>
    </row>
    <row r="112" spans="1:93" s="58" customFormat="1" ht="14.4" customHeight="1" x14ac:dyDescent="0.3">
      <c r="A112" s="193" t="str">
        <f>'CC detallado'!A112</f>
        <v>-</v>
      </c>
      <c r="B112" s="193" t="str">
        <f>'CC detallado'!B112</f>
        <v>-</v>
      </c>
      <c r="C112" s="193" t="str">
        <f>'CC detallado'!C112</f>
        <v>-</v>
      </c>
      <c r="D112" s="193" t="str">
        <f>'CC detallado'!D112</f>
        <v>-</v>
      </c>
      <c r="E112" s="193" t="str">
        <f>'CC detallado'!E112</f>
        <v>-</v>
      </c>
      <c r="F112" s="193" t="str">
        <f>'CC detallado'!F112</f>
        <v>-</v>
      </c>
      <c r="G112" s="61" t="str">
        <f>'CC detallado'!G112</f>
        <v>Total</v>
      </c>
      <c r="H112" s="62">
        <f>'CC detallado'!H112</f>
        <v>0</v>
      </c>
      <c r="I112" s="62">
        <f>'CC detallado'!I112</f>
        <v>0</v>
      </c>
      <c r="J112" s="62">
        <f>'CC detallado'!J112</f>
        <v>0</v>
      </c>
      <c r="K112" s="62">
        <f>'CC detallado'!K112</f>
        <v>0</v>
      </c>
      <c r="L112" s="77">
        <f>'CC detallado'!L112</f>
        <v>0</v>
      </c>
      <c r="M112" s="93">
        <f>M5+M53+M95+M104+M111</f>
        <v>15000000</v>
      </c>
      <c r="N112" s="56"/>
      <c r="O112" s="93">
        <f t="shared" ref="O112:AT112" si="158">O5+O53+O95+O104+O111</f>
        <v>2500</v>
      </c>
      <c r="P112" s="93">
        <f t="shared" si="158"/>
        <v>14000</v>
      </c>
      <c r="Q112" s="93">
        <f t="shared" si="158"/>
        <v>14000</v>
      </c>
      <c r="R112" s="93">
        <f t="shared" si="158"/>
        <v>14000</v>
      </c>
      <c r="S112" s="93">
        <f t="shared" si="158"/>
        <v>16000</v>
      </c>
      <c r="T112" s="93">
        <f t="shared" si="158"/>
        <v>27666.666666666668</v>
      </c>
      <c r="U112" s="93">
        <f t="shared" si="158"/>
        <v>27666.666666666668</v>
      </c>
      <c r="V112" s="93">
        <f t="shared" si="158"/>
        <v>57666.666666666672</v>
      </c>
      <c r="W112" s="93">
        <f t="shared" si="158"/>
        <v>441200</v>
      </c>
      <c r="X112" s="93">
        <f t="shared" si="158"/>
        <v>96250</v>
      </c>
      <c r="Y112" s="93">
        <f t="shared" si="158"/>
        <v>346800</v>
      </c>
      <c r="Z112" s="93">
        <f t="shared" si="158"/>
        <v>133413.33333333331</v>
      </c>
      <c r="AA112" s="93">
        <f t="shared" si="158"/>
        <v>546137.77777777775</v>
      </c>
      <c r="AB112" s="93">
        <f t="shared" si="158"/>
        <v>352607.77777777775</v>
      </c>
      <c r="AC112" s="93">
        <f t="shared" si="158"/>
        <v>506441.11111111107</v>
      </c>
      <c r="AD112" s="93">
        <f t="shared" si="158"/>
        <v>412137.77777777775</v>
      </c>
      <c r="AE112" s="93">
        <f t="shared" si="158"/>
        <v>615607.77777777775</v>
      </c>
      <c r="AF112" s="93">
        <f t="shared" si="158"/>
        <v>1094691.111111111</v>
      </c>
      <c r="AG112" s="93">
        <f t="shared" si="158"/>
        <v>763637.77777777775</v>
      </c>
      <c r="AH112" s="93">
        <f t="shared" si="158"/>
        <v>456107.77777777775</v>
      </c>
      <c r="AI112" s="93">
        <f t="shared" si="158"/>
        <v>795941.11111111112</v>
      </c>
      <c r="AJ112" s="93">
        <f t="shared" si="158"/>
        <v>460637.77777777775</v>
      </c>
      <c r="AK112" s="93">
        <f t="shared" si="158"/>
        <v>461607.77777777775</v>
      </c>
      <c r="AL112" s="93">
        <f t="shared" si="158"/>
        <v>432721.11111111112</v>
      </c>
      <c r="AM112" s="93">
        <f t="shared" si="158"/>
        <v>1642996.6666666667</v>
      </c>
      <c r="AN112" s="93">
        <f t="shared" si="158"/>
        <v>542163.33333333326</v>
      </c>
      <c r="AO112" s="93">
        <f t="shared" si="158"/>
        <v>337663.33333333326</v>
      </c>
      <c r="AP112" s="93">
        <f t="shared" si="158"/>
        <v>456330</v>
      </c>
      <c r="AQ112" s="93">
        <f t="shared" si="158"/>
        <v>999913.33333333326</v>
      </c>
      <c r="AR112" s="93">
        <f t="shared" si="158"/>
        <v>270496.66666666663</v>
      </c>
      <c r="AS112" s="93">
        <f t="shared" si="158"/>
        <v>254552.22222222222</v>
      </c>
      <c r="AT112" s="93">
        <f t="shared" si="158"/>
        <v>61555.555555555555</v>
      </c>
      <c r="AU112" s="93">
        <f t="shared" ref="AU112:BW112" si="159">AU5+AU53+AU95+AU104+AU111</f>
        <v>84388.888888888891</v>
      </c>
      <c r="AV112" s="93">
        <f t="shared" si="159"/>
        <v>145222.22222222222</v>
      </c>
      <c r="AW112" s="93">
        <f t="shared" si="159"/>
        <v>75055.555555555562</v>
      </c>
      <c r="AX112" s="93">
        <f t="shared" si="159"/>
        <v>31388.888888888891</v>
      </c>
      <c r="AY112" s="93">
        <f t="shared" si="159"/>
        <v>123888.88888888889</v>
      </c>
      <c r="AZ112" s="93">
        <f t="shared" si="159"/>
        <v>88055.555555555562</v>
      </c>
      <c r="BA112" s="93">
        <f t="shared" si="159"/>
        <v>133055.55555555556</v>
      </c>
      <c r="BB112" s="93">
        <f t="shared" si="159"/>
        <v>174722.22222222225</v>
      </c>
      <c r="BC112" s="93">
        <f t="shared" si="159"/>
        <v>61055.555555555555</v>
      </c>
      <c r="BD112" s="93">
        <f t="shared" si="159"/>
        <v>46388.888888888891</v>
      </c>
      <c r="BE112" s="93">
        <f t="shared" si="159"/>
        <v>112222.22222222222</v>
      </c>
      <c r="BF112" s="93">
        <f t="shared" si="159"/>
        <v>145055.55555555556</v>
      </c>
      <c r="BG112" s="93">
        <f t="shared" si="159"/>
        <v>25388.888888888891</v>
      </c>
      <c r="BH112" s="93">
        <f t="shared" si="159"/>
        <v>114222.22222222222</v>
      </c>
      <c r="BI112" s="93">
        <f t="shared" si="159"/>
        <v>13055.555555555555</v>
      </c>
      <c r="BJ112" s="93">
        <f t="shared" si="159"/>
        <v>17055.555555555555</v>
      </c>
      <c r="BK112" s="93">
        <f t="shared" si="159"/>
        <v>81388.888888888891</v>
      </c>
      <c r="BL112" s="93">
        <f t="shared" si="159"/>
        <v>179555.55555555556</v>
      </c>
      <c r="BM112" s="93">
        <f t="shared" si="159"/>
        <v>71222.222222222219</v>
      </c>
      <c r="BN112" s="93">
        <f t="shared" si="159"/>
        <v>163722.22222222225</v>
      </c>
      <c r="BO112" s="93">
        <f t="shared" si="159"/>
        <v>9555.5555555555547</v>
      </c>
      <c r="BP112" s="93">
        <f t="shared" si="159"/>
        <v>34555.555555555555</v>
      </c>
      <c r="BQ112" s="93">
        <f t="shared" si="159"/>
        <v>89222.222222222219</v>
      </c>
      <c r="BR112" s="93">
        <f t="shared" si="159"/>
        <v>39555.555555555555</v>
      </c>
      <c r="BS112" s="93">
        <f t="shared" si="159"/>
        <v>129555.55555555556</v>
      </c>
      <c r="BT112" s="93">
        <f t="shared" si="159"/>
        <v>108222.22222222222</v>
      </c>
      <c r="BU112" s="93">
        <f t="shared" si="159"/>
        <v>40555.555555555555</v>
      </c>
      <c r="BV112" s="93">
        <f t="shared" si="159"/>
        <v>7555.5555555555557</v>
      </c>
      <c r="BW112" s="93">
        <f t="shared" si="159"/>
        <v>15000000</v>
      </c>
      <c r="BX112" s="88">
        <f t="shared" si="66"/>
        <v>0</v>
      </c>
      <c r="BY112" s="57"/>
      <c r="BZ112" s="93">
        <f t="shared" si="67"/>
        <v>1191163.3333333333</v>
      </c>
      <c r="CA112" s="93">
        <f t="shared" si="68"/>
        <v>6898276.666666667</v>
      </c>
      <c r="CB112" s="93">
        <f t="shared" si="69"/>
        <v>4901726.666666667</v>
      </c>
      <c r="CC112" s="93">
        <f t="shared" si="70"/>
        <v>1054166.6666666667</v>
      </c>
      <c r="CD112" s="93">
        <f t="shared" si="71"/>
        <v>954666.66666666651</v>
      </c>
      <c r="CE112" s="93">
        <f>CE5+CE53+CE95+CE104+CE111</f>
        <v>15000000</v>
      </c>
      <c r="CF112" s="64">
        <f t="shared" si="76"/>
        <v>0</v>
      </c>
      <c r="CG112" s="57"/>
      <c r="CH112" s="57"/>
      <c r="CI112" s="57"/>
      <c r="CJ112" s="57"/>
      <c r="CK112" s="57"/>
      <c r="CL112" s="57"/>
      <c r="CM112" s="57"/>
      <c r="CN112" s="57"/>
      <c r="CO112" s="57"/>
    </row>
    <row r="113" spans="13:13" ht="14.4" customHeight="1" x14ac:dyDescent="0.3">
      <c r="M113" s="83">
        <f>15000000-M112</f>
        <v>0</v>
      </c>
    </row>
  </sheetData>
  <autoFilter ref="A4:CO113" xr:uid="{00000000-0009-0000-0000-000005000000}"/>
  <mergeCells count="7">
    <mergeCell ref="A1:M1"/>
    <mergeCell ref="A3:M3"/>
    <mergeCell ref="BK3:BV3"/>
    <mergeCell ref="O3:Z3"/>
    <mergeCell ref="AA3:AL3"/>
    <mergeCell ref="AM3:AX3"/>
    <mergeCell ref="AY3:BJ3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G115"/>
  <sheetViews>
    <sheetView showGridLines="0" zoomScale="70" zoomScaleNormal="70" workbookViewId="0">
      <selection sqref="A1:F1"/>
    </sheetView>
  </sheetViews>
  <sheetFormatPr defaultColWidth="11.44140625" defaultRowHeight="14.4" customHeight="1" outlineLevelRow="1" outlineLevelCol="1" x14ac:dyDescent="0.3"/>
  <cols>
    <col min="1" max="1" width="6.5546875" style="173" customWidth="1"/>
    <col min="2" max="2" width="48.109375" style="80" customWidth="1"/>
    <col min="3" max="3" width="17.109375" style="82" customWidth="1"/>
    <col min="4" max="4" width="23.6640625" style="82" bestFit="1" customWidth="1"/>
    <col min="5" max="6" width="17.109375" style="82" customWidth="1"/>
    <col min="7" max="7" width="9.6640625" style="88" customWidth="1" outlineLevel="1"/>
    <col min="8" max="11" width="9.88671875" style="88" customWidth="1" outlineLevel="1"/>
    <col min="12" max="14" width="10.33203125" style="88" customWidth="1" outlineLevel="1"/>
    <col min="15" max="15" width="11.33203125" style="88" customWidth="1" outlineLevel="1"/>
    <col min="16" max="16" width="10.33203125" style="88" customWidth="1" outlineLevel="1"/>
    <col min="17" max="17" width="11.5546875" style="88" customWidth="1" outlineLevel="1"/>
    <col min="18" max="18" width="10.88671875" style="88" customWidth="1" outlineLevel="1"/>
    <col min="19" max="19" width="15.44140625" style="88" customWidth="1"/>
    <col min="20" max="16384" width="11.44140625" style="50"/>
  </cols>
  <sheetData>
    <row r="1" spans="1:19" s="46" customFormat="1" ht="18.600000000000001" customHeight="1" x14ac:dyDescent="0.3">
      <c r="A1" s="337" t="s">
        <v>754</v>
      </c>
      <c r="B1" s="338"/>
      <c r="C1" s="338"/>
      <c r="D1" s="338"/>
      <c r="E1" s="338"/>
      <c r="F1" s="338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19" s="46" customFormat="1" ht="14.4" customHeight="1" thickBot="1" x14ac:dyDescent="0.35">
      <c r="A2" s="92"/>
      <c r="B2" s="92"/>
      <c r="C2" s="92"/>
      <c r="D2" s="92"/>
      <c r="E2" s="92"/>
      <c r="F2" s="92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19" s="46" customFormat="1" ht="14.4" customHeight="1" thickTop="1" thickBot="1" x14ac:dyDescent="0.35">
      <c r="A3" s="342" t="s">
        <v>699</v>
      </c>
      <c r="B3" s="342"/>
      <c r="C3" s="342"/>
      <c r="D3" s="342"/>
      <c r="E3" s="342"/>
      <c r="F3" s="343"/>
      <c r="G3" s="339" t="s">
        <v>102</v>
      </c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40" t="s">
        <v>39</v>
      </c>
    </row>
    <row r="4" spans="1:19" s="47" customFormat="1" ht="14.4" customHeight="1" thickTop="1" thickBot="1" x14ac:dyDescent="0.35">
      <c r="A4" s="342"/>
      <c r="B4" s="342"/>
      <c r="C4" s="342"/>
      <c r="D4" s="342"/>
      <c r="E4" s="342"/>
      <c r="F4" s="343"/>
      <c r="G4" s="341" t="s">
        <v>28</v>
      </c>
      <c r="H4" s="341"/>
      <c r="I4" s="341"/>
      <c r="J4" s="341" t="s">
        <v>29</v>
      </c>
      <c r="K4" s="341"/>
      <c r="L4" s="341"/>
      <c r="M4" s="341" t="s">
        <v>30</v>
      </c>
      <c r="N4" s="341"/>
      <c r="O4" s="341"/>
      <c r="P4" s="341" t="s">
        <v>31</v>
      </c>
      <c r="Q4" s="341"/>
      <c r="R4" s="341"/>
      <c r="S4" s="340"/>
    </row>
    <row r="5" spans="1:19" s="66" customFormat="1" ht="32.4" customHeight="1" thickTop="1" thickBot="1" x14ac:dyDescent="0.35">
      <c r="A5" s="344"/>
      <c r="B5" s="344"/>
      <c r="C5" s="344"/>
      <c r="D5" s="344"/>
      <c r="E5" s="344"/>
      <c r="F5" s="345"/>
      <c r="G5" s="295" t="s">
        <v>109</v>
      </c>
      <c r="H5" s="295" t="s">
        <v>110</v>
      </c>
      <c r="I5" s="295" t="s">
        <v>111</v>
      </c>
      <c r="J5" s="295" t="s">
        <v>112</v>
      </c>
      <c r="K5" s="295" t="s">
        <v>113</v>
      </c>
      <c r="L5" s="295" t="s">
        <v>114</v>
      </c>
      <c r="M5" s="295" t="s">
        <v>115</v>
      </c>
      <c r="N5" s="295" t="s">
        <v>116</v>
      </c>
      <c r="O5" s="295" t="s">
        <v>117</v>
      </c>
      <c r="P5" s="295" t="s">
        <v>118</v>
      </c>
      <c r="Q5" s="295" t="s">
        <v>119</v>
      </c>
      <c r="R5" s="295" t="s">
        <v>120</v>
      </c>
      <c r="S5" s="340"/>
    </row>
    <row r="6" spans="1:19" s="205" customFormat="1" ht="28.2" customHeight="1" thickTop="1" thickBot="1" x14ac:dyDescent="0.35">
      <c r="A6" s="292" t="s">
        <v>59</v>
      </c>
      <c r="B6" s="293" t="s">
        <v>700</v>
      </c>
      <c r="C6" s="294" t="s">
        <v>701</v>
      </c>
      <c r="D6" s="293" t="s">
        <v>702</v>
      </c>
      <c r="E6" s="293" t="s">
        <v>703</v>
      </c>
      <c r="F6" s="293" t="s">
        <v>704</v>
      </c>
      <c r="G6" s="296" t="s">
        <v>10</v>
      </c>
      <c r="H6" s="296" t="s">
        <v>11</v>
      </c>
      <c r="I6" s="296" t="s">
        <v>12</v>
      </c>
      <c r="J6" s="296" t="s">
        <v>13</v>
      </c>
      <c r="K6" s="296" t="s">
        <v>14</v>
      </c>
      <c r="L6" s="296" t="s">
        <v>15</v>
      </c>
      <c r="M6" s="296" t="s">
        <v>16</v>
      </c>
      <c r="N6" s="296" t="s">
        <v>17</v>
      </c>
      <c r="O6" s="296" t="s">
        <v>18</v>
      </c>
      <c r="P6" s="296" t="s">
        <v>19</v>
      </c>
      <c r="Q6" s="296" t="s">
        <v>20</v>
      </c>
      <c r="R6" s="296" t="s">
        <v>21</v>
      </c>
      <c r="S6" s="340"/>
    </row>
    <row r="7" spans="1:19" s="58" customFormat="1" ht="14.4" customHeight="1" thickTop="1" x14ac:dyDescent="0.3">
      <c r="A7" s="193">
        <f>'CC detallado'!A5</f>
        <v>1</v>
      </c>
      <c r="B7" s="61" t="str">
        <f>'CC detallado'!G5</f>
        <v>Componente 1 - Gestión del Riesgo Sanitario</v>
      </c>
      <c r="C7" s="93">
        <f>C8+C13+C18+C24+C32+C37+C43+C48+C52</f>
        <v>10859600</v>
      </c>
      <c r="D7" s="61"/>
      <c r="E7" s="61"/>
      <c r="F7" s="61"/>
      <c r="G7" s="93">
        <f t="shared" ref="G7:S7" si="0">G8+G13+G18+G24+G32+G37+G43+G48+G52</f>
        <v>0</v>
      </c>
      <c r="H7" s="93">
        <f t="shared" si="0"/>
        <v>0</v>
      </c>
      <c r="I7" s="93">
        <f t="shared" si="0"/>
        <v>0</v>
      </c>
      <c r="J7" s="93">
        <f t="shared" si="0"/>
        <v>0</v>
      </c>
      <c r="K7" s="93">
        <f t="shared" si="0"/>
        <v>0</v>
      </c>
      <c r="L7" s="93">
        <f t="shared" si="0"/>
        <v>0</v>
      </c>
      <c r="M7" s="93">
        <f t="shared" si="0"/>
        <v>0</v>
      </c>
      <c r="N7" s="93">
        <f t="shared" si="0"/>
        <v>7500</v>
      </c>
      <c r="O7" s="93">
        <f t="shared" si="0"/>
        <v>425450</v>
      </c>
      <c r="P7" s="93">
        <f t="shared" si="0"/>
        <v>32500</v>
      </c>
      <c r="Q7" s="93">
        <f t="shared" si="0"/>
        <v>251550</v>
      </c>
      <c r="R7" s="93">
        <f t="shared" si="0"/>
        <v>76663.333333333328</v>
      </c>
      <c r="S7" s="93">
        <f t="shared" si="0"/>
        <v>793663.33333333337</v>
      </c>
    </row>
    <row r="8" spans="1:19" ht="14.4" customHeight="1" x14ac:dyDescent="0.3">
      <c r="A8" s="190" t="str">
        <f>'CC detallado'!A6</f>
        <v>1.1</v>
      </c>
      <c r="B8" s="185" t="str">
        <f>'CC detallado'!G6</f>
        <v xml:space="preserve">Producto 1: SISA ampliado en su prestaciones e integrado a SIGOR </v>
      </c>
      <c r="C8" s="187">
        <f>SUM(C9:C12)</f>
        <v>258000</v>
      </c>
      <c r="D8" s="185"/>
      <c r="E8" s="185"/>
      <c r="F8" s="185"/>
      <c r="G8" s="187">
        <f>PEP!O6</f>
        <v>0</v>
      </c>
      <c r="H8" s="187">
        <f>PEP!P6</f>
        <v>0</v>
      </c>
      <c r="I8" s="187">
        <f>PEP!Q6</f>
        <v>0</v>
      </c>
      <c r="J8" s="187">
        <f>PEP!R6</f>
        <v>0</v>
      </c>
      <c r="K8" s="187">
        <f>PEP!S6</f>
        <v>0</v>
      </c>
      <c r="L8" s="187">
        <f>PEP!T6</f>
        <v>0</v>
      </c>
      <c r="M8" s="187">
        <f>PEP!U6</f>
        <v>0</v>
      </c>
      <c r="N8" s="187">
        <f>PEP!V6</f>
        <v>7500</v>
      </c>
      <c r="O8" s="187">
        <f>PEP!W6</f>
        <v>7500</v>
      </c>
      <c r="P8" s="187">
        <f>PEP!X6</f>
        <v>7500</v>
      </c>
      <c r="Q8" s="187">
        <f>PEP!Y6</f>
        <v>7500</v>
      </c>
      <c r="R8" s="187">
        <f>PEP!Z6</f>
        <v>0</v>
      </c>
      <c r="S8" s="187">
        <f t="shared" ref="S8" si="1">SUM(S9:S12)</f>
        <v>30000</v>
      </c>
    </row>
    <row r="9" spans="1:19" ht="14.4" hidden="1" customHeight="1" outlineLevel="1" x14ac:dyDescent="0.3">
      <c r="A9" s="67" t="str">
        <f>'CC detallado'!A7</f>
        <v>1.1.1</v>
      </c>
      <c r="B9" s="166" t="str">
        <f>'CC detallado'!G7</f>
        <v>Diseño del SISA integrado</v>
      </c>
      <c r="C9" s="70">
        <f>'CC detallado'!M7</f>
        <v>30000</v>
      </c>
      <c r="D9" s="166" t="s">
        <v>451</v>
      </c>
      <c r="E9" s="166" t="s">
        <v>705</v>
      </c>
      <c r="F9" s="166" t="s">
        <v>706</v>
      </c>
      <c r="G9" s="194">
        <f>PEP!O7</f>
        <v>0</v>
      </c>
      <c r="H9" s="194">
        <f>PEP!P7</f>
        <v>0</v>
      </c>
      <c r="I9" s="194">
        <f>PEP!Q7</f>
        <v>0</v>
      </c>
      <c r="J9" s="194">
        <f>PEP!R7</f>
        <v>0</v>
      </c>
      <c r="K9" s="194">
        <f>PEP!S7</f>
        <v>0</v>
      </c>
      <c r="L9" s="198">
        <f>PEP!T7</f>
        <v>0</v>
      </c>
      <c r="M9" s="198">
        <f>PEP!U7</f>
        <v>0</v>
      </c>
      <c r="N9" s="197">
        <f>PEP!V7</f>
        <v>7500</v>
      </c>
      <c r="O9" s="197">
        <f>PEP!W7</f>
        <v>7500</v>
      </c>
      <c r="P9" s="197">
        <f>PEP!X7</f>
        <v>7500</v>
      </c>
      <c r="Q9" s="197">
        <f>PEP!Y7</f>
        <v>7500</v>
      </c>
      <c r="R9" s="194">
        <f>PEP!Z7</f>
        <v>0</v>
      </c>
      <c r="S9" s="195">
        <f>SUM(G9:R9)</f>
        <v>30000</v>
      </c>
    </row>
    <row r="10" spans="1:19" ht="14.4" hidden="1" customHeight="1" outlineLevel="1" x14ac:dyDescent="0.3">
      <c r="A10" s="67" t="str">
        <f>'CC detallado'!A8</f>
        <v>1.1.2</v>
      </c>
      <c r="B10" s="166" t="str">
        <f>'CC detallado'!G8</f>
        <v>Desarrollo e implementación del sistema</v>
      </c>
      <c r="C10" s="70">
        <f>'CC detallado'!M8</f>
        <v>180000</v>
      </c>
      <c r="D10" s="166" t="s">
        <v>707</v>
      </c>
      <c r="E10" s="166" t="s">
        <v>708</v>
      </c>
      <c r="F10" s="166" t="s">
        <v>709</v>
      </c>
      <c r="G10" s="194">
        <f>PEP!O8</f>
        <v>0</v>
      </c>
      <c r="H10" s="194">
        <f>PEP!P8</f>
        <v>0</v>
      </c>
      <c r="I10" s="194">
        <f>PEP!Q8</f>
        <v>0</v>
      </c>
      <c r="J10" s="194">
        <f>PEP!R8</f>
        <v>0</v>
      </c>
      <c r="K10" s="194">
        <f>PEP!S8</f>
        <v>0</v>
      </c>
      <c r="L10" s="194">
        <f>PEP!T8</f>
        <v>0</v>
      </c>
      <c r="M10" s="194">
        <f>PEP!U8</f>
        <v>0</v>
      </c>
      <c r="N10" s="194">
        <f>PEP!V8</f>
        <v>0</v>
      </c>
      <c r="O10" s="194">
        <f>PEP!W8</f>
        <v>0</v>
      </c>
      <c r="P10" s="194">
        <f>PEP!X8</f>
        <v>0</v>
      </c>
      <c r="Q10" s="198">
        <f>PEP!Y8</f>
        <v>0</v>
      </c>
      <c r="R10" s="198">
        <f>PEP!Z8</f>
        <v>0</v>
      </c>
      <c r="S10" s="195">
        <f>SUM(G10:R10)</f>
        <v>0</v>
      </c>
    </row>
    <row r="11" spans="1:19" ht="14.4" hidden="1" customHeight="1" outlineLevel="1" x14ac:dyDescent="0.3">
      <c r="A11" s="67" t="str">
        <f>'CC detallado'!A9</f>
        <v>1.1.3</v>
      </c>
      <c r="B11" s="166" t="str">
        <f>'CC detallado'!G9</f>
        <v>Contratación Expertos</v>
      </c>
      <c r="C11" s="70">
        <f>'CC detallado'!M9</f>
        <v>8000</v>
      </c>
      <c r="D11" s="166"/>
      <c r="E11" s="166"/>
      <c r="F11" s="166"/>
      <c r="G11" s="194">
        <f>PEP!O9</f>
        <v>0</v>
      </c>
      <c r="H11" s="194">
        <f>PEP!P9</f>
        <v>0</v>
      </c>
      <c r="I11" s="194">
        <f>PEP!Q9</f>
        <v>0</v>
      </c>
      <c r="J11" s="194">
        <f>PEP!R9</f>
        <v>0</v>
      </c>
      <c r="K11" s="194">
        <f>PEP!S9</f>
        <v>0</v>
      </c>
      <c r="L11" s="194">
        <f>PEP!T9</f>
        <v>0</v>
      </c>
      <c r="M11" s="194">
        <f>PEP!U9</f>
        <v>0</v>
      </c>
      <c r="N11" s="194">
        <f>PEP!V9</f>
        <v>0</v>
      </c>
      <c r="O11" s="194">
        <f>PEP!W9</f>
        <v>0</v>
      </c>
      <c r="P11" s="194">
        <f>PEP!X9</f>
        <v>0</v>
      </c>
      <c r="Q11" s="194">
        <f>PEP!Y9</f>
        <v>0</v>
      </c>
      <c r="R11" s="194">
        <f>PEP!Z9</f>
        <v>0</v>
      </c>
      <c r="S11" s="195">
        <f>SUM(G11:R11)</f>
        <v>0</v>
      </c>
    </row>
    <row r="12" spans="1:19" ht="14.4" hidden="1" customHeight="1" outlineLevel="1" x14ac:dyDescent="0.3">
      <c r="A12" s="67" t="str">
        <f>'CC detallado'!A10</f>
        <v>1.1.4</v>
      </c>
      <c r="B12" s="166" t="str">
        <f>'CC detallado'!G10</f>
        <v>Realización Taller</v>
      </c>
      <c r="C12" s="70">
        <f>'CC detallado'!M10</f>
        <v>40000</v>
      </c>
      <c r="D12" s="166"/>
      <c r="E12" s="166"/>
      <c r="F12" s="166"/>
      <c r="G12" s="194">
        <f>PEP!O10</f>
        <v>0</v>
      </c>
      <c r="H12" s="194">
        <f>PEP!P10</f>
        <v>0</v>
      </c>
      <c r="I12" s="194">
        <f>PEP!Q10</f>
        <v>0</v>
      </c>
      <c r="J12" s="194">
        <f>PEP!R10</f>
        <v>0</v>
      </c>
      <c r="K12" s="194">
        <f>PEP!S10</f>
        <v>0</v>
      </c>
      <c r="L12" s="194">
        <f>PEP!T10</f>
        <v>0</v>
      </c>
      <c r="M12" s="194">
        <f>PEP!U10</f>
        <v>0</v>
      </c>
      <c r="N12" s="194">
        <f>PEP!V10</f>
        <v>0</v>
      </c>
      <c r="O12" s="194">
        <f>PEP!W10</f>
        <v>0</v>
      </c>
      <c r="P12" s="194">
        <f>PEP!X10</f>
        <v>0</v>
      </c>
      <c r="Q12" s="194">
        <f>PEP!Y10</f>
        <v>0</v>
      </c>
      <c r="R12" s="194">
        <f>PEP!Z10</f>
        <v>0</v>
      </c>
      <c r="S12" s="195">
        <f>SUM(G12:R12)</f>
        <v>0</v>
      </c>
    </row>
    <row r="13" spans="1:19" ht="14.4" customHeight="1" collapsed="1" x14ac:dyDescent="0.3">
      <c r="A13" s="190" t="str">
        <f>'CC detallado'!A11</f>
        <v>1.2</v>
      </c>
      <c r="B13" s="185" t="str">
        <f>'CC detallado'!G11</f>
        <v>Producto 2: Unidad de vigilancia sanitaria implementada</v>
      </c>
      <c r="C13" s="187">
        <f>SUM(C14:C17)</f>
        <v>480000</v>
      </c>
      <c r="D13" s="185"/>
      <c r="E13" s="185"/>
      <c r="F13" s="185"/>
      <c r="G13" s="187">
        <f>PEP!O11</f>
        <v>0</v>
      </c>
      <c r="H13" s="187">
        <f>PEP!P11</f>
        <v>0</v>
      </c>
      <c r="I13" s="187">
        <f>PEP!Q11</f>
        <v>0</v>
      </c>
      <c r="J13" s="187">
        <f>PEP!R11</f>
        <v>0</v>
      </c>
      <c r="K13" s="187">
        <f>PEP!S11</f>
        <v>0</v>
      </c>
      <c r="L13" s="187">
        <f>PEP!T11</f>
        <v>0</v>
      </c>
      <c r="M13" s="187">
        <f>PEP!U11</f>
        <v>0</v>
      </c>
      <c r="N13" s="187">
        <f>PEP!V11</f>
        <v>0</v>
      </c>
      <c r="O13" s="187">
        <f>PEP!W11</f>
        <v>0</v>
      </c>
      <c r="P13" s="187">
        <f>PEP!X11</f>
        <v>0</v>
      </c>
      <c r="Q13" s="187">
        <f>PEP!Y11</f>
        <v>0</v>
      </c>
      <c r="R13" s="187">
        <f>PEP!Z11</f>
        <v>0</v>
      </c>
      <c r="S13" s="187">
        <f t="shared" ref="S13" si="2">SUM(S14:S17)</f>
        <v>0</v>
      </c>
    </row>
    <row r="14" spans="1:19" ht="14.4" hidden="1" customHeight="1" outlineLevel="1" x14ac:dyDescent="0.3">
      <c r="A14" s="67" t="str">
        <f>'CC detallado'!A12</f>
        <v>1.2.1</v>
      </c>
      <c r="B14" s="166" t="str">
        <f>'CC detallado'!G12</f>
        <v>Consultoría para establecimiento de la red (incluye diseño)</v>
      </c>
      <c r="C14" s="70">
        <f>'CC detallado'!M12</f>
        <v>30000</v>
      </c>
      <c r="D14" s="166" t="s">
        <v>707</v>
      </c>
      <c r="E14" s="166" t="s">
        <v>708</v>
      </c>
      <c r="F14" s="166" t="s">
        <v>709</v>
      </c>
      <c r="G14" s="194">
        <f>PEP!O12</f>
        <v>0</v>
      </c>
      <c r="H14" s="194">
        <f>PEP!P12</f>
        <v>0</v>
      </c>
      <c r="I14" s="194">
        <f>PEP!Q12</f>
        <v>0</v>
      </c>
      <c r="J14" s="194">
        <f>PEP!R12</f>
        <v>0</v>
      </c>
      <c r="K14" s="194">
        <f>PEP!S12</f>
        <v>0</v>
      </c>
      <c r="L14" s="194">
        <f>PEP!T12</f>
        <v>0</v>
      </c>
      <c r="M14" s="194">
        <f>PEP!U12</f>
        <v>0</v>
      </c>
      <c r="N14" s="194">
        <f>PEP!V12</f>
        <v>0</v>
      </c>
      <c r="O14" s="194">
        <f>PEP!W12</f>
        <v>0</v>
      </c>
      <c r="P14" s="194">
        <f>PEP!X12</f>
        <v>0</v>
      </c>
      <c r="Q14" s="198">
        <f>PEP!Y12</f>
        <v>0</v>
      </c>
      <c r="R14" s="198">
        <f>PEP!Z12</f>
        <v>0</v>
      </c>
      <c r="S14" s="195">
        <f>SUM(G14:R14)</f>
        <v>0</v>
      </c>
    </row>
    <row r="15" spans="1:19" ht="14.4" hidden="1" customHeight="1" outlineLevel="1" x14ac:dyDescent="0.3">
      <c r="A15" s="67" t="str">
        <f>'CC detallado'!A13</f>
        <v>1.2.2</v>
      </c>
      <c r="B15" s="166" t="str">
        <f>'CC detallado'!G13</f>
        <v>Adquisición de equipos</v>
      </c>
      <c r="C15" s="70">
        <f>'CC detallado'!M13</f>
        <v>330000</v>
      </c>
      <c r="D15" s="166"/>
      <c r="E15" s="166"/>
      <c r="F15" s="166"/>
      <c r="G15" s="194">
        <f>PEP!O13</f>
        <v>0</v>
      </c>
      <c r="H15" s="194">
        <f>PEP!P13</f>
        <v>0</v>
      </c>
      <c r="I15" s="194">
        <f>PEP!Q13</f>
        <v>0</v>
      </c>
      <c r="J15" s="194">
        <f>PEP!R13</f>
        <v>0</v>
      </c>
      <c r="K15" s="194">
        <f>PEP!S13</f>
        <v>0</v>
      </c>
      <c r="L15" s="194">
        <f>PEP!T13</f>
        <v>0</v>
      </c>
      <c r="M15" s="194">
        <f>PEP!U13</f>
        <v>0</v>
      </c>
      <c r="N15" s="194">
        <f>PEP!V13</f>
        <v>0</v>
      </c>
      <c r="O15" s="194">
        <f>PEP!W13</f>
        <v>0</v>
      </c>
      <c r="P15" s="194">
        <f>PEP!X13</f>
        <v>0</v>
      </c>
      <c r="Q15" s="194">
        <f>PEP!Y13</f>
        <v>0</v>
      </c>
      <c r="R15" s="194">
        <f>PEP!Z13</f>
        <v>0</v>
      </c>
      <c r="S15" s="195">
        <f>SUM(G15:R15)</f>
        <v>0</v>
      </c>
    </row>
    <row r="16" spans="1:19" ht="14.4" hidden="1" customHeight="1" outlineLevel="1" x14ac:dyDescent="0.3">
      <c r="A16" s="67" t="str">
        <f>'CC detallado'!A14</f>
        <v>1.2.3</v>
      </c>
      <c r="B16" s="166" t="str">
        <f>'CC detallado'!G14</f>
        <v>Consultoría propuesta sistemas de información</v>
      </c>
      <c r="C16" s="70">
        <f>'CC detallado'!M14</f>
        <v>20000</v>
      </c>
      <c r="D16" s="166" t="s">
        <v>707</v>
      </c>
      <c r="E16" s="166" t="s">
        <v>708</v>
      </c>
      <c r="F16" s="166" t="s">
        <v>709</v>
      </c>
      <c r="G16" s="194">
        <f>PEP!O14</f>
        <v>0</v>
      </c>
      <c r="H16" s="194">
        <f>PEP!P14</f>
        <v>0</v>
      </c>
      <c r="I16" s="194">
        <f>PEP!Q14</f>
        <v>0</v>
      </c>
      <c r="J16" s="194">
        <f>PEP!R14</f>
        <v>0</v>
      </c>
      <c r="K16" s="194">
        <f>PEP!S14</f>
        <v>0</v>
      </c>
      <c r="L16" s="194">
        <f>PEP!T14</f>
        <v>0</v>
      </c>
      <c r="M16" s="194">
        <f>PEP!U14</f>
        <v>0</v>
      </c>
      <c r="N16" s="194">
        <f>PEP!V14</f>
        <v>0</v>
      </c>
      <c r="O16" s="194">
        <f>PEP!W14</f>
        <v>0</v>
      </c>
      <c r="P16" s="194">
        <f>PEP!X14</f>
        <v>0</v>
      </c>
      <c r="Q16" s="198">
        <f>PEP!Y14</f>
        <v>0</v>
      </c>
      <c r="R16" s="198">
        <f>PEP!Z14</f>
        <v>0</v>
      </c>
      <c r="S16" s="195">
        <f>SUM(G16:R16)</f>
        <v>0</v>
      </c>
    </row>
    <row r="17" spans="1:19" ht="14.4" hidden="1" customHeight="1" outlineLevel="1" x14ac:dyDescent="0.3">
      <c r="A17" s="67" t="str">
        <f>'CC detallado'!A15</f>
        <v>1.2.4</v>
      </c>
      <c r="B17" s="166" t="str">
        <f>'CC detallado'!G15</f>
        <v>Desarrollo de sistemas de gestión de información (incluye capacitación)</v>
      </c>
      <c r="C17" s="70">
        <f>'CC detallado'!M15</f>
        <v>100000</v>
      </c>
      <c r="D17" s="166"/>
      <c r="E17" s="166"/>
      <c r="F17" s="166"/>
      <c r="G17" s="194">
        <f>PEP!O15</f>
        <v>0</v>
      </c>
      <c r="H17" s="194">
        <f>PEP!P15</f>
        <v>0</v>
      </c>
      <c r="I17" s="194">
        <f>PEP!Q15</f>
        <v>0</v>
      </c>
      <c r="J17" s="194">
        <f>PEP!R15</f>
        <v>0</v>
      </c>
      <c r="K17" s="194">
        <f>PEP!S15</f>
        <v>0</v>
      </c>
      <c r="L17" s="194">
        <f>PEP!T15</f>
        <v>0</v>
      </c>
      <c r="M17" s="194">
        <f>PEP!U15</f>
        <v>0</v>
      </c>
      <c r="N17" s="194">
        <f>PEP!V15</f>
        <v>0</v>
      </c>
      <c r="O17" s="194">
        <f>PEP!W15</f>
        <v>0</v>
      </c>
      <c r="P17" s="194">
        <f>PEP!X15</f>
        <v>0</v>
      </c>
      <c r="Q17" s="194">
        <f>PEP!Y15</f>
        <v>0</v>
      </c>
      <c r="R17" s="194">
        <f>PEP!Z15</f>
        <v>0</v>
      </c>
      <c r="S17" s="195">
        <f>SUM(G17:R17)</f>
        <v>0</v>
      </c>
    </row>
    <row r="18" spans="1:19" ht="14.4" customHeight="1" collapsed="1" x14ac:dyDescent="0.3">
      <c r="A18" s="190" t="str">
        <f>'CC detallado'!A16</f>
        <v>1.3</v>
      </c>
      <c r="B18" s="185" t="str">
        <f>'CC detallado'!G16</f>
        <v>Producto 3: Control en puntos de ingreso funcionando de
acuerdo a estándares internacionales.</v>
      </c>
      <c r="C18" s="187">
        <f>SUM(C19:C23)</f>
        <v>180000</v>
      </c>
      <c r="D18" s="185"/>
      <c r="E18" s="185"/>
      <c r="F18" s="185"/>
      <c r="G18" s="187">
        <f>PEP!O16</f>
        <v>0</v>
      </c>
      <c r="H18" s="187">
        <f>PEP!P16</f>
        <v>0</v>
      </c>
      <c r="I18" s="187">
        <f>PEP!Q16</f>
        <v>0</v>
      </c>
      <c r="J18" s="187">
        <f>PEP!R16</f>
        <v>0</v>
      </c>
      <c r="K18" s="187">
        <f>PEP!S16</f>
        <v>0</v>
      </c>
      <c r="L18" s="187">
        <f>PEP!T16</f>
        <v>0</v>
      </c>
      <c r="M18" s="187">
        <f>PEP!U16</f>
        <v>0</v>
      </c>
      <c r="N18" s="187">
        <f>PEP!V16</f>
        <v>0</v>
      </c>
      <c r="O18" s="187">
        <f>PEP!W16</f>
        <v>0</v>
      </c>
      <c r="P18" s="187">
        <f>PEP!X16</f>
        <v>0</v>
      </c>
      <c r="Q18" s="187">
        <f>PEP!Y16</f>
        <v>0</v>
      </c>
      <c r="R18" s="187">
        <f>PEP!Z16</f>
        <v>0</v>
      </c>
      <c r="S18" s="187">
        <f t="shared" ref="S18" si="3">SUM(S19:S23)</f>
        <v>0</v>
      </c>
    </row>
    <row r="19" spans="1:19" ht="14.4" hidden="1" customHeight="1" outlineLevel="1" x14ac:dyDescent="0.3">
      <c r="A19" s="67" t="str">
        <f>'CC detallado'!A17</f>
        <v>1.3.1</v>
      </c>
      <c r="B19" s="166" t="str">
        <f>'CC detallado'!G17</f>
        <v>Consultoría de caracterización de riesgo externo y perfeccionamiento de procedimientos de inspección, decomisos y comunicación a usuarios</v>
      </c>
      <c r="C19" s="70">
        <f>'CC detallado'!M17</f>
        <v>20000</v>
      </c>
      <c r="D19" s="166"/>
      <c r="E19" s="166"/>
      <c r="F19" s="166"/>
      <c r="G19" s="194">
        <f>PEP!O17</f>
        <v>0</v>
      </c>
      <c r="H19" s="194">
        <f>PEP!P17</f>
        <v>0</v>
      </c>
      <c r="I19" s="194">
        <f>PEP!Q17</f>
        <v>0</v>
      </c>
      <c r="J19" s="194">
        <f>PEP!R17</f>
        <v>0</v>
      </c>
      <c r="K19" s="194">
        <f>PEP!S17</f>
        <v>0</v>
      </c>
      <c r="L19" s="194">
        <f>PEP!T17</f>
        <v>0</v>
      </c>
      <c r="M19" s="194">
        <f>PEP!U17</f>
        <v>0</v>
      </c>
      <c r="N19" s="194">
        <f>PEP!V17</f>
        <v>0</v>
      </c>
      <c r="O19" s="194">
        <f>PEP!W17</f>
        <v>0</v>
      </c>
      <c r="P19" s="194">
        <f>PEP!X17</f>
        <v>0</v>
      </c>
      <c r="Q19" s="194">
        <f>PEP!Y17</f>
        <v>0</v>
      </c>
      <c r="R19" s="194">
        <f>PEP!Z17</f>
        <v>0</v>
      </c>
      <c r="S19" s="195">
        <f>SUM(G19:R19)</f>
        <v>0</v>
      </c>
    </row>
    <row r="20" spans="1:19" ht="14.4" hidden="1" customHeight="1" outlineLevel="1" x14ac:dyDescent="0.3">
      <c r="A20" s="67" t="str">
        <f>'CC detallado'!A18</f>
        <v>1.3.2</v>
      </c>
      <c r="B20" s="166" t="str">
        <f>'CC detallado'!G18</f>
        <v>Seminario Taller caracterización de riesgo externo</v>
      </c>
      <c r="C20" s="70">
        <f>'CC detallado'!M18</f>
        <v>10000</v>
      </c>
      <c r="D20" s="166"/>
      <c r="E20" s="166"/>
      <c r="F20" s="166"/>
      <c r="G20" s="194">
        <f>PEP!O18</f>
        <v>0</v>
      </c>
      <c r="H20" s="194">
        <f>PEP!P18</f>
        <v>0</v>
      </c>
      <c r="I20" s="194">
        <f>PEP!Q18</f>
        <v>0</v>
      </c>
      <c r="J20" s="194">
        <f>PEP!R18</f>
        <v>0</v>
      </c>
      <c r="K20" s="194">
        <f>PEP!S18</f>
        <v>0</v>
      </c>
      <c r="L20" s="194">
        <f>PEP!T18</f>
        <v>0</v>
      </c>
      <c r="M20" s="194">
        <f>PEP!U18</f>
        <v>0</v>
      </c>
      <c r="N20" s="194">
        <f>PEP!V18</f>
        <v>0</v>
      </c>
      <c r="O20" s="194">
        <f>PEP!W18</f>
        <v>0</v>
      </c>
      <c r="P20" s="194">
        <f>PEP!X18</f>
        <v>0</v>
      </c>
      <c r="Q20" s="194">
        <f>PEP!Y18</f>
        <v>0</v>
      </c>
      <c r="R20" s="194">
        <f>PEP!Z18</f>
        <v>0</v>
      </c>
      <c r="S20" s="195">
        <f>SUM(G20:R20)</f>
        <v>0</v>
      </c>
    </row>
    <row r="21" spans="1:19" ht="14.4" hidden="1" customHeight="1" outlineLevel="1" x14ac:dyDescent="0.3">
      <c r="A21" s="67" t="str">
        <f>'CC detallado'!A19</f>
        <v>1.3.3</v>
      </c>
      <c r="B21" s="166" t="str">
        <f>'CC detallado'!G19</f>
        <v>Consultoría proyecto Estación cuarentenaria y diseño puestos de control internacional</v>
      </c>
      <c r="C21" s="70">
        <f>'CC detallado'!M19</f>
        <v>10000</v>
      </c>
      <c r="D21" s="166"/>
      <c r="E21" s="166"/>
      <c r="F21" s="166"/>
      <c r="G21" s="194">
        <f>PEP!O19</f>
        <v>0</v>
      </c>
      <c r="H21" s="194">
        <f>PEP!P19</f>
        <v>0</v>
      </c>
      <c r="I21" s="194">
        <f>PEP!Q19</f>
        <v>0</v>
      </c>
      <c r="J21" s="194">
        <f>PEP!R19</f>
        <v>0</v>
      </c>
      <c r="K21" s="194">
        <f>PEP!S19</f>
        <v>0</v>
      </c>
      <c r="L21" s="194">
        <f>PEP!T19</f>
        <v>0</v>
      </c>
      <c r="M21" s="194">
        <f>PEP!U19</f>
        <v>0</v>
      </c>
      <c r="N21" s="194">
        <f>PEP!V19</f>
        <v>0</v>
      </c>
      <c r="O21" s="194">
        <f>PEP!W19</f>
        <v>0</v>
      </c>
      <c r="P21" s="194">
        <f>PEP!X19</f>
        <v>0</v>
      </c>
      <c r="Q21" s="194">
        <f>PEP!Y19</f>
        <v>0</v>
      </c>
      <c r="R21" s="194">
        <f>PEP!Z19</f>
        <v>0</v>
      </c>
      <c r="S21" s="195">
        <f>SUM(G21:R21)</f>
        <v>0</v>
      </c>
    </row>
    <row r="22" spans="1:19" ht="14.4" hidden="1" customHeight="1" outlineLevel="1" x14ac:dyDescent="0.3">
      <c r="A22" s="67" t="str">
        <f>'CC detallado'!A20</f>
        <v>1.3.4</v>
      </c>
      <c r="B22" s="166" t="str">
        <f>'CC detallado'!G20</f>
        <v>Diseño para adecuación puestos de control interno</v>
      </c>
      <c r="C22" s="70">
        <f>'CC detallado'!M20</f>
        <v>40000</v>
      </c>
      <c r="D22" s="166"/>
      <c r="E22" s="166"/>
      <c r="F22" s="166"/>
      <c r="G22" s="194">
        <f>PEP!O20</f>
        <v>0</v>
      </c>
      <c r="H22" s="194">
        <f>PEP!P20</f>
        <v>0</v>
      </c>
      <c r="I22" s="194">
        <f>PEP!Q20</f>
        <v>0</v>
      </c>
      <c r="J22" s="194">
        <f>PEP!R20</f>
        <v>0</v>
      </c>
      <c r="K22" s="194">
        <f>PEP!S20</f>
        <v>0</v>
      </c>
      <c r="L22" s="194">
        <f>PEP!T20</f>
        <v>0</v>
      </c>
      <c r="M22" s="194">
        <f>PEP!U20</f>
        <v>0</v>
      </c>
      <c r="N22" s="194">
        <f>PEP!V20</f>
        <v>0</v>
      </c>
      <c r="O22" s="194">
        <f>PEP!W20</f>
        <v>0</v>
      </c>
      <c r="P22" s="194">
        <f>PEP!X20</f>
        <v>0</v>
      </c>
      <c r="Q22" s="194">
        <f>PEP!Y20</f>
        <v>0</v>
      </c>
      <c r="R22" s="194">
        <f>PEP!Z20</f>
        <v>0</v>
      </c>
      <c r="S22" s="195">
        <f>SUM(G22:R22)</f>
        <v>0</v>
      </c>
    </row>
    <row r="23" spans="1:19" ht="14.4" hidden="1" customHeight="1" outlineLevel="1" x14ac:dyDescent="0.3">
      <c r="A23" s="67" t="str">
        <f>'CC detallado'!A21</f>
        <v>1.3.5</v>
      </c>
      <c r="B23" s="166" t="str">
        <f>'CC detallado'!G21</f>
        <v>Equipamientos puntos de ingreso y puestos de control</v>
      </c>
      <c r="C23" s="70">
        <f>'CC detallado'!M21</f>
        <v>100000</v>
      </c>
      <c r="D23" s="166"/>
      <c r="E23" s="166"/>
      <c r="F23" s="166"/>
      <c r="G23" s="194">
        <f>PEP!O21</f>
        <v>0</v>
      </c>
      <c r="H23" s="194">
        <f>PEP!P21</f>
        <v>0</v>
      </c>
      <c r="I23" s="194">
        <f>PEP!Q21</f>
        <v>0</v>
      </c>
      <c r="J23" s="194">
        <f>PEP!R21</f>
        <v>0</v>
      </c>
      <c r="K23" s="194">
        <f>PEP!S21</f>
        <v>0</v>
      </c>
      <c r="L23" s="194">
        <f>PEP!T21</f>
        <v>0</v>
      </c>
      <c r="M23" s="194">
        <f>PEP!U21</f>
        <v>0</v>
      </c>
      <c r="N23" s="194">
        <f>PEP!V21</f>
        <v>0</v>
      </c>
      <c r="O23" s="194">
        <f>PEP!W21</f>
        <v>0</v>
      </c>
      <c r="P23" s="194">
        <f>PEP!X21</f>
        <v>0</v>
      </c>
      <c r="Q23" s="194">
        <f>PEP!Y21</f>
        <v>0</v>
      </c>
      <c r="R23" s="194">
        <f>PEP!Z21</f>
        <v>0</v>
      </c>
      <c r="S23" s="195">
        <f>SUM(G23:R23)</f>
        <v>0</v>
      </c>
    </row>
    <row r="24" spans="1:19" ht="14.4" customHeight="1" collapsed="1" x14ac:dyDescent="0.3">
      <c r="A24" s="190" t="str">
        <f>'CC detallado'!A22</f>
        <v>1.4</v>
      </c>
      <c r="B24" s="185" t="str">
        <f>'CC detallado'!G22</f>
        <v>Producto 4: Programa de mantenimiento de status libre de aftosa (Simulacros realizados)</v>
      </c>
      <c r="C24" s="187">
        <f>SUM(C25:C31)</f>
        <v>405000</v>
      </c>
      <c r="D24" s="185"/>
      <c r="E24" s="185"/>
      <c r="F24" s="185"/>
      <c r="G24" s="187">
        <f>PEP!O22</f>
        <v>0</v>
      </c>
      <c r="H24" s="187">
        <f>PEP!P22</f>
        <v>0</v>
      </c>
      <c r="I24" s="187">
        <f>PEP!Q22</f>
        <v>0</v>
      </c>
      <c r="J24" s="187">
        <f>PEP!R22</f>
        <v>0</v>
      </c>
      <c r="K24" s="187">
        <f>PEP!S22</f>
        <v>0</v>
      </c>
      <c r="L24" s="187">
        <f>PEP!T22</f>
        <v>0</v>
      </c>
      <c r="M24" s="187">
        <f>PEP!U22</f>
        <v>0</v>
      </c>
      <c r="N24" s="187">
        <f>PEP!V22</f>
        <v>0</v>
      </c>
      <c r="O24" s="187">
        <f>PEP!W22</f>
        <v>50000</v>
      </c>
      <c r="P24" s="187">
        <f>PEP!X22</f>
        <v>25000</v>
      </c>
      <c r="Q24" s="187">
        <f>PEP!Y22</f>
        <v>25000</v>
      </c>
      <c r="R24" s="187">
        <f>PEP!Z22</f>
        <v>25000</v>
      </c>
      <c r="S24" s="187">
        <f t="shared" ref="S24" si="4">SUM(S25:S31)</f>
        <v>125000</v>
      </c>
    </row>
    <row r="25" spans="1:19" ht="14.4" hidden="1" customHeight="1" outlineLevel="1" x14ac:dyDescent="0.3">
      <c r="A25" s="67" t="str">
        <f>'CC detallado'!A23</f>
        <v>1.4.1</v>
      </c>
      <c r="B25" s="166" t="str">
        <f>'CC detallado'!G23</f>
        <v>Consultoría para elaborar la caracterización</v>
      </c>
      <c r="C25" s="183">
        <f>'CC detallado'!M23</f>
        <v>40000</v>
      </c>
      <c r="D25" s="166" t="s">
        <v>710</v>
      </c>
      <c r="E25" s="166" t="s">
        <v>705</v>
      </c>
      <c r="F25" s="166" t="s">
        <v>706</v>
      </c>
      <c r="G25" s="195">
        <f>PEP!O23</f>
        <v>0</v>
      </c>
      <c r="H25" s="195">
        <f>PEP!P23</f>
        <v>0</v>
      </c>
      <c r="I25" s="195">
        <f>PEP!Q23</f>
        <v>0</v>
      </c>
      <c r="J25" s="195">
        <f>PEP!R23</f>
        <v>0</v>
      </c>
      <c r="K25" s="195">
        <f>PEP!S23</f>
        <v>0</v>
      </c>
      <c r="L25" s="195">
        <f>PEP!T23</f>
        <v>0</v>
      </c>
      <c r="M25" s="196">
        <f>PEP!U23</f>
        <v>0</v>
      </c>
      <c r="N25" s="196">
        <f>PEP!V23</f>
        <v>0</v>
      </c>
      <c r="O25" s="197">
        <f>PEP!W23</f>
        <v>10000</v>
      </c>
      <c r="P25" s="197">
        <f>PEP!X23</f>
        <v>10000</v>
      </c>
      <c r="Q25" s="197">
        <f>PEP!Y23</f>
        <v>10000</v>
      </c>
      <c r="R25" s="197">
        <f>PEP!Z23</f>
        <v>10000</v>
      </c>
      <c r="S25" s="195">
        <f t="shared" ref="S25:S31" si="5">SUM(G25:R25)</f>
        <v>40000</v>
      </c>
    </row>
    <row r="26" spans="1:19" ht="14.4" hidden="1" customHeight="1" outlineLevel="1" x14ac:dyDescent="0.3">
      <c r="A26" s="67" t="str">
        <f>'CC detallado'!A24</f>
        <v>1.4.2</v>
      </c>
      <c r="B26" s="166" t="str">
        <f>'CC detallado'!G24</f>
        <v>Seminario taller para caracterización</v>
      </c>
      <c r="C26" s="183">
        <f>'CC detallado'!M24</f>
        <v>20000</v>
      </c>
      <c r="D26" s="166" t="s">
        <v>710</v>
      </c>
      <c r="E26" s="166" t="s">
        <v>705</v>
      </c>
      <c r="F26" s="166" t="s">
        <v>706</v>
      </c>
      <c r="G26" s="195">
        <f>PEP!O24</f>
        <v>0</v>
      </c>
      <c r="H26" s="195">
        <f>PEP!P24</f>
        <v>0</v>
      </c>
      <c r="I26" s="195">
        <f>PEP!Q24</f>
        <v>0</v>
      </c>
      <c r="J26" s="196">
        <f>PEP!R24</f>
        <v>0</v>
      </c>
      <c r="K26" s="196">
        <f>PEP!S24</f>
        <v>0</v>
      </c>
      <c r="L26" s="196">
        <f>PEP!T24</f>
        <v>0</v>
      </c>
      <c r="M26" s="196">
        <f>PEP!U24</f>
        <v>0</v>
      </c>
      <c r="N26" s="196">
        <f>PEP!V24</f>
        <v>0</v>
      </c>
      <c r="O26" s="197">
        <f>PEP!W24</f>
        <v>5000</v>
      </c>
      <c r="P26" s="197">
        <f>PEP!X24</f>
        <v>5000</v>
      </c>
      <c r="Q26" s="197">
        <f>PEP!Y24</f>
        <v>5000</v>
      </c>
      <c r="R26" s="197">
        <f>PEP!Z24</f>
        <v>5000</v>
      </c>
      <c r="S26" s="195">
        <f t="shared" si="5"/>
        <v>20000</v>
      </c>
    </row>
    <row r="27" spans="1:19" ht="14.4" hidden="1" customHeight="1" outlineLevel="1" x14ac:dyDescent="0.3">
      <c r="A27" s="67" t="str">
        <f>'CC detallado'!A25</f>
        <v>1.4.3</v>
      </c>
      <c r="B27" s="166" t="str">
        <f>'CC detallado'!G25</f>
        <v>Consultoría caracterización de riesgo vulnerabilidad</v>
      </c>
      <c r="C27" s="183">
        <f>'CC detallado'!M25</f>
        <v>20000</v>
      </c>
      <c r="D27" s="166" t="s">
        <v>710</v>
      </c>
      <c r="E27" s="166" t="s">
        <v>705</v>
      </c>
      <c r="F27" s="166" t="s">
        <v>706</v>
      </c>
      <c r="G27" s="195">
        <f>PEP!O25</f>
        <v>0</v>
      </c>
      <c r="H27" s="195">
        <f>PEP!P25</f>
        <v>0</v>
      </c>
      <c r="I27" s="195">
        <f>PEP!Q25</f>
        <v>0</v>
      </c>
      <c r="J27" s="195">
        <f>PEP!R25</f>
        <v>0</v>
      </c>
      <c r="K27" s="195">
        <f>PEP!S25</f>
        <v>0</v>
      </c>
      <c r="L27" s="195">
        <f>PEP!T25</f>
        <v>0</v>
      </c>
      <c r="M27" s="196">
        <f>PEP!U25</f>
        <v>0</v>
      </c>
      <c r="N27" s="196">
        <f>PEP!V25</f>
        <v>0</v>
      </c>
      <c r="O27" s="197">
        <f>PEP!W25</f>
        <v>5000</v>
      </c>
      <c r="P27" s="197">
        <f>PEP!X25</f>
        <v>5000</v>
      </c>
      <c r="Q27" s="197">
        <f>PEP!Y25</f>
        <v>5000</v>
      </c>
      <c r="R27" s="197">
        <f>PEP!Z25</f>
        <v>5000</v>
      </c>
      <c r="S27" s="195">
        <f t="shared" si="5"/>
        <v>20000</v>
      </c>
    </row>
    <row r="28" spans="1:19" ht="14.4" hidden="1" customHeight="1" outlineLevel="1" x14ac:dyDescent="0.3">
      <c r="A28" s="67" t="str">
        <f>'CC detallado'!A26</f>
        <v>1.4.4</v>
      </c>
      <c r="B28" s="166" t="str">
        <f>'CC detallado'!G26</f>
        <v>Seminario taller de caracterización riesgo vulnerabilidad</v>
      </c>
      <c r="C28" s="183">
        <f>'CC detallado'!M26</f>
        <v>15000</v>
      </c>
      <c r="D28" s="166" t="s">
        <v>710</v>
      </c>
      <c r="E28" s="166" t="s">
        <v>705</v>
      </c>
      <c r="F28" s="166" t="s">
        <v>706</v>
      </c>
      <c r="G28" s="195">
        <f>PEP!O26</f>
        <v>0</v>
      </c>
      <c r="H28" s="195">
        <f>PEP!P26</f>
        <v>0</v>
      </c>
      <c r="I28" s="195">
        <f>PEP!Q26</f>
        <v>0</v>
      </c>
      <c r="J28" s="195">
        <f>PEP!R26</f>
        <v>0</v>
      </c>
      <c r="K28" s="195">
        <f>PEP!S26</f>
        <v>0</v>
      </c>
      <c r="L28" s="195">
        <f>PEP!T26</f>
        <v>0</v>
      </c>
      <c r="M28" s="195">
        <f>PEP!U26</f>
        <v>0</v>
      </c>
      <c r="N28" s="195">
        <f>PEP!V26</f>
        <v>0</v>
      </c>
      <c r="O28" s="195">
        <f>PEP!W26</f>
        <v>0</v>
      </c>
      <c r="P28" s="197">
        <f>PEP!X26</f>
        <v>5000</v>
      </c>
      <c r="Q28" s="197">
        <f>PEP!Y26</f>
        <v>5000</v>
      </c>
      <c r="R28" s="197">
        <f>PEP!Z26</f>
        <v>5000</v>
      </c>
      <c r="S28" s="195">
        <f t="shared" si="5"/>
        <v>15000</v>
      </c>
    </row>
    <row r="29" spans="1:19" ht="14.4" hidden="1" customHeight="1" outlineLevel="1" x14ac:dyDescent="0.3">
      <c r="A29" s="67" t="str">
        <f>'CC detallado'!A27</f>
        <v>1.4.5</v>
      </c>
      <c r="B29" s="166" t="str">
        <f>'CC detallado'!G27</f>
        <v>Equipamiento de depósitos de productos de emergencia</v>
      </c>
      <c r="C29" s="183">
        <f>'CC detallado'!M27</f>
        <v>60000</v>
      </c>
      <c r="D29" s="166"/>
      <c r="E29" s="166"/>
      <c r="F29" s="166"/>
      <c r="G29" s="195">
        <f>PEP!O27</f>
        <v>0</v>
      </c>
      <c r="H29" s="195">
        <f>PEP!P27</f>
        <v>0</v>
      </c>
      <c r="I29" s="195">
        <f>PEP!Q27</f>
        <v>0</v>
      </c>
      <c r="J29" s="195">
        <f>PEP!R27</f>
        <v>0</v>
      </c>
      <c r="K29" s="195">
        <f>PEP!S27</f>
        <v>0</v>
      </c>
      <c r="L29" s="195">
        <f>PEP!T27</f>
        <v>0</v>
      </c>
      <c r="M29" s="195">
        <f>PEP!U27</f>
        <v>0</v>
      </c>
      <c r="N29" s="195">
        <f>PEP!V27</f>
        <v>0</v>
      </c>
      <c r="O29" s="195">
        <f>PEP!W27</f>
        <v>0</v>
      </c>
      <c r="P29" s="195">
        <f>PEP!X27</f>
        <v>0</v>
      </c>
      <c r="Q29" s="195">
        <f>PEP!Y27</f>
        <v>0</v>
      </c>
      <c r="R29" s="195">
        <f>PEP!Z27</f>
        <v>0</v>
      </c>
      <c r="S29" s="195">
        <f t="shared" si="5"/>
        <v>0</v>
      </c>
    </row>
    <row r="30" spans="1:19" ht="14.4" hidden="1" customHeight="1" outlineLevel="1" x14ac:dyDescent="0.3">
      <c r="A30" s="67" t="str">
        <f>'CC detallado'!A28</f>
        <v>1.4.6</v>
      </c>
      <c r="B30" s="166" t="str">
        <f>'CC detallado'!G28</f>
        <v>Insumos de ejercicios de simulación</v>
      </c>
      <c r="C30" s="183">
        <f>'CC detallado'!M28</f>
        <v>150000</v>
      </c>
      <c r="D30" s="166" t="s">
        <v>710</v>
      </c>
      <c r="E30" s="166" t="s">
        <v>705</v>
      </c>
      <c r="F30" s="166" t="s">
        <v>706</v>
      </c>
      <c r="G30" s="195">
        <f>PEP!O28</f>
        <v>0</v>
      </c>
      <c r="H30" s="195">
        <f>PEP!P28</f>
        <v>0</v>
      </c>
      <c r="I30" s="195">
        <f>PEP!Q28</f>
        <v>0</v>
      </c>
      <c r="J30" s="195">
        <f>PEP!R28</f>
        <v>0</v>
      </c>
      <c r="K30" s="196">
        <f>PEP!S28</f>
        <v>0</v>
      </c>
      <c r="L30" s="196">
        <f>PEP!T28</f>
        <v>0</v>
      </c>
      <c r="M30" s="196">
        <f>PEP!U28</f>
        <v>0</v>
      </c>
      <c r="N30" s="196">
        <f>PEP!V28</f>
        <v>0</v>
      </c>
      <c r="O30" s="197">
        <f>PEP!W28</f>
        <v>30000</v>
      </c>
      <c r="P30" s="197">
        <f>PEP!X28</f>
        <v>0</v>
      </c>
      <c r="Q30" s="197">
        <f>PEP!Y28</f>
        <v>0</v>
      </c>
      <c r="R30" s="197">
        <f>PEP!Z28</f>
        <v>0</v>
      </c>
      <c r="S30" s="195">
        <f t="shared" si="5"/>
        <v>30000</v>
      </c>
    </row>
    <row r="31" spans="1:19" ht="14.4" hidden="1" customHeight="1" outlineLevel="1" x14ac:dyDescent="0.3">
      <c r="A31" s="67" t="str">
        <f>'CC detallado'!A29</f>
        <v>1.4.7</v>
      </c>
      <c r="B31" s="166" t="str">
        <f>'CC detallado'!G29</f>
        <v>Formación Banco de vacunas de Fiebre aftosa</v>
      </c>
      <c r="C31" s="183">
        <f>'CC detallado'!M29</f>
        <v>100000</v>
      </c>
      <c r="D31" s="166"/>
      <c r="E31" s="166"/>
      <c r="F31" s="166"/>
      <c r="G31" s="195">
        <f>PEP!O29</f>
        <v>0</v>
      </c>
      <c r="H31" s="195">
        <f>PEP!P29</f>
        <v>0</v>
      </c>
      <c r="I31" s="195">
        <f>PEP!Q29</f>
        <v>0</v>
      </c>
      <c r="J31" s="195">
        <f>PEP!R29</f>
        <v>0</v>
      </c>
      <c r="K31" s="195">
        <f>PEP!S29</f>
        <v>0</v>
      </c>
      <c r="L31" s="195">
        <f>PEP!T29</f>
        <v>0</v>
      </c>
      <c r="M31" s="195">
        <f>PEP!U29</f>
        <v>0</v>
      </c>
      <c r="N31" s="195">
        <f>PEP!V29</f>
        <v>0</v>
      </c>
      <c r="O31" s="195">
        <f>PEP!W29</f>
        <v>0</v>
      </c>
      <c r="P31" s="195">
        <f>PEP!X29</f>
        <v>0</v>
      </c>
      <c r="Q31" s="195">
        <f>PEP!Y29</f>
        <v>0</v>
      </c>
      <c r="R31" s="195">
        <f>PEP!Z29</f>
        <v>0</v>
      </c>
      <c r="S31" s="195">
        <f t="shared" si="5"/>
        <v>0</v>
      </c>
    </row>
    <row r="32" spans="1:19" s="66" customFormat="1" ht="14.4" customHeight="1" collapsed="1" x14ac:dyDescent="0.3">
      <c r="A32" s="190" t="str">
        <f>'CC detallado'!A30</f>
        <v>1.5</v>
      </c>
      <c r="B32" s="185" t="str">
        <f>'CC detallado'!G30</f>
        <v>Producto 5: Laboratorio Nacional de SENACSA fortalecido y red de laboratorios funcionando</v>
      </c>
      <c r="C32" s="187">
        <f>SUM(C33:C36)</f>
        <v>2690000</v>
      </c>
      <c r="D32" s="185"/>
      <c r="E32" s="185"/>
      <c r="F32" s="185"/>
      <c r="G32" s="187">
        <f>PEP!O30</f>
        <v>0</v>
      </c>
      <c r="H32" s="187">
        <f>PEP!P30</f>
        <v>0</v>
      </c>
      <c r="I32" s="187">
        <f>PEP!Q30</f>
        <v>0</v>
      </c>
      <c r="J32" s="187">
        <f>PEP!R30</f>
        <v>0</v>
      </c>
      <c r="K32" s="187">
        <f>PEP!S30</f>
        <v>0</v>
      </c>
      <c r="L32" s="187">
        <f>PEP!T30</f>
        <v>0</v>
      </c>
      <c r="M32" s="187">
        <f>PEP!U30</f>
        <v>0</v>
      </c>
      <c r="N32" s="187">
        <f>PEP!V30</f>
        <v>0</v>
      </c>
      <c r="O32" s="187">
        <f>PEP!W30</f>
        <v>1950</v>
      </c>
      <c r="P32" s="187">
        <f>PEP!X30</f>
        <v>0</v>
      </c>
      <c r="Q32" s="187">
        <f>PEP!Y30</f>
        <v>36050</v>
      </c>
      <c r="R32" s="187">
        <f>PEP!Z30</f>
        <v>31500</v>
      </c>
      <c r="S32" s="187">
        <f t="shared" ref="S32" si="6">SUM(S33:S36)</f>
        <v>69500</v>
      </c>
    </row>
    <row r="33" spans="1:85" ht="14.4" hidden="1" customHeight="1" outlineLevel="1" x14ac:dyDescent="0.3">
      <c r="A33" s="67" t="str">
        <f>'CC detallado'!A31</f>
        <v>1.5.1</v>
      </c>
      <c r="B33" s="166" t="str">
        <f>'CC detallado'!G31</f>
        <v>Desarrollo e instalación de un sistema informático para Gestión de Laboratorio.</v>
      </c>
      <c r="C33" s="70">
        <f>'CC detallado'!M31</f>
        <v>250000</v>
      </c>
      <c r="D33" s="166" t="s">
        <v>707</v>
      </c>
      <c r="E33" s="166" t="s">
        <v>708</v>
      </c>
      <c r="F33" s="166" t="s">
        <v>709</v>
      </c>
      <c r="G33" s="195">
        <f>PEP!O31</f>
        <v>0</v>
      </c>
      <c r="H33" s="195">
        <f>PEP!P31</f>
        <v>0</v>
      </c>
      <c r="I33" s="195">
        <f>PEP!Q31</f>
        <v>0</v>
      </c>
      <c r="J33" s="195">
        <f>PEP!R31</f>
        <v>0</v>
      </c>
      <c r="K33" s="195">
        <f>PEP!S31</f>
        <v>0</v>
      </c>
      <c r="L33" s="195">
        <f>PEP!T31</f>
        <v>0</v>
      </c>
      <c r="M33" s="195">
        <f>PEP!U31</f>
        <v>0</v>
      </c>
      <c r="N33" s="195">
        <f>PEP!V31</f>
        <v>0</v>
      </c>
      <c r="O33" s="196">
        <f>PEP!W31</f>
        <v>0</v>
      </c>
      <c r="P33" s="196">
        <f>PEP!X31</f>
        <v>0</v>
      </c>
      <c r="Q33" s="196">
        <f>PEP!Y31</f>
        <v>0</v>
      </c>
      <c r="R33" s="196">
        <f>PEP!Z31</f>
        <v>0</v>
      </c>
      <c r="S33" s="195">
        <f>SUM(G33:R33)</f>
        <v>0</v>
      </c>
    </row>
    <row r="34" spans="1:85" s="49" customFormat="1" ht="14.4" hidden="1" customHeight="1" outlineLevel="1" x14ac:dyDescent="0.3">
      <c r="A34" s="67" t="str">
        <f>'CC detallado'!A32</f>
        <v>1.5.2</v>
      </c>
      <c r="B34" s="166" t="str">
        <f>'CC detallado'!G32</f>
        <v>Creación de la Red de Laboratorios del SENACSA – DIGELAB. Capacitación de un profesional 30 días</v>
      </c>
      <c r="C34" s="70">
        <f>'CC detallado'!M32</f>
        <v>6500</v>
      </c>
      <c r="D34" s="166" t="s">
        <v>710</v>
      </c>
      <c r="E34" s="166" t="s">
        <v>705</v>
      </c>
      <c r="F34" s="166" t="s">
        <v>706</v>
      </c>
      <c r="G34" s="195">
        <f>PEP!O32</f>
        <v>0</v>
      </c>
      <c r="H34" s="195">
        <f>PEP!P32</f>
        <v>0</v>
      </c>
      <c r="I34" s="195">
        <f>PEP!Q32</f>
        <v>0</v>
      </c>
      <c r="J34" s="195">
        <f>PEP!R32</f>
        <v>0</v>
      </c>
      <c r="K34" s="195">
        <f>PEP!S32</f>
        <v>0</v>
      </c>
      <c r="L34" s="195">
        <f>PEP!T32</f>
        <v>0</v>
      </c>
      <c r="M34" s="196">
        <f>PEP!U32</f>
        <v>0</v>
      </c>
      <c r="N34" s="196">
        <f>PEP!V32</f>
        <v>0</v>
      </c>
      <c r="O34" s="197">
        <f>PEP!W32</f>
        <v>1950</v>
      </c>
      <c r="P34" s="197">
        <f>PEP!X32</f>
        <v>0</v>
      </c>
      <c r="Q34" s="197">
        <f>PEP!Y32</f>
        <v>4550</v>
      </c>
      <c r="R34" s="195">
        <f>PEP!Z32</f>
        <v>0</v>
      </c>
      <c r="S34" s="195">
        <f>SUM(G34:R34)</f>
        <v>6500</v>
      </c>
    </row>
    <row r="35" spans="1:85" s="49" customFormat="1" ht="14.4" hidden="1" customHeight="1" outlineLevel="1" x14ac:dyDescent="0.3">
      <c r="A35" s="67" t="str">
        <f>'CC detallado'!A33</f>
        <v>1.5.3</v>
      </c>
      <c r="B35" s="166" t="str">
        <f>'CC detallado'!G33</f>
        <v>Adquisición de equipamiento para DIGELAB.57 ítems</v>
      </c>
      <c r="C35" s="70">
        <f>'CC detallado'!M33</f>
        <v>2307500</v>
      </c>
      <c r="D35" s="166" t="s">
        <v>707</v>
      </c>
      <c r="E35" s="166" t="s">
        <v>708</v>
      </c>
      <c r="F35" s="166" t="s">
        <v>709</v>
      </c>
      <c r="G35" s="195">
        <f>PEP!O33</f>
        <v>0</v>
      </c>
      <c r="H35" s="195">
        <f>PEP!P33</f>
        <v>0</v>
      </c>
      <c r="I35" s="195">
        <f>PEP!Q33</f>
        <v>0</v>
      </c>
      <c r="J35" s="195">
        <f>PEP!R33</f>
        <v>0</v>
      </c>
      <c r="K35" s="195">
        <f>PEP!S33</f>
        <v>0</v>
      </c>
      <c r="L35" s="195">
        <f>PEP!T33</f>
        <v>0</v>
      </c>
      <c r="M35" s="195">
        <f>PEP!U33</f>
        <v>0</v>
      </c>
      <c r="N35" s="195">
        <f>PEP!V33</f>
        <v>0</v>
      </c>
      <c r="O35" s="195">
        <f>PEP!W33</f>
        <v>0</v>
      </c>
      <c r="P35" s="195">
        <f>PEP!X33</f>
        <v>0</v>
      </c>
      <c r="Q35" s="196">
        <f>PEP!Y33</f>
        <v>0</v>
      </c>
      <c r="R35" s="196">
        <f>PEP!Z33</f>
        <v>0</v>
      </c>
      <c r="S35" s="195">
        <f>SUM(G35:R35)</f>
        <v>0</v>
      </c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</row>
    <row r="36" spans="1:85" s="49" customFormat="1" ht="14.4" hidden="1" customHeight="1" outlineLevel="1" x14ac:dyDescent="0.3">
      <c r="A36" s="67" t="str">
        <f>'CC detallado'!A34</f>
        <v>1.5.4</v>
      </c>
      <c r="B36" s="166" t="str">
        <f>'CC detallado'!G34</f>
        <v>Incrementar controles de productos biológicos y producción de reactivos. Capacitación de dos profesionales de SENACSA</v>
      </c>
      <c r="C36" s="70">
        <f>'CC detallado'!M34</f>
        <v>126000</v>
      </c>
      <c r="D36" s="166" t="s">
        <v>710</v>
      </c>
      <c r="E36" s="166" t="s">
        <v>705</v>
      </c>
      <c r="F36" s="166" t="s">
        <v>706</v>
      </c>
      <c r="G36" s="195">
        <f>PEP!O34</f>
        <v>0</v>
      </c>
      <c r="H36" s="195">
        <f>PEP!P34</f>
        <v>0</v>
      </c>
      <c r="I36" s="195">
        <f>PEP!Q34</f>
        <v>0</v>
      </c>
      <c r="J36" s="195">
        <f>PEP!R34</f>
        <v>0</v>
      </c>
      <c r="K36" s="195">
        <f>PEP!S34</f>
        <v>0</v>
      </c>
      <c r="L36" s="195">
        <f>PEP!T34</f>
        <v>0</v>
      </c>
      <c r="M36" s="195">
        <f>PEP!U34</f>
        <v>0</v>
      </c>
      <c r="N36" s="195">
        <f>PEP!V34</f>
        <v>0</v>
      </c>
      <c r="O36" s="196">
        <f>PEP!W34</f>
        <v>0</v>
      </c>
      <c r="P36" s="196">
        <f>PEP!X34</f>
        <v>0</v>
      </c>
      <c r="Q36" s="197">
        <f>PEP!Y34</f>
        <v>31500</v>
      </c>
      <c r="R36" s="197">
        <f>PEP!Z34</f>
        <v>31500</v>
      </c>
      <c r="S36" s="195">
        <f>SUM(G36:R36)</f>
        <v>63000</v>
      </c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</row>
    <row r="37" spans="1:85" s="49" customFormat="1" ht="14.4" customHeight="1" collapsed="1" x14ac:dyDescent="0.3">
      <c r="A37" s="190" t="str">
        <f>'CC detallado'!A35</f>
        <v>1.6</v>
      </c>
      <c r="B37" s="185" t="str">
        <f>'CC detallado'!G35</f>
        <v>Producto 6: Infraestructura edilicia mejorada e integrada a la red</v>
      </c>
      <c r="C37" s="187">
        <f>SUM(C38:C42)</f>
        <v>3916600</v>
      </c>
      <c r="D37" s="185"/>
      <c r="E37" s="185"/>
      <c r="F37" s="185"/>
      <c r="G37" s="187">
        <f>PEP!O35</f>
        <v>0</v>
      </c>
      <c r="H37" s="187">
        <f>PEP!P35</f>
        <v>0</v>
      </c>
      <c r="I37" s="187">
        <f>PEP!Q35</f>
        <v>0</v>
      </c>
      <c r="J37" s="187">
        <f>PEP!R35</f>
        <v>0</v>
      </c>
      <c r="K37" s="187">
        <f>PEP!S35</f>
        <v>0</v>
      </c>
      <c r="L37" s="187">
        <f>PEP!T35</f>
        <v>0</v>
      </c>
      <c r="M37" s="187">
        <f>PEP!U35</f>
        <v>0</v>
      </c>
      <c r="N37" s="187">
        <f>PEP!V35</f>
        <v>0</v>
      </c>
      <c r="O37" s="187">
        <f>PEP!W35</f>
        <v>0</v>
      </c>
      <c r="P37" s="187">
        <f>PEP!X35</f>
        <v>0</v>
      </c>
      <c r="Q37" s="187">
        <f>PEP!Y35</f>
        <v>0</v>
      </c>
      <c r="R37" s="187">
        <f>PEP!Z35</f>
        <v>11830.000000000002</v>
      </c>
      <c r="S37" s="187">
        <f t="shared" ref="S37" si="7">SUM(S38:S42)</f>
        <v>11830.000000000002</v>
      </c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</row>
    <row r="38" spans="1:85" s="49" customFormat="1" ht="14.4" hidden="1" customHeight="1" outlineLevel="1" x14ac:dyDescent="0.3">
      <c r="A38" s="67" t="str">
        <f>'CC detallado'!A36</f>
        <v>1.6.1</v>
      </c>
      <c r="B38" s="166" t="str">
        <f>'CC detallado'!G36</f>
        <v>Unidades Regionales</v>
      </c>
      <c r="C38" s="70">
        <f>'CC detallado'!M36</f>
        <v>1300000</v>
      </c>
      <c r="D38" s="166" t="s">
        <v>707</v>
      </c>
      <c r="E38" s="166" t="s">
        <v>708</v>
      </c>
      <c r="F38" s="166" t="s">
        <v>709</v>
      </c>
      <c r="G38" s="195">
        <f>PEP!O36</f>
        <v>0</v>
      </c>
      <c r="H38" s="195">
        <f>PEP!P36</f>
        <v>0</v>
      </c>
      <c r="I38" s="195">
        <f>PEP!Q36</f>
        <v>0</v>
      </c>
      <c r="J38" s="195">
        <f>PEP!R36</f>
        <v>0</v>
      </c>
      <c r="K38" s="195">
        <f>PEP!S36</f>
        <v>0</v>
      </c>
      <c r="L38" s="195">
        <f>PEP!T36</f>
        <v>0</v>
      </c>
      <c r="M38" s="195">
        <f>PEP!U36</f>
        <v>0</v>
      </c>
      <c r="N38" s="196">
        <f>PEP!V36</f>
        <v>0</v>
      </c>
      <c r="O38" s="196">
        <f>PEP!W36</f>
        <v>0</v>
      </c>
      <c r="P38" s="196">
        <f>PEP!X36</f>
        <v>0</v>
      </c>
      <c r="Q38" s="196">
        <f>PEP!Y36</f>
        <v>0</v>
      </c>
      <c r="R38" s="196">
        <f>PEP!Z36</f>
        <v>0</v>
      </c>
      <c r="S38" s="195">
        <f>SUM(G38:R38)</f>
        <v>0</v>
      </c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</row>
    <row r="39" spans="1:85" s="49" customFormat="1" ht="14.4" hidden="1" customHeight="1" outlineLevel="1" x14ac:dyDescent="0.3">
      <c r="A39" s="67" t="str">
        <f>'CC detallado'!A37</f>
        <v>1.6.2</v>
      </c>
      <c r="B39" s="166" t="str">
        <f>'CC detallado'!G37</f>
        <v>Unidades de Atención Zonal</v>
      </c>
      <c r="C39" s="70">
        <f>'CC detallado'!M37</f>
        <v>1380000</v>
      </c>
      <c r="D39" s="166" t="s">
        <v>707</v>
      </c>
      <c r="E39" s="166" t="s">
        <v>708</v>
      </c>
      <c r="F39" s="166" t="s">
        <v>709</v>
      </c>
      <c r="G39" s="195">
        <f>PEP!O37</f>
        <v>0</v>
      </c>
      <c r="H39" s="195">
        <f>PEP!P37</f>
        <v>0</v>
      </c>
      <c r="I39" s="195">
        <f>PEP!Q37</f>
        <v>0</v>
      </c>
      <c r="J39" s="195">
        <f>PEP!R37</f>
        <v>0</v>
      </c>
      <c r="K39" s="195">
        <f>PEP!S37</f>
        <v>0</v>
      </c>
      <c r="L39" s="195">
        <f>PEP!T37</f>
        <v>0</v>
      </c>
      <c r="M39" s="195">
        <f>PEP!U37</f>
        <v>0</v>
      </c>
      <c r="N39" s="196">
        <f>PEP!V37</f>
        <v>0</v>
      </c>
      <c r="O39" s="196">
        <f>PEP!W37</f>
        <v>0</v>
      </c>
      <c r="P39" s="196">
        <f>PEP!X37</f>
        <v>0</v>
      </c>
      <c r="Q39" s="196">
        <f>PEP!Y37</f>
        <v>0</v>
      </c>
      <c r="R39" s="196">
        <f>PEP!Z37</f>
        <v>0</v>
      </c>
      <c r="S39" s="195">
        <f>SUM(G39:R39)</f>
        <v>0</v>
      </c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</row>
    <row r="40" spans="1:85" s="49" customFormat="1" ht="14.4" hidden="1" customHeight="1" outlineLevel="1" x14ac:dyDescent="0.3">
      <c r="A40" s="67" t="str">
        <f>'CC detallado'!A38</f>
        <v>1.6.3</v>
      </c>
      <c r="B40" s="166" t="str">
        <f>'CC detallado'!G38</f>
        <v>Puntos de Ingresos</v>
      </c>
      <c r="C40" s="70">
        <f>'CC detallado'!M38</f>
        <v>700000</v>
      </c>
      <c r="D40" s="166" t="s">
        <v>707</v>
      </c>
      <c r="E40" s="166" t="s">
        <v>708</v>
      </c>
      <c r="F40" s="166" t="s">
        <v>709</v>
      </c>
      <c r="G40" s="195">
        <f>PEP!O38</f>
        <v>0</v>
      </c>
      <c r="H40" s="195">
        <f>PEP!P38</f>
        <v>0</v>
      </c>
      <c r="I40" s="195">
        <f>PEP!Q38</f>
        <v>0</v>
      </c>
      <c r="J40" s="195">
        <f>PEP!R38</f>
        <v>0</v>
      </c>
      <c r="K40" s="195">
        <f>PEP!S38</f>
        <v>0</v>
      </c>
      <c r="L40" s="195">
        <f>PEP!T38</f>
        <v>0</v>
      </c>
      <c r="M40" s="195">
        <f>PEP!U38</f>
        <v>0</v>
      </c>
      <c r="N40" s="196">
        <f>PEP!V38</f>
        <v>0</v>
      </c>
      <c r="O40" s="196">
        <f>PEP!W38</f>
        <v>0</v>
      </c>
      <c r="P40" s="196">
        <f>PEP!X38</f>
        <v>0</v>
      </c>
      <c r="Q40" s="196">
        <f>PEP!Y38</f>
        <v>0</v>
      </c>
      <c r="R40" s="196">
        <f>PEP!Z38</f>
        <v>0</v>
      </c>
      <c r="S40" s="195">
        <f>SUM(G40:R40)</f>
        <v>0</v>
      </c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</row>
    <row r="41" spans="1:85" s="49" customFormat="1" ht="14.4" hidden="1" customHeight="1" outlineLevel="1" x14ac:dyDescent="0.3">
      <c r="A41" s="67" t="str">
        <f>'CC detallado'!A39</f>
        <v>1.6.4</v>
      </c>
      <c r="B41" s="166" t="str">
        <f>'CC detallado'!G39</f>
        <v>Fiscalización de obras</v>
      </c>
      <c r="C41" s="70">
        <f>'CC detallado'!L39</f>
        <v>236600.00000000003</v>
      </c>
      <c r="D41" s="166" t="s">
        <v>707</v>
      </c>
      <c r="E41" s="166" t="s">
        <v>708</v>
      </c>
      <c r="F41" s="166" t="s">
        <v>709</v>
      </c>
      <c r="G41" s="195">
        <f>PEP!O39</f>
        <v>0</v>
      </c>
      <c r="H41" s="195">
        <f>PEP!P39</f>
        <v>0</v>
      </c>
      <c r="I41" s="195">
        <f>PEP!Q39</f>
        <v>0</v>
      </c>
      <c r="J41" s="195">
        <f>PEP!R39</f>
        <v>0</v>
      </c>
      <c r="K41" s="195">
        <f>PEP!S39</f>
        <v>0</v>
      </c>
      <c r="L41" s="196">
        <f>PEP!T39</f>
        <v>0</v>
      </c>
      <c r="M41" s="196">
        <f>PEP!U39</f>
        <v>0</v>
      </c>
      <c r="N41" s="196">
        <f>PEP!V39</f>
        <v>0</v>
      </c>
      <c r="O41" s="196">
        <f>PEP!W39</f>
        <v>0</v>
      </c>
      <c r="P41" s="196">
        <f>PEP!X39</f>
        <v>0</v>
      </c>
      <c r="Q41" s="196">
        <f>PEP!Y39</f>
        <v>0</v>
      </c>
      <c r="R41" s="197">
        <f>PEP!Z39</f>
        <v>11830.000000000002</v>
      </c>
      <c r="S41" s="195">
        <f>SUM(G41:R41)</f>
        <v>11830.000000000002</v>
      </c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</row>
    <row r="42" spans="1:85" s="49" customFormat="1" ht="14.4" hidden="1" customHeight="1" outlineLevel="1" x14ac:dyDescent="0.3">
      <c r="A42" s="67" t="str">
        <f>'CC detallado'!A40</f>
        <v>1.6.5</v>
      </c>
      <c r="B42" s="166" t="str">
        <f>'CC detallado'!G40</f>
        <v>Controles Móviles</v>
      </c>
      <c r="C42" s="70">
        <f>'CC detallado'!M40</f>
        <v>300000</v>
      </c>
      <c r="D42" s="166"/>
      <c r="E42" s="166"/>
      <c r="F42" s="166"/>
      <c r="G42" s="195">
        <f>PEP!O40</f>
        <v>0</v>
      </c>
      <c r="H42" s="195">
        <f>PEP!P40</f>
        <v>0</v>
      </c>
      <c r="I42" s="195">
        <f>PEP!Q40</f>
        <v>0</v>
      </c>
      <c r="J42" s="195">
        <f>PEP!R40</f>
        <v>0</v>
      </c>
      <c r="K42" s="195">
        <f>PEP!S40</f>
        <v>0</v>
      </c>
      <c r="L42" s="195">
        <f>PEP!T40</f>
        <v>0</v>
      </c>
      <c r="M42" s="195">
        <f>PEP!U40</f>
        <v>0</v>
      </c>
      <c r="N42" s="195">
        <f>PEP!V40</f>
        <v>0</v>
      </c>
      <c r="O42" s="195">
        <f>PEP!W40</f>
        <v>0</v>
      </c>
      <c r="P42" s="195">
        <f>PEP!X40</f>
        <v>0</v>
      </c>
      <c r="Q42" s="195">
        <f>PEP!Y40</f>
        <v>0</v>
      </c>
      <c r="R42" s="195">
        <f>PEP!Z40</f>
        <v>0</v>
      </c>
      <c r="S42" s="195">
        <f>SUM(G42:R42)</f>
        <v>0</v>
      </c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</row>
    <row r="43" spans="1:85" s="66" customFormat="1" ht="14.4" customHeight="1" collapsed="1" x14ac:dyDescent="0.3">
      <c r="A43" s="190" t="str">
        <f>'CC detallado'!A41</f>
        <v>1.7</v>
      </c>
      <c r="B43" s="185" t="str">
        <f>'CC detallado'!G41</f>
        <v>Producto 7: Sistema informático para gestión de trazabilidad individual implementado</v>
      </c>
      <c r="C43" s="187">
        <f>SUM(C44:C47)</f>
        <v>1950000</v>
      </c>
      <c r="D43" s="185"/>
      <c r="E43" s="185"/>
      <c r="F43" s="185"/>
      <c r="G43" s="187">
        <f>PEP!O41</f>
        <v>0</v>
      </c>
      <c r="H43" s="187">
        <f>PEP!P41</f>
        <v>0</v>
      </c>
      <c r="I43" s="187">
        <f>PEP!Q41</f>
        <v>0</v>
      </c>
      <c r="J43" s="187">
        <f>PEP!R41</f>
        <v>0</v>
      </c>
      <c r="K43" s="187">
        <f>PEP!S41</f>
        <v>0</v>
      </c>
      <c r="L43" s="187">
        <f>PEP!T41</f>
        <v>0</v>
      </c>
      <c r="M43" s="187">
        <f>PEP!U41</f>
        <v>0</v>
      </c>
      <c r="N43" s="187">
        <f>PEP!V41</f>
        <v>0</v>
      </c>
      <c r="O43" s="187">
        <f>PEP!W41</f>
        <v>366000</v>
      </c>
      <c r="P43" s="187">
        <f>PEP!X41</f>
        <v>0</v>
      </c>
      <c r="Q43" s="187">
        <f>PEP!Y41</f>
        <v>183000</v>
      </c>
      <c r="R43" s="187">
        <f>PEP!Z41</f>
        <v>0</v>
      </c>
      <c r="S43" s="187">
        <f t="shared" ref="S43" si="8">SUM(S44:S47)</f>
        <v>549000</v>
      </c>
    </row>
    <row r="44" spans="1:85" s="66" customFormat="1" ht="14.4" hidden="1" customHeight="1" outlineLevel="1" x14ac:dyDescent="0.3">
      <c r="A44" s="191" t="str">
        <f>'CC detallado'!A42</f>
        <v>1.7.1</v>
      </c>
      <c r="B44" s="206" t="str">
        <f>'CC detallado'!G42</f>
        <v>Desarrollo de software para Trazabilidad</v>
      </c>
      <c r="C44" s="153">
        <f>'CC detallado'!M42</f>
        <v>1830000</v>
      </c>
      <c r="D44" s="166" t="s">
        <v>710</v>
      </c>
      <c r="E44" s="166" t="s">
        <v>705</v>
      </c>
      <c r="F44" s="166" t="s">
        <v>706</v>
      </c>
      <c r="G44" s="209">
        <f>PEP!O42</f>
        <v>0</v>
      </c>
      <c r="H44" s="209">
        <f>PEP!P42</f>
        <v>0</v>
      </c>
      <c r="I44" s="209">
        <f>PEP!Q42</f>
        <v>0</v>
      </c>
      <c r="J44" s="209">
        <f>PEP!R42</f>
        <v>0</v>
      </c>
      <c r="K44" s="198">
        <f>PEP!S42</f>
        <v>0</v>
      </c>
      <c r="L44" s="198">
        <f>PEP!T42</f>
        <v>0</v>
      </c>
      <c r="M44" s="198">
        <f>PEP!U42</f>
        <v>0</v>
      </c>
      <c r="N44" s="198">
        <f>PEP!V42</f>
        <v>0</v>
      </c>
      <c r="O44" s="197">
        <f>PEP!W42</f>
        <v>366000</v>
      </c>
      <c r="P44" s="197">
        <f>PEP!X42</f>
        <v>0</v>
      </c>
      <c r="Q44" s="197">
        <f>PEP!Y42</f>
        <v>183000</v>
      </c>
      <c r="R44" s="197">
        <f>PEP!Z42</f>
        <v>0</v>
      </c>
      <c r="S44" s="195">
        <f>SUM(G44:R44)</f>
        <v>549000</v>
      </c>
    </row>
    <row r="45" spans="1:85" ht="14.4" hidden="1" customHeight="1" outlineLevel="1" x14ac:dyDescent="0.3">
      <c r="A45" s="191" t="str">
        <f>'CC detallado'!A43</f>
        <v>1.7.2</v>
      </c>
      <c r="B45" s="206" t="str">
        <f>'CC detallado'!G43</f>
        <v>Plan de implementación</v>
      </c>
      <c r="C45" s="153">
        <f>'CC detallado'!M43</f>
        <v>40000</v>
      </c>
      <c r="D45" s="166" t="s">
        <v>707</v>
      </c>
      <c r="E45" s="166" t="s">
        <v>708</v>
      </c>
      <c r="F45" s="166" t="s">
        <v>709</v>
      </c>
      <c r="G45" s="70">
        <f>PEP!O43</f>
        <v>0</v>
      </c>
      <c r="H45" s="195">
        <f>PEP!P43</f>
        <v>0</v>
      </c>
      <c r="I45" s="195">
        <f>PEP!Q43</f>
        <v>0</v>
      </c>
      <c r="J45" s="195">
        <f>PEP!R43</f>
        <v>0</v>
      </c>
      <c r="K45" s="195">
        <f>PEP!S43</f>
        <v>0</v>
      </c>
      <c r="L45" s="195">
        <f>PEP!T43</f>
        <v>0</v>
      </c>
      <c r="M45" s="195">
        <f>PEP!U43</f>
        <v>0</v>
      </c>
      <c r="N45" s="195">
        <f>PEP!V43</f>
        <v>0</v>
      </c>
      <c r="O45" s="195">
        <f>PEP!W43</f>
        <v>0</v>
      </c>
      <c r="P45" s="195">
        <f>PEP!X43</f>
        <v>0</v>
      </c>
      <c r="Q45" s="196">
        <f>PEP!Y43</f>
        <v>0</v>
      </c>
      <c r="R45" s="196">
        <f>PEP!Z43</f>
        <v>0</v>
      </c>
      <c r="S45" s="195">
        <f>SUM(G45:R45)</f>
        <v>0</v>
      </c>
    </row>
    <row r="46" spans="1:85" ht="14.4" hidden="1" customHeight="1" outlineLevel="1" x14ac:dyDescent="0.3">
      <c r="A46" s="191" t="str">
        <f>'CC detallado'!A44</f>
        <v>1.7.3</v>
      </c>
      <c r="B46" s="206" t="str">
        <f>'CC detallado'!G44</f>
        <v>Talleres de sensibilización</v>
      </c>
      <c r="C46" s="153">
        <f>'CC detallado'!M44</f>
        <v>30000</v>
      </c>
      <c r="D46" s="206"/>
      <c r="E46" s="206"/>
      <c r="F46" s="206"/>
      <c r="G46" s="70">
        <f>PEP!O44</f>
        <v>0</v>
      </c>
      <c r="H46" s="195">
        <f>PEP!P44</f>
        <v>0</v>
      </c>
      <c r="I46" s="195">
        <f>PEP!Q44</f>
        <v>0</v>
      </c>
      <c r="J46" s="195">
        <f>PEP!R44</f>
        <v>0</v>
      </c>
      <c r="K46" s="195">
        <f>PEP!S44</f>
        <v>0</v>
      </c>
      <c r="L46" s="195">
        <f>PEP!T44</f>
        <v>0</v>
      </c>
      <c r="M46" s="195">
        <f>PEP!U44</f>
        <v>0</v>
      </c>
      <c r="N46" s="195">
        <f>PEP!V44</f>
        <v>0</v>
      </c>
      <c r="O46" s="195">
        <f>PEP!W44</f>
        <v>0</v>
      </c>
      <c r="P46" s="195">
        <f>PEP!X44</f>
        <v>0</v>
      </c>
      <c r="Q46" s="195">
        <f>PEP!Y44</f>
        <v>0</v>
      </c>
      <c r="R46" s="195">
        <f>PEP!Z44</f>
        <v>0</v>
      </c>
      <c r="S46" s="195">
        <f>SUM(G46:R46)</f>
        <v>0</v>
      </c>
    </row>
    <row r="47" spans="1:85" ht="14.4" hidden="1" customHeight="1" outlineLevel="1" x14ac:dyDescent="0.3">
      <c r="A47" s="191" t="str">
        <f>'CC detallado'!A45</f>
        <v>1.7.4</v>
      </c>
      <c r="B47" s="206" t="str">
        <f>'CC detallado'!G45</f>
        <v>Edición y difusión de materiales</v>
      </c>
      <c r="C47" s="153">
        <f>'CC detallado'!M45</f>
        <v>50000</v>
      </c>
      <c r="D47" s="166" t="s">
        <v>707</v>
      </c>
      <c r="E47" s="166" t="s">
        <v>708</v>
      </c>
      <c r="F47" s="166" t="s">
        <v>709</v>
      </c>
      <c r="G47" s="70">
        <f>PEP!O45</f>
        <v>0</v>
      </c>
      <c r="H47" s="195">
        <f>PEP!P45</f>
        <v>0</v>
      </c>
      <c r="I47" s="195">
        <f>PEP!Q45</f>
        <v>0</v>
      </c>
      <c r="J47" s="195">
        <f>PEP!R45</f>
        <v>0</v>
      </c>
      <c r="K47" s="195">
        <f>PEP!S45</f>
        <v>0</v>
      </c>
      <c r="L47" s="195">
        <f>PEP!T45</f>
        <v>0</v>
      </c>
      <c r="M47" s="195">
        <f>PEP!U45</f>
        <v>0</v>
      </c>
      <c r="N47" s="195">
        <f>PEP!V45</f>
        <v>0</v>
      </c>
      <c r="O47" s="195">
        <f>PEP!W45</f>
        <v>0</v>
      </c>
      <c r="P47" s="195">
        <f>PEP!X45</f>
        <v>0</v>
      </c>
      <c r="Q47" s="196">
        <f>PEP!Y45</f>
        <v>0</v>
      </c>
      <c r="R47" s="196">
        <f>PEP!Z45</f>
        <v>0</v>
      </c>
      <c r="S47" s="195">
        <f>SUM(G47:R47)</f>
        <v>0</v>
      </c>
    </row>
    <row r="48" spans="1:85" ht="14.4" customHeight="1" collapsed="1" x14ac:dyDescent="0.3">
      <c r="A48" s="190" t="str">
        <f>'CC detallado'!A46</f>
        <v>1.8</v>
      </c>
      <c r="B48" s="185" t="str">
        <f>'CC detallado'!G46</f>
        <v>Producto 8: Programas de prevención, control y erradicación de brucelosis operando</v>
      </c>
      <c r="C48" s="187">
        <f>SUM(C49:C51)</f>
        <v>580000</v>
      </c>
      <c r="D48" s="185"/>
      <c r="E48" s="185"/>
      <c r="F48" s="185"/>
      <c r="G48" s="187">
        <f>PEP!O46</f>
        <v>0</v>
      </c>
      <c r="H48" s="187">
        <f>PEP!P46</f>
        <v>0</v>
      </c>
      <c r="I48" s="187">
        <f>PEP!Q46</f>
        <v>0</v>
      </c>
      <c r="J48" s="187">
        <f>PEP!R46</f>
        <v>0</v>
      </c>
      <c r="K48" s="187">
        <f>PEP!S46</f>
        <v>0</v>
      </c>
      <c r="L48" s="187">
        <f>PEP!T46</f>
        <v>0</v>
      </c>
      <c r="M48" s="187">
        <f>PEP!U46</f>
        <v>0</v>
      </c>
      <c r="N48" s="187">
        <f>PEP!V46</f>
        <v>0</v>
      </c>
      <c r="O48" s="187">
        <f>PEP!W46</f>
        <v>0</v>
      </c>
      <c r="P48" s="187">
        <f>PEP!X46</f>
        <v>0</v>
      </c>
      <c r="Q48" s="187">
        <f>PEP!Y46</f>
        <v>0</v>
      </c>
      <c r="R48" s="187">
        <f>PEP!Z46</f>
        <v>0</v>
      </c>
      <c r="S48" s="187">
        <f t="shared" ref="S48" si="9">SUM(S49:S51)</f>
        <v>0</v>
      </c>
    </row>
    <row r="49" spans="1:19" ht="14.4" hidden="1" customHeight="1" outlineLevel="1" x14ac:dyDescent="0.3">
      <c r="A49" s="67" t="str">
        <f>'CC detallado'!A47</f>
        <v>1.8.1</v>
      </c>
      <c r="B49" s="166" t="str">
        <f>'CC detallado'!G47</f>
        <v>Contratación de los servicios de saneamiento de establecimientos infectados</v>
      </c>
      <c r="C49" s="70">
        <f>'CC detallado'!M47</f>
        <v>540000</v>
      </c>
      <c r="D49" s="166" t="s">
        <v>707</v>
      </c>
      <c r="E49" s="166" t="s">
        <v>708</v>
      </c>
      <c r="F49" s="166" t="s">
        <v>709</v>
      </c>
      <c r="G49" s="194">
        <f>PEP!O47</f>
        <v>0</v>
      </c>
      <c r="H49" s="194">
        <f>PEP!P47</f>
        <v>0</v>
      </c>
      <c r="I49" s="194">
        <f>PEP!Q47</f>
        <v>0</v>
      </c>
      <c r="J49" s="194">
        <f>PEP!R47</f>
        <v>0</v>
      </c>
      <c r="K49" s="194">
        <f>PEP!S47</f>
        <v>0</v>
      </c>
      <c r="L49" s="194">
        <f>PEP!T47</f>
        <v>0</v>
      </c>
      <c r="M49" s="194">
        <f>PEP!U47</f>
        <v>0</v>
      </c>
      <c r="N49" s="198">
        <f>PEP!V47</f>
        <v>0</v>
      </c>
      <c r="O49" s="198">
        <f>PEP!W47</f>
        <v>0</v>
      </c>
      <c r="P49" s="198">
        <f>PEP!X47</f>
        <v>0</v>
      </c>
      <c r="Q49" s="198">
        <f>PEP!Y47</f>
        <v>0</v>
      </c>
      <c r="R49" s="198">
        <f>PEP!Z47</f>
        <v>0</v>
      </c>
      <c r="S49" s="195">
        <f>SUM(G49:R49)</f>
        <v>0</v>
      </c>
    </row>
    <row r="50" spans="1:19" ht="14.4" hidden="1" customHeight="1" outlineLevel="1" x14ac:dyDescent="0.3">
      <c r="A50" s="67" t="str">
        <f>'CC detallado'!A48</f>
        <v>1.8.2</v>
      </c>
      <c r="B50" s="166" t="str">
        <f>'CC detallado'!G48</f>
        <v>Consultoría para elaboración diagnóstico situación y elaboración de programa</v>
      </c>
      <c r="C50" s="70">
        <f>'CC detallado'!M48</f>
        <v>20000</v>
      </c>
      <c r="D50" s="166"/>
      <c r="E50" s="166"/>
      <c r="F50" s="166"/>
      <c r="G50" s="194">
        <f>PEP!O48</f>
        <v>0</v>
      </c>
      <c r="H50" s="194">
        <f>PEP!P48</f>
        <v>0</v>
      </c>
      <c r="I50" s="194">
        <f>PEP!Q48</f>
        <v>0</v>
      </c>
      <c r="J50" s="194">
        <f>PEP!R48</f>
        <v>0</v>
      </c>
      <c r="K50" s="194">
        <f>PEP!S48</f>
        <v>0</v>
      </c>
      <c r="L50" s="194">
        <f>PEP!T48</f>
        <v>0</v>
      </c>
      <c r="M50" s="194">
        <f>PEP!U48</f>
        <v>0</v>
      </c>
      <c r="N50" s="194">
        <f>PEP!V48</f>
        <v>0</v>
      </c>
      <c r="O50" s="194">
        <f>PEP!W48</f>
        <v>0</v>
      </c>
      <c r="P50" s="194">
        <f>PEP!X48</f>
        <v>0</v>
      </c>
      <c r="Q50" s="194">
        <f>PEP!Y48</f>
        <v>0</v>
      </c>
      <c r="R50" s="194">
        <f>PEP!Z48</f>
        <v>0</v>
      </c>
      <c r="S50" s="195">
        <f>SUM(G50:R50)</f>
        <v>0</v>
      </c>
    </row>
    <row r="51" spans="1:19" ht="14.4" hidden="1" customHeight="1" outlineLevel="1" x14ac:dyDescent="0.3">
      <c r="A51" s="67" t="str">
        <f>'CC detallado'!A49</f>
        <v>1.8.3</v>
      </c>
      <c r="B51" s="166" t="str">
        <f>'CC detallado'!G49</f>
        <v>Toma de muestra de hallazgos de matadero y envío a laboratorio</v>
      </c>
      <c r="C51" s="70">
        <f>'CC detallado'!M49</f>
        <v>20000</v>
      </c>
      <c r="D51" s="166"/>
      <c r="E51" s="166"/>
      <c r="F51" s="166"/>
      <c r="G51" s="194">
        <f>PEP!O49</f>
        <v>0</v>
      </c>
      <c r="H51" s="194">
        <f>PEP!P49</f>
        <v>0</v>
      </c>
      <c r="I51" s="194">
        <f>PEP!Q49</f>
        <v>0</v>
      </c>
      <c r="J51" s="194">
        <f>PEP!R49</f>
        <v>0</v>
      </c>
      <c r="K51" s="194">
        <f>PEP!S49</f>
        <v>0</v>
      </c>
      <c r="L51" s="194">
        <f>PEP!T49</f>
        <v>0</v>
      </c>
      <c r="M51" s="194">
        <f>PEP!U49</f>
        <v>0</v>
      </c>
      <c r="N51" s="194">
        <f>PEP!V49</f>
        <v>0</v>
      </c>
      <c r="O51" s="194">
        <f>PEP!W49</f>
        <v>0</v>
      </c>
      <c r="P51" s="194">
        <f>PEP!X49</f>
        <v>0</v>
      </c>
      <c r="Q51" s="194">
        <f>PEP!Y49</f>
        <v>0</v>
      </c>
      <c r="R51" s="194">
        <f>PEP!Z49</f>
        <v>0</v>
      </c>
      <c r="S51" s="195">
        <f>SUM(G51:R51)</f>
        <v>0</v>
      </c>
    </row>
    <row r="52" spans="1:19" ht="14.4" customHeight="1" collapsed="1" x14ac:dyDescent="0.3">
      <c r="A52" s="190" t="str">
        <f>'CC detallado'!A50</f>
        <v>1.9</v>
      </c>
      <c r="B52" s="185" t="str">
        <f>'CC detallado'!G50</f>
        <v>Producto 9: Personal estratégico capacitado para nuevo modelo de gestión de Senacsa</v>
      </c>
      <c r="C52" s="187">
        <f>'CC detallado'!M50</f>
        <v>400000</v>
      </c>
      <c r="D52" s="185"/>
      <c r="E52" s="185"/>
      <c r="F52" s="185"/>
      <c r="G52" s="187">
        <f>PEP!O50</f>
        <v>0</v>
      </c>
      <c r="H52" s="187">
        <f>PEP!P50</f>
        <v>0</v>
      </c>
      <c r="I52" s="187">
        <f>PEP!Q50</f>
        <v>0</v>
      </c>
      <c r="J52" s="187">
        <f>PEP!R50</f>
        <v>0</v>
      </c>
      <c r="K52" s="187">
        <f>PEP!S50</f>
        <v>0</v>
      </c>
      <c r="L52" s="187">
        <f>PEP!T50</f>
        <v>0</v>
      </c>
      <c r="M52" s="187">
        <f>PEP!U50</f>
        <v>0</v>
      </c>
      <c r="N52" s="187">
        <f>PEP!V50</f>
        <v>0</v>
      </c>
      <c r="O52" s="187">
        <f>PEP!W50</f>
        <v>0</v>
      </c>
      <c r="P52" s="187">
        <f>PEP!X50</f>
        <v>0</v>
      </c>
      <c r="Q52" s="187">
        <f>PEP!Y50</f>
        <v>0</v>
      </c>
      <c r="R52" s="187">
        <f>PEP!Z50</f>
        <v>8333.3333333333339</v>
      </c>
      <c r="S52" s="187">
        <f t="shared" ref="S52" si="10">SUM(S53:S54)</f>
        <v>8333.3333333333339</v>
      </c>
    </row>
    <row r="53" spans="1:19" ht="14.4" hidden="1" customHeight="1" outlineLevel="1" x14ac:dyDescent="0.3">
      <c r="A53" s="67" t="str">
        <f>'CC detallado'!A51</f>
        <v>1.9.1</v>
      </c>
      <c r="B53" s="166" t="str">
        <f>'CC detallado'!G51</f>
        <v>Contratación de firma para de desarrollo de cursos (nivel estratégico, táctico, operativo)</v>
      </c>
      <c r="C53" s="70">
        <f>'CC detallado'!M51</f>
        <v>100000</v>
      </c>
      <c r="D53" s="166" t="s">
        <v>710</v>
      </c>
      <c r="E53" s="166" t="s">
        <v>705</v>
      </c>
      <c r="F53" s="166" t="s">
        <v>706</v>
      </c>
      <c r="G53" s="194">
        <f>PEP!O51</f>
        <v>0</v>
      </c>
      <c r="H53" s="194">
        <f>PEP!P51</f>
        <v>0</v>
      </c>
      <c r="I53" s="194">
        <f>PEP!Q51</f>
        <v>0</v>
      </c>
      <c r="J53" s="194">
        <f>PEP!R51</f>
        <v>0</v>
      </c>
      <c r="K53" s="194">
        <f>PEP!S51</f>
        <v>0</v>
      </c>
      <c r="L53" s="198">
        <f>PEP!T51</f>
        <v>0</v>
      </c>
      <c r="M53" s="198">
        <f>PEP!U51</f>
        <v>0</v>
      </c>
      <c r="N53" s="198">
        <f>PEP!V51</f>
        <v>0</v>
      </c>
      <c r="O53" s="198">
        <f>PEP!W51</f>
        <v>0</v>
      </c>
      <c r="P53" s="198">
        <f>PEP!X51</f>
        <v>0</v>
      </c>
      <c r="Q53" s="198">
        <f>PEP!Y51</f>
        <v>0</v>
      </c>
      <c r="R53" s="197">
        <f>PEP!Z51</f>
        <v>8333.3333333333339</v>
      </c>
      <c r="S53" s="195">
        <f>SUM(G53:R53)</f>
        <v>8333.3333333333339</v>
      </c>
    </row>
    <row r="54" spans="1:19" s="49" customFormat="1" ht="14.4" hidden="1" customHeight="1" outlineLevel="1" x14ac:dyDescent="0.3">
      <c r="A54" s="67" t="str">
        <f>'CC detallado'!A52</f>
        <v>1.9.2</v>
      </c>
      <c r="B54" s="166" t="str">
        <f>'CC detallado'!G52</f>
        <v>Programa de modernización organizacional</v>
      </c>
      <c r="C54" s="70">
        <f>'CC detallado'!M52</f>
        <v>300000</v>
      </c>
      <c r="D54" s="166" t="s">
        <v>707</v>
      </c>
      <c r="E54" s="166" t="s">
        <v>708</v>
      </c>
      <c r="F54" s="166" t="s">
        <v>709</v>
      </c>
      <c r="G54" s="70">
        <f>PEP!O52</f>
        <v>0</v>
      </c>
      <c r="H54" s="195">
        <f>PEP!P52</f>
        <v>0</v>
      </c>
      <c r="I54" s="195">
        <f>PEP!Q52</f>
        <v>0</v>
      </c>
      <c r="J54" s="195">
        <f>PEP!R52</f>
        <v>0</v>
      </c>
      <c r="K54" s="195">
        <f>PEP!S52</f>
        <v>0</v>
      </c>
      <c r="L54" s="195">
        <f>PEP!T52</f>
        <v>0</v>
      </c>
      <c r="M54" s="195">
        <f>PEP!U52</f>
        <v>0</v>
      </c>
      <c r="N54" s="198">
        <f>PEP!V52</f>
        <v>0</v>
      </c>
      <c r="O54" s="198">
        <f>PEP!W52</f>
        <v>0</v>
      </c>
      <c r="P54" s="198">
        <f>PEP!X52</f>
        <v>0</v>
      </c>
      <c r="Q54" s="198">
        <f>PEP!Y52</f>
        <v>0</v>
      </c>
      <c r="R54" s="198">
        <f>PEP!Z52</f>
        <v>0</v>
      </c>
      <c r="S54" s="195">
        <f>SUM(G54:R54)</f>
        <v>0</v>
      </c>
    </row>
    <row r="55" spans="1:19" s="58" customFormat="1" ht="14.4" customHeight="1" collapsed="1" x14ac:dyDescent="0.3">
      <c r="A55" s="193">
        <f>'CC detallado'!A53</f>
        <v>2</v>
      </c>
      <c r="B55" s="61" t="str">
        <f>'CC detallado'!G53</f>
        <v xml:space="preserve">Componente 2: Ampliación de los servicios </v>
      </c>
      <c r="C55" s="93">
        <f>C56+C62+C69+C80+C85+C89</f>
        <v>3074400</v>
      </c>
      <c r="D55" s="61"/>
      <c r="E55" s="61"/>
      <c r="F55" s="61"/>
      <c r="G55" s="93">
        <f t="shared" ref="G55:S55" si="11">G56+G62+G69+G80+G85+G89</f>
        <v>0</v>
      </c>
      <c r="H55" s="93">
        <f t="shared" si="11"/>
        <v>0</v>
      </c>
      <c r="I55" s="93">
        <f t="shared" si="11"/>
        <v>0</v>
      </c>
      <c r="J55" s="93">
        <f t="shared" si="11"/>
        <v>0</v>
      </c>
      <c r="K55" s="93">
        <f t="shared" si="11"/>
        <v>2000</v>
      </c>
      <c r="L55" s="93">
        <f t="shared" si="11"/>
        <v>13666.666666666668</v>
      </c>
      <c r="M55" s="93">
        <f t="shared" si="11"/>
        <v>13666.666666666668</v>
      </c>
      <c r="N55" s="93">
        <f t="shared" si="11"/>
        <v>40166.666666666672</v>
      </c>
      <c r="O55" s="93">
        <f t="shared" si="11"/>
        <v>5750</v>
      </c>
      <c r="P55" s="93">
        <f t="shared" si="11"/>
        <v>53750</v>
      </c>
      <c r="Q55" s="93">
        <f t="shared" si="11"/>
        <v>65250</v>
      </c>
      <c r="R55" s="93">
        <f t="shared" si="11"/>
        <v>46750</v>
      </c>
      <c r="S55" s="93">
        <f t="shared" si="11"/>
        <v>241000</v>
      </c>
    </row>
    <row r="56" spans="1:19" s="65" customFormat="1" ht="14.4" customHeight="1" x14ac:dyDescent="0.3">
      <c r="A56" s="190" t="str">
        <f>'CC detallado'!A54</f>
        <v>2.1</v>
      </c>
      <c r="B56" s="185" t="str">
        <f>'CC detallado'!G54</f>
        <v>Producto 10: Registros de stock ovinos y caprinos  señalados y control de movimientos funcionando</v>
      </c>
      <c r="C56" s="187">
        <f>SUM(C57:C61)</f>
        <v>338900</v>
      </c>
      <c r="D56" s="185"/>
      <c r="E56" s="185"/>
      <c r="F56" s="185"/>
      <c r="G56" s="187">
        <f>PEP!O54</f>
        <v>0</v>
      </c>
      <c r="H56" s="187">
        <f>PEP!P54</f>
        <v>0</v>
      </c>
      <c r="I56" s="187">
        <f>PEP!Q54</f>
        <v>0</v>
      </c>
      <c r="J56" s="187">
        <f>PEP!R54</f>
        <v>0</v>
      </c>
      <c r="K56" s="187">
        <f>PEP!S54</f>
        <v>0</v>
      </c>
      <c r="L56" s="187">
        <f>PEP!T54</f>
        <v>5000</v>
      </c>
      <c r="M56" s="187">
        <f>PEP!U54</f>
        <v>5000</v>
      </c>
      <c r="N56" s="187">
        <f>PEP!V54</f>
        <v>0</v>
      </c>
      <c r="O56" s="187">
        <f>PEP!W54</f>
        <v>0</v>
      </c>
      <c r="P56" s="187">
        <f>PEP!X54</f>
        <v>0</v>
      </c>
      <c r="Q56" s="187">
        <f>PEP!Y54</f>
        <v>0</v>
      </c>
      <c r="R56" s="187">
        <f>PEP!Z54</f>
        <v>0</v>
      </c>
      <c r="S56" s="187">
        <f t="shared" ref="S56" si="12">SUM(S57:S61)</f>
        <v>10000</v>
      </c>
    </row>
    <row r="57" spans="1:19" s="65" customFormat="1" ht="14.4" hidden="1" customHeight="1" outlineLevel="1" x14ac:dyDescent="0.3">
      <c r="A57" s="74" t="str">
        <f>'CC detallado'!A55</f>
        <v>2.1.1</v>
      </c>
      <c r="B57" s="166" t="str">
        <f>'CC detallado'!G55</f>
        <v>Elaboración de Términos de referencia y borrador de contrato para firma</v>
      </c>
      <c r="C57" s="153">
        <f>'CC detallado'!M55</f>
        <v>10000</v>
      </c>
      <c r="D57" s="166" t="s">
        <v>710</v>
      </c>
      <c r="E57" s="166" t="s">
        <v>705</v>
      </c>
      <c r="F57" s="166" t="s">
        <v>711</v>
      </c>
      <c r="G57" s="153">
        <f>PEP!O55</f>
        <v>0</v>
      </c>
      <c r="H57" s="195">
        <f>PEP!P55</f>
        <v>0</v>
      </c>
      <c r="I57" s="195">
        <f>PEP!Q55</f>
        <v>0</v>
      </c>
      <c r="J57" s="196">
        <f>PEP!R55</f>
        <v>0</v>
      </c>
      <c r="K57" s="196">
        <f>PEP!S55</f>
        <v>0</v>
      </c>
      <c r="L57" s="197">
        <f>PEP!T55</f>
        <v>5000</v>
      </c>
      <c r="M57" s="197">
        <f>PEP!U55</f>
        <v>5000</v>
      </c>
      <c r="N57" s="195">
        <f>PEP!V55</f>
        <v>0</v>
      </c>
      <c r="O57" s="195">
        <f>PEP!W55</f>
        <v>0</v>
      </c>
      <c r="P57" s="195">
        <f>PEP!X55</f>
        <v>0</v>
      </c>
      <c r="Q57" s="195">
        <f>PEP!Y55</f>
        <v>0</v>
      </c>
      <c r="R57" s="195">
        <f>PEP!Z55</f>
        <v>0</v>
      </c>
      <c r="S57" s="195">
        <f>SUM(G57:R57)</f>
        <v>10000</v>
      </c>
    </row>
    <row r="58" spans="1:19" s="65" customFormat="1" ht="14.4" hidden="1" customHeight="1" outlineLevel="1" x14ac:dyDescent="0.3">
      <c r="A58" s="74" t="str">
        <f>'CC detallado'!A56</f>
        <v>2.1.2</v>
      </c>
      <c r="B58" s="166" t="str">
        <f>'CC detallado'!G56</f>
        <v>Instrumentar registro</v>
      </c>
      <c r="C58" s="153">
        <f>'CC detallado'!M56</f>
        <v>303900</v>
      </c>
      <c r="D58" s="166" t="s">
        <v>707</v>
      </c>
      <c r="E58" s="166" t="s">
        <v>708</v>
      </c>
      <c r="F58" s="166" t="s">
        <v>709</v>
      </c>
      <c r="G58" s="153">
        <f>PEP!O56</f>
        <v>0</v>
      </c>
      <c r="H58" s="195">
        <f>PEP!P56</f>
        <v>0</v>
      </c>
      <c r="I58" s="195">
        <f>PEP!Q56</f>
        <v>0</v>
      </c>
      <c r="J58" s="195">
        <f>PEP!R56</f>
        <v>0</v>
      </c>
      <c r="K58" s="195">
        <f>PEP!S56</f>
        <v>0</v>
      </c>
      <c r="L58" s="195">
        <f>PEP!T56</f>
        <v>0</v>
      </c>
      <c r="M58" s="196">
        <f>PEP!U56</f>
        <v>0</v>
      </c>
      <c r="N58" s="196">
        <f>PEP!V56</f>
        <v>0</v>
      </c>
      <c r="O58" s="196">
        <f>PEP!W56</f>
        <v>0</v>
      </c>
      <c r="P58" s="196">
        <f>PEP!X56</f>
        <v>0</v>
      </c>
      <c r="Q58" s="196">
        <f>PEP!Y56</f>
        <v>0</v>
      </c>
      <c r="R58" s="196">
        <f>PEP!Z56</f>
        <v>0</v>
      </c>
      <c r="S58" s="195">
        <f>SUM(G58:R58)</f>
        <v>0</v>
      </c>
    </row>
    <row r="59" spans="1:19" ht="14.4" hidden="1" customHeight="1" outlineLevel="1" x14ac:dyDescent="0.3">
      <c r="A59" s="74" t="str">
        <f>'CC detallado'!A57</f>
        <v>2.1.3</v>
      </c>
      <c r="B59" s="166" t="str">
        <f>'CC detallado'!G57</f>
        <v>Diseño y Difusión - Declaración Jurada y Planillas de Exist. y Trat. Sanitarios</v>
      </c>
      <c r="C59" s="153">
        <f>'CC detallado'!M57</f>
        <v>5000</v>
      </c>
      <c r="D59" s="166"/>
      <c r="E59" s="166"/>
      <c r="F59" s="166"/>
      <c r="G59" s="153">
        <f>PEP!O57</f>
        <v>0</v>
      </c>
      <c r="H59" s="195">
        <f>PEP!P57</f>
        <v>0</v>
      </c>
      <c r="I59" s="195">
        <f>PEP!Q57</f>
        <v>0</v>
      </c>
      <c r="J59" s="195">
        <f>PEP!R57</f>
        <v>0</v>
      </c>
      <c r="K59" s="195">
        <f>PEP!S57</f>
        <v>0</v>
      </c>
      <c r="L59" s="195">
        <f>PEP!T57</f>
        <v>0</v>
      </c>
      <c r="M59" s="195">
        <f>PEP!U57</f>
        <v>0</v>
      </c>
      <c r="N59" s="195">
        <f>PEP!V57</f>
        <v>0</v>
      </c>
      <c r="O59" s="195">
        <f>PEP!W57</f>
        <v>0</v>
      </c>
      <c r="P59" s="195">
        <f>PEP!X57</f>
        <v>0</v>
      </c>
      <c r="Q59" s="195">
        <f>PEP!Y57</f>
        <v>0</v>
      </c>
      <c r="R59" s="195">
        <f>PEP!Z57</f>
        <v>0</v>
      </c>
      <c r="S59" s="195">
        <f>SUM(G59:R59)</f>
        <v>0</v>
      </c>
    </row>
    <row r="60" spans="1:19" ht="14.4" hidden="1" customHeight="1" outlineLevel="1" x14ac:dyDescent="0.3">
      <c r="A60" s="74" t="str">
        <f>'CC detallado'!A58</f>
        <v>2.1.4</v>
      </c>
      <c r="B60" s="166" t="str">
        <f>'CC detallado'!G58</f>
        <v>Análisis de datos - Declaración Jurada y Planillas de Exist. y Trat. Sanitarios</v>
      </c>
      <c r="C60" s="153">
        <f>'CC detallado'!M58</f>
        <v>18000</v>
      </c>
      <c r="D60" s="166"/>
      <c r="E60" s="166"/>
      <c r="F60" s="166"/>
      <c r="G60" s="153">
        <f>PEP!O58</f>
        <v>0</v>
      </c>
      <c r="H60" s="195">
        <f>PEP!P58</f>
        <v>0</v>
      </c>
      <c r="I60" s="195">
        <f>PEP!Q58</f>
        <v>0</v>
      </c>
      <c r="J60" s="195">
        <f>PEP!R58</f>
        <v>0</v>
      </c>
      <c r="K60" s="195">
        <f>PEP!S58</f>
        <v>0</v>
      </c>
      <c r="L60" s="195">
        <f>PEP!T58</f>
        <v>0</v>
      </c>
      <c r="M60" s="195">
        <f>PEP!U58</f>
        <v>0</v>
      </c>
      <c r="N60" s="195">
        <f>PEP!V58</f>
        <v>0</v>
      </c>
      <c r="O60" s="195">
        <f>PEP!W58</f>
        <v>0</v>
      </c>
      <c r="P60" s="195">
        <f>PEP!X58</f>
        <v>0</v>
      </c>
      <c r="Q60" s="195">
        <f>PEP!Y58</f>
        <v>0</v>
      </c>
      <c r="R60" s="195">
        <f>PEP!Z58</f>
        <v>0</v>
      </c>
      <c r="S60" s="195">
        <f>SUM(G60:R60)</f>
        <v>0</v>
      </c>
    </row>
    <row r="61" spans="1:19" ht="14.4" hidden="1" customHeight="1" outlineLevel="1" x14ac:dyDescent="0.3">
      <c r="A61" s="74" t="str">
        <f>'CC detallado'!A59</f>
        <v>2.1.5</v>
      </c>
      <c r="B61" s="166" t="str">
        <f>'CC detallado'!G59</f>
        <v>Control de Movimientos</v>
      </c>
      <c r="C61" s="153">
        <f>'CC detallado'!M59</f>
        <v>2000</v>
      </c>
      <c r="D61" s="166"/>
      <c r="E61" s="166"/>
      <c r="F61" s="166"/>
      <c r="G61" s="153">
        <f>PEP!O59</f>
        <v>0</v>
      </c>
      <c r="H61" s="195">
        <f>PEP!P59</f>
        <v>0</v>
      </c>
      <c r="I61" s="195">
        <f>PEP!Q59</f>
        <v>0</v>
      </c>
      <c r="J61" s="195">
        <f>PEP!R59</f>
        <v>0</v>
      </c>
      <c r="K61" s="195">
        <f>PEP!S59</f>
        <v>0</v>
      </c>
      <c r="L61" s="195">
        <f>PEP!T59</f>
        <v>0</v>
      </c>
      <c r="M61" s="195">
        <f>PEP!U59</f>
        <v>0</v>
      </c>
      <c r="N61" s="195">
        <f>PEP!V59</f>
        <v>0</v>
      </c>
      <c r="O61" s="195">
        <f>PEP!W59</f>
        <v>0</v>
      </c>
      <c r="P61" s="195">
        <f>PEP!X59</f>
        <v>0</v>
      </c>
      <c r="Q61" s="195">
        <f>PEP!Y59</f>
        <v>0</v>
      </c>
      <c r="R61" s="195">
        <f>PEP!Z59</f>
        <v>0</v>
      </c>
      <c r="S61" s="195">
        <f>SUM(G61:R61)</f>
        <v>0</v>
      </c>
    </row>
    <row r="62" spans="1:19" s="65" customFormat="1" ht="14.4" customHeight="1" collapsed="1" x14ac:dyDescent="0.3">
      <c r="A62" s="190" t="str">
        <f>'CC detallado'!A60</f>
        <v>2.2</v>
      </c>
      <c r="B62" s="185" t="str">
        <f>'CC detallado'!G60</f>
        <v>Producto 11: Planes sanitarios con vigilancia epidemiológica implementados en ovinos, caprinos y porcinos</v>
      </c>
      <c r="C62" s="187">
        <f>SUM(C63:C68)</f>
        <v>413000</v>
      </c>
      <c r="D62" s="185"/>
      <c r="E62" s="185"/>
      <c r="F62" s="185"/>
      <c r="G62" s="187">
        <f>PEP!O60</f>
        <v>0</v>
      </c>
      <c r="H62" s="187">
        <f>PEP!P60</f>
        <v>0</v>
      </c>
      <c r="I62" s="187">
        <f>PEP!Q60</f>
        <v>0</v>
      </c>
      <c r="J62" s="187">
        <f>PEP!R60</f>
        <v>0</v>
      </c>
      <c r="K62" s="187">
        <f>PEP!S60</f>
        <v>0</v>
      </c>
      <c r="L62" s="187">
        <f>PEP!T60</f>
        <v>6666.666666666667</v>
      </c>
      <c r="M62" s="187">
        <f>PEP!U60</f>
        <v>6666.666666666667</v>
      </c>
      <c r="N62" s="187">
        <f>PEP!V60</f>
        <v>6666.666666666667</v>
      </c>
      <c r="O62" s="187">
        <f>PEP!W60</f>
        <v>0</v>
      </c>
      <c r="P62" s="187">
        <f>PEP!X60</f>
        <v>0</v>
      </c>
      <c r="Q62" s="187">
        <f>PEP!Y60</f>
        <v>0</v>
      </c>
      <c r="R62" s="187">
        <f>PEP!Z60</f>
        <v>0</v>
      </c>
      <c r="S62" s="187">
        <f t="shared" ref="S62" si="13">SUM(S63:S68)</f>
        <v>20000</v>
      </c>
    </row>
    <row r="63" spans="1:19" ht="14.4" hidden="1" customHeight="1" outlineLevel="1" x14ac:dyDescent="0.3">
      <c r="A63" s="74" t="str">
        <f>'CC detallado'!A61</f>
        <v>2.2.1</v>
      </c>
      <c r="B63" s="206" t="str">
        <f>'CC detallado'!G61</f>
        <v xml:space="preserve">Técnicos para laboratorio </v>
      </c>
      <c r="C63" s="153">
        <f>'CC detallado'!M61</f>
        <v>48000</v>
      </c>
      <c r="D63" s="206"/>
      <c r="E63" s="206"/>
      <c r="F63" s="206"/>
      <c r="G63" s="153">
        <f>PEP!O61</f>
        <v>0</v>
      </c>
      <c r="H63" s="153">
        <f>PEP!P61</f>
        <v>0</v>
      </c>
      <c r="I63" s="153">
        <f>PEP!Q61</f>
        <v>0</v>
      </c>
      <c r="J63" s="153">
        <f>PEP!R61</f>
        <v>0</v>
      </c>
      <c r="K63" s="153">
        <f>PEP!S61</f>
        <v>0</v>
      </c>
      <c r="L63" s="153">
        <f>PEP!T61</f>
        <v>0</v>
      </c>
      <c r="M63" s="153">
        <f>PEP!U61</f>
        <v>0</v>
      </c>
      <c r="N63" s="153">
        <f>PEP!V61</f>
        <v>0</v>
      </c>
      <c r="O63" s="153">
        <f>PEP!W61</f>
        <v>0</v>
      </c>
      <c r="P63" s="153">
        <f>PEP!X61</f>
        <v>0</v>
      </c>
      <c r="Q63" s="153">
        <f>PEP!Y61</f>
        <v>0</v>
      </c>
      <c r="R63" s="153">
        <f>PEP!Z61</f>
        <v>0</v>
      </c>
      <c r="S63" s="195">
        <f t="shared" ref="S63:S68" si="14">SUM(G63:R63)</f>
        <v>0</v>
      </c>
    </row>
    <row r="64" spans="1:19" ht="14.4" hidden="1" customHeight="1" outlineLevel="1" x14ac:dyDescent="0.3">
      <c r="A64" s="74" t="str">
        <f>'CC detallado'!A62</f>
        <v>2.2.2</v>
      </c>
      <c r="B64" s="206" t="str">
        <f>'CC detallado'!G62</f>
        <v>Consultoría para formulación de Planes Sanitarios</v>
      </c>
      <c r="C64" s="153">
        <f>'CC detallado'!M62</f>
        <v>20000</v>
      </c>
      <c r="D64" s="166" t="s">
        <v>710</v>
      </c>
      <c r="E64" s="166" t="s">
        <v>705</v>
      </c>
      <c r="F64" s="166" t="s">
        <v>711</v>
      </c>
      <c r="G64" s="153">
        <f>PEP!O62</f>
        <v>0</v>
      </c>
      <c r="H64" s="153">
        <f>PEP!P62</f>
        <v>0</v>
      </c>
      <c r="I64" s="153">
        <f>PEP!Q62</f>
        <v>0</v>
      </c>
      <c r="J64" s="196">
        <f>PEP!R62</f>
        <v>0</v>
      </c>
      <c r="K64" s="196">
        <f>PEP!S62</f>
        <v>0</v>
      </c>
      <c r="L64" s="197">
        <f>PEP!T62</f>
        <v>6666.666666666667</v>
      </c>
      <c r="M64" s="197">
        <f>PEP!U62</f>
        <v>6666.666666666667</v>
      </c>
      <c r="N64" s="197">
        <f>PEP!V62</f>
        <v>6666.666666666667</v>
      </c>
      <c r="O64" s="153">
        <f>PEP!W62</f>
        <v>0</v>
      </c>
      <c r="P64" s="153">
        <f>PEP!X62</f>
        <v>0</v>
      </c>
      <c r="Q64" s="153">
        <f>PEP!Y62</f>
        <v>0</v>
      </c>
      <c r="R64" s="153">
        <f>PEP!Z62</f>
        <v>0</v>
      </c>
      <c r="S64" s="195">
        <f t="shared" si="14"/>
        <v>20000</v>
      </c>
    </row>
    <row r="65" spans="1:19" ht="14.4" hidden="1" customHeight="1" outlineLevel="1" x14ac:dyDescent="0.3">
      <c r="A65" s="74" t="str">
        <f>'CC detallado'!A63</f>
        <v>2.2.3</v>
      </c>
      <c r="B65" s="166" t="str">
        <f>'CC detallado'!G63</f>
        <v>Vigilancia de predios (revisación, toma de muestras, respuesta inmediata)</v>
      </c>
      <c r="C65" s="153">
        <f>'CC detallado'!M63</f>
        <v>0</v>
      </c>
      <c r="D65" s="166"/>
      <c r="E65" s="166"/>
      <c r="F65" s="166"/>
      <c r="G65" s="153">
        <f>PEP!O63</f>
        <v>0</v>
      </c>
      <c r="H65" s="195">
        <f>PEP!P63</f>
        <v>0</v>
      </c>
      <c r="I65" s="195">
        <f>PEP!Q63</f>
        <v>0</v>
      </c>
      <c r="J65" s="195">
        <f>PEP!R63</f>
        <v>0</v>
      </c>
      <c r="K65" s="195">
        <f>PEP!S63</f>
        <v>0</v>
      </c>
      <c r="L65" s="195">
        <f>PEP!T63</f>
        <v>0</v>
      </c>
      <c r="M65" s="195">
        <f>PEP!U63</f>
        <v>0</v>
      </c>
      <c r="N65" s="195">
        <f>PEP!V63</f>
        <v>0</v>
      </c>
      <c r="O65" s="195">
        <f>PEP!W63</f>
        <v>0</v>
      </c>
      <c r="P65" s="195">
        <f>PEP!X63</f>
        <v>0</v>
      </c>
      <c r="Q65" s="195">
        <f>PEP!Y63</f>
        <v>0</v>
      </c>
      <c r="R65" s="195">
        <f>PEP!Z63</f>
        <v>0</v>
      </c>
      <c r="S65" s="195">
        <f t="shared" si="14"/>
        <v>0</v>
      </c>
    </row>
    <row r="66" spans="1:19" s="65" customFormat="1" ht="14.4" hidden="1" customHeight="1" outlineLevel="1" x14ac:dyDescent="0.3">
      <c r="A66" s="74" t="str">
        <f>'CC detallado'!A64</f>
        <v>2.2.4</v>
      </c>
      <c r="B66" s="166" t="str">
        <f>'CC detallado'!G64</f>
        <v>Vigilancia de faena</v>
      </c>
      <c r="C66" s="153">
        <f>'CC detallado'!M64</f>
        <v>0</v>
      </c>
      <c r="D66" s="166"/>
      <c r="E66" s="166"/>
      <c r="F66" s="166"/>
      <c r="G66" s="153">
        <f>PEP!O64</f>
        <v>0</v>
      </c>
      <c r="H66" s="195">
        <f>PEP!P64</f>
        <v>0</v>
      </c>
      <c r="I66" s="195">
        <f>PEP!Q64</f>
        <v>0</v>
      </c>
      <c r="J66" s="195">
        <f>PEP!R64</f>
        <v>0</v>
      </c>
      <c r="K66" s="195">
        <f>PEP!S64</f>
        <v>0</v>
      </c>
      <c r="L66" s="195">
        <f>PEP!T64</f>
        <v>0</v>
      </c>
      <c r="M66" s="195">
        <f>PEP!U64</f>
        <v>0</v>
      </c>
      <c r="N66" s="195">
        <f>PEP!V64</f>
        <v>0</v>
      </c>
      <c r="O66" s="195">
        <f>PEP!W64</f>
        <v>0</v>
      </c>
      <c r="P66" s="195">
        <f>PEP!X64</f>
        <v>0</v>
      </c>
      <c r="Q66" s="195">
        <f>PEP!Y64</f>
        <v>0</v>
      </c>
      <c r="R66" s="195">
        <f>PEP!Z64</f>
        <v>0</v>
      </c>
      <c r="S66" s="195">
        <f t="shared" si="14"/>
        <v>0</v>
      </c>
    </row>
    <row r="67" spans="1:19" ht="14.4" hidden="1" customHeight="1" outlineLevel="1" x14ac:dyDescent="0.3">
      <c r="A67" s="74" t="str">
        <f>'CC detallado'!A65</f>
        <v>2.2.5</v>
      </c>
      <c r="B67" s="166" t="str">
        <f>'CC detallado'!G65</f>
        <v>Vacunación brucelosis caprina</v>
      </c>
      <c r="C67" s="153">
        <f>'CC detallado'!M65</f>
        <v>95000</v>
      </c>
      <c r="D67" s="166"/>
      <c r="E67" s="166"/>
      <c r="F67" s="166"/>
      <c r="G67" s="153">
        <f>PEP!O65</f>
        <v>0</v>
      </c>
      <c r="H67" s="195">
        <f>PEP!P65</f>
        <v>0</v>
      </c>
      <c r="I67" s="195">
        <f>PEP!Q65</f>
        <v>0</v>
      </c>
      <c r="J67" s="195">
        <f>PEP!R65</f>
        <v>0</v>
      </c>
      <c r="K67" s="195">
        <f>PEP!S65</f>
        <v>0</v>
      </c>
      <c r="L67" s="195">
        <f>PEP!T65</f>
        <v>0</v>
      </c>
      <c r="M67" s="195">
        <f>PEP!U65</f>
        <v>0</v>
      </c>
      <c r="N67" s="195">
        <f>PEP!V65</f>
        <v>0</v>
      </c>
      <c r="O67" s="195">
        <f>PEP!W65</f>
        <v>0</v>
      </c>
      <c r="P67" s="195">
        <f>PEP!X65</f>
        <v>0</v>
      </c>
      <c r="Q67" s="195">
        <f>PEP!Y65</f>
        <v>0</v>
      </c>
      <c r="R67" s="195">
        <f>PEP!Z65</f>
        <v>0</v>
      </c>
      <c r="S67" s="195">
        <f t="shared" si="14"/>
        <v>0</v>
      </c>
    </row>
    <row r="68" spans="1:19" ht="14.4" hidden="1" customHeight="1" outlineLevel="1" x14ac:dyDescent="0.3">
      <c r="A68" s="74" t="str">
        <f>'CC detallado'!A66</f>
        <v>2.2.6</v>
      </c>
      <c r="B68" s="166" t="str">
        <f>'CC detallado'!G66</f>
        <v>Kits y materiales (938 para ovinos, 4.583 de suinos, 730 de caprinos)</v>
      </c>
      <c r="C68" s="153">
        <f>'CC detallado'!M66</f>
        <v>250000</v>
      </c>
      <c r="D68" s="166"/>
      <c r="E68" s="166"/>
      <c r="F68" s="166"/>
      <c r="G68" s="153">
        <f>PEP!O66</f>
        <v>0</v>
      </c>
      <c r="H68" s="195">
        <f>PEP!P66</f>
        <v>0</v>
      </c>
      <c r="I68" s="195">
        <f>PEP!Q66</f>
        <v>0</v>
      </c>
      <c r="J68" s="195">
        <f>PEP!R66</f>
        <v>0</v>
      </c>
      <c r="K68" s="195">
        <f>PEP!S66</f>
        <v>0</v>
      </c>
      <c r="L68" s="195">
        <f>PEP!T66</f>
        <v>0</v>
      </c>
      <c r="M68" s="195">
        <f>PEP!U66</f>
        <v>0</v>
      </c>
      <c r="N68" s="195">
        <f>PEP!V66</f>
        <v>0</v>
      </c>
      <c r="O68" s="195">
        <f>PEP!W66</f>
        <v>0</v>
      </c>
      <c r="P68" s="195">
        <f>PEP!X66</f>
        <v>0</v>
      </c>
      <c r="Q68" s="195">
        <f>PEP!Y66</f>
        <v>0</v>
      </c>
      <c r="R68" s="195">
        <f>PEP!Z66</f>
        <v>0</v>
      </c>
      <c r="S68" s="195">
        <f t="shared" si="14"/>
        <v>0</v>
      </c>
    </row>
    <row r="69" spans="1:19" ht="14.4" customHeight="1" collapsed="1" x14ac:dyDescent="0.3">
      <c r="A69" s="190" t="str">
        <f>'CC detallado'!A67</f>
        <v>2.3</v>
      </c>
      <c r="B69" s="185" t="str">
        <f>'CC detallado'!G67</f>
        <v>Producto 12: Población de aves y cerdos bajo programas de vigilancia y certificación</v>
      </c>
      <c r="C69" s="187">
        <f>SUM(C70:C79)</f>
        <v>155500</v>
      </c>
      <c r="D69" s="185"/>
      <c r="E69" s="185"/>
      <c r="F69" s="185"/>
      <c r="G69" s="187">
        <f>PEP!O67</f>
        <v>0</v>
      </c>
      <c r="H69" s="187">
        <f>PEP!P67</f>
        <v>0</v>
      </c>
      <c r="I69" s="187">
        <f>PEP!Q67</f>
        <v>0</v>
      </c>
      <c r="J69" s="187">
        <f>PEP!R67</f>
        <v>0</v>
      </c>
      <c r="K69" s="187">
        <f>PEP!S67</f>
        <v>0</v>
      </c>
      <c r="L69" s="187">
        <f>PEP!T67</f>
        <v>0</v>
      </c>
      <c r="M69" s="187">
        <f>PEP!U67</f>
        <v>0</v>
      </c>
      <c r="N69" s="187">
        <f>PEP!V67</f>
        <v>0</v>
      </c>
      <c r="O69" s="187">
        <f>PEP!W67</f>
        <v>3750</v>
      </c>
      <c r="P69" s="187">
        <f>PEP!X67</f>
        <v>3750</v>
      </c>
      <c r="Q69" s="187">
        <f>PEP!Y67</f>
        <v>3750</v>
      </c>
      <c r="R69" s="187">
        <f>PEP!Z67</f>
        <v>8750</v>
      </c>
      <c r="S69" s="187">
        <f t="shared" ref="S69" si="15">SUM(S70:S79)</f>
        <v>20000</v>
      </c>
    </row>
    <row r="70" spans="1:19" ht="14.4" hidden="1" customHeight="1" outlineLevel="1" x14ac:dyDescent="0.3">
      <c r="A70" s="67" t="str">
        <f>'CC detallado'!A68</f>
        <v>2.3.1</v>
      </c>
      <c r="B70" s="166" t="str">
        <f>'CC detallado'!G68</f>
        <v>Consultoría para establecimiento sistema de certificación de granjas bajo control oficial</v>
      </c>
      <c r="C70" s="70">
        <f>'CC detallado'!M68</f>
        <v>10000</v>
      </c>
      <c r="D70" s="166"/>
      <c r="E70" s="166"/>
      <c r="F70" s="166"/>
      <c r="G70" s="194">
        <f>PEP!O68</f>
        <v>0</v>
      </c>
      <c r="H70" s="194">
        <f>PEP!P68</f>
        <v>0</v>
      </c>
      <c r="I70" s="194">
        <f>PEP!Q68</f>
        <v>0</v>
      </c>
      <c r="J70" s="194">
        <f>PEP!R68</f>
        <v>0</v>
      </c>
      <c r="K70" s="194">
        <f>PEP!S68</f>
        <v>0</v>
      </c>
      <c r="L70" s="194">
        <f>PEP!T68</f>
        <v>0</v>
      </c>
      <c r="M70" s="194">
        <f>PEP!U68</f>
        <v>0</v>
      </c>
      <c r="N70" s="194">
        <f>PEP!V68</f>
        <v>0</v>
      </c>
      <c r="O70" s="194">
        <f>PEP!W68</f>
        <v>0</v>
      </c>
      <c r="P70" s="194">
        <f>PEP!X68</f>
        <v>0</v>
      </c>
      <c r="Q70" s="194">
        <f>PEP!Y68</f>
        <v>0</v>
      </c>
      <c r="R70" s="194">
        <f>PEP!Z68</f>
        <v>0</v>
      </c>
      <c r="S70" s="195">
        <f t="shared" ref="S70:S79" si="16">SUM(G70:R70)</f>
        <v>0</v>
      </c>
    </row>
    <row r="71" spans="1:19" ht="14.4" hidden="1" customHeight="1" outlineLevel="1" x14ac:dyDescent="0.3">
      <c r="A71" s="67" t="str">
        <f>'CC detallado'!A69</f>
        <v>2.3.2</v>
      </c>
      <c r="B71" s="166" t="str">
        <f>'CC detallado'!G69</f>
        <v>Seminario y  taller ( elaboración de procedimientos e instructivos) para adopción sistema</v>
      </c>
      <c r="C71" s="70">
        <f>'CC detallado'!M69</f>
        <v>10000</v>
      </c>
      <c r="D71" s="166"/>
      <c r="E71" s="166"/>
      <c r="F71" s="166"/>
      <c r="G71" s="194">
        <f>PEP!O69</f>
        <v>0</v>
      </c>
      <c r="H71" s="194">
        <f>PEP!P69</f>
        <v>0</v>
      </c>
      <c r="I71" s="194">
        <f>PEP!Q69</f>
        <v>0</v>
      </c>
      <c r="J71" s="194">
        <f>PEP!R69</f>
        <v>0</v>
      </c>
      <c r="K71" s="194">
        <f>PEP!S69</f>
        <v>0</v>
      </c>
      <c r="L71" s="194">
        <f>PEP!T69</f>
        <v>0</v>
      </c>
      <c r="M71" s="194">
        <f>PEP!U69</f>
        <v>0</v>
      </c>
      <c r="N71" s="194">
        <f>PEP!V69</f>
        <v>0</v>
      </c>
      <c r="O71" s="194">
        <f>PEP!W69</f>
        <v>0</v>
      </c>
      <c r="P71" s="194">
        <f>PEP!X69</f>
        <v>0</v>
      </c>
      <c r="Q71" s="194">
        <f>PEP!Y69</f>
        <v>0</v>
      </c>
      <c r="R71" s="194">
        <f>PEP!Z69</f>
        <v>0</v>
      </c>
      <c r="S71" s="195">
        <f t="shared" si="16"/>
        <v>0</v>
      </c>
    </row>
    <row r="72" spans="1:19" ht="14.4" hidden="1" customHeight="1" outlineLevel="1" x14ac:dyDescent="0.3">
      <c r="A72" s="67" t="str">
        <f>'CC detallado'!A70</f>
        <v>2.3.3</v>
      </c>
      <c r="B72" s="166" t="str">
        <f>'CC detallado'!G70</f>
        <v>Operación del sistema de monitoreo con envío de muestras</v>
      </c>
      <c r="C72" s="70">
        <f>'CC detallado'!M70</f>
        <v>20000</v>
      </c>
      <c r="D72" s="166"/>
      <c r="E72" s="166"/>
      <c r="F72" s="166"/>
      <c r="G72" s="195">
        <f>PEP!O70</f>
        <v>0</v>
      </c>
      <c r="H72" s="195">
        <f>PEP!P70</f>
        <v>0</v>
      </c>
      <c r="I72" s="195">
        <f>PEP!Q70</f>
        <v>0</v>
      </c>
      <c r="J72" s="195">
        <f>PEP!R70</f>
        <v>0</v>
      </c>
      <c r="K72" s="195">
        <f>PEP!S70</f>
        <v>0</v>
      </c>
      <c r="L72" s="195">
        <f>PEP!T70</f>
        <v>0</v>
      </c>
      <c r="M72" s="195">
        <f>PEP!U70</f>
        <v>0</v>
      </c>
      <c r="N72" s="195">
        <f>PEP!V70</f>
        <v>0</v>
      </c>
      <c r="O72" s="195">
        <f>PEP!W70</f>
        <v>0</v>
      </c>
      <c r="P72" s="195">
        <f>PEP!X70</f>
        <v>0</v>
      </c>
      <c r="Q72" s="195">
        <f>PEP!Y70</f>
        <v>0</v>
      </c>
      <c r="R72" s="195">
        <f>PEP!Z70</f>
        <v>0</v>
      </c>
      <c r="S72" s="195">
        <f t="shared" si="16"/>
        <v>0</v>
      </c>
    </row>
    <row r="73" spans="1:19" ht="14.4" hidden="1" customHeight="1" outlineLevel="1" x14ac:dyDescent="0.3">
      <c r="A73" s="67" t="str">
        <f>'CC detallado'!A71</f>
        <v>2.3.4</v>
      </c>
      <c r="B73" s="166" t="str">
        <f>'CC detallado'!G71</f>
        <v>Consultoría para gestión de riesgo y auto declaración de IA y NC(incluye taller)</v>
      </c>
      <c r="C73" s="70">
        <f>'CC detallado'!M71</f>
        <v>15000</v>
      </c>
      <c r="D73" s="166" t="s">
        <v>710</v>
      </c>
      <c r="E73" s="166" t="s">
        <v>705</v>
      </c>
      <c r="F73" s="166" t="s">
        <v>706</v>
      </c>
      <c r="G73" s="194">
        <f>PEP!O71</f>
        <v>0</v>
      </c>
      <c r="H73" s="194">
        <f>PEP!P71</f>
        <v>0</v>
      </c>
      <c r="I73" s="194">
        <f>PEP!Q71</f>
        <v>0</v>
      </c>
      <c r="J73" s="194">
        <f>PEP!R71</f>
        <v>0</v>
      </c>
      <c r="K73" s="198">
        <f>PEP!S71</f>
        <v>0</v>
      </c>
      <c r="L73" s="198">
        <f>PEP!T71</f>
        <v>0</v>
      </c>
      <c r="M73" s="198">
        <f>PEP!U71</f>
        <v>0</v>
      </c>
      <c r="N73" s="198">
        <f>PEP!V71</f>
        <v>0</v>
      </c>
      <c r="O73" s="197">
        <f>PEP!W71</f>
        <v>3750</v>
      </c>
      <c r="P73" s="197">
        <f>PEP!X71</f>
        <v>3750</v>
      </c>
      <c r="Q73" s="197">
        <f>PEP!Y71</f>
        <v>3750</v>
      </c>
      <c r="R73" s="197">
        <f>PEP!Z71</f>
        <v>3750</v>
      </c>
      <c r="S73" s="195">
        <f t="shared" si="16"/>
        <v>15000</v>
      </c>
    </row>
    <row r="74" spans="1:19" ht="14.4" hidden="1" customHeight="1" outlineLevel="1" x14ac:dyDescent="0.3">
      <c r="A74" s="67" t="str">
        <f>'CC detallado'!A72</f>
        <v>2.3.5</v>
      </c>
      <c r="B74" s="166" t="str">
        <f>'CC detallado'!G72</f>
        <v>Seminario taller sobre gestión de riesgo de IA y NC</v>
      </c>
      <c r="C74" s="70">
        <f>'CC detallado'!M72</f>
        <v>5000</v>
      </c>
      <c r="D74" s="166" t="s">
        <v>710</v>
      </c>
      <c r="E74" s="166" t="s">
        <v>705</v>
      </c>
      <c r="F74" s="166" t="s">
        <v>706</v>
      </c>
      <c r="G74" s="194">
        <f>PEP!O72</f>
        <v>0</v>
      </c>
      <c r="H74" s="194">
        <f>PEP!P72</f>
        <v>0</v>
      </c>
      <c r="I74" s="194">
        <f>PEP!Q72</f>
        <v>0</v>
      </c>
      <c r="J74" s="194">
        <f>PEP!R72</f>
        <v>0</v>
      </c>
      <c r="K74" s="194">
        <f>PEP!S72</f>
        <v>0</v>
      </c>
      <c r="L74" s="194">
        <f>PEP!T72</f>
        <v>0</v>
      </c>
      <c r="M74" s="194">
        <f>PEP!U72</f>
        <v>0</v>
      </c>
      <c r="N74" s="194">
        <f>PEP!V72</f>
        <v>0</v>
      </c>
      <c r="O74" s="194">
        <f>PEP!W72</f>
        <v>0</v>
      </c>
      <c r="P74" s="194">
        <f>PEP!X72</f>
        <v>0</v>
      </c>
      <c r="Q74" s="194">
        <f>PEP!Y72</f>
        <v>0</v>
      </c>
      <c r="R74" s="197">
        <f>PEP!Z72</f>
        <v>5000</v>
      </c>
      <c r="S74" s="195">
        <f t="shared" si="16"/>
        <v>5000</v>
      </c>
    </row>
    <row r="75" spans="1:19" ht="14.4" hidden="1" customHeight="1" outlineLevel="1" x14ac:dyDescent="0.3">
      <c r="A75" s="67" t="str">
        <f>'CC detallado'!A73</f>
        <v>2.3.6</v>
      </c>
      <c r="B75" s="166" t="str">
        <f>'CC detallado'!G73</f>
        <v>Monitoreo seroepidemiológico Influenza Aviar y molecular para New Castle</v>
      </c>
      <c r="C75" s="70">
        <f>'CC detallado'!M73</f>
        <v>50000</v>
      </c>
      <c r="D75" s="166"/>
      <c r="E75" s="166"/>
      <c r="F75" s="166"/>
      <c r="G75" s="194">
        <f>PEP!O73</f>
        <v>0</v>
      </c>
      <c r="H75" s="194">
        <f>PEP!P73</f>
        <v>0</v>
      </c>
      <c r="I75" s="194">
        <f>PEP!Q73</f>
        <v>0</v>
      </c>
      <c r="J75" s="194">
        <f>PEP!R73</f>
        <v>0</v>
      </c>
      <c r="K75" s="194">
        <f>PEP!S73</f>
        <v>0</v>
      </c>
      <c r="L75" s="194">
        <f>PEP!T73</f>
        <v>0</v>
      </c>
      <c r="M75" s="194">
        <f>PEP!U73</f>
        <v>0</v>
      </c>
      <c r="N75" s="194">
        <f>PEP!V73</f>
        <v>0</v>
      </c>
      <c r="O75" s="194">
        <f>PEP!W73</f>
        <v>0</v>
      </c>
      <c r="P75" s="194">
        <f>PEP!X73</f>
        <v>0</v>
      </c>
      <c r="Q75" s="194">
        <f>PEP!Y73</f>
        <v>0</v>
      </c>
      <c r="R75" s="194">
        <f>PEP!Z73</f>
        <v>0</v>
      </c>
      <c r="S75" s="195">
        <f t="shared" si="16"/>
        <v>0</v>
      </c>
    </row>
    <row r="76" spans="1:19" ht="14.4" hidden="1" customHeight="1" outlineLevel="1" x14ac:dyDescent="0.3">
      <c r="A76" s="67" t="str">
        <f>'CC detallado'!A74</f>
        <v>2.3.7</v>
      </c>
      <c r="B76" s="166" t="str">
        <f>'CC detallado'!G74</f>
        <v>Elaboración plan de trabajo de asistencia</v>
      </c>
      <c r="C76" s="70">
        <f>'CC detallado'!M74</f>
        <v>5500</v>
      </c>
      <c r="D76" s="166"/>
      <c r="E76" s="166"/>
      <c r="F76" s="166"/>
      <c r="G76" s="194">
        <f>PEP!O74</f>
        <v>0</v>
      </c>
      <c r="H76" s="194">
        <f>PEP!P74</f>
        <v>0</v>
      </c>
      <c r="I76" s="194">
        <f>PEP!Q74</f>
        <v>0</v>
      </c>
      <c r="J76" s="194">
        <f>PEP!R74</f>
        <v>0</v>
      </c>
      <c r="K76" s="194">
        <f>PEP!S74</f>
        <v>0</v>
      </c>
      <c r="L76" s="194">
        <f>PEP!T74</f>
        <v>0</v>
      </c>
      <c r="M76" s="194">
        <f>PEP!U74</f>
        <v>0</v>
      </c>
      <c r="N76" s="194">
        <f>PEP!V74</f>
        <v>0</v>
      </c>
      <c r="O76" s="194">
        <f>PEP!W74</f>
        <v>0</v>
      </c>
      <c r="P76" s="194">
        <f>PEP!X74</f>
        <v>0</v>
      </c>
      <c r="Q76" s="194">
        <f>PEP!Y74</f>
        <v>0</v>
      </c>
      <c r="R76" s="194">
        <f>PEP!Z74</f>
        <v>0</v>
      </c>
      <c r="S76" s="195">
        <f t="shared" si="16"/>
        <v>0</v>
      </c>
    </row>
    <row r="77" spans="1:19" ht="14.4" hidden="1" customHeight="1" outlineLevel="1" x14ac:dyDescent="0.3">
      <c r="A77" s="67" t="str">
        <f>'CC detallado'!A75</f>
        <v>2.3.8</v>
      </c>
      <c r="B77" s="166" t="str">
        <f>'CC detallado'!G75</f>
        <v>Adquisición vacunas</v>
      </c>
      <c r="C77" s="70">
        <f>'CC detallado'!M75</f>
        <v>10000</v>
      </c>
      <c r="D77" s="166"/>
      <c r="E77" s="166"/>
      <c r="F77" s="166"/>
      <c r="G77" s="194">
        <f>PEP!O75</f>
        <v>0</v>
      </c>
      <c r="H77" s="194">
        <f>PEP!P75</f>
        <v>0</v>
      </c>
      <c r="I77" s="194">
        <f>PEP!Q75</f>
        <v>0</v>
      </c>
      <c r="J77" s="194">
        <f>PEP!R75</f>
        <v>0</v>
      </c>
      <c r="K77" s="194">
        <f>PEP!S75</f>
        <v>0</v>
      </c>
      <c r="L77" s="194">
        <f>PEP!T75</f>
        <v>0</v>
      </c>
      <c r="M77" s="194">
        <f>PEP!U75</f>
        <v>0</v>
      </c>
      <c r="N77" s="194">
        <f>PEP!V75</f>
        <v>0</v>
      </c>
      <c r="O77" s="194">
        <f>PEP!W75</f>
        <v>0</v>
      </c>
      <c r="P77" s="194">
        <f>PEP!X75</f>
        <v>0</v>
      </c>
      <c r="Q77" s="194">
        <f>PEP!Y75</f>
        <v>0</v>
      </c>
      <c r="R77" s="194">
        <f>PEP!Z75</f>
        <v>0</v>
      </c>
      <c r="S77" s="195">
        <f t="shared" si="16"/>
        <v>0</v>
      </c>
    </row>
    <row r="78" spans="1:19" ht="14.4" hidden="1" customHeight="1" outlineLevel="1" x14ac:dyDescent="0.3">
      <c r="A78" s="67" t="str">
        <f>'CC detallado'!A76</f>
        <v>2.3.9</v>
      </c>
      <c r="B78" s="166" t="str">
        <f>'CC detallado'!G76</f>
        <v>Adquisición de Antiparasitarios</v>
      </c>
      <c r="C78" s="70">
        <f>'CC detallado'!M76</f>
        <v>5000</v>
      </c>
      <c r="D78" s="166"/>
      <c r="E78" s="166"/>
      <c r="F78" s="166"/>
      <c r="G78" s="194">
        <f>PEP!O76</f>
        <v>0</v>
      </c>
      <c r="H78" s="194">
        <f>PEP!P76</f>
        <v>0</v>
      </c>
      <c r="I78" s="194">
        <f>PEP!Q76</f>
        <v>0</v>
      </c>
      <c r="J78" s="194">
        <f>PEP!R76</f>
        <v>0</v>
      </c>
      <c r="K78" s="194">
        <f>PEP!S76</f>
        <v>0</v>
      </c>
      <c r="L78" s="194">
        <f>PEP!T76</f>
        <v>0</v>
      </c>
      <c r="M78" s="194">
        <f>PEP!U76</f>
        <v>0</v>
      </c>
      <c r="N78" s="194">
        <f>PEP!V76</f>
        <v>0</v>
      </c>
      <c r="O78" s="194">
        <f>PEP!W76</f>
        <v>0</v>
      </c>
      <c r="P78" s="194">
        <f>PEP!X76</f>
        <v>0</v>
      </c>
      <c r="Q78" s="194">
        <f>PEP!Y76</f>
        <v>0</v>
      </c>
      <c r="R78" s="194">
        <f>PEP!Z76</f>
        <v>0</v>
      </c>
      <c r="S78" s="195">
        <f t="shared" si="16"/>
        <v>0</v>
      </c>
    </row>
    <row r="79" spans="1:19" ht="14.4" hidden="1" customHeight="1" outlineLevel="1" x14ac:dyDescent="0.3">
      <c r="A79" s="67" t="str">
        <f>'CC detallado'!A77</f>
        <v>2.3.10</v>
      </c>
      <c r="B79" s="166" t="str">
        <f>'CC detallado'!G77</f>
        <v>Distribución y aplicación</v>
      </c>
      <c r="C79" s="70">
        <f>'CC detallado'!M77</f>
        <v>25000</v>
      </c>
      <c r="D79" s="166"/>
      <c r="E79" s="166"/>
      <c r="F79" s="166"/>
      <c r="G79" s="194">
        <f>PEP!O77</f>
        <v>0</v>
      </c>
      <c r="H79" s="194">
        <f>PEP!P77</f>
        <v>0</v>
      </c>
      <c r="I79" s="194">
        <f>PEP!Q77</f>
        <v>0</v>
      </c>
      <c r="J79" s="194">
        <f>PEP!R77</f>
        <v>0</v>
      </c>
      <c r="K79" s="194">
        <f>PEP!S77</f>
        <v>0</v>
      </c>
      <c r="L79" s="194">
        <f>PEP!T77</f>
        <v>0</v>
      </c>
      <c r="M79" s="194">
        <f>PEP!U77</f>
        <v>0</v>
      </c>
      <c r="N79" s="194">
        <f>PEP!V77</f>
        <v>0</v>
      </c>
      <c r="O79" s="194">
        <f>PEP!W77</f>
        <v>0</v>
      </c>
      <c r="P79" s="194">
        <f>PEP!X77</f>
        <v>0</v>
      </c>
      <c r="Q79" s="194">
        <f>PEP!Y77</f>
        <v>0</v>
      </c>
      <c r="R79" s="194">
        <f>PEP!Z77</f>
        <v>0</v>
      </c>
      <c r="S79" s="195">
        <f t="shared" si="16"/>
        <v>0</v>
      </c>
    </row>
    <row r="80" spans="1:19" s="66" customFormat="1" ht="14.4" customHeight="1" collapsed="1" x14ac:dyDescent="0.3">
      <c r="A80" s="190" t="str">
        <f>'CC detallado'!A78</f>
        <v>2.4</v>
      </c>
      <c r="B80" s="185" t="str">
        <f>'CC detallado'!G78</f>
        <v xml:space="preserve">Producto 13:  APP de ganado menor operando </v>
      </c>
      <c r="C80" s="187">
        <f>SUM(C81:C84)</f>
        <v>387000</v>
      </c>
      <c r="D80" s="185"/>
      <c r="E80" s="185"/>
      <c r="F80" s="185"/>
      <c r="G80" s="187">
        <f>PEP!O78</f>
        <v>0</v>
      </c>
      <c r="H80" s="187">
        <f>PEP!P78</f>
        <v>0</v>
      </c>
      <c r="I80" s="187">
        <f>PEP!Q78</f>
        <v>0</v>
      </c>
      <c r="J80" s="187">
        <f>PEP!R78</f>
        <v>0</v>
      </c>
      <c r="K80" s="187">
        <f>PEP!S78</f>
        <v>2000</v>
      </c>
      <c r="L80" s="187">
        <f>PEP!T78</f>
        <v>2000</v>
      </c>
      <c r="M80" s="187">
        <f>PEP!U78</f>
        <v>2000</v>
      </c>
      <c r="N80" s="187">
        <f>PEP!V78</f>
        <v>2000</v>
      </c>
      <c r="O80" s="187">
        <f>PEP!W78</f>
        <v>2000</v>
      </c>
      <c r="P80" s="187">
        <f>PEP!X78</f>
        <v>2000</v>
      </c>
      <c r="Q80" s="187">
        <f>PEP!Y78</f>
        <v>2000</v>
      </c>
      <c r="R80" s="187">
        <f>PEP!Z78</f>
        <v>2000</v>
      </c>
      <c r="S80" s="187">
        <f t="shared" ref="S80" si="17">SUM(S81:S84)</f>
        <v>16000</v>
      </c>
    </row>
    <row r="81" spans="1:85" s="65" customFormat="1" ht="14.4" hidden="1" customHeight="1" outlineLevel="1" x14ac:dyDescent="0.3">
      <c r="A81" s="74" t="str">
        <f>'CC detallado'!A79</f>
        <v>2.4.1</v>
      </c>
      <c r="B81" s="166" t="str">
        <f>'CC detallado'!G79</f>
        <v>Coordinador Técnico</v>
      </c>
      <c r="C81" s="153">
        <f>'CC detallado'!M79</f>
        <v>112000</v>
      </c>
      <c r="D81" s="166" t="s">
        <v>710</v>
      </c>
      <c r="E81" s="166" t="s">
        <v>705</v>
      </c>
      <c r="F81" s="166" t="s">
        <v>711</v>
      </c>
      <c r="G81" s="153">
        <f>PEP!O79</f>
        <v>0</v>
      </c>
      <c r="H81" s="153">
        <f>PEP!P79</f>
        <v>0</v>
      </c>
      <c r="I81" s="196">
        <f>PEP!Q79</f>
        <v>0</v>
      </c>
      <c r="J81" s="196">
        <f>PEP!R79</f>
        <v>0</v>
      </c>
      <c r="K81" s="197">
        <f>PEP!S79</f>
        <v>2000</v>
      </c>
      <c r="L81" s="197">
        <f>PEP!T79</f>
        <v>2000</v>
      </c>
      <c r="M81" s="197">
        <f>PEP!U79</f>
        <v>2000</v>
      </c>
      <c r="N81" s="197">
        <f>PEP!V79</f>
        <v>2000</v>
      </c>
      <c r="O81" s="197">
        <f>PEP!W79</f>
        <v>2000</v>
      </c>
      <c r="P81" s="197">
        <f>PEP!X79</f>
        <v>2000</v>
      </c>
      <c r="Q81" s="197">
        <f>PEP!Y79</f>
        <v>2000</v>
      </c>
      <c r="R81" s="197">
        <f>PEP!Z79</f>
        <v>2000</v>
      </c>
      <c r="S81" s="195">
        <f>SUM(G81:R81)</f>
        <v>16000</v>
      </c>
    </row>
    <row r="82" spans="1:85" s="65" customFormat="1" ht="14.4" hidden="1" customHeight="1" outlineLevel="1" x14ac:dyDescent="0.3">
      <c r="A82" s="74" t="str">
        <f>'CC detallado'!A80</f>
        <v>2.4.2</v>
      </c>
      <c r="B82" s="166" t="str">
        <f>'CC detallado'!G80</f>
        <v>Planes Nacionales de desarrollo para ovinos, caprinos y suinos: convenio con IICA o similar</v>
      </c>
      <c r="C82" s="153">
        <f>'CC detallado'!M80</f>
        <v>250000</v>
      </c>
      <c r="D82" s="166"/>
      <c r="E82" s="166"/>
      <c r="F82" s="166"/>
      <c r="G82" s="153">
        <f>PEP!O80</f>
        <v>0</v>
      </c>
      <c r="H82" s="195">
        <f>PEP!P80</f>
        <v>0</v>
      </c>
      <c r="I82" s="195">
        <f>PEP!Q80</f>
        <v>0</v>
      </c>
      <c r="J82" s="195">
        <f>PEP!R80</f>
        <v>0</v>
      </c>
      <c r="K82" s="195">
        <f>PEP!S80</f>
        <v>0</v>
      </c>
      <c r="L82" s="195">
        <f>PEP!T80</f>
        <v>0</v>
      </c>
      <c r="M82" s="195">
        <f>PEP!U80</f>
        <v>0</v>
      </c>
      <c r="N82" s="195">
        <f>PEP!V80</f>
        <v>0</v>
      </c>
      <c r="O82" s="195">
        <f>PEP!W80</f>
        <v>0</v>
      </c>
      <c r="P82" s="195">
        <f>PEP!X80</f>
        <v>0</v>
      </c>
      <c r="Q82" s="195">
        <f>PEP!Y80</f>
        <v>0</v>
      </c>
      <c r="R82" s="195">
        <f>PEP!Z80</f>
        <v>0</v>
      </c>
      <c r="S82" s="195">
        <f>SUM(G82:R82)</f>
        <v>0</v>
      </c>
    </row>
    <row r="83" spans="1:85" s="65" customFormat="1" ht="14.4" hidden="1" customHeight="1" outlineLevel="1" x14ac:dyDescent="0.3">
      <c r="A83" s="74" t="str">
        <f>'CC detallado'!A81</f>
        <v>2.4.3</v>
      </c>
      <c r="B83" s="166" t="str">
        <f>'CC detallado'!G81</f>
        <v>Apoyo técnico a certificaciones</v>
      </c>
      <c r="C83" s="153">
        <f>'CC detallado'!M81</f>
        <v>0</v>
      </c>
      <c r="D83" s="166"/>
      <c r="E83" s="166"/>
      <c r="F83" s="166"/>
      <c r="G83" s="153">
        <f>PEP!O81</f>
        <v>0</v>
      </c>
      <c r="H83" s="195">
        <f>PEP!P81</f>
        <v>0</v>
      </c>
      <c r="I83" s="195">
        <f>PEP!Q81</f>
        <v>0</v>
      </c>
      <c r="J83" s="195">
        <f>PEP!R81</f>
        <v>0</v>
      </c>
      <c r="K83" s="195">
        <f>PEP!S81</f>
        <v>0</v>
      </c>
      <c r="L83" s="195">
        <f>PEP!T81</f>
        <v>0</v>
      </c>
      <c r="M83" s="195">
        <f>PEP!U81</f>
        <v>0</v>
      </c>
      <c r="N83" s="195">
        <f>PEP!V81</f>
        <v>0</v>
      </c>
      <c r="O83" s="195">
        <f>PEP!W81</f>
        <v>0</v>
      </c>
      <c r="P83" s="195">
        <f>PEP!X81</f>
        <v>0</v>
      </c>
      <c r="Q83" s="195">
        <f>PEP!Y81</f>
        <v>0</v>
      </c>
      <c r="R83" s="195">
        <f>PEP!Z81</f>
        <v>0</v>
      </c>
      <c r="S83" s="195">
        <f>SUM(G83:R83)</f>
        <v>0</v>
      </c>
    </row>
    <row r="84" spans="1:85" s="65" customFormat="1" ht="14.4" hidden="1" customHeight="1" outlineLevel="1" x14ac:dyDescent="0.3">
      <c r="A84" s="74" t="str">
        <f>'CC detallado'!A82</f>
        <v>2.4.4</v>
      </c>
      <c r="B84" s="166" t="str">
        <f>'CC detallado'!G82</f>
        <v>Congresos anuales de ganado menor</v>
      </c>
      <c r="C84" s="153">
        <f>'CC detallado'!M82</f>
        <v>25000</v>
      </c>
      <c r="D84" s="166"/>
      <c r="E84" s="166"/>
      <c r="F84" s="166"/>
      <c r="G84" s="153">
        <f>PEP!O82</f>
        <v>0</v>
      </c>
      <c r="H84" s="195">
        <f>PEP!P82</f>
        <v>0</v>
      </c>
      <c r="I84" s="195">
        <f>PEP!Q82</f>
        <v>0</v>
      </c>
      <c r="J84" s="195">
        <f>PEP!R82</f>
        <v>0</v>
      </c>
      <c r="K84" s="195">
        <f>PEP!S82</f>
        <v>0</v>
      </c>
      <c r="L84" s="195">
        <f>PEP!T82</f>
        <v>0</v>
      </c>
      <c r="M84" s="195">
        <f>PEP!U82</f>
        <v>0</v>
      </c>
      <c r="N84" s="195">
        <f>PEP!V82</f>
        <v>0</v>
      </c>
      <c r="O84" s="195">
        <f>PEP!W82</f>
        <v>0</v>
      </c>
      <c r="P84" s="195">
        <f>PEP!X82</f>
        <v>0</v>
      </c>
      <c r="Q84" s="195">
        <f>PEP!Y82</f>
        <v>0</v>
      </c>
      <c r="R84" s="195">
        <f>PEP!Z82</f>
        <v>0</v>
      </c>
      <c r="S84" s="195">
        <f>SUM(G84:R84)</f>
        <v>0</v>
      </c>
    </row>
    <row r="85" spans="1:85" s="65" customFormat="1" ht="14.4" customHeight="1" collapsed="1" x14ac:dyDescent="0.3">
      <c r="A85" s="190" t="str">
        <f>'CC detallado'!A83</f>
        <v>2.5</v>
      </c>
      <c r="B85" s="185" t="str">
        <f>'CC detallado'!G83</f>
        <v>Producto 14: Técnicos y productores capacitados en sanidad aplicada a ovinos, caprinos y porcinos</v>
      </c>
      <c r="C85" s="187">
        <f>SUM(C86:C88)</f>
        <v>680000</v>
      </c>
      <c r="D85" s="185"/>
      <c r="E85" s="185"/>
      <c r="F85" s="185"/>
      <c r="G85" s="187">
        <f>PEP!O83</f>
        <v>0</v>
      </c>
      <c r="H85" s="187">
        <f>PEP!P83</f>
        <v>0</v>
      </c>
      <c r="I85" s="187">
        <f>PEP!Q83</f>
        <v>0</v>
      </c>
      <c r="J85" s="187">
        <f>PEP!R83</f>
        <v>0</v>
      </c>
      <c r="K85" s="187">
        <f>PEP!S83</f>
        <v>0</v>
      </c>
      <c r="L85" s="187">
        <f>PEP!T83</f>
        <v>0</v>
      </c>
      <c r="M85" s="187">
        <f>PEP!U83</f>
        <v>0</v>
      </c>
      <c r="N85" s="187">
        <f>PEP!V83</f>
        <v>0</v>
      </c>
      <c r="O85" s="187">
        <f>PEP!W83</f>
        <v>0</v>
      </c>
      <c r="P85" s="187">
        <f>PEP!X83</f>
        <v>0</v>
      </c>
      <c r="Q85" s="187">
        <f>PEP!Y83</f>
        <v>0</v>
      </c>
      <c r="R85" s="187">
        <f>PEP!Z83</f>
        <v>0</v>
      </c>
      <c r="S85" s="187">
        <f t="shared" ref="S85" si="18">SUM(S86:S88)</f>
        <v>0</v>
      </c>
    </row>
    <row r="86" spans="1:85" ht="14.4" hidden="1" customHeight="1" outlineLevel="1" x14ac:dyDescent="0.3">
      <c r="A86" s="74" t="str">
        <f>'CC detallado'!A84</f>
        <v>2.5.1</v>
      </c>
      <c r="B86" s="166" t="str">
        <f>'CC detallado'!G84</f>
        <v>Elaboración de Términos de referencia y borrador de contrato para firmas: capac. Técnicos, capac. Productores</v>
      </c>
      <c r="C86" s="153">
        <f>'CC detallado'!M84</f>
        <v>10000</v>
      </c>
      <c r="D86" s="166"/>
      <c r="E86" s="166"/>
      <c r="F86" s="166"/>
      <c r="G86" s="153">
        <f>PEP!O84</f>
        <v>0</v>
      </c>
      <c r="H86" s="195">
        <f>PEP!P84</f>
        <v>0</v>
      </c>
      <c r="I86" s="195">
        <f>PEP!Q84</f>
        <v>0</v>
      </c>
      <c r="J86" s="195">
        <f>PEP!R84</f>
        <v>0</v>
      </c>
      <c r="K86" s="195">
        <f>PEP!S84</f>
        <v>0</v>
      </c>
      <c r="L86" s="195">
        <f>PEP!T84</f>
        <v>0</v>
      </c>
      <c r="M86" s="195">
        <f>PEP!U84</f>
        <v>0</v>
      </c>
      <c r="N86" s="195">
        <f>PEP!V84</f>
        <v>0</v>
      </c>
      <c r="O86" s="195">
        <f>PEP!W84</f>
        <v>0</v>
      </c>
      <c r="P86" s="195">
        <f>PEP!X84</f>
        <v>0</v>
      </c>
      <c r="Q86" s="195">
        <f>PEP!Y84</f>
        <v>0</v>
      </c>
      <c r="R86" s="195">
        <f>PEP!Z84</f>
        <v>0</v>
      </c>
      <c r="S86" s="195">
        <f>SUM(G86:R86)</f>
        <v>0</v>
      </c>
    </row>
    <row r="87" spans="1:85" ht="14.4" hidden="1" customHeight="1" outlineLevel="1" x14ac:dyDescent="0.3">
      <c r="A87" s="74" t="str">
        <f>'CC detallado'!A85</f>
        <v>2.5.2</v>
      </c>
      <c r="B87" s="166" t="str">
        <f>'CC detallado'!G85</f>
        <v>Contratación firma consultora para capacitación de técnicos (90 tec. Oficiales, 90 privados, 90 acreditación)</v>
      </c>
      <c r="C87" s="153">
        <f>'CC detallado'!M85</f>
        <v>335000</v>
      </c>
      <c r="D87" s="166"/>
      <c r="E87" s="166"/>
      <c r="F87" s="166"/>
      <c r="G87" s="153">
        <f>PEP!O85</f>
        <v>0</v>
      </c>
      <c r="H87" s="195">
        <f>PEP!P85</f>
        <v>0</v>
      </c>
      <c r="I87" s="195">
        <f>PEP!Q85</f>
        <v>0</v>
      </c>
      <c r="J87" s="195">
        <f>PEP!R85</f>
        <v>0</v>
      </c>
      <c r="K87" s="195">
        <f>PEP!S85</f>
        <v>0</v>
      </c>
      <c r="L87" s="195">
        <f>PEP!T85</f>
        <v>0</v>
      </c>
      <c r="M87" s="195">
        <f>PEP!U85</f>
        <v>0</v>
      </c>
      <c r="N87" s="195">
        <f>PEP!V85</f>
        <v>0</v>
      </c>
      <c r="O87" s="195">
        <f>PEP!W85</f>
        <v>0</v>
      </c>
      <c r="P87" s="195">
        <f>PEP!X85</f>
        <v>0</v>
      </c>
      <c r="Q87" s="195">
        <f>PEP!Y85</f>
        <v>0</v>
      </c>
      <c r="R87" s="195">
        <f>PEP!Z85</f>
        <v>0</v>
      </c>
      <c r="S87" s="195">
        <f>SUM(G87:R87)</f>
        <v>0</v>
      </c>
    </row>
    <row r="88" spans="1:85" ht="14.4" hidden="1" customHeight="1" outlineLevel="1" x14ac:dyDescent="0.3">
      <c r="A88" s="74" t="str">
        <f>'CC detallado'!A86</f>
        <v>2.5.3</v>
      </c>
      <c r="B88" s="166" t="str">
        <f>'CC detallado'!G86</f>
        <v>Contratación firma consultora para capacitación de productores (800 suinos y 800 en ovinos-caprinos)</v>
      </c>
      <c r="C88" s="153">
        <f>'CC detallado'!M86</f>
        <v>335000</v>
      </c>
      <c r="D88" s="166"/>
      <c r="E88" s="166"/>
      <c r="F88" s="166"/>
      <c r="G88" s="153">
        <f>PEP!O86</f>
        <v>0</v>
      </c>
      <c r="H88" s="195">
        <f>PEP!P86</f>
        <v>0</v>
      </c>
      <c r="I88" s="195">
        <f>PEP!Q86</f>
        <v>0</v>
      </c>
      <c r="J88" s="195">
        <f>PEP!R86</f>
        <v>0</v>
      </c>
      <c r="K88" s="195">
        <f>PEP!S86</f>
        <v>0</v>
      </c>
      <c r="L88" s="195">
        <f>PEP!T86</f>
        <v>0</v>
      </c>
      <c r="M88" s="195">
        <f>PEP!U86</f>
        <v>0</v>
      </c>
      <c r="N88" s="195">
        <f>PEP!V86</f>
        <v>0</v>
      </c>
      <c r="O88" s="195">
        <f>PEP!W86</f>
        <v>0</v>
      </c>
      <c r="P88" s="195">
        <f>PEP!X86</f>
        <v>0</v>
      </c>
      <c r="Q88" s="195">
        <f>PEP!Y86</f>
        <v>0</v>
      </c>
      <c r="R88" s="195">
        <f>PEP!Z86</f>
        <v>0</v>
      </c>
      <c r="S88" s="195">
        <f>SUM(G88:R88)</f>
        <v>0</v>
      </c>
    </row>
    <row r="89" spans="1:85" s="57" customFormat="1" ht="14.4" customHeight="1" collapsed="1" x14ac:dyDescent="0.3">
      <c r="A89" s="190" t="str">
        <f>'CC detallado'!A87</f>
        <v>2.6</v>
      </c>
      <c r="B89" s="185" t="str">
        <f>'CC detallado'!G87</f>
        <v>Producto 15: Eficiencia en la prestación de servicios a usuarios mejorada</v>
      </c>
      <c r="C89" s="187">
        <f>SUM(C90:C96)</f>
        <v>1100000</v>
      </c>
      <c r="D89" s="185"/>
      <c r="E89" s="185"/>
      <c r="F89" s="185"/>
      <c r="G89" s="187">
        <f>PEP!O87</f>
        <v>0</v>
      </c>
      <c r="H89" s="187">
        <f>PEP!P87</f>
        <v>0</v>
      </c>
      <c r="I89" s="187">
        <f>PEP!Q87</f>
        <v>0</v>
      </c>
      <c r="J89" s="187">
        <f>PEP!R87</f>
        <v>0</v>
      </c>
      <c r="K89" s="187">
        <f>PEP!S87</f>
        <v>0</v>
      </c>
      <c r="L89" s="187">
        <f>PEP!T87</f>
        <v>0</v>
      </c>
      <c r="M89" s="187">
        <f>PEP!U87</f>
        <v>0</v>
      </c>
      <c r="N89" s="187">
        <f>PEP!V87</f>
        <v>31500</v>
      </c>
      <c r="O89" s="187">
        <f>PEP!W87</f>
        <v>0</v>
      </c>
      <c r="P89" s="187">
        <f>PEP!X87</f>
        <v>48000</v>
      </c>
      <c r="Q89" s="187">
        <f>PEP!Y87</f>
        <v>59500</v>
      </c>
      <c r="R89" s="187">
        <f>PEP!Z87</f>
        <v>36000</v>
      </c>
      <c r="S89" s="187">
        <f t="shared" ref="S89" si="19">SUM(S90:S96)</f>
        <v>175000</v>
      </c>
    </row>
    <row r="90" spans="1:85" s="49" customFormat="1" ht="14.4" customHeight="1" outlineLevel="1" x14ac:dyDescent="0.3">
      <c r="A90" s="191" t="str">
        <f>'CC detallado'!A88</f>
        <v>2.6.1</v>
      </c>
      <c r="B90" s="206" t="str">
        <f>'CC detallado'!G88</f>
        <v>Modelado y rediseño de todos los procesos de negocio vinculados a las tramitaciones; revisión de costos y tiempos; diseño de indicadores y medición de línea de base y Plan de fortalecimiento de capacidades</v>
      </c>
      <c r="C90" s="153">
        <f>'CC detallado'!M88</f>
        <v>180000</v>
      </c>
      <c r="D90" s="166" t="s">
        <v>710</v>
      </c>
      <c r="E90" s="166" t="s">
        <v>705</v>
      </c>
      <c r="F90" s="166" t="s">
        <v>706</v>
      </c>
      <c r="G90" s="94">
        <f>PEP!O88</f>
        <v>0</v>
      </c>
      <c r="H90" s="195">
        <f>PEP!P88</f>
        <v>0</v>
      </c>
      <c r="I90" s="195">
        <f>PEP!Q88</f>
        <v>0</v>
      </c>
      <c r="J90" s="196">
        <f>PEP!R88</f>
        <v>0</v>
      </c>
      <c r="K90" s="196">
        <f>PEP!S88</f>
        <v>0</v>
      </c>
      <c r="L90" s="196">
        <f>PEP!T88</f>
        <v>0</v>
      </c>
      <c r="M90" s="196">
        <f>PEP!U88</f>
        <v>0</v>
      </c>
      <c r="N90" s="196">
        <f>PEP!V88</f>
        <v>0</v>
      </c>
      <c r="O90" s="196">
        <f>PEP!W88</f>
        <v>0</v>
      </c>
      <c r="P90" s="197">
        <f>PEP!X88</f>
        <v>36000</v>
      </c>
      <c r="Q90" s="197">
        <f>PEP!Y88</f>
        <v>0</v>
      </c>
      <c r="R90" s="197">
        <f>PEP!Z88</f>
        <v>36000</v>
      </c>
      <c r="S90" s="195">
        <f t="shared" ref="S90:S96" si="20">SUM(G90:R90)</f>
        <v>72000</v>
      </c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</row>
    <row r="91" spans="1:85" s="49" customFormat="1" ht="14.4" customHeight="1" outlineLevel="1" x14ac:dyDescent="0.3">
      <c r="A91" s="191" t="str">
        <f>'CC detallado'!A89</f>
        <v>2.6.2</v>
      </c>
      <c r="B91" s="206" t="str">
        <f>'CC detallado'!G89</f>
        <v>Diseño y desarrollo de nuevas prestaciones del SIGOR, plan de seguridad de sistemas y firma electrónica</v>
      </c>
      <c r="C91" s="153">
        <f>'CC detallado'!M89</f>
        <v>605000</v>
      </c>
      <c r="D91" s="166" t="s">
        <v>707</v>
      </c>
      <c r="E91" s="166" t="s">
        <v>708</v>
      </c>
      <c r="F91" s="166" t="s">
        <v>709</v>
      </c>
      <c r="G91" s="94">
        <f>PEP!O89</f>
        <v>0</v>
      </c>
      <c r="H91" s="195">
        <f>PEP!P89</f>
        <v>0</v>
      </c>
      <c r="I91" s="195">
        <f>PEP!Q89</f>
        <v>0</v>
      </c>
      <c r="J91" s="195">
        <f>PEP!R89</f>
        <v>0</v>
      </c>
      <c r="K91" s="195">
        <f>PEP!S89</f>
        <v>0</v>
      </c>
      <c r="L91" s="195">
        <f>PEP!T89</f>
        <v>0</v>
      </c>
      <c r="M91" s="195">
        <f>PEP!U89</f>
        <v>0</v>
      </c>
      <c r="N91" s="195">
        <f>PEP!V89</f>
        <v>0</v>
      </c>
      <c r="O91" s="195">
        <f>PEP!W89</f>
        <v>0</v>
      </c>
      <c r="P91" s="195">
        <f>PEP!X89</f>
        <v>0</v>
      </c>
      <c r="Q91" s="196">
        <f>PEP!Y89</f>
        <v>0</v>
      </c>
      <c r="R91" s="196">
        <f>PEP!Z89</f>
        <v>0</v>
      </c>
      <c r="S91" s="195">
        <f t="shared" si="20"/>
        <v>0</v>
      </c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</row>
    <row r="92" spans="1:85" s="49" customFormat="1" ht="14.4" customHeight="1" outlineLevel="1" x14ac:dyDescent="0.3">
      <c r="A92" s="191" t="str">
        <f>'CC detallado'!A90</f>
        <v>2.6.3</v>
      </c>
      <c r="B92" s="206" t="str">
        <f>'CC detallado'!G90</f>
        <v>Integración de información generadas en diferentes áreas para accesibilidad en tiempo real para la toma de decisiones</v>
      </c>
      <c r="C92" s="153">
        <f>'CC detallado'!M90</f>
        <v>100000</v>
      </c>
      <c r="D92" s="166" t="s">
        <v>707</v>
      </c>
      <c r="E92" s="166" t="s">
        <v>708</v>
      </c>
      <c r="F92" s="166" t="s">
        <v>709</v>
      </c>
      <c r="G92" s="70">
        <f>PEP!O90</f>
        <v>0</v>
      </c>
      <c r="H92" s="195">
        <f>PEP!P90</f>
        <v>0</v>
      </c>
      <c r="I92" s="195">
        <f>PEP!Q90</f>
        <v>0</v>
      </c>
      <c r="J92" s="195">
        <f>PEP!R90</f>
        <v>0</v>
      </c>
      <c r="K92" s="195">
        <f>PEP!S90</f>
        <v>0</v>
      </c>
      <c r="L92" s="195">
        <f>PEP!T90</f>
        <v>0</v>
      </c>
      <c r="M92" s="195">
        <f>PEP!U90</f>
        <v>0</v>
      </c>
      <c r="N92" s="195">
        <f>PEP!V90</f>
        <v>0</v>
      </c>
      <c r="O92" s="195">
        <f>PEP!W90</f>
        <v>0</v>
      </c>
      <c r="P92" s="195">
        <f>PEP!X90</f>
        <v>0</v>
      </c>
      <c r="Q92" s="196">
        <f>PEP!Y90</f>
        <v>0</v>
      </c>
      <c r="R92" s="196">
        <f>PEP!Z90</f>
        <v>0</v>
      </c>
      <c r="S92" s="195">
        <f t="shared" si="20"/>
        <v>0</v>
      </c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</row>
    <row r="93" spans="1:85" s="49" customFormat="1" ht="14.4" customHeight="1" outlineLevel="1" x14ac:dyDescent="0.3">
      <c r="A93" s="191" t="str">
        <f>'CC detallado'!A91</f>
        <v>2.6.4</v>
      </c>
      <c r="B93" s="166" t="str">
        <f>'CC detallado'!G91</f>
        <v>Plan de mejora de los servicios vinculados a la apertura y habilitaciones de mercados.</v>
      </c>
      <c r="C93" s="70">
        <f>'CC detallado'!M91</f>
        <v>30000</v>
      </c>
      <c r="D93" s="166" t="s">
        <v>710</v>
      </c>
      <c r="E93" s="166" t="s">
        <v>705</v>
      </c>
      <c r="F93" s="166" t="s">
        <v>706</v>
      </c>
      <c r="G93" s="70">
        <f>PEP!O91</f>
        <v>0</v>
      </c>
      <c r="H93" s="195">
        <f>PEP!P91</f>
        <v>0</v>
      </c>
      <c r="I93" s="195">
        <f>PEP!Q91</f>
        <v>0</v>
      </c>
      <c r="J93" s="195">
        <f>PEP!R91</f>
        <v>0</v>
      </c>
      <c r="K93" s="196">
        <f>PEP!S91</f>
        <v>0</v>
      </c>
      <c r="L93" s="196">
        <f>PEP!T91</f>
        <v>0</v>
      </c>
      <c r="M93" s="196">
        <f>PEP!U91</f>
        <v>0</v>
      </c>
      <c r="N93" s="197">
        <f>PEP!V91</f>
        <v>6000</v>
      </c>
      <c r="O93" s="197">
        <f>PEP!W91</f>
        <v>0</v>
      </c>
      <c r="P93" s="197">
        <f>PEP!X91</f>
        <v>12000</v>
      </c>
      <c r="Q93" s="197">
        <f>PEP!Y91</f>
        <v>0</v>
      </c>
      <c r="R93" s="197">
        <f>PEP!Z91</f>
        <v>0</v>
      </c>
      <c r="S93" s="195">
        <f t="shared" si="20"/>
        <v>18000</v>
      </c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</row>
    <row r="94" spans="1:85" s="49" customFormat="1" ht="14.4" customHeight="1" outlineLevel="1" x14ac:dyDescent="0.3">
      <c r="A94" s="191" t="str">
        <f>'CC detallado'!A92</f>
        <v>2.6.5</v>
      </c>
      <c r="B94" s="166" t="str">
        <f>'CC detallado'!G92</f>
        <v>Inversiones para cubrir brecha de capacidades (capacitaciones al personal, contratación de técnicos, etc.)</v>
      </c>
      <c r="C94" s="70">
        <f>'CC detallado'!M92</f>
        <v>100000</v>
      </c>
      <c r="D94" s="166"/>
      <c r="E94" s="166"/>
      <c r="F94" s="166"/>
      <c r="G94" s="70">
        <f>PEP!O92</f>
        <v>0</v>
      </c>
      <c r="H94" s="195">
        <f>PEP!P92</f>
        <v>0</v>
      </c>
      <c r="I94" s="195">
        <f>PEP!Q92</f>
        <v>0</v>
      </c>
      <c r="J94" s="195">
        <f>PEP!R92</f>
        <v>0</v>
      </c>
      <c r="K94" s="195">
        <f>PEP!S92</f>
        <v>0</v>
      </c>
      <c r="L94" s="195">
        <f>PEP!T92</f>
        <v>0</v>
      </c>
      <c r="M94" s="195">
        <f>PEP!U92</f>
        <v>0</v>
      </c>
      <c r="N94" s="195">
        <f>PEP!V92</f>
        <v>0</v>
      </c>
      <c r="O94" s="195">
        <f>PEP!W92</f>
        <v>0</v>
      </c>
      <c r="P94" s="195">
        <f>PEP!X92</f>
        <v>0</v>
      </c>
      <c r="Q94" s="195">
        <f>PEP!Y92</f>
        <v>0</v>
      </c>
      <c r="R94" s="195">
        <f>PEP!Z92</f>
        <v>0</v>
      </c>
      <c r="S94" s="195">
        <f t="shared" si="20"/>
        <v>0</v>
      </c>
    </row>
    <row r="95" spans="1:85" s="49" customFormat="1" ht="14.4" customHeight="1" outlineLevel="1" x14ac:dyDescent="0.3">
      <c r="A95" s="191" t="str">
        <f>'CC detallado'!A93</f>
        <v>2.6.6</v>
      </c>
      <c r="B95" s="166" t="str">
        <f>'CC detallado'!G93</f>
        <v xml:space="preserve">Infraestructura de comunicaciones y equipamiento de unidades zonales para mejorar la disponibilidad, previendo sistemas de redundancia. </v>
      </c>
      <c r="C95" s="70">
        <f>'CC detallado'!M93</f>
        <v>60000</v>
      </c>
      <c r="D95" s="166" t="s">
        <v>710</v>
      </c>
      <c r="E95" s="166" t="s">
        <v>705</v>
      </c>
      <c r="F95" s="166" t="s">
        <v>706</v>
      </c>
      <c r="G95" s="70">
        <f>PEP!O93</f>
        <v>0</v>
      </c>
      <c r="H95" s="195">
        <f>PEP!P93</f>
        <v>0</v>
      </c>
      <c r="I95" s="195">
        <f>PEP!Q93</f>
        <v>0</v>
      </c>
      <c r="J95" s="195">
        <f>PEP!R93</f>
        <v>0</v>
      </c>
      <c r="K95" s="196">
        <f>PEP!S93</f>
        <v>0</v>
      </c>
      <c r="L95" s="196">
        <f>PEP!T93</f>
        <v>0</v>
      </c>
      <c r="M95" s="196">
        <f>PEP!U93</f>
        <v>0</v>
      </c>
      <c r="N95" s="197">
        <f>PEP!V93</f>
        <v>18000</v>
      </c>
      <c r="O95" s="197">
        <f>PEP!W93</f>
        <v>0</v>
      </c>
      <c r="P95" s="197">
        <f>PEP!X93</f>
        <v>0</v>
      </c>
      <c r="Q95" s="197">
        <f>PEP!Y93</f>
        <v>42000</v>
      </c>
      <c r="R95" s="195">
        <f>PEP!Z93</f>
        <v>0</v>
      </c>
      <c r="S95" s="195">
        <f t="shared" si="20"/>
        <v>60000</v>
      </c>
    </row>
    <row r="96" spans="1:85" s="49" customFormat="1" ht="14.4" customHeight="1" outlineLevel="1" x14ac:dyDescent="0.3">
      <c r="A96" s="191" t="str">
        <f>'CC detallado'!A94</f>
        <v>2.6.7</v>
      </c>
      <c r="B96" s="166" t="str">
        <f>'CC detallado'!G94</f>
        <v>Adquisición de nuevas licencias de Bases de Datos</v>
      </c>
      <c r="C96" s="70">
        <f>'CC detallado'!M94</f>
        <v>25000</v>
      </c>
      <c r="D96" s="166" t="s">
        <v>710</v>
      </c>
      <c r="E96" s="166" t="s">
        <v>705</v>
      </c>
      <c r="F96" s="166" t="s">
        <v>706</v>
      </c>
      <c r="G96" s="70">
        <f>PEP!O94</f>
        <v>0</v>
      </c>
      <c r="H96" s="195">
        <f>PEP!P94</f>
        <v>0</v>
      </c>
      <c r="I96" s="195">
        <f>PEP!Q94</f>
        <v>0</v>
      </c>
      <c r="J96" s="195">
        <f>PEP!R94</f>
        <v>0</v>
      </c>
      <c r="K96" s="196">
        <f>PEP!S94</f>
        <v>0</v>
      </c>
      <c r="L96" s="196">
        <f>PEP!T94</f>
        <v>0</v>
      </c>
      <c r="M96" s="196">
        <f>PEP!U94</f>
        <v>0</v>
      </c>
      <c r="N96" s="197">
        <f>PEP!V94</f>
        <v>7500</v>
      </c>
      <c r="O96" s="197">
        <f>PEP!W94</f>
        <v>0</v>
      </c>
      <c r="P96" s="197">
        <f>PEP!X94</f>
        <v>0</v>
      </c>
      <c r="Q96" s="197">
        <f>PEP!Y94</f>
        <v>17500</v>
      </c>
      <c r="R96" s="195">
        <f>PEP!Z94</f>
        <v>0</v>
      </c>
      <c r="S96" s="195">
        <f t="shared" si="20"/>
        <v>25000</v>
      </c>
    </row>
    <row r="97" spans="1:19" s="58" customFormat="1" ht="14.4" customHeight="1" x14ac:dyDescent="0.3">
      <c r="A97" s="193">
        <f>'CC detallado'!A95</f>
        <v>3</v>
      </c>
      <c r="B97" s="61" t="str">
        <f>'CC detallado'!G95</f>
        <v>Administración y supervisión del programa</v>
      </c>
      <c r="C97" s="93">
        <f>C98</f>
        <v>542000</v>
      </c>
      <c r="D97" s="61"/>
      <c r="E97" s="61"/>
      <c r="F97" s="61"/>
      <c r="G97" s="93">
        <f>PEP!O95</f>
        <v>2500</v>
      </c>
      <c r="H97" s="93">
        <f>PEP!P95</f>
        <v>14000</v>
      </c>
      <c r="I97" s="93">
        <f>PEP!Q95</f>
        <v>14000</v>
      </c>
      <c r="J97" s="93">
        <f>PEP!R95</f>
        <v>14000</v>
      </c>
      <c r="K97" s="93">
        <f>PEP!S95</f>
        <v>14000</v>
      </c>
      <c r="L97" s="93">
        <f>PEP!T95</f>
        <v>14000</v>
      </c>
      <c r="M97" s="93">
        <f>PEP!U95</f>
        <v>14000</v>
      </c>
      <c r="N97" s="93">
        <f>PEP!V95</f>
        <v>10000</v>
      </c>
      <c r="O97" s="93">
        <f>PEP!W95</f>
        <v>10000</v>
      </c>
      <c r="P97" s="93">
        <f>PEP!X95</f>
        <v>10000</v>
      </c>
      <c r="Q97" s="93">
        <f>PEP!Y95</f>
        <v>10000</v>
      </c>
      <c r="R97" s="93">
        <f>PEP!Z95</f>
        <v>10000</v>
      </c>
      <c r="S97" s="93">
        <f t="shared" ref="S97" si="21">S98</f>
        <v>112500</v>
      </c>
    </row>
    <row r="98" spans="1:19" s="66" customFormat="1" ht="14.4" customHeight="1" x14ac:dyDescent="0.3">
      <c r="A98" s="189" t="str">
        <f>'CC detallado'!A96</f>
        <v>3.1</v>
      </c>
      <c r="B98" s="185" t="str">
        <f>'CC detallado'!G96</f>
        <v>Unidad Ejecutora</v>
      </c>
      <c r="C98" s="187">
        <f>SUM(C99:C104)</f>
        <v>542000</v>
      </c>
      <c r="D98" s="185"/>
      <c r="E98" s="185"/>
      <c r="F98" s="185"/>
      <c r="G98" s="187">
        <f>PEP!O96</f>
        <v>2500</v>
      </c>
      <c r="H98" s="187">
        <f>PEP!P96</f>
        <v>14000</v>
      </c>
      <c r="I98" s="187">
        <f>PEP!Q96</f>
        <v>14000</v>
      </c>
      <c r="J98" s="187">
        <f>PEP!R96</f>
        <v>14000</v>
      </c>
      <c r="K98" s="187">
        <f>PEP!S96</f>
        <v>14000</v>
      </c>
      <c r="L98" s="187">
        <f>PEP!T96</f>
        <v>14000</v>
      </c>
      <c r="M98" s="187">
        <f>PEP!U96</f>
        <v>14000</v>
      </c>
      <c r="N98" s="187">
        <f>PEP!V96</f>
        <v>10000</v>
      </c>
      <c r="O98" s="187">
        <f>PEP!W96</f>
        <v>10000</v>
      </c>
      <c r="P98" s="187">
        <f>PEP!X96</f>
        <v>10000</v>
      </c>
      <c r="Q98" s="187">
        <f>PEP!Y96</f>
        <v>10000</v>
      </c>
      <c r="R98" s="187">
        <f>PEP!Z96</f>
        <v>10000</v>
      </c>
      <c r="S98" s="187">
        <f t="shared" ref="S98" si="22">SUM(S99:S104)</f>
        <v>112500</v>
      </c>
    </row>
    <row r="99" spans="1:19" ht="14.4" customHeight="1" outlineLevel="1" x14ac:dyDescent="0.3">
      <c r="A99" s="67" t="str">
        <f>'CC detallado'!A97</f>
        <v>3.1.1</v>
      </c>
      <c r="B99" s="166" t="str">
        <f>'CC detallado'!G97</f>
        <v>Coordinador General del Programa</v>
      </c>
      <c r="C99" s="70">
        <f>'CC detallado'!M97</f>
        <v>150000</v>
      </c>
      <c r="D99" s="166" t="s">
        <v>710</v>
      </c>
      <c r="E99" s="166" t="s">
        <v>705</v>
      </c>
      <c r="F99" s="166" t="s">
        <v>712</v>
      </c>
      <c r="G99" s="197">
        <f>PEP!O97</f>
        <v>2500</v>
      </c>
      <c r="H99" s="197">
        <f>PEP!P97</f>
        <v>2500</v>
      </c>
      <c r="I99" s="197">
        <f>PEP!Q97</f>
        <v>2500</v>
      </c>
      <c r="J99" s="197">
        <f>PEP!R97</f>
        <v>2500</v>
      </c>
      <c r="K99" s="197">
        <f>PEP!S97</f>
        <v>2500</v>
      </c>
      <c r="L99" s="197">
        <f>PEP!T97</f>
        <v>2500</v>
      </c>
      <c r="M99" s="197">
        <f>PEP!U97</f>
        <v>2500</v>
      </c>
      <c r="N99" s="197">
        <f>PEP!V97</f>
        <v>2500</v>
      </c>
      <c r="O99" s="197">
        <f>PEP!W97</f>
        <v>2500</v>
      </c>
      <c r="P99" s="197">
        <f>PEP!X97</f>
        <v>2500</v>
      </c>
      <c r="Q99" s="197">
        <f>PEP!Y97</f>
        <v>2500</v>
      </c>
      <c r="R99" s="197">
        <f>PEP!Z97</f>
        <v>2500</v>
      </c>
      <c r="S99" s="195">
        <f t="shared" ref="S99:S104" si="23">SUM(G99:R99)</f>
        <v>30000</v>
      </c>
    </row>
    <row r="100" spans="1:19" ht="14.4" customHeight="1" outlineLevel="1" x14ac:dyDescent="0.3">
      <c r="A100" s="67" t="str">
        <f>'CC detallado'!A98</f>
        <v>3.1.2</v>
      </c>
      <c r="B100" s="166" t="str">
        <f>'CC detallado'!G98</f>
        <v>Coordinador Componente 1</v>
      </c>
      <c r="C100" s="70">
        <f>'CC detallado'!M98</f>
        <v>118000</v>
      </c>
      <c r="D100" s="166" t="s">
        <v>710</v>
      </c>
      <c r="E100" s="166" t="s">
        <v>705</v>
      </c>
      <c r="F100" s="166" t="s">
        <v>712</v>
      </c>
      <c r="G100" s="196">
        <f>PEP!O98</f>
        <v>0</v>
      </c>
      <c r="H100" s="197">
        <f>PEP!P98</f>
        <v>2000</v>
      </c>
      <c r="I100" s="197">
        <f>PEP!Q98</f>
        <v>2000</v>
      </c>
      <c r="J100" s="197">
        <f>PEP!R98</f>
        <v>2000</v>
      </c>
      <c r="K100" s="197">
        <f>PEP!S98</f>
        <v>2000</v>
      </c>
      <c r="L100" s="197">
        <f>PEP!T98</f>
        <v>2000</v>
      </c>
      <c r="M100" s="197">
        <f>PEP!U98</f>
        <v>2000</v>
      </c>
      <c r="N100" s="197">
        <f>PEP!V98</f>
        <v>2000</v>
      </c>
      <c r="O100" s="197">
        <f>PEP!W98</f>
        <v>2000</v>
      </c>
      <c r="P100" s="197">
        <f>PEP!X98</f>
        <v>2000</v>
      </c>
      <c r="Q100" s="197">
        <f>PEP!Y98</f>
        <v>2000</v>
      </c>
      <c r="R100" s="197">
        <f>PEP!Z98</f>
        <v>2000</v>
      </c>
      <c r="S100" s="195">
        <f t="shared" si="23"/>
        <v>22000</v>
      </c>
    </row>
    <row r="101" spans="1:19" ht="14.4" customHeight="1" outlineLevel="1" x14ac:dyDescent="0.3">
      <c r="A101" s="67" t="str">
        <f>'CC detallado'!A99</f>
        <v>3.1.4</v>
      </c>
      <c r="B101" s="166" t="str">
        <f>'CC detallado'!G99</f>
        <v>Especialista en Planificación y Monitoreo</v>
      </c>
      <c r="C101" s="70">
        <f>'CC detallado'!M99</f>
        <v>106000</v>
      </c>
      <c r="D101" s="166" t="s">
        <v>710</v>
      </c>
      <c r="E101" s="166" t="s">
        <v>705</v>
      </c>
      <c r="F101" s="166" t="s">
        <v>712</v>
      </c>
      <c r="G101" s="196">
        <f>PEP!O99</f>
        <v>0</v>
      </c>
      <c r="H101" s="197">
        <f>PEP!P99</f>
        <v>2000</v>
      </c>
      <c r="I101" s="197">
        <f>PEP!Q99</f>
        <v>2000</v>
      </c>
      <c r="J101" s="197">
        <f>PEP!R99</f>
        <v>2000</v>
      </c>
      <c r="K101" s="197">
        <f>PEP!S99</f>
        <v>2000</v>
      </c>
      <c r="L101" s="197">
        <f>PEP!T99</f>
        <v>2000</v>
      </c>
      <c r="M101" s="197">
        <f>PEP!U99</f>
        <v>2000</v>
      </c>
      <c r="N101" s="197">
        <f>PEP!V99</f>
        <v>2000</v>
      </c>
      <c r="O101" s="197">
        <f>PEP!W99</f>
        <v>2000</v>
      </c>
      <c r="P101" s="197">
        <f>PEP!X99</f>
        <v>2000</v>
      </c>
      <c r="Q101" s="197">
        <f>PEP!Y99</f>
        <v>2000</v>
      </c>
      <c r="R101" s="197">
        <f>PEP!Z99</f>
        <v>2000</v>
      </c>
      <c r="S101" s="195">
        <f t="shared" si="23"/>
        <v>22000</v>
      </c>
    </row>
    <row r="102" spans="1:19" ht="14.4" customHeight="1" outlineLevel="1" x14ac:dyDescent="0.3">
      <c r="A102" s="67" t="str">
        <f>'CC detallado'!A100</f>
        <v>3.1.5</v>
      </c>
      <c r="B102" s="166" t="str">
        <f>'CC detallado'!G100</f>
        <v>Especialista en Adquisiciones y Contrataciones</v>
      </c>
      <c r="C102" s="70">
        <f>'CC detallado'!M100</f>
        <v>96000</v>
      </c>
      <c r="D102" s="166" t="s">
        <v>710</v>
      </c>
      <c r="E102" s="166" t="s">
        <v>705</v>
      </c>
      <c r="F102" s="166" t="s">
        <v>712</v>
      </c>
      <c r="G102" s="196">
        <f>PEP!O100</f>
        <v>0</v>
      </c>
      <c r="H102" s="197">
        <f>PEP!P100</f>
        <v>2000</v>
      </c>
      <c r="I102" s="197">
        <f>PEP!Q100</f>
        <v>2000</v>
      </c>
      <c r="J102" s="197">
        <f>PEP!R100</f>
        <v>2000</v>
      </c>
      <c r="K102" s="197">
        <f>PEP!S100</f>
        <v>2000</v>
      </c>
      <c r="L102" s="197">
        <f>PEP!T100</f>
        <v>2000</v>
      </c>
      <c r="M102" s="197">
        <f>PEP!U100</f>
        <v>2000</v>
      </c>
      <c r="N102" s="197">
        <f>PEP!V100</f>
        <v>2000</v>
      </c>
      <c r="O102" s="197">
        <f>PEP!W100</f>
        <v>2000</v>
      </c>
      <c r="P102" s="197">
        <f>PEP!X100</f>
        <v>2000</v>
      </c>
      <c r="Q102" s="197">
        <f>PEP!Y100</f>
        <v>2000</v>
      </c>
      <c r="R102" s="197">
        <f>PEP!Z100</f>
        <v>2000</v>
      </c>
      <c r="S102" s="195">
        <f t="shared" si="23"/>
        <v>22000</v>
      </c>
    </row>
    <row r="103" spans="1:19" ht="14.4" customHeight="1" outlineLevel="1" x14ac:dyDescent="0.3">
      <c r="A103" s="67" t="str">
        <f>'CC detallado'!A101</f>
        <v>3.1.6</v>
      </c>
      <c r="B103" s="166" t="str">
        <f>'CC detallado'!G101</f>
        <v>Especialista Financiero</v>
      </c>
      <c r="C103" s="70">
        <f>'CC detallado'!M101</f>
        <v>0</v>
      </c>
      <c r="D103" s="166" t="s">
        <v>710</v>
      </c>
      <c r="E103" s="166" t="s">
        <v>705</v>
      </c>
      <c r="F103" s="166" t="s">
        <v>712</v>
      </c>
      <c r="G103" s="196">
        <f>PEP!O101</f>
        <v>0</v>
      </c>
      <c r="H103" s="197">
        <f>PEP!P101</f>
        <v>0</v>
      </c>
      <c r="I103" s="197">
        <f>PEP!Q101</f>
        <v>0</v>
      </c>
      <c r="J103" s="197">
        <f>PEP!R101</f>
        <v>0</v>
      </c>
      <c r="K103" s="197">
        <f>PEP!S101</f>
        <v>0</v>
      </c>
      <c r="L103" s="197">
        <f>PEP!T101</f>
        <v>0</v>
      </c>
      <c r="M103" s="197">
        <f>PEP!U101</f>
        <v>0</v>
      </c>
      <c r="N103" s="197">
        <f>PEP!V101</f>
        <v>0</v>
      </c>
      <c r="O103" s="197">
        <f>PEP!W101</f>
        <v>0</v>
      </c>
      <c r="P103" s="197">
        <f>PEP!X101</f>
        <v>0</v>
      </c>
      <c r="Q103" s="197">
        <f>PEP!Y101</f>
        <v>0</v>
      </c>
      <c r="R103" s="197">
        <f>PEP!Z101</f>
        <v>0</v>
      </c>
      <c r="S103" s="195">
        <f t="shared" si="23"/>
        <v>0</v>
      </c>
    </row>
    <row r="104" spans="1:19" ht="14.4" customHeight="1" outlineLevel="1" x14ac:dyDescent="0.3">
      <c r="A104" s="67" t="str">
        <f>'CC detallado'!A102</f>
        <v>3.1.7</v>
      </c>
      <c r="B104" s="166" t="str">
        <f>'CC detallado'!G102</f>
        <v>Especialista Socioambiental</v>
      </c>
      <c r="C104" s="70">
        <f>'CC detallado'!M102</f>
        <v>72000</v>
      </c>
      <c r="D104" s="166" t="s">
        <v>710</v>
      </c>
      <c r="E104" s="166" t="s">
        <v>705</v>
      </c>
      <c r="F104" s="166" t="s">
        <v>712</v>
      </c>
      <c r="G104" s="196">
        <f>PEP!O102</f>
        <v>0</v>
      </c>
      <c r="H104" s="197">
        <f>PEP!P102</f>
        <v>1500</v>
      </c>
      <c r="I104" s="197">
        <f>PEP!Q102</f>
        <v>1500</v>
      </c>
      <c r="J104" s="197">
        <f>PEP!R102</f>
        <v>1500</v>
      </c>
      <c r="K104" s="197">
        <f>PEP!S102</f>
        <v>1500</v>
      </c>
      <c r="L104" s="197">
        <f>PEP!T102</f>
        <v>1500</v>
      </c>
      <c r="M104" s="197">
        <f>PEP!U102</f>
        <v>1500</v>
      </c>
      <c r="N104" s="197">
        <f>PEP!V102</f>
        <v>1500</v>
      </c>
      <c r="O104" s="197">
        <f>PEP!W102</f>
        <v>1500</v>
      </c>
      <c r="P104" s="197">
        <f>PEP!X102</f>
        <v>1500</v>
      </c>
      <c r="Q104" s="197">
        <f>PEP!Y102</f>
        <v>1500</v>
      </c>
      <c r="R104" s="197">
        <f>PEP!Z102</f>
        <v>1500</v>
      </c>
      <c r="S104" s="195">
        <f t="shared" si="23"/>
        <v>16500</v>
      </c>
    </row>
    <row r="105" spans="1:19" ht="14.4" customHeight="1" outlineLevel="1" x14ac:dyDescent="0.3">
      <c r="A105" s="67" t="str">
        <f>'CC detallado'!A103</f>
        <v>3.1.8</v>
      </c>
      <c r="B105" s="166" t="str">
        <f>'CC detallado'!G103</f>
        <v>Elaboración de SIGAS</v>
      </c>
      <c r="C105" s="70">
        <f>'CC detallado'!M103</f>
        <v>24000</v>
      </c>
      <c r="D105" s="166" t="s">
        <v>710</v>
      </c>
      <c r="E105" s="166" t="s">
        <v>705</v>
      </c>
      <c r="F105" s="166" t="s">
        <v>712</v>
      </c>
      <c r="G105" s="196">
        <f>PEP!O103</f>
        <v>0</v>
      </c>
      <c r="H105" s="197">
        <f>PEP!P103</f>
        <v>4000</v>
      </c>
      <c r="I105" s="197">
        <f>PEP!Q103</f>
        <v>4000</v>
      </c>
      <c r="J105" s="197">
        <f>PEP!R103</f>
        <v>4000</v>
      </c>
      <c r="K105" s="197">
        <f>PEP!S103</f>
        <v>4000</v>
      </c>
      <c r="L105" s="197">
        <f>PEP!T103</f>
        <v>4000</v>
      </c>
      <c r="M105" s="197">
        <f>PEP!U103</f>
        <v>4000</v>
      </c>
      <c r="N105" s="195">
        <f>PEP!V103</f>
        <v>0</v>
      </c>
      <c r="O105" s="195">
        <f>PEP!W103</f>
        <v>0</v>
      </c>
      <c r="P105" s="195">
        <f>PEP!X103</f>
        <v>0</v>
      </c>
      <c r="Q105" s="195">
        <f>PEP!Y103</f>
        <v>0</v>
      </c>
      <c r="R105" s="195">
        <f>PEP!Z103</f>
        <v>0</v>
      </c>
      <c r="S105" s="195">
        <f t="shared" ref="S105" si="24">SUM(G105:R105)</f>
        <v>24000</v>
      </c>
    </row>
    <row r="106" spans="1:19" s="58" customFormat="1" ht="14.4" customHeight="1" x14ac:dyDescent="0.3">
      <c r="A106" s="193">
        <f>'CC detallado'!A104</f>
        <v>4</v>
      </c>
      <c r="B106" s="61" t="str">
        <f>'CC detallado'!G104</f>
        <v>Evaluaciones y Auditoria Externas</v>
      </c>
      <c r="C106" s="93">
        <f>C107+C111</f>
        <v>350000</v>
      </c>
      <c r="D106" s="61"/>
      <c r="E106" s="61"/>
      <c r="F106" s="61"/>
      <c r="G106" s="93">
        <f>PEP!O104</f>
        <v>0</v>
      </c>
      <c r="H106" s="93">
        <f>PEP!P104</f>
        <v>0</v>
      </c>
      <c r="I106" s="93">
        <f>PEP!Q104</f>
        <v>0</v>
      </c>
      <c r="J106" s="93">
        <f>PEP!R104</f>
        <v>0</v>
      </c>
      <c r="K106" s="93">
        <f>PEP!S104</f>
        <v>0</v>
      </c>
      <c r="L106" s="93">
        <f>PEP!T104</f>
        <v>0</v>
      </c>
      <c r="M106" s="93">
        <f>PEP!U104</f>
        <v>0</v>
      </c>
      <c r="N106" s="93">
        <f>PEP!V104</f>
        <v>0</v>
      </c>
      <c r="O106" s="93">
        <f>PEP!W104</f>
        <v>0</v>
      </c>
      <c r="P106" s="93">
        <f>PEP!X104</f>
        <v>0</v>
      </c>
      <c r="Q106" s="93">
        <f>PEP!Y104</f>
        <v>20000</v>
      </c>
      <c r="R106" s="93">
        <f>PEP!Z104</f>
        <v>0</v>
      </c>
      <c r="S106" s="93">
        <f t="shared" ref="S106" si="25">S107+S112</f>
        <v>20000</v>
      </c>
    </row>
    <row r="107" spans="1:19" s="66" customFormat="1" ht="14.4" customHeight="1" x14ac:dyDescent="0.3">
      <c r="A107" s="190" t="str">
        <f>'CC detallado'!A105</f>
        <v>4.1</v>
      </c>
      <c r="B107" s="185" t="str">
        <f>'CC detallado'!G105</f>
        <v>Evaluaciones</v>
      </c>
      <c r="C107" s="187">
        <f>SUM(C108:C110)</f>
        <v>150000</v>
      </c>
      <c r="D107" s="185"/>
      <c r="E107" s="185"/>
      <c r="F107" s="185"/>
      <c r="G107" s="187">
        <f>PEP!O105</f>
        <v>0</v>
      </c>
      <c r="H107" s="187">
        <f>PEP!P105</f>
        <v>0</v>
      </c>
      <c r="I107" s="187">
        <f>PEP!Q105</f>
        <v>0</v>
      </c>
      <c r="J107" s="187">
        <f>PEP!R105</f>
        <v>0</v>
      </c>
      <c r="K107" s="187">
        <f>PEP!S105</f>
        <v>0</v>
      </c>
      <c r="L107" s="187">
        <f>PEP!T105</f>
        <v>0</v>
      </c>
      <c r="M107" s="187">
        <f>PEP!U105</f>
        <v>0</v>
      </c>
      <c r="N107" s="187">
        <f>PEP!V105</f>
        <v>0</v>
      </c>
      <c r="O107" s="187">
        <f>PEP!W105</f>
        <v>0</v>
      </c>
      <c r="P107" s="187">
        <f>PEP!X105</f>
        <v>0</v>
      </c>
      <c r="Q107" s="187">
        <f>PEP!Y105</f>
        <v>0</v>
      </c>
      <c r="R107" s="187">
        <f>PEP!Z105</f>
        <v>0</v>
      </c>
      <c r="S107" s="187">
        <f t="shared" ref="S107" si="26">SUM(S108:S110)</f>
        <v>0</v>
      </c>
    </row>
    <row r="108" spans="1:19" ht="14.4" hidden="1" customHeight="1" outlineLevel="1" x14ac:dyDescent="0.3">
      <c r="A108" s="67" t="str">
        <f>'CC detallado'!A106</f>
        <v>4.1.1</v>
      </c>
      <c r="B108" s="166" t="str">
        <f>'CC detallado'!G106</f>
        <v>Evaluación Intermedia</v>
      </c>
      <c r="C108" s="70">
        <f>'CC detallado'!M106</f>
        <v>20000</v>
      </c>
      <c r="D108" s="166"/>
      <c r="E108" s="166"/>
      <c r="F108" s="166"/>
      <c r="G108" s="195">
        <f>PEP!O106</f>
        <v>0</v>
      </c>
      <c r="H108" s="195">
        <f>PEP!P106</f>
        <v>0</v>
      </c>
      <c r="I108" s="195">
        <f>PEP!Q106</f>
        <v>0</v>
      </c>
      <c r="J108" s="195">
        <f>PEP!R106</f>
        <v>0</v>
      </c>
      <c r="K108" s="195">
        <f>PEP!S106</f>
        <v>0</v>
      </c>
      <c r="L108" s="195">
        <f>PEP!T106</f>
        <v>0</v>
      </c>
      <c r="M108" s="195">
        <f>PEP!U106</f>
        <v>0</v>
      </c>
      <c r="N108" s="195">
        <f>PEP!V106</f>
        <v>0</v>
      </c>
      <c r="O108" s="195">
        <f>PEP!W106</f>
        <v>0</v>
      </c>
      <c r="P108" s="195">
        <f>PEP!X106</f>
        <v>0</v>
      </c>
      <c r="Q108" s="195">
        <f>PEP!Y106</f>
        <v>0</v>
      </c>
      <c r="R108" s="195">
        <f>PEP!Z106</f>
        <v>0</v>
      </c>
      <c r="S108" s="195">
        <f>SUM(G108:R108)</f>
        <v>0</v>
      </c>
    </row>
    <row r="109" spans="1:19" ht="14.4" hidden="1" customHeight="1" outlineLevel="1" x14ac:dyDescent="0.3">
      <c r="A109" s="67" t="str">
        <f>'CC detallado'!A107</f>
        <v>4.1.2</v>
      </c>
      <c r="B109" s="166" t="str">
        <f>'CC detallado'!G107</f>
        <v>Evaluación Final</v>
      </c>
      <c r="C109" s="70">
        <f>'CC detallado'!M107</f>
        <v>30000</v>
      </c>
      <c r="D109" s="166"/>
      <c r="E109" s="166"/>
      <c r="F109" s="166"/>
      <c r="G109" s="195">
        <f>PEP!O107</f>
        <v>0</v>
      </c>
      <c r="H109" s="195">
        <f>PEP!P107</f>
        <v>0</v>
      </c>
      <c r="I109" s="195">
        <f>PEP!Q107</f>
        <v>0</v>
      </c>
      <c r="J109" s="195">
        <f>PEP!R107</f>
        <v>0</v>
      </c>
      <c r="K109" s="195">
        <f>PEP!S107</f>
        <v>0</v>
      </c>
      <c r="L109" s="195">
        <f>PEP!T107</f>
        <v>0</v>
      </c>
      <c r="M109" s="195">
        <f>PEP!U107</f>
        <v>0</v>
      </c>
      <c r="N109" s="195">
        <f>PEP!V107</f>
        <v>0</v>
      </c>
      <c r="O109" s="195">
        <f>PEP!W107</f>
        <v>0</v>
      </c>
      <c r="P109" s="195">
        <f>PEP!X107</f>
        <v>0</v>
      </c>
      <c r="Q109" s="195">
        <f>PEP!Y107</f>
        <v>0</v>
      </c>
      <c r="R109" s="195">
        <f>PEP!Z107</f>
        <v>0</v>
      </c>
      <c r="S109" s="195">
        <f>SUM(G109:R109)</f>
        <v>0</v>
      </c>
    </row>
    <row r="110" spans="1:19" ht="14.4" hidden="1" customHeight="1" outlineLevel="1" x14ac:dyDescent="0.3">
      <c r="A110" s="67" t="str">
        <f>'CC detallado'!A108</f>
        <v>4.1.3</v>
      </c>
      <c r="B110" s="166" t="str">
        <f>'CC detallado'!G108</f>
        <v>Evaluación de Impacto</v>
      </c>
      <c r="C110" s="70">
        <f>'CC detallado'!M108</f>
        <v>100000</v>
      </c>
      <c r="D110" s="166"/>
      <c r="E110" s="166"/>
      <c r="F110" s="166"/>
      <c r="G110" s="195">
        <f>PEP!O108</f>
        <v>0</v>
      </c>
      <c r="H110" s="195">
        <f>PEP!P108</f>
        <v>0</v>
      </c>
      <c r="I110" s="195">
        <f>PEP!Q108</f>
        <v>0</v>
      </c>
      <c r="J110" s="195">
        <f>PEP!R108</f>
        <v>0</v>
      </c>
      <c r="K110" s="195">
        <f>PEP!S108</f>
        <v>0</v>
      </c>
      <c r="L110" s="195">
        <f>PEP!T108</f>
        <v>0</v>
      </c>
      <c r="M110" s="195">
        <f>PEP!U108</f>
        <v>0</v>
      </c>
      <c r="N110" s="195">
        <f>PEP!V108</f>
        <v>0</v>
      </c>
      <c r="O110" s="195">
        <f>PEP!W108</f>
        <v>0</v>
      </c>
      <c r="P110" s="195">
        <f>PEP!X108</f>
        <v>0</v>
      </c>
      <c r="Q110" s="195">
        <f>PEP!Y108</f>
        <v>0</v>
      </c>
      <c r="R110" s="195">
        <f>PEP!Z108</f>
        <v>0</v>
      </c>
      <c r="S110" s="195">
        <f>SUM(G110:R110)</f>
        <v>0</v>
      </c>
    </row>
    <row r="111" spans="1:19" s="66" customFormat="1" ht="14.4" customHeight="1" collapsed="1" x14ac:dyDescent="0.3">
      <c r="A111" s="190" t="str">
        <f>'CC detallado'!A109</f>
        <v>4.2</v>
      </c>
      <c r="B111" s="185" t="str">
        <f>'CC detallado'!G109</f>
        <v>Auditoria Externa</v>
      </c>
      <c r="C111" s="187">
        <f>C112</f>
        <v>200000</v>
      </c>
      <c r="D111" s="185"/>
      <c r="E111" s="185"/>
      <c r="F111" s="185"/>
      <c r="G111" s="187">
        <f>PEP!O109</f>
        <v>0</v>
      </c>
      <c r="H111" s="187">
        <f>PEP!P109</f>
        <v>0</v>
      </c>
      <c r="I111" s="187">
        <f>PEP!Q109</f>
        <v>0</v>
      </c>
      <c r="J111" s="187">
        <f>PEP!R109</f>
        <v>0</v>
      </c>
      <c r="K111" s="187">
        <f>PEP!S109</f>
        <v>0</v>
      </c>
      <c r="L111" s="187">
        <f>PEP!T109</f>
        <v>0</v>
      </c>
      <c r="M111" s="187">
        <f>PEP!U109</f>
        <v>0</v>
      </c>
      <c r="N111" s="187">
        <f>PEP!V109</f>
        <v>0</v>
      </c>
      <c r="O111" s="187">
        <f>PEP!W109</f>
        <v>0</v>
      </c>
      <c r="P111" s="187">
        <f>PEP!X109</f>
        <v>0</v>
      </c>
      <c r="Q111" s="187">
        <f>PEP!Y109</f>
        <v>20000</v>
      </c>
      <c r="R111" s="187">
        <f>PEP!Z109</f>
        <v>0</v>
      </c>
      <c r="S111" s="187">
        <f t="shared" ref="S111" si="27">S112</f>
        <v>20000</v>
      </c>
    </row>
    <row r="112" spans="1:19" ht="14.4" hidden="1" customHeight="1" outlineLevel="1" x14ac:dyDescent="0.3">
      <c r="A112" s="67" t="str">
        <f>'CC detallado'!A110</f>
        <v>4.2.1</v>
      </c>
      <c r="B112" s="166" t="str">
        <f>'CC detallado'!G110</f>
        <v>Auditoria Externa del Programa</v>
      </c>
      <c r="C112" s="70">
        <f>'CC detallado'!M110</f>
        <v>200000</v>
      </c>
      <c r="D112" s="166" t="s">
        <v>710</v>
      </c>
      <c r="E112" s="166" t="s">
        <v>705</v>
      </c>
      <c r="F112" s="166" t="s">
        <v>712</v>
      </c>
      <c r="G112" s="195">
        <f>PEP!O110</f>
        <v>0</v>
      </c>
      <c r="H112" s="195">
        <f>PEP!P110</f>
        <v>0</v>
      </c>
      <c r="I112" s="195">
        <f>PEP!Q110</f>
        <v>0</v>
      </c>
      <c r="J112" s="195">
        <f>PEP!R110</f>
        <v>0</v>
      </c>
      <c r="K112" s="196">
        <f>PEP!S110</f>
        <v>0</v>
      </c>
      <c r="L112" s="196">
        <f>PEP!T110</f>
        <v>0</v>
      </c>
      <c r="M112" s="196">
        <f>PEP!U110</f>
        <v>0</v>
      </c>
      <c r="N112" s="196">
        <f>PEP!V110</f>
        <v>0</v>
      </c>
      <c r="O112" s="196">
        <f>PEP!W110</f>
        <v>0</v>
      </c>
      <c r="P112" s="196">
        <f>PEP!X110</f>
        <v>0</v>
      </c>
      <c r="Q112" s="197">
        <f>PEP!Y110</f>
        <v>20000</v>
      </c>
      <c r="R112" s="197">
        <f>PEP!Z110</f>
        <v>0</v>
      </c>
      <c r="S112" s="195">
        <f>SUM(G112:R112)</f>
        <v>20000</v>
      </c>
    </row>
    <row r="113" spans="1:19" s="58" customFormat="1" ht="14.4" customHeight="1" collapsed="1" x14ac:dyDescent="0.3">
      <c r="A113" s="193">
        <f>'CC detallado'!A111</f>
        <v>5</v>
      </c>
      <c r="B113" s="61" t="str">
        <f>'CC detallado'!G111</f>
        <v>Imprevistos</v>
      </c>
      <c r="C113" s="93">
        <f>'CC detallado'!M111</f>
        <v>150000</v>
      </c>
      <c r="D113" s="61"/>
      <c r="E113" s="61"/>
      <c r="F113" s="61"/>
      <c r="G113" s="77">
        <f>PEP!O111</f>
        <v>0</v>
      </c>
      <c r="H113" s="77">
        <f>PEP!P111</f>
        <v>0</v>
      </c>
      <c r="I113" s="77">
        <f>PEP!Q111</f>
        <v>0</v>
      </c>
      <c r="J113" s="77">
        <f>PEP!R111</f>
        <v>0</v>
      </c>
      <c r="K113" s="77">
        <f>PEP!S111</f>
        <v>0</v>
      </c>
      <c r="L113" s="77">
        <f>PEP!T111</f>
        <v>0</v>
      </c>
      <c r="M113" s="77">
        <f>PEP!U111</f>
        <v>0</v>
      </c>
      <c r="N113" s="77">
        <f>PEP!V111</f>
        <v>0</v>
      </c>
      <c r="O113" s="77">
        <f>PEP!W111</f>
        <v>0</v>
      </c>
      <c r="P113" s="77">
        <f>PEP!X111</f>
        <v>0</v>
      </c>
      <c r="Q113" s="77">
        <f>PEP!Y111</f>
        <v>0</v>
      </c>
      <c r="R113" s="77">
        <f>PEP!Z111</f>
        <v>0</v>
      </c>
      <c r="S113" s="77">
        <f>SUM(G113:R113)</f>
        <v>0</v>
      </c>
    </row>
    <row r="114" spans="1:19" s="58" customFormat="1" ht="14.4" customHeight="1" x14ac:dyDescent="0.3">
      <c r="A114" s="193" t="str">
        <f>'CC detallado'!A112</f>
        <v>-</v>
      </c>
      <c r="B114" s="61" t="str">
        <f>'CC detallado'!G112</f>
        <v>Total</v>
      </c>
      <c r="C114" s="93">
        <f>C7+C55+C97+C106+C113</f>
        <v>14976000</v>
      </c>
      <c r="D114" s="291"/>
      <c r="E114" s="291"/>
      <c r="F114" s="291"/>
      <c r="G114" s="93">
        <f>PEP!O112</f>
        <v>2500</v>
      </c>
      <c r="H114" s="93">
        <f>PEP!P112</f>
        <v>14000</v>
      </c>
      <c r="I114" s="93">
        <f>PEP!Q112</f>
        <v>14000</v>
      </c>
      <c r="J114" s="93">
        <f>PEP!R112</f>
        <v>14000</v>
      </c>
      <c r="K114" s="93">
        <f>PEP!S112</f>
        <v>16000</v>
      </c>
      <c r="L114" s="93">
        <f>PEP!T112</f>
        <v>27666.666666666668</v>
      </c>
      <c r="M114" s="93">
        <f>PEP!U112</f>
        <v>27666.666666666668</v>
      </c>
      <c r="N114" s="93">
        <f>PEP!V112</f>
        <v>57666.666666666672</v>
      </c>
      <c r="O114" s="93">
        <f>PEP!W112</f>
        <v>441200</v>
      </c>
      <c r="P114" s="93">
        <f>PEP!X112</f>
        <v>96250</v>
      </c>
      <c r="Q114" s="93">
        <f>PEP!Y112</f>
        <v>346800</v>
      </c>
      <c r="R114" s="93">
        <f>PEP!Z112</f>
        <v>133413.33333333331</v>
      </c>
      <c r="S114" s="93">
        <f>S7+S55+S97+S106+S113</f>
        <v>1167163.3333333335</v>
      </c>
    </row>
    <row r="115" spans="1:19" ht="14.4" customHeight="1" x14ac:dyDescent="0.3">
      <c r="C115" s="83">
        <f>15000000-C114</f>
        <v>24000</v>
      </c>
      <c r="D115" s="83"/>
      <c r="E115" s="83"/>
      <c r="F115" s="83"/>
    </row>
  </sheetData>
  <autoFilter ref="A6:S115" xr:uid="{00000000-0009-0000-0000-000006000000}"/>
  <mergeCells count="8">
    <mergeCell ref="A1:F1"/>
    <mergeCell ref="G3:R3"/>
    <mergeCell ref="S3:S6"/>
    <mergeCell ref="G4:I4"/>
    <mergeCell ref="J4:L4"/>
    <mergeCell ref="M4:O4"/>
    <mergeCell ref="P4:R4"/>
    <mergeCell ref="A3:F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Z113"/>
  <sheetViews>
    <sheetView showGridLines="0" zoomScale="50" zoomScaleNormal="50" workbookViewId="0">
      <pane xSplit="9" ySplit="4" topLeftCell="J68" activePane="bottomRight" state="frozen"/>
      <selection pane="topRight" activeCell="J1" sqref="J1"/>
      <selection pane="bottomLeft" activeCell="A5" sqref="A5"/>
      <selection pane="bottomRight" sqref="A1:H1"/>
    </sheetView>
  </sheetViews>
  <sheetFormatPr defaultColWidth="11.44140625" defaultRowHeight="15" customHeight="1" outlineLevelRow="1" outlineLevelCol="1" x14ac:dyDescent="0.3"/>
  <cols>
    <col min="1" max="1" width="6.5546875" style="173" customWidth="1"/>
    <col min="2" max="4" width="6.88671875" style="173" customWidth="1" outlineLevel="1"/>
    <col min="5" max="5" width="7" style="173" customWidth="1" outlineLevel="1"/>
    <col min="6" max="6" width="10.6640625" style="173" customWidth="1" outlineLevel="1"/>
    <col min="7" max="7" width="48.109375" style="80" customWidth="1"/>
    <col min="8" max="8" width="17.109375" style="82" customWidth="1"/>
    <col min="9" max="9" width="4.6640625" style="48" customWidth="1"/>
    <col min="10" max="69" width="3.88671875" style="88" customWidth="1" outlineLevel="1"/>
    <col min="70" max="78" width="11.44140625" style="49"/>
    <col min="79" max="16384" width="11.44140625" style="50"/>
  </cols>
  <sheetData>
    <row r="1" spans="1:78" s="46" customFormat="1" ht="15" customHeight="1" x14ac:dyDescent="0.3">
      <c r="A1" s="329" t="s">
        <v>754</v>
      </c>
      <c r="B1" s="330"/>
      <c r="C1" s="330"/>
      <c r="D1" s="330"/>
      <c r="E1" s="330"/>
      <c r="F1" s="330"/>
      <c r="G1" s="330"/>
      <c r="H1" s="330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</row>
    <row r="2" spans="1:78" s="47" customFormat="1" ht="15" customHeight="1" x14ac:dyDescent="0.3">
      <c r="A2" s="169"/>
      <c r="B2" s="170"/>
      <c r="C2" s="170"/>
      <c r="D2" s="170"/>
      <c r="E2" s="171"/>
      <c r="F2" s="171"/>
      <c r="G2" s="86"/>
      <c r="H2" s="86" t="s">
        <v>279</v>
      </c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</row>
    <row r="3" spans="1:78" s="66" customFormat="1" ht="15" customHeight="1" x14ac:dyDescent="0.3">
      <c r="A3" s="331" t="s">
        <v>189</v>
      </c>
      <c r="B3" s="332"/>
      <c r="C3" s="332"/>
      <c r="D3" s="332"/>
      <c r="E3" s="332"/>
      <c r="F3" s="332"/>
      <c r="G3" s="332"/>
      <c r="H3" s="333"/>
      <c r="I3" s="48"/>
      <c r="J3" s="334" t="s">
        <v>102</v>
      </c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6"/>
      <c r="V3" s="334" t="s">
        <v>103</v>
      </c>
      <c r="W3" s="335"/>
      <c r="X3" s="335"/>
      <c r="Y3" s="335"/>
      <c r="Z3" s="335"/>
      <c r="AA3" s="335"/>
      <c r="AB3" s="335"/>
      <c r="AC3" s="335"/>
      <c r="AD3" s="335"/>
      <c r="AE3" s="335"/>
      <c r="AF3" s="335"/>
      <c r="AG3" s="336"/>
      <c r="AH3" s="334" t="s">
        <v>104</v>
      </c>
      <c r="AI3" s="335"/>
      <c r="AJ3" s="335"/>
      <c r="AK3" s="335"/>
      <c r="AL3" s="335"/>
      <c r="AM3" s="335"/>
      <c r="AN3" s="335"/>
      <c r="AO3" s="335"/>
      <c r="AP3" s="335"/>
      <c r="AQ3" s="335"/>
      <c r="AR3" s="335"/>
      <c r="AS3" s="336"/>
      <c r="AT3" s="334" t="s">
        <v>105</v>
      </c>
      <c r="AU3" s="335"/>
      <c r="AV3" s="335"/>
      <c r="AW3" s="335"/>
      <c r="AX3" s="335"/>
      <c r="AY3" s="335"/>
      <c r="AZ3" s="335"/>
      <c r="BA3" s="335"/>
      <c r="BB3" s="335"/>
      <c r="BC3" s="335"/>
      <c r="BD3" s="335"/>
      <c r="BE3" s="336"/>
      <c r="BF3" s="334" t="s">
        <v>106</v>
      </c>
      <c r="BG3" s="335"/>
      <c r="BH3" s="335"/>
      <c r="BI3" s="335"/>
      <c r="BJ3" s="335"/>
      <c r="BK3" s="335"/>
      <c r="BL3" s="335"/>
      <c r="BM3" s="335"/>
      <c r="BN3" s="335"/>
      <c r="BO3" s="335"/>
      <c r="BP3" s="335"/>
      <c r="BQ3" s="336"/>
      <c r="BR3" s="65"/>
      <c r="BS3" s="65"/>
      <c r="BT3" s="65"/>
      <c r="BU3" s="65"/>
      <c r="BV3" s="65"/>
      <c r="BW3" s="65"/>
      <c r="BX3" s="65"/>
      <c r="BY3" s="65"/>
      <c r="BZ3" s="65"/>
    </row>
    <row r="4" spans="1:78" s="205" customFormat="1" ht="33" customHeight="1" x14ac:dyDescent="0.3">
      <c r="A4" s="172" t="s">
        <v>59</v>
      </c>
      <c r="B4" s="172" t="s">
        <v>190</v>
      </c>
      <c r="C4" s="172" t="s">
        <v>132</v>
      </c>
      <c r="D4" s="172" t="s">
        <v>123</v>
      </c>
      <c r="E4" s="172" t="s">
        <v>124</v>
      </c>
      <c r="F4" s="172" t="s">
        <v>124</v>
      </c>
      <c r="G4" s="52" t="s">
        <v>276</v>
      </c>
      <c r="H4" s="55" t="s">
        <v>122</v>
      </c>
      <c r="I4" s="56"/>
      <c r="J4" s="202" t="s">
        <v>554</v>
      </c>
      <c r="K4" s="202" t="s">
        <v>555</v>
      </c>
      <c r="L4" s="202" t="s">
        <v>556</v>
      </c>
      <c r="M4" s="202" t="s">
        <v>557</v>
      </c>
      <c r="N4" s="202" t="s">
        <v>558</v>
      </c>
      <c r="O4" s="202" t="s">
        <v>559</v>
      </c>
      <c r="P4" s="202" t="s">
        <v>560</v>
      </c>
      <c r="Q4" s="202" t="s">
        <v>561</v>
      </c>
      <c r="R4" s="202" t="s">
        <v>562</v>
      </c>
      <c r="S4" s="202" t="s">
        <v>563</v>
      </c>
      <c r="T4" s="202" t="s">
        <v>564</v>
      </c>
      <c r="U4" s="202" t="s">
        <v>565</v>
      </c>
      <c r="V4" s="202" t="s">
        <v>566</v>
      </c>
      <c r="W4" s="202" t="s">
        <v>567</v>
      </c>
      <c r="X4" s="202" t="s">
        <v>568</v>
      </c>
      <c r="Y4" s="202" t="s">
        <v>569</v>
      </c>
      <c r="Z4" s="202" t="s">
        <v>570</v>
      </c>
      <c r="AA4" s="202" t="s">
        <v>571</v>
      </c>
      <c r="AB4" s="202" t="s">
        <v>572</v>
      </c>
      <c r="AC4" s="202" t="s">
        <v>573</v>
      </c>
      <c r="AD4" s="202" t="s">
        <v>574</v>
      </c>
      <c r="AE4" s="202" t="s">
        <v>575</v>
      </c>
      <c r="AF4" s="202" t="s">
        <v>576</v>
      </c>
      <c r="AG4" s="202" t="s">
        <v>577</v>
      </c>
      <c r="AH4" s="202" t="s">
        <v>578</v>
      </c>
      <c r="AI4" s="202" t="s">
        <v>579</v>
      </c>
      <c r="AJ4" s="202" t="s">
        <v>580</v>
      </c>
      <c r="AK4" s="202" t="s">
        <v>581</v>
      </c>
      <c r="AL4" s="202" t="s">
        <v>582</v>
      </c>
      <c r="AM4" s="202" t="s">
        <v>583</v>
      </c>
      <c r="AN4" s="202" t="s">
        <v>584</v>
      </c>
      <c r="AO4" s="202" t="s">
        <v>585</v>
      </c>
      <c r="AP4" s="202" t="s">
        <v>586</v>
      </c>
      <c r="AQ4" s="202" t="s">
        <v>587</v>
      </c>
      <c r="AR4" s="202" t="s">
        <v>588</v>
      </c>
      <c r="AS4" s="202" t="s">
        <v>589</v>
      </c>
      <c r="AT4" s="202" t="s">
        <v>590</v>
      </c>
      <c r="AU4" s="202" t="s">
        <v>591</v>
      </c>
      <c r="AV4" s="202" t="s">
        <v>592</v>
      </c>
      <c r="AW4" s="202" t="s">
        <v>593</v>
      </c>
      <c r="AX4" s="202" t="s">
        <v>594</v>
      </c>
      <c r="AY4" s="202" t="s">
        <v>595</v>
      </c>
      <c r="AZ4" s="202" t="s">
        <v>596</v>
      </c>
      <c r="BA4" s="202" t="s">
        <v>597</v>
      </c>
      <c r="BB4" s="202" t="s">
        <v>598</v>
      </c>
      <c r="BC4" s="202" t="s">
        <v>599</v>
      </c>
      <c r="BD4" s="202" t="s">
        <v>600</v>
      </c>
      <c r="BE4" s="202" t="s">
        <v>601</v>
      </c>
      <c r="BF4" s="202" t="s">
        <v>602</v>
      </c>
      <c r="BG4" s="202" t="s">
        <v>603</v>
      </c>
      <c r="BH4" s="202" t="s">
        <v>604</v>
      </c>
      <c r="BI4" s="202" t="s">
        <v>605</v>
      </c>
      <c r="BJ4" s="202" t="s">
        <v>606</v>
      </c>
      <c r="BK4" s="202" t="s">
        <v>607</v>
      </c>
      <c r="BL4" s="202" t="s">
        <v>608</v>
      </c>
      <c r="BM4" s="202" t="s">
        <v>609</v>
      </c>
      <c r="BN4" s="202" t="s">
        <v>610</v>
      </c>
      <c r="BO4" s="202" t="s">
        <v>611</v>
      </c>
      <c r="BP4" s="202" t="s">
        <v>612</v>
      </c>
      <c r="BQ4" s="202" t="s">
        <v>613</v>
      </c>
      <c r="BR4" s="204"/>
      <c r="BS4" s="204"/>
      <c r="BT4" s="204"/>
      <c r="BU4" s="204"/>
      <c r="BV4" s="204"/>
      <c r="BW4" s="204"/>
      <c r="BX4" s="204"/>
      <c r="BY4" s="204"/>
      <c r="BZ4" s="204"/>
    </row>
    <row r="5" spans="1:78" s="58" customFormat="1" ht="15" customHeight="1" x14ac:dyDescent="0.3">
      <c r="A5" s="193">
        <f>'CC detallado'!A5</f>
        <v>1</v>
      </c>
      <c r="B5" s="193" t="str">
        <f>'CC detallado'!B5</f>
        <v>C-1</v>
      </c>
      <c r="C5" s="193" t="str">
        <f>'CC detallado'!C5</f>
        <v>-</v>
      </c>
      <c r="D5" s="193" t="str">
        <f>'CC detallado'!D5</f>
        <v>-</v>
      </c>
      <c r="E5" s="193" t="str">
        <f>'CC detallado'!E5</f>
        <v>-</v>
      </c>
      <c r="F5" s="193" t="str">
        <f>'CC detallado'!F5</f>
        <v>-</v>
      </c>
      <c r="G5" s="61" t="str">
        <f>'CC detallado'!G5</f>
        <v>Componente 1 - Gestión del Riesgo Sanitario</v>
      </c>
      <c r="H5" s="93">
        <f>H6+H11+H16+H22+H30+H35+H41+H46+H50</f>
        <v>10859600</v>
      </c>
      <c r="I5" s="63">
        <f>H5/$H$112</f>
        <v>0.72513354700854704</v>
      </c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57"/>
      <c r="BS5" s="57"/>
      <c r="BT5" s="57"/>
      <c r="BU5" s="57"/>
      <c r="BV5" s="57"/>
      <c r="BW5" s="57"/>
      <c r="BX5" s="57"/>
      <c r="BY5" s="57"/>
      <c r="BZ5" s="57"/>
    </row>
    <row r="6" spans="1:78" ht="15" customHeight="1" x14ac:dyDescent="0.3">
      <c r="A6" s="190" t="str">
        <f>'CC detallado'!A6</f>
        <v>1.1</v>
      </c>
      <c r="B6" s="190" t="str">
        <f>'CC detallado'!B6</f>
        <v>C-1</v>
      </c>
      <c r="C6" s="190" t="str">
        <f>'CC detallado'!C6</f>
        <v>-</v>
      </c>
      <c r="D6" s="190" t="str">
        <f>'CC detallado'!D6</f>
        <v>-</v>
      </c>
      <c r="E6" s="190" t="str">
        <f>'CC detallado'!E6</f>
        <v>-</v>
      </c>
      <c r="F6" s="190" t="str">
        <f>'CC detallado'!F6</f>
        <v>-</v>
      </c>
      <c r="G6" s="185" t="str">
        <f>'CC detallado'!G6</f>
        <v xml:space="preserve">Producto 1: SISA ampliado en su prestaciones e integrado a SIGOR </v>
      </c>
      <c r="H6" s="187">
        <f>SUM(H7:H10)</f>
        <v>258000</v>
      </c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</row>
    <row r="7" spans="1:78" ht="15" customHeight="1" outlineLevel="1" x14ac:dyDescent="0.3">
      <c r="A7" s="67" t="str">
        <f>'CC detallado'!A7</f>
        <v>1.1.1</v>
      </c>
      <c r="B7" s="67">
        <f>'CC detallado'!B7</f>
        <v>1</v>
      </c>
      <c r="C7" s="67">
        <f>'CC detallado'!C7</f>
        <v>145</v>
      </c>
      <c r="D7" s="67" t="str">
        <f>'CC detallado'!D7</f>
        <v>CI</v>
      </c>
      <c r="E7" s="67" t="str">
        <f>'CC detallado'!E7</f>
        <v>3CV</v>
      </c>
      <c r="F7" s="67" t="str">
        <f>'CC detallado'!F7</f>
        <v>X Prod</v>
      </c>
      <c r="G7" s="166" t="str">
        <f>'CC detallado'!G7</f>
        <v>Diseño del SISA integrado</v>
      </c>
      <c r="H7" s="70">
        <f>'CC detallado'!M7</f>
        <v>30000</v>
      </c>
      <c r="J7" s="194"/>
      <c r="K7" s="194"/>
      <c r="L7" s="194"/>
      <c r="M7" s="194"/>
      <c r="N7" s="194"/>
      <c r="O7" s="198"/>
      <c r="P7" s="198"/>
      <c r="Q7" s="197"/>
      <c r="R7" s="197"/>
      <c r="S7" s="197"/>
      <c r="T7" s="197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4"/>
      <c r="BP7" s="194"/>
      <c r="BQ7" s="194"/>
    </row>
    <row r="8" spans="1:78" ht="15" customHeight="1" outlineLevel="1" x14ac:dyDescent="0.3">
      <c r="A8" s="67" t="str">
        <f>'CC detallado'!A8</f>
        <v>1.1.2</v>
      </c>
      <c r="B8" s="67">
        <f>'CC detallado'!B8</f>
        <v>1</v>
      </c>
      <c r="C8" s="67">
        <f>'CC detallado'!C8</f>
        <v>260</v>
      </c>
      <c r="D8" s="67" t="str">
        <f>'CC detallado'!D8</f>
        <v>FC</v>
      </c>
      <c r="E8" s="67" t="str">
        <f>'CC detallado'!E8</f>
        <v>SCC</v>
      </c>
      <c r="F8" s="67" t="str">
        <f>'CC detallado'!F8</f>
        <v>Sistema</v>
      </c>
      <c r="G8" s="166" t="str">
        <f>'CC detallado'!G8</f>
        <v>Desarrollo e implementación del sistema</v>
      </c>
      <c r="H8" s="70">
        <f>'CC detallado'!M8</f>
        <v>180000</v>
      </c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8"/>
      <c r="U8" s="198"/>
      <c r="V8" s="198"/>
      <c r="W8" s="198"/>
      <c r="X8" s="198"/>
      <c r="Y8" s="198"/>
      <c r="Z8" s="197"/>
      <c r="AA8" s="199"/>
      <c r="AB8" s="199"/>
      <c r="AC8" s="197"/>
      <c r="AD8" s="199"/>
      <c r="AE8" s="199"/>
      <c r="AF8" s="197"/>
      <c r="AG8" s="199"/>
      <c r="AH8" s="199"/>
      <c r="AI8" s="197"/>
      <c r="AJ8" s="199"/>
      <c r="AK8" s="197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4"/>
      <c r="BP8" s="194"/>
      <c r="BQ8" s="194"/>
    </row>
    <row r="9" spans="1:78" ht="15" customHeight="1" outlineLevel="1" x14ac:dyDescent="0.3">
      <c r="A9" s="67" t="str">
        <f>'CC detallado'!A9</f>
        <v>1.1.3</v>
      </c>
      <c r="B9" s="67">
        <f>'CC detallado'!B9</f>
        <v>1</v>
      </c>
      <c r="C9" s="67">
        <f>'CC detallado'!C9</f>
        <v>145</v>
      </c>
      <c r="D9" s="67" t="str">
        <f>'CC detallado'!D9</f>
        <v>CI</v>
      </c>
      <c r="E9" s="67" t="str">
        <f>'CC detallado'!E9</f>
        <v>3CV</v>
      </c>
      <c r="F9" s="67" t="str">
        <f>'CC detallado'!F9</f>
        <v>X Prod</v>
      </c>
      <c r="G9" s="166" t="str">
        <f>'CC detallado'!G9</f>
        <v>Contratación Expertos</v>
      </c>
      <c r="H9" s="70">
        <f>'CC detallado'!M9</f>
        <v>8000</v>
      </c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8"/>
      <c r="AK9" s="198"/>
      <c r="AL9" s="197"/>
      <c r="AM9" s="197"/>
      <c r="AN9" s="197"/>
      <c r="AO9" s="197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4"/>
      <c r="BP9" s="194"/>
      <c r="BQ9" s="194"/>
    </row>
    <row r="10" spans="1:78" ht="15" customHeight="1" outlineLevel="1" x14ac:dyDescent="0.3">
      <c r="A10" s="67" t="str">
        <f>'CC detallado'!A10</f>
        <v>1.1.4</v>
      </c>
      <c r="B10" s="67">
        <f>'CC detallado'!B10</f>
        <v>1</v>
      </c>
      <c r="C10" s="67">
        <f>'CC detallado'!C10</f>
        <v>280</v>
      </c>
      <c r="D10" s="67" t="str">
        <f>'CC detallado'!D10</f>
        <v>SNC</v>
      </c>
      <c r="E10" s="67" t="str">
        <f>'CC detallado'!E10</f>
        <v>LPI</v>
      </c>
      <c r="F10" s="67" t="str">
        <f>'CC detallado'!F10</f>
        <v>Taller</v>
      </c>
      <c r="G10" s="166" t="str">
        <f>'CC detallado'!G10</f>
        <v>Realización Taller</v>
      </c>
      <c r="H10" s="70">
        <f>'CC detallado'!M10</f>
        <v>40000</v>
      </c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7"/>
      <c r="AM10" s="197"/>
      <c r="AN10" s="197"/>
      <c r="AO10" s="197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4"/>
      <c r="BP10" s="194"/>
      <c r="BQ10" s="194"/>
    </row>
    <row r="11" spans="1:78" ht="15" customHeight="1" x14ac:dyDescent="0.3">
      <c r="A11" s="190" t="str">
        <f>'CC detallado'!A11</f>
        <v>1.2</v>
      </c>
      <c r="B11" s="190" t="str">
        <f>'CC detallado'!B11</f>
        <v>C-1</v>
      </c>
      <c r="C11" s="190" t="str">
        <f>'CC detallado'!C11</f>
        <v>-</v>
      </c>
      <c r="D11" s="190" t="str">
        <f>'CC detallado'!D11</f>
        <v>-</v>
      </c>
      <c r="E11" s="190" t="str">
        <f>'CC detallado'!E11</f>
        <v>-</v>
      </c>
      <c r="F11" s="190" t="str">
        <f>'CC detallado'!F11</f>
        <v>-</v>
      </c>
      <c r="G11" s="185" t="str">
        <f>'CC detallado'!G11</f>
        <v>Producto 2: Unidad de vigilancia sanitaria implementada</v>
      </c>
      <c r="H11" s="187">
        <f>SUM(H12:H15)</f>
        <v>480000</v>
      </c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</row>
    <row r="12" spans="1:78" ht="15" customHeight="1" outlineLevel="1" x14ac:dyDescent="0.3">
      <c r="A12" s="67" t="str">
        <f>'CC detallado'!A12</f>
        <v>1.2.1</v>
      </c>
      <c r="B12" s="67">
        <f>'CC detallado'!B12</f>
        <v>1</v>
      </c>
      <c r="C12" s="67">
        <f>'CC detallado'!C12</f>
        <v>145</v>
      </c>
      <c r="D12" s="67" t="str">
        <f>'CC detallado'!D12</f>
        <v>CI</v>
      </c>
      <c r="E12" s="67" t="str">
        <f>'CC detallado'!E12</f>
        <v>3CV</v>
      </c>
      <c r="F12" s="67" t="str">
        <f>'CC detallado'!F12</f>
        <v>X Prod</v>
      </c>
      <c r="G12" s="166" t="str">
        <f>'CC detallado'!G12</f>
        <v>Consultoría para establecimiento de la red (incluye diseño)</v>
      </c>
      <c r="H12" s="70">
        <f>'CC detallado'!M12</f>
        <v>30000</v>
      </c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8"/>
      <c r="U12" s="198"/>
      <c r="V12" s="197"/>
      <c r="W12" s="197"/>
      <c r="X12" s="197"/>
      <c r="Y12" s="197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</row>
    <row r="13" spans="1:78" ht="15" customHeight="1" outlineLevel="1" x14ac:dyDescent="0.3">
      <c r="A13" s="67" t="str">
        <f>'CC detallado'!A13</f>
        <v>1.2.2</v>
      </c>
      <c r="B13" s="67">
        <f>'CC detallado'!B13</f>
        <v>1</v>
      </c>
      <c r="C13" s="67">
        <f>'CC detallado'!C13</f>
        <v>540</v>
      </c>
      <c r="D13" s="67" t="str">
        <f>'CC detallado'!D13</f>
        <v>B</v>
      </c>
      <c r="E13" s="67" t="str">
        <f>'CC detallado'!E13</f>
        <v>LPI</v>
      </c>
      <c r="F13" s="67" t="str">
        <f>'CC detallado'!F13</f>
        <v>Equipo</v>
      </c>
      <c r="G13" s="166" t="str">
        <f>'CC detallado'!G13</f>
        <v>Adquisición de equipos</v>
      </c>
      <c r="H13" s="70">
        <f>'CC detallado'!M13</f>
        <v>330000</v>
      </c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8"/>
      <c r="W13" s="198"/>
      <c r="X13" s="198"/>
      <c r="Y13" s="198"/>
      <c r="Z13" s="197"/>
      <c r="AA13" s="199"/>
      <c r="AB13" s="199"/>
      <c r="AC13" s="197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</row>
    <row r="14" spans="1:78" ht="15" customHeight="1" outlineLevel="1" x14ac:dyDescent="0.3">
      <c r="A14" s="67" t="str">
        <f>'CC detallado'!A14</f>
        <v>1.2.3</v>
      </c>
      <c r="B14" s="67">
        <f>'CC detallado'!B14</f>
        <v>1</v>
      </c>
      <c r="C14" s="67">
        <f>'CC detallado'!C14</f>
        <v>145</v>
      </c>
      <c r="D14" s="67" t="str">
        <f>'CC detallado'!D14</f>
        <v>CI</v>
      </c>
      <c r="E14" s="67" t="str">
        <f>'CC detallado'!E14</f>
        <v>3CV</v>
      </c>
      <c r="F14" s="67" t="str">
        <f>'CC detallado'!F14</f>
        <v>X Prod</v>
      </c>
      <c r="G14" s="166" t="str">
        <f>'CC detallado'!G14</f>
        <v>Consultoría propuesta sistemas de información</v>
      </c>
      <c r="H14" s="70">
        <f>'CC detallado'!M14</f>
        <v>20000</v>
      </c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8"/>
      <c r="U14" s="198"/>
      <c r="V14" s="197"/>
      <c r="W14" s="197"/>
      <c r="X14" s="197"/>
      <c r="Y14" s="197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</row>
    <row r="15" spans="1:78" ht="15" customHeight="1" outlineLevel="1" x14ac:dyDescent="0.3">
      <c r="A15" s="67" t="str">
        <f>'CC detallado'!A15</f>
        <v>1.2.4</v>
      </c>
      <c r="B15" s="67">
        <f>'CC detallado'!B15</f>
        <v>1</v>
      </c>
      <c r="C15" s="67">
        <f>'CC detallado'!C15</f>
        <v>260</v>
      </c>
      <c r="D15" s="67" t="str">
        <f>'CC detallado'!D15</f>
        <v>FC</v>
      </c>
      <c r="E15" s="67" t="str">
        <f>'CC detallado'!E15</f>
        <v>SCC</v>
      </c>
      <c r="F15" s="67" t="str">
        <f>'CC detallado'!F15</f>
        <v>X Prod</v>
      </c>
      <c r="G15" s="166" t="str">
        <f>'CC detallado'!G15</f>
        <v>Desarrollo de sistemas de gestión de información (incluye capacitación)</v>
      </c>
      <c r="H15" s="70">
        <f>'CC detallado'!M15</f>
        <v>100000</v>
      </c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8"/>
      <c r="W15" s="198"/>
      <c r="X15" s="198"/>
      <c r="Y15" s="198"/>
      <c r="Z15" s="197"/>
      <c r="AA15" s="199"/>
      <c r="AB15" s="199"/>
      <c r="AC15" s="197"/>
      <c r="AD15" s="199"/>
      <c r="AE15" s="199"/>
      <c r="AF15" s="197"/>
      <c r="AG15" s="199"/>
      <c r="AH15" s="199"/>
      <c r="AI15" s="197"/>
      <c r="AJ15" s="199"/>
      <c r="AK15" s="197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4"/>
      <c r="BN15" s="194"/>
      <c r="BO15" s="194"/>
      <c r="BP15" s="194"/>
      <c r="BQ15" s="194"/>
    </row>
    <row r="16" spans="1:78" ht="15" customHeight="1" x14ac:dyDescent="0.3">
      <c r="A16" s="190" t="str">
        <f>'CC detallado'!A16</f>
        <v>1.3</v>
      </c>
      <c r="B16" s="190" t="str">
        <f>'CC detallado'!B16</f>
        <v>C-1</v>
      </c>
      <c r="C16" s="190" t="str">
        <f>'CC detallado'!C16</f>
        <v>-</v>
      </c>
      <c r="D16" s="190" t="str">
        <f>'CC detallado'!D16</f>
        <v>-</v>
      </c>
      <c r="E16" s="190" t="str">
        <f>'CC detallado'!E16</f>
        <v>-</v>
      </c>
      <c r="F16" s="190" t="str">
        <f>'CC detallado'!F16</f>
        <v>-</v>
      </c>
      <c r="G16" s="185" t="str">
        <f>'CC detallado'!G16</f>
        <v>Producto 3: Control en puntos de ingreso funcionando de
acuerdo a estándares internacionales.</v>
      </c>
      <c r="H16" s="187">
        <f>SUM(H17:H21)</f>
        <v>180000</v>
      </c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  <c r="BI16" s="187"/>
      <c r="BJ16" s="187"/>
      <c r="BK16" s="187"/>
      <c r="BL16" s="187"/>
      <c r="BM16" s="187"/>
      <c r="BN16" s="187"/>
      <c r="BO16" s="187"/>
      <c r="BP16" s="187"/>
      <c r="BQ16" s="187"/>
    </row>
    <row r="17" spans="1:78" ht="15" customHeight="1" outlineLevel="1" x14ac:dyDescent="0.3">
      <c r="A17" s="67" t="str">
        <f>'CC detallado'!A17</f>
        <v>1.3.1</v>
      </c>
      <c r="B17" s="67">
        <f>'CC detallado'!B17</f>
        <v>1</v>
      </c>
      <c r="C17" s="67">
        <f>'CC detallado'!C17</f>
        <v>145</v>
      </c>
      <c r="D17" s="67" t="str">
        <f>'CC detallado'!D17</f>
        <v>CI</v>
      </c>
      <c r="E17" s="67" t="str">
        <f>'CC detallado'!E17</f>
        <v>3CV</v>
      </c>
      <c r="F17" s="67" t="str">
        <f>'CC detallado'!F17</f>
        <v>X Prod</v>
      </c>
      <c r="G17" s="166" t="str">
        <f>'CC detallado'!G17</f>
        <v>Consultoría de caracterización de riesgo externo y perfeccionamiento de procedimientos de inspección, decomisos y comunicación a usuarios</v>
      </c>
      <c r="H17" s="70">
        <f>'CC detallado'!M17</f>
        <v>20000</v>
      </c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8"/>
      <c r="Z17" s="198"/>
      <c r="AA17" s="197"/>
      <c r="AB17" s="197"/>
      <c r="AC17" s="197"/>
      <c r="AD17" s="197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  <c r="BI17" s="194"/>
      <c r="BJ17" s="194"/>
      <c r="BK17" s="194"/>
      <c r="BL17" s="194"/>
      <c r="BM17" s="194"/>
      <c r="BN17" s="194"/>
      <c r="BO17" s="194"/>
      <c r="BP17" s="194"/>
      <c r="BQ17" s="194"/>
    </row>
    <row r="18" spans="1:78" ht="15" customHeight="1" outlineLevel="1" x14ac:dyDescent="0.3">
      <c r="A18" s="67" t="str">
        <f>'CC detallado'!A18</f>
        <v>1.3.2</v>
      </c>
      <c r="B18" s="67">
        <f>'CC detallado'!B18</f>
        <v>1</v>
      </c>
      <c r="C18" s="67">
        <f>'CC detallado'!C18</f>
        <v>280</v>
      </c>
      <c r="D18" s="67" t="str">
        <f>'CC detallado'!D18</f>
        <v>SNC</v>
      </c>
      <c r="E18" s="67" t="str">
        <f>'CC detallado'!E18</f>
        <v>LPI</v>
      </c>
      <c r="F18" s="67" t="str">
        <f>'CC detallado'!F18</f>
        <v>Taller</v>
      </c>
      <c r="G18" s="166" t="str">
        <f>'CC detallado'!G18</f>
        <v>Seminario Taller caracterización de riesgo externo</v>
      </c>
      <c r="H18" s="70">
        <f>'CC detallado'!M18</f>
        <v>10000</v>
      </c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7"/>
      <c r="AD18" s="197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  <c r="BI18" s="194"/>
      <c r="BJ18" s="194"/>
      <c r="BK18" s="194"/>
      <c r="BL18" s="194"/>
      <c r="BM18" s="194"/>
      <c r="BN18" s="194"/>
      <c r="BO18" s="194"/>
      <c r="BP18" s="194"/>
      <c r="BQ18" s="194"/>
    </row>
    <row r="19" spans="1:78" ht="15" customHeight="1" outlineLevel="1" x14ac:dyDescent="0.3">
      <c r="A19" s="67" t="str">
        <f>'CC detallado'!A19</f>
        <v>1.3.3</v>
      </c>
      <c r="B19" s="67">
        <f>'CC detallado'!B19</f>
        <v>1</v>
      </c>
      <c r="C19" s="67">
        <f>'CC detallado'!C19</f>
        <v>145</v>
      </c>
      <c r="D19" s="67" t="str">
        <f>'CC detallado'!D19</f>
        <v>CI</v>
      </c>
      <c r="E19" s="67" t="str">
        <f>'CC detallado'!E19</f>
        <v>3CV</v>
      </c>
      <c r="F19" s="67" t="str">
        <f>'CC detallado'!F19</f>
        <v>X Prod</v>
      </c>
      <c r="G19" s="166" t="str">
        <f>'CC detallado'!G19</f>
        <v>Consultoría proyecto Estación cuarentenaria y diseño puestos de control internacional</v>
      </c>
      <c r="H19" s="70">
        <f>'CC detallado'!M19</f>
        <v>10000</v>
      </c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/>
      <c r="AE19" s="194"/>
      <c r="AF19" s="194"/>
      <c r="AG19" s="194"/>
      <c r="AH19" s="194"/>
      <c r="AI19" s="194"/>
      <c r="AJ19" s="198"/>
      <c r="AK19" s="198"/>
      <c r="AL19" s="197"/>
      <c r="AM19" s="197"/>
      <c r="AN19" s="197"/>
      <c r="AO19" s="197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  <c r="BI19" s="194"/>
      <c r="BJ19" s="194"/>
      <c r="BK19" s="194"/>
      <c r="BL19" s="194"/>
      <c r="BM19" s="194"/>
      <c r="BN19" s="194"/>
      <c r="BO19" s="194"/>
      <c r="BP19" s="194"/>
      <c r="BQ19" s="194"/>
    </row>
    <row r="20" spans="1:78" ht="15" customHeight="1" outlineLevel="1" x14ac:dyDescent="0.3">
      <c r="A20" s="67" t="str">
        <f>'CC detallado'!A20</f>
        <v>1.3.4</v>
      </c>
      <c r="B20" s="67">
        <f>'CC detallado'!B20</f>
        <v>1</v>
      </c>
      <c r="C20" s="67">
        <f>'CC detallado'!C20</f>
        <v>145</v>
      </c>
      <c r="D20" s="67" t="str">
        <f>'CC detallado'!D20</f>
        <v>CI</v>
      </c>
      <c r="E20" s="67" t="str">
        <f>'CC detallado'!E20</f>
        <v>3CV</v>
      </c>
      <c r="F20" s="67" t="str">
        <f>'CC detallado'!F20</f>
        <v>X Prod</v>
      </c>
      <c r="G20" s="166" t="str">
        <f>'CC detallado'!G20</f>
        <v>Diseño para adecuación puestos de control interno</v>
      </c>
      <c r="H20" s="70">
        <f>'CC detallado'!M20</f>
        <v>40000</v>
      </c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8"/>
      <c r="AK20" s="198"/>
      <c r="AL20" s="197"/>
      <c r="AM20" s="197"/>
      <c r="AN20" s="197"/>
      <c r="AO20" s="197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</row>
    <row r="21" spans="1:78" ht="15" customHeight="1" outlineLevel="1" x14ac:dyDescent="0.3">
      <c r="A21" s="67" t="str">
        <f>'CC detallado'!A21</f>
        <v>1.3.5</v>
      </c>
      <c r="B21" s="67">
        <f>'CC detallado'!B21</f>
        <v>1</v>
      </c>
      <c r="C21" s="67">
        <f>'CC detallado'!C21</f>
        <v>540</v>
      </c>
      <c r="D21" s="67" t="str">
        <f>'CC detallado'!D21</f>
        <v>B</v>
      </c>
      <c r="E21" s="67" t="str">
        <f>'CC detallado'!E21</f>
        <v>LPN</v>
      </c>
      <c r="F21" s="67" t="str">
        <f>'CC detallado'!F21</f>
        <v>Equipo</v>
      </c>
      <c r="G21" s="166" t="str">
        <f>'CC detallado'!G21</f>
        <v>Equipamientos puntos de ingreso y puestos de control</v>
      </c>
      <c r="H21" s="70">
        <f>'CC detallado'!M21</f>
        <v>100000</v>
      </c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8"/>
      <c r="AU21" s="198"/>
      <c r="AV21" s="198"/>
      <c r="AW21" s="198"/>
      <c r="AX21" s="197"/>
      <c r="AY21" s="199"/>
      <c r="AZ21" s="199"/>
      <c r="BA21" s="197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</row>
    <row r="22" spans="1:78" ht="15" customHeight="1" x14ac:dyDescent="0.3">
      <c r="A22" s="190" t="str">
        <f>'CC detallado'!A22</f>
        <v>1.4</v>
      </c>
      <c r="B22" s="190" t="str">
        <f>'CC detallado'!B22</f>
        <v>C-1</v>
      </c>
      <c r="C22" s="190" t="str">
        <f>'CC detallado'!C22</f>
        <v>-</v>
      </c>
      <c r="D22" s="190" t="str">
        <f>'CC detallado'!D22</f>
        <v>-</v>
      </c>
      <c r="E22" s="190" t="str">
        <f>'CC detallado'!E22</f>
        <v>-</v>
      </c>
      <c r="F22" s="190" t="str">
        <f>'CC detallado'!F22</f>
        <v>-</v>
      </c>
      <c r="G22" s="185" t="str">
        <f>'CC detallado'!G22</f>
        <v>Producto 4: Programa de mantenimiento de status libre de aftosa (Simulacros realizados)</v>
      </c>
      <c r="H22" s="187">
        <f>SUM(H23:H29)</f>
        <v>405000</v>
      </c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  <c r="BI22" s="187"/>
      <c r="BJ22" s="187"/>
      <c r="BK22" s="187"/>
      <c r="BL22" s="187"/>
      <c r="BM22" s="187"/>
      <c r="BN22" s="187"/>
      <c r="BO22" s="187"/>
      <c r="BP22" s="187"/>
      <c r="BQ22" s="187"/>
    </row>
    <row r="23" spans="1:78" ht="15" customHeight="1" outlineLevel="1" x14ac:dyDescent="0.3">
      <c r="A23" s="67" t="str">
        <f>'CC detallado'!A23</f>
        <v>1.4.1</v>
      </c>
      <c r="B23" s="67">
        <f>'CC detallado'!B23</f>
        <v>1</v>
      </c>
      <c r="C23" s="67">
        <f>'CC detallado'!C23</f>
        <v>145</v>
      </c>
      <c r="D23" s="67" t="str">
        <f>'CC detallado'!D23</f>
        <v>CI</v>
      </c>
      <c r="E23" s="67" t="str">
        <f>'CC detallado'!E23</f>
        <v>3CV</v>
      </c>
      <c r="F23" s="67" t="str">
        <f>'CC detallado'!F23</f>
        <v>X Prod</v>
      </c>
      <c r="G23" s="166" t="str">
        <f>'CC detallado'!G23</f>
        <v>Consultoría para elaborar la caracterización</v>
      </c>
      <c r="H23" s="183">
        <f>'CC detallado'!M23</f>
        <v>40000</v>
      </c>
      <c r="J23" s="195"/>
      <c r="K23" s="195"/>
      <c r="L23" s="195"/>
      <c r="M23" s="195"/>
      <c r="N23" s="195"/>
      <c r="O23" s="195"/>
      <c r="P23" s="196"/>
      <c r="Q23" s="196"/>
      <c r="R23" s="197"/>
      <c r="S23" s="197"/>
      <c r="T23" s="197"/>
      <c r="U23" s="197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5"/>
      <c r="BN23" s="195"/>
      <c r="BO23" s="195"/>
      <c r="BP23" s="195"/>
      <c r="BQ23" s="195"/>
    </row>
    <row r="24" spans="1:78" ht="15" customHeight="1" outlineLevel="1" x14ac:dyDescent="0.3">
      <c r="A24" s="67" t="str">
        <f>'CC detallado'!A24</f>
        <v>1.4.2</v>
      </c>
      <c r="B24" s="67">
        <f>'CC detallado'!B24</f>
        <v>1</v>
      </c>
      <c r="C24" s="67">
        <f>'CC detallado'!C24</f>
        <v>280</v>
      </c>
      <c r="D24" s="67" t="str">
        <f>'CC detallado'!D24</f>
        <v>SNC</v>
      </c>
      <c r="E24" s="67" t="str">
        <f>'CC detallado'!E24</f>
        <v>LPI</v>
      </c>
      <c r="F24" s="67" t="str">
        <f>'CC detallado'!F24</f>
        <v>Taller</v>
      </c>
      <c r="G24" s="166" t="str">
        <f>'CC detallado'!G24</f>
        <v>Seminario taller para caracterización</v>
      </c>
      <c r="H24" s="183">
        <f>'CC detallado'!M24</f>
        <v>20000</v>
      </c>
      <c r="J24" s="195"/>
      <c r="K24" s="195"/>
      <c r="L24" s="195"/>
      <c r="M24" s="196"/>
      <c r="N24" s="196"/>
      <c r="O24" s="196"/>
      <c r="P24" s="196"/>
      <c r="Q24" s="196"/>
      <c r="R24" s="197"/>
      <c r="S24" s="197"/>
      <c r="T24" s="197"/>
      <c r="U24" s="197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</row>
    <row r="25" spans="1:78" ht="15" customHeight="1" outlineLevel="1" x14ac:dyDescent="0.3">
      <c r="A25" s="67" t="str">
        <f>'CC detallado'!A25</f>
        <v>1.4.3</v>
      </c>
      <c r="B25" s="67">
        <f>'CC detallado'!B25</f>
        <v>1</v>
      </c>
      <c r="C25" s="67">
        <f>'CC detallado'!C25</f>
        <v>145</v>
      </c>
      <c r="D25" s="67" t="str">
        <f>'CC detallado'!D25</f>
        <v>CI</v>
      </c>
      <c r="E25" s="67" t="str">
        <f>'CC detallado'!E25</f>
        <v>3CV</v>
      </c>
      <c r="F25" s="67" t="str">
        <f>'CC detallado'!F25</f>
        <v>X Prod</v>
      </c>
      <c r="G25" s="166" t="str">
        <f>'CC detallado'!G25</f>
        <v>Consultoría caracterización de riesgo vulnerabilidad</v>
      </c>
      <c r="H25" s="183">
        <f>'CC detallado'!M25</f>
        <v>20000</v>
      </c>
      <c r="J25" s="195"/>
      <c r="K25" s="195"/>
      <c r="L25" s="195"/>
      <c r="M25" s="195"/>
      <c r="N25" s="195"/>
      <c r="O25" s="195"/>
      <c r="P25" s="196"/>
      <c r="Q25" s="196"/>
      <c r="R25" s="197"/>
      <c r="S25" s="197"/>
      <c r="T25" s="197"/>
      <c r="U25" s="197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</row>
    <row r="26" spans="1:78" ht="15" customHeight="1" outlineLevel="1" x14ac:dyDescent="0.3">
      <c r="A26" s="67" t="str">
        <f>'CC detallado'!A26</f>
        <v>1.4.4</v>
      </c>
      <c r="B26" s="67">
        <f>'CC detallado'!B26</f>
        <v>1</v>
      </c>
      <c r="C26" s="67">
        <f>'CC detallado'!C26</f>
        <v>280</v>
      </c>
      <c r="D26" s="67" t="str">
        <f>'CC detallado'!D26</f>
        <v>SNC</v>
      </c>
      <c r="E26" s="67" t="str">
        <f>'CC detallado'!E26</f>
        <v>LPI</v>
      </c>
      <c r="F26" s="67" t="str">
        <f>'CC detallado'!F26</f>
        <v>Taller</v>
      </c>
      <c r="G26" s="166" t="str">
        <f>'CC detallado'!G26</f>
        <v>Seminario taller de caracterización riesgo vulnerabilidad</v>
      </c>
      <c r="H26" s="183">
        <f>'CC detallado'!M26</f>
        <v>15000</v>
      </c>
      <c r="J26" s="195"/>
      <c r="K26" s="195"/>
      <c r="L26" s="195"/>
      <c r="M26" s="195"/>
      <c r="N26" s="195"/>
      <c r="O26" s="195"/>
      <c r="P26" s="195"/>
      <c r="Q26" s="195"/>
      <c r="R26" s="195"/>
      <c r="S26" s="197"/>
      <c r="T26" s="197"/>
      <c r="U26" s="197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</row>
    <row r="27" spans="1:78" ht="15" customHeight="1" outlineLevel="1" x14ac:dyDescent="0.3">
      <c r="A27" s="67" t="str">
        <f>'CC detallado'!A27</f>
        <v>1.4.5</v>
      </c>
      <c r="B27" s="67">
        <f>'CC detallado'!B27</f>
        <v>1</v>
      </c>
      <c r="C27" s="67">
        <f>'CC detallado'!C27</f>
        <v>530</v>
      </c>
      <c r="D27" s="67" t="str">
        <f>'CC detallado'!D27</f>
        <v>B</v>
      </c>
      <c r="E27" s="67" t="str">
        <f>'CC detallado'!E27</f>
        <v>SBE</v>
      </c>
      <c r="F27" s="67" t="str">
        <f>'CC detallado'!F27</f>
        <v>Mueb</v>
      </c>
      <c r="G27" s="166" t="str">
        <f>'CC detallado'!G27</f>
        <v>Equipamiento de depósitos de productos de emergencia</v>
      </c>
      <c r="H27" s="183">
        <f>'CC detallado'!M27</f>
        <v>60000</v>
      </c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6"/>
      <c r="AU27" s="196"/>
      <c r="AV27" s="196"/>
      <c r="AW27" s="196"/>
      <c r="AX27" s="197"/>
      <c r="AY27" s="197"/>
      <c r="AZ27" s="197"/>
      <c r="BA27" s="197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</row>
    <row r="28" spans="1:78" ht="15" customHeight="1" outlineLevel="1" x14ac:dyDescent="0.3">
      <c r="A28" s="67" t="str">
        <f>'CC detallado'!A28</f>
        <v>1.4.6</v>
      </c>
      <c r="B28" s="67">
        <f>'CC detallado'!B28</f>
        <v>1</v>
      </c>
      <c r="C28" s="67">
        <f>'CC detallado'!C28</f>
        <v>450</v>
      </c>
      <c r="D28" s="67" t="str">
        <f>'CC detallado'!D28</f>
        <v>B</v>
      </c>
      <c r="E28" s="67" t="str">
        <f>'CC detallado'!E28</f>
        <v>LPN</v>
      </c>
      <c r="F28" s="67" t="str">
        <f>'CC detallado'!F28</f>
        <v>Vacun</v>
      </c>
      <c r="G28" s="166" t="str">
        <f>'CC detallado'!G28</f>
        <v>Insumos de ejercicios de simulación</v>
      </c>
      <c r="H28" s="183">
        <f>'CC detallado'!M28</f>
        <v>150000</v>
      </c>
      <c r="J28" s="195"/>
      <c r="K28" s="195"/>
      <c r="L28" s="195"/>
      <c r="M28" s="195"/>
      <c r="N28" s="196"/>
      <c r="O28" s="196"/>
      <c r="P28" s="196"/>
      <c r="Q28" s="196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7"/>
      <c r="BN28" s="197"/>
      <c r="BO28" s="195"/>
      <c r="BP28" s="195"/>
      <c r="BQ28" s="195"/>
    </row>
    <row r="29" spans="1:78" ht="15" customHeight="1" outlineLevel="1" x14ac:dyDescent="0.3">
      <c r="A29" s="67" t="str">
        <f>'CC detallado'!A29</f>
        <v>1.4.7</v>
      </c>
      <c r="B29" s="67">
        <f>'CC detallado'!B29</f>
        <v>1</v>
      </c>
      <c r="C29" s="67">
        <f>'CC detallado'!C29</f>
        <v>350</v>
      </c>
      <c r="D29" s="67" t="str">
        <f>'CC detallado'!D29</f>
        <v>B</v>
      </c>
      <c r="E29" s="67" t="str">
        <f>'CC detallado'!E29</f>
        <v>LPI</v>
      </c>
      <c r="F29" s="67" t="str">
        <f>'CC detallado'!F29</f>
        <v>Vacun</v>
      </c>
      <c r="G29" s="166" t="str">
        <f>'CC detallado'!G29</f>
        <v>Formación Banco de vacunas de Fiebre aftosa</v>
      </c>
      <c r="H29" s="183">
        <f>'CC detallado'!M29</f>
        <v>100000</v>
      </c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6"/>
      <c r="BE29" s="196"/>
      <c r="BF29" s="196"/>
      <c r="BG29" s="196"/>
      <c r="BH29" s="196"/>
      <c r="BI29" s="197"/>
      <c r="BJ29" s="197"/>
      <c r="BK29" s="197"/>
      <c r="BL29" s="197"/>
      <c r="BM29" s="197"/>
      <c r="BN29" s="197"/>
      <c r="BO29" s="195"/>
      <c r="BP29" s="195"/>
      <c r="BQ29" s="195"/>
    </row>
    <row r="30" spans="1:78" s="66" customFormat="1" ht="15" customHeight="1" x14ac:dyDescent="0.3">
      <c r="A30" s="190" t="str">
        <f>'CC detallado'!A30</f>
        <v>1.5</v>
      </c>
      <c r="B30" s="190" t="str">
        <f>'CC detallado'!B30</f>
        <v>C-1</v>
      </c>
      <c r="C30" s="190" t="str">
        <f>'CC detallado'!C30</f>
        <v>-</v>
      </c>
      <c r="D30" s="190" t="str">
        <f>'CC detallado'!D30</f>
        <v>-</v>
      </c>
      <c r="E30" s="190" t="str">
        <f>'CC detallado'!E30</f>
        <v>-</v>
      </c>
      <c r="F30" s="190" t="str">
        <f>'CC detallado'!F30</f>
        <v>-</v>
      </c>
      <c r="G30" s="185" t="str">
        <f>'CC detallado'!G30</f>
        <v>Producto 5: Laboratorio Nacional de SENACSA fortalecido y red de laboratorios funcionando</v>
      </c>
      <c r="H30" s="187">
        <f>SUM(H31:H34)</f>
        <v>2690000</v>
      </c>
      <c r="I30" s="48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65"/>
      <c r="BS30" s="65"/>
      <c r="BT30" s="65"/>
      <c r="BU30" s="65"/>
      <c r="BV30" s="65"/>
      <c r="BW30" s="65"/>
      <c r="BX30" s="65"/>
      <c r="BY30" s="65"/>
      <c r="BZ30" s="65"/>
    </row>
    <row r="31" spans="1:78" ht="15" customHeight="1" outlineLevel="1" x14ac:dyDescent="0.3">
      <c r="A31" s="67" t="str">
        <f>'CC detallado'!A31</f>
        <v>1.5.1</v>
      </c>
      <c r="B31" s="67">
        <f>'CC detallado'!B31</f>
        <v>1</v>
      </c>
      <c r="C31" s="67">
        <f>'CC detallado'!C31</f>
        <v>260</v>
      </c>
      <c r="D31" s="67" t="str">
        <f>'CC detallado'!D31</f>
        <v>FC</v>
      </c>
      <c r="E31" s="67" t="str">
        <f>'CC detallado'!E31</f>
        <v>SBCC</v>
      </c>
      <c r="F31" s="67" t="str">
        <f>'CC detallado'!F31</f>
        <v>X Prod</v>
      </c>
      <c r="G31" s="166" t="str">
        <f>'CC detallado'!G31</f>
        <v>Desarrollo e instalación de un sistema informático para Gestión de Laboratorio.</v>
      </c>
      <c r="H31" s="70">
        <f>'CC detallado'!M31</f>
        <v>250000</v>
      </c>
      <c r="J31" s="195"/>
      <c r="K31" s="195"/>
      <c r="L31" s="195"/>
      <c r="M31" s="195"/>
      <c r="N31" s="195"/>
      <c r="O31" s="195"/>
      <c r="P31" s="195"/>
      <c r="Q31" s="195"/>
      <c r="R31" s="196"/>
      <c r="S31" s="196"/>
      <c r="T31" s="196"/>
      <c r="U31" s="196"/>
      <c r="V31" s="196"/>
      <c r="W31" s="196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</row>
    <row r="32" spans="1:78" s="49" customFormat="1" ht="15" customHeight="1" outlineLevel="1" x14ac:dyDescent="0.3">
      <c r="A32" s="67" t="str">
        <f>'CC detallado'!A32</f>
        <v>1.5.2</v>
      </c>
      <c r="B32" s="67">
        <f>'CC detallado'!B32</f>
        <v>1</v>
      </c>
      <c r="C32" s="67">
        <f>'CC detallado'!C32</f>
        <v>145</v>
      </c>
      <c r="D32" s="67" t="str">
        <f>'CC detallado'!D32</f>
        <v>CI</v>
      </c>
      <c r="E32" s="67" t="str">
        <f>'CC detallado'!E32</f>
        <v>3CV</v>
      </c>
      <c r="F32" s="67" t="str">
        <f>'CC detallado'!F32</f>
        <v>X Prod</v>
      </c>
      <c r="G32" s="166" t="str">
        <f>'CC detallado'!G32</f>
        <v>Creación de la Red de Laboratorios del SENACSA – DIGELAB. Capacitación de un profesional 30 días</v>
      </c>
      <c r="H32" s="70">
        <f>'CC detallado'!M32</f>
        <v>6500</v>
      </c>
      <c r="I32" s="48"/>
      <c r="J32" s="195"/>
      <c r="K32" s="195"/>
      <c r="L32" s="195"/>
      <c r="M32" s="195"/>
      <c r="N32" s="195"/>
      <c r="O32" s="195"/>
      <c r="P32" s="196"/>
      <c r="Q32" s="196"/>
      <c r="R32" s="197"/>
      <c r="S32" s="197"/>
      <c r="T32" s="197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5"/>
      <c r="BN32" s="195"/>
      <c r="BO32" s="195"/>
      <c r="BP32" s="195"/>
      <c r="BQ32" s="195"/>
    </row>
    <row r="33" spans="1:78" ht="15" customHeight="1" outlineLevel="1" x14ac:dyDescent="0.3">
      <c r="A33" s="67" t="str">
        <f>'CC detallado'!A33</f>
        <v>1.5.3</v>
      </c>
      <c r="B33" s="67">
        <f>'CC detallado'!B33</f>
        <v>1</v>
      </c>
      <c r="C33" s="67">
        <f>'CC detallado'!C33</f>
        <v>540</v>
      </c>
      <c r="D33" s="67" t="str">
        <f>'CC detallado'!D33</f>
        <v>B</v>
      </c>
      <c r="E33" s="67" t="str">
        <f>'CC detallado'!E33</f>
        <v>LPI</v>
      </c>
      <c r="F33" s="67" t="str">
        <f>'CC detallado'!F33</f>
        <v>lab</v>
      </c>
      <c r="G33" s="166" t="str">
        <f>'CC detallado'!G33</f>
        <v>Adquisición de equipamiento para DIGELAB.57 ítems</v>
      </c>
      <c r="H33" s="70">
        <f>'CC detallado'!M33</f>
        <v>2307500</v>
      </c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6"/>
      <c r="U33" s="196"/>
      <c r="V33" s="196"/>
      <c r="W33" s="196"/>
      <c r="X33" s="196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5"/>
      <c r="BN33" s="195"/>
      <c r="BO33" s="195"/>
      <c r="BP33" s="195"/>
      <c r="BQ33" s="195"/>
    </row>
    <row r="34" spans="1:78" ht="15" customHeight="1" outlineLevel="1" x14ac:dyDescent="0.3">
      <c r="A34" s="67" t="str">
        <f>'CC detallado'!A34</f>
        <v>1.5.4</v>
      </c>
      <c r="B34" s="67">
        <f>'CC detallado'!B34</f>
        <v>1</v>
      </c>
      <c r="C34" s="67">
        <f>'CC detallado'!C34</f>
        <v>145</v>
      </c>
      <c r="D34" s="67" t="str">
        <f>'CC detallado'!D34</f>
        <v>CI</v>
      </c>
      <c r="E34" s="67" t="str">
        <f>'CC detallado'!E34</f>
        <v>3CV</v>
      </c>
      <c r="F34" s="67" t="str">
        <f>'CC detallado'!F34</f>
        <v>X Prod</v>
      </c>
      <c r="G34" s="166" t="str">
        <f>'CC detallado'!G34</f>
        <v>Incrementar controles de productos biológicos y producción de reactivos. Capacitación de dos profesionales de SENACSA</v>
      </c>
      <c r="H34" s="70">
        <f>'CC detallado'!M34</f>
        <v>126000</v>
      </c>
      <c r="J34" s="195"/>
      <c r="K34" s="195"/>
      <c r="L34" s="195"/>
      <c r="M34" s="195"/>
      <c r="N34" s="195"/>
      <c r="O34" s="195"/>
      <c r="P34" s="195"/>
      <c r="Q34" s="195"/>
      <c r="R34" s="196"/>
      <c r="S34" s="196"/>
      <c r="T34" s="197"/>
      <c r="U34" s="197"/>
      <c r="V34" s="197"/>
      <c r="W34" s="197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5"/>
      <c r="BN34" s="195"/>
      <c r="BO34" s="195"/>
      <c r="BP34" s="195"/>
      <c r="BQ34" s="195"/>
    </row>
    <row r="35" spans="1:78" ht="15" customHeight="1" x14ac:dyDescent="0.3">
      <c r="A35" s="190" t="str">
        <f>'CC detallado'!A35</f>
        <v>1.6</v>
      </c>
      <c r="B35" s="190" t="str">
        <f>'CC detallado'!B35</f>
        <v>C-1</v>
      </c>
      <c r="C35" s="190" t="str">
        <f>'CC detallado'!C35</f>
        <v>-</v>
      </c>
      <c r="D35" s="190" t="str">
        <f>'CC detallado'!D35</f>
        <v>-</v>
      </c>
      <c r="E35" s="190" t="str">
        <f>'CC detallado'!E35</f>
        <v>-</v>
      </c>
      <c r="F35" s="190" t="str">
        <f>'CC detallado'!F35</f>
        <v>-</v>
      </c>
      <c r="G35" s="185" t="str">
        <f>'CC detallado'!G35</f>
        <v>Producto 6: Infraestructura edilicia mejorada e integrada a la red</v>
      </c>
      <c r="H35" s="187">
        <f>SUM(H36:H40)</f>
        <v>3916600</v>
      </c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7"/>
      <c r="BN35" s="187"/>
      <c r="BO35" s="187"/>
      <c r="BP35" s="187"/>
      <c r="BQ35" s="187"/>
    </row>
    <row r="36" spans="1:78" ht="15" customHeight="1" outlineLevel="1" x14ac:dyDescent="0.3">
      <c r="A36" s="67" t="str">
        <f>'CC detallado'!A36</f>
        <v>1.6.1</v>
      </c>
      <c r="B36" s="67">
        <f>'CC detallado'!B36</f>
        <v>1</v>
      </c>
      <c r="C36" s="67">
        <f>'CC detallado'!C36</f>
        <v>520</v>
      </c>
      <c r="D36" s="67" t="str">
        <f>'CC detallado'!D36</f>
        <v>O</v>
      </c>
      <c r="E36" s="67" t="str">
        <f>'CC detallado'!E36</f>
        <v>LPI</v>
      </c>
      <c r="F36" s="67" t="str">
        <f>'CC detallado'!F36</f>
        <v>Obra</v>
      </c>
      <c r="G36" s="166" t="str">
        <f>'CC detallado'!G36</f>
        <v>Unidades Regionales</v>
      </c>
      <c r="H36" s="70">
        <f>'CC detallado'!M36</f>
        <v>1300000</v>
      </c>
      <c r="J36" s="195"/>
      <c r="K36" s="195"/>
      <c r="L36" s="195"/>
      <c r="M36" s="195"/>
      <c r="N36" s="195"/>
      <c r="O36" s="195"/>
      <c r="P36" s="195"/>
      <c r="Q36" s="196"/>
      <c r="R36" s="196"/>
      <c r="S36" s="196"/>
      <c r="T36" s="196"/>
      <c r="U36" s="196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5"/>
      <c r="BN36" s="195"/>
      <c r="BO36" s="195"/>
      <c r="BP36" s="195"/>
      <c r="BQ36" s="195"/>
    </row>
    <row r="37" spans="1:78" ht="15" customHeight="1" outlineLevel="1" x14ac:dyDescent="0.3">
      <c r="A37" s="67" t="str">
        <f>'CC detallado'!A37</f>
        <v>1.6.2</v>
      </c>
      <c r="B37" s="67">
        <f>'CC detallado'!B37</f>
        <v>1</v>
      </c>
      <c r="C37" s="67">
        <f>'CC detallado'!C37</f>
        <v>520</v>
      </c>
      <c r="D37" s="67" t="str">
        <f>'CC detallado'!D37</f>
        <v>O</v>
      </c>
      <c r="E37" s="67" t="str">
        <f>'CC detallado'!E37</f>
        <v>LPI</v>
      </c>
      <c r="F37" s="67" t="str">
        <f>'CC detallado'!F37</f>
        <v>Obra</v>
      </c>
      <c r="G37" s="166" t="str">
        <f>'CC detallado'!G37</f>
        <v>Unidades de Atención Zonal</v>
      </c>
      <c r="H37" s="70">
        <f>'CC detallado'!M37</f>
        <v>1380000</v>
      </c>
      <c r="J37" s="195"/>
      <c r="K37" s="195"/>
      <c r="L37" s="195"/>
      <c r="M37" s="195"/>
      <c r="N37" s="195"/>
      <c r="O37" s="195"/>
      <c r="P37" s="195"/>
      <c r="Q37" s="196"/>
      <c r="R37" s="196"/>
      <c r="S37" s="196"/>
      <c r="T37" s="196"/>
      <c r="U37" s="196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5"/>
    </row>
    <row r="38" spans="1:78" ht="15" customHeight="1" outlineLevel="1" x14ac:dyDescent="0.3">
      <c r="A38" s="67" t="str">
        <f>'CC detallado'!A38</f>
        <v>1.6.3</v>
      </c>
      <c r="B38" s="67">
        <f>'CC detallado'!B38</f>
        <v>1</v>
      </c>
      <c r="C38" s="67">
        <f>'CC detallado'!C38</f>
        <v>520</v>
      </c>
      <c r="D38" s="67" t="str">
        <f>'CC detallado'!D38</f>
        <v>O</v>
      </c>
      <c r="E38" s="67" t="str">
        <f>'CC detallado'!E38</f>
        <v>LPI</v>
      </c>
      <c r="F38" s="67" t="str">
        <f>'CC detallado'!F38</f>
        <v>Obra</v>
      </c>
      <c r="G38" s="166" t="str">
        <f>'CC detallado'!G38</f>
        <v>Puntos de Ingresos</v>
      </c>
      <c r="H38" s="70">
        <f>'CC detallado'!M38</f>
        <v>700000</v>
      </c>
      <c r="J38" s="195"/>
      <c r="K38" s="195"/>
      <c r="L38" s="195"/>
      <c r="M38" s="195"/>
      <c r="N38" s="195"/>
      <c r="O38" s="195"/>
      <c r="P38" s="195"/>
      <c r="Q38" s="196"/>
      <c r="R38" s="196"/>
      <c r="S38" s="196"/>
      <c r="T38" s="196"/>
      <c r="U38" s="196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  <c r="BI38" s="195"/>
      <c r="BJ38" s="195"/>
      <c r="BK38" s="195"/>
      <c r="BL38" s="195"/>
      <c r="BM38" s="195"/>
      <c r="BN38" s="195"/>
      <c r="BO38" s="195"/>
      <c r="BP38" s="195"/>
      <c r="BQ38" s="195"/>
    </row>
    <row r="39" spans="1:78" ht="15" customHeight="1" outlineLevel="1" x14ac:dyDescent="0.3">
      <c r="A39" s="67" t="str">
        <f>'CC detallado'!A39</f>
        <v>1.6.4</v>
      </c>
      <c r="B39" s="67">
        <f>'CC detallado'!B39</f>
        <v>1</v>
      </c>
      <c r="C39" s="67">
        <f>'CC detallado'!C39</f>
        <v>520</v>
      </c>
      <c r="D39" s="67" t="str">
        <f>'CC detallado'!D39</f>
        <v>FC</v>
      </c>
      <c r="E39" s="67" t="str">
        <f>'CC detallado'!E39</f>
        <v>SBCC</v>
      </c>
      <c r="F39" s="67" t="str">
        <f>'CC detallado'!F39</f>
        <v>X Prod</v>
      </c>
      <c r="G39" s="166" t="str">
        <f>'CC detallado'!G39</f>
        <v>Fiscalización de obras</v>
      </c>
      <c r="H39" s="70">
        <f>'CC detallado'!L39</f>
        <v>236600.00000000003</v>
      </c>
      <c r="J39" s="195"/>
      <c r="K39" s="195"/>
      <c r="L39" s="195"/>
      <c r="M39" s="195"/>
      <c r="N39" s="195"/>
      <c r="O39" s="196"/>
      <c r="P39" s="196"/>
      <c r="Q39" s="196"/>
      <c r="R39" s="196"/>
      <c r="S39" s="196"/>
      <c r="T39" s="196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5"/>
      <c r="BP39" s="195"/>
      <c r="BQ39" s="195"/>
    </row>
    <row r="40" spans="1:78" ht="15" customHeight="1" outlineLevel="1" x14ac:dyDescent="0.3">
      <c r="A40" s="67" t="str">
        <f>'CC detallado'!A40</f>
        <v>1.6.5</v>
      </c>
      <c r="B40" s="67">
        <f>'CC detallado'!B40</f>
        <v>1</v>
      </c>
      <c r="C40" s="67">
        <f>'CC detallado'!C40</f>
        <v>530</v>
      </c>
      <c r="D40" s="67" t="str">
        <f>'CC detallado'!D40</f>
        <v>B</v>
      </c>
      <c r="E40" s="67" t="str">
        <f>'CC detallado'!E40</f>
        <v>LPI</v>
      </c>
      <c r="F40" s="67" t="str">
        <f>'CC detallado'!F40</f>
        <v>Vehi</v>
      </c>
      <c r="G40" s="166" t="str">
        <f>'CC detallado'!G40</f>
        <v>Controles Móviles</v>
      </c>
      <c r="H40" s="70">
        <f>'CC detallado'!M40</f>
        <v>300000</v>
      </c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6"/>
      <c r="Y40" s="196"/>
      <c r="Z40" s="196"/>
      <c r="AA40" s="196"/>
      <c r="AB40" s="196"/>
      <c r="AC40" s="197"/>
      <c r="AD40" s="197"/>
      <c r="AE40" s="197"/>
      <c r="AF40" s="197"/>
      <c r="AG40" s="197"/>
      <c r="AH40" s="197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  <c r="BI40" s="195"/>
      <c r="BJ40" s="195"/>
      <c r="BK40" s="195"/>
      <c r="BL40" s="195"/>
      <c r="BM40" s="195"/>
      <c r="BN40" s="195"/>
      <c r="BO40" s="195"/>
      <c r="BP40" s="195"/>
      <c r="BQ40" s="195"/>
    </row>
    <row r="41" spans="1:78" s="66" customFormat="1" ht="15" customHeight="1" x14ac:dyDescent="0.3">
      <c r="A41" s="190" t="str">
        <f>'CC detallado'!A41</f>
        <v>1.7</v>
      </c>
      <c r="B41" s="190" t="str">
        <f>'CC detallado'!B41</f>
        <v>C-1</v>
      </c>
      <c r="C41" s="190" t="str">
        <f>'CC detallado'!C41</f>
        <v>-</v>
      </c>
      <c r="D41" s="190" t="str">
        <f>'CC detallado'!D41</f>
        <v>-</v>
      </c>
      <c r="E41" s="190" t="str">
        <f>'CC detallado'!E41</f>
        <v>-</v>
      </c>
      <c r="F41" s="190" t="str">
        <f>'CC detallado'!F41</f>
        <v>-</v>
      </c>
      <c r="G41" s="185" t="str">
        <f>'CC detallado'!G41</f>
        <v>Producto 7: Sistema informático para gestión de trazabilidad individual implementado</v>
      </c>
      <c r="H41" s="187">
        <f>SUM(H42:H45)</f>
        <v>1950000</v>
      </c>
      <c r="I41" s="48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  <c r="BI41" s="187"/>
      <c r="BJ41" s="187"/>
      <c r="BK41" s="187"/>
      <c r="BL41" s="187"/>
      <c r="BM41" s="187"/>
      <c r="BN41" s="187"/>
      <c r="BO41" s="187"/>
      <c r="BP41" s="187"/>
      <c r="BQ41" s="187"/>
      <c r="BR41" s="65"/>
      <c r="BS41" s="65"/>
      <c r="BT41" s="65"/>
      <c r="BU41" s="65"/>
      <c r="BV41" s="65"/>
      <c r="BW41" s="65"/>
      <c r="BX41" s="65"/>
      <c r="BY41" s="65"/>
      <c r="BZ41" s="65"/>
    </row>
    <row r="42" spans="1:78" s="66" customFormat="1" ht="15" customHeight="1" outlineLevel="1" x14ac:dyDescent="0.3">
      <c r="A42" s="191" t="str">
        <f>'CC detallado'!A42</f>
        <v>1.7.1</v>
      </c>
      <c r="B42" s="191">
        <f>'CC detallado'!B42</f>
        <v>1</v>
      </c>
      <c r="C42" s="191">
        <f>'CC detallado'!C42</f>
        <v>260</v>
      </c>
      <c r="D42" s="191" t="str">
        <f>'CC detallado'!D42</f>
        <v>FC</v>
      </c>
      <c r="E42" s="191" t="str">
        <f>'CC detallado'!E42</f>
        <v>SBCC</v>
      </c>
      <c r="F42" s="191" t="str">
        <f>'CC detallado'!F42</f>
        <v>X Prod</v>
      </c>
      <c r="G42" s="206" t="str">
        <f>'CC detallado'!G42</f>
        <v>Desarrollo de software para Trazabilidad</v>
      </c>
      <c r="H42" s="153">
        <f>'CC detallado'!M42</f>
        <v>1830000</v>
      </c>
      <c r="I42" s="48"/>
      <c r="J42" s="209"/>
      <c r="K42" s="209"/>
      <c r="L42" s="209"/>
      <c r="M42" s="209"/>
      <c r="N42" s="198"/>
      <c r="O42" s="198"/>
      <c r="P42" s="198"/>
      <c r="Q42" s="198"/>
      <c r="R42" s="197"/>
      <c r="S42" s="197"/>
      <c r="T42" s="197"/>
      <c r="U42" s="197"/>
      <c r="V42" s="197"/>
      <c r="W42" s="197"/>
      <c r="X42" s="197"/>
      <c r="Y42" s="210"/>
      <c r="Z42" s="197"/>
      <c r="AA42" s="210"/>
      <c r="AB42" s="197"/>
      <c r="AC42" s="210"/>
      <c r="AD42" s="197"/>
      <c r="AE42" s="210"/>
      <c r="AF42" s="197"/>
      <c r="AG42" s="210"/>
      <c r="AH42" s="197"/>
      <c r="AI42" s="210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  <c r="BI42" s="209"/>
      <c r="BJ42" s="209"/>
      <c r="BK42" s="209"/>
      <c r="BL42" s="209"/>
      <c r="BM42" s="209"/>
      <c r="BN42" s="209"/>
      <c r="BO42" s="209"/>
      <c r="BP42" s="209"/>
      <c r="BQ42" s="209"/>
      <c r="BR42" s="65"/>
      <c r="BS42" s="65"/>
      <c r="BT42" s="65"/>
      <c r="BU42" s="65"/>
      <c r="BV42" s="65"/>
      <c r="BW42" s="65"/>
      <c r="BX42" s="65"/>
      <c r="BY42" s="65"/>
      <c r="BZ42" s="65"/>
    </row>
    <row r="43" spans="1:78" ht="15" customHeight="1" outlineLevel="1" x14ac:dyDescent="0.3">
      <c r="A43" s="191" t="str">
        <f>'CC detallado'!A43</f>
        <v>1.7.2</v>
      </c>
      <c r="B43" s="191">
        <f>'CC detallado'!B43</f>
        <v>1</v>
      </c>
      <c r="C43" s="191">
        <f>'CC detallado'!C43</f>
        <v>145</v>
      </c>
      <c r="D43" s="191" t="str">
        <f>'CC detallado'!D43</f>
        <v>CI</v>
      </c>
      <c r="E43" s="191" t="str">
        <f>'CC detallado'!E43</f>
        <v>3CV</v>
      </c>
      <c r="F43" s="191" t="str">
        <f>'CC detallado'!F43</f>
        <v>X Prod</v>
      </c>
      <c r="G43" s="206" t="str">
        <f>'CC detallado'!G43</f>
        <v>Plan de implementación</v>
      </c>
      <c r="H43" s="153">
        <f>'CC detallado'!M43</f>
        <v>40000</v>
      </c>
      <c r="J43" s="70"/>
      <c r="K43" s="195"/>
      <c r="L43" s="195"/>
      <c r="M43" s="195"/>
      <c r="N43" s="195"/>
      <c r="O43" s="195"/>
      <c r="P43" s="195"/>
      <c r="Q43" s="195"/>
      <c r="R43" s="195"/>
      <c r="S43" s="195"/>
      <c r="T43" s="196"/>
      <c r="U43" s="196"/>
      <c r="V43" s="196"/>
      <c r="W43" s="196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  <c r="BI43" s="195"/>
      <c r="BJ43" s="195"/>
      <c r="BK43" s="195"/>
      <c r="BL43" s="195"/>
      <c r="BM43" s="195"/>
      <c r="BN43" s="195"/>
      <c r="BO43" s="195"/>
      <c r="BP43" s="195"/>
      <c r="BQ43" s="195"/>
    </row>
    <row r="44" spans="1:78" ht="15" customHeight="1" outlineLevel="1" x14ac:dyDescent="0.3">
      <c r="A44" s="191" t="str">
        <f>'CC detallado'!A44</f>
        <v>1.7.3</v>
      </c>
      <c r="B44" s="191">
        <f>'CC detallado'!B44</f>
        <v>1</v>
      </c>
      <c r="C44" s="191">
        <f>'CC detallado'!C44</f>
        <v>280</v>
      </c>
      <c r="D44" s="191" t="str">
        <f>'CC detallado'!D44</f>
        <v>SNC</v>
      </c>
      <c r="E44" s="191" t="str">
        <f>'CC detallado'!E44</f>
        <v>LPI</v>
      </c>
      <c r="F44" s="191" t="str">
        <f>'CC detallado'!F44</f>
        <v>Taller</v>
      </c>
      <c r="G44" s="206" t="str">
        <f>'CC detallado'!G44</f>
        <v>Talleres de sensibilización</v>
      </c>
      <c r="H44" s="153">
        <f>'CC detallado'!M44</f>
        <v>30000</v>
      </c>
      <c r="J44" s="70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  <c r="BI44" s="195"/>
      <c r="BJ44" s="195"/>
      <c r="BK44" s="195"/>
      <c r="BL44" s="195"/>
      <c r="BM44" s="195"/>
      <c r="BN44" s="195"/>
      <c r="BO44" s="195"/>
      <c r="BP44" s="195"/>
      <c r="BQ44" s="195"/>
    </row>
    <row r="45" spans="1:78" ht="15" customHeight="1" outlineLevel="1" x14ac:dyDescent="0.3">
      <c r="A45" s="191" t="str">
        <f>'CC detallado'!A45</f>
        <v>1.7.4</v>
      </c>
      <c r="B45" s="191">
        <f>'CC detallado'!B45</f>
        <v>1</v>
      </c>
      <c r="C45" s="191">
        <f>'CC detallado'!C45</f>
        <v>260</v>
      </c>
      <c r="D45" s="191" t="str">
        <f>'CC detallado'!D45</f>
        <v>SNC</v>
      </c>
      <c r="E45" s="191" t="str">
        <f>'CC detallado'!E45</f>
        <v>CP</v>
      </c>
      <c r="F45" s="191" t="str">
        <f>'CC detallado'!F45</f>
        <v>SBE</v>
      </c>
      <c r="G45" s="206" t="str">
        <f>'CC detallado'!G45</f>
        <v>Edición y difusión de materiales</v>
      </c>
      <c r="H45" s="153">
        <f>'CC detallado'!M45</f>
        <v>50000</v>
      </c>
      <c r="J45" s="70"/>
      <c r="K45" s="195"/>
      <c r="L45" s="195"/>
      <c r="M45" s="195"/>
      <c r="N45" s="195"/>
      <c r="O45" s="195"/>
      <c r="P45" s="195"/>
      <c r="Q45" s="195"/>
      <c r="R45" s="195"/>
      <c r="S45" s="195"/>
      <c r="T45" s="196"/>
      <c r="U45" s="196"/>
      <c r="V45" s="196"/>
      <c r="W45" s="196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</row>
    <row r="46" spans="1:78" ht="15" customHeight="1" x14ac:dyDescent="0.3">
      <c r="A46" s="190" t="str">
        <f>'CC detallado'!A46</f>
        <v>1.8</v>
      </c>
      <c r="B46" s="190" t="str">
        <f>'CC detallado'!B46</f>
        <v>C-1</v>
      </c>
      <c r="C46" s="190" t="str">
        <f>'CC detallado'!C46</f>
        <v>-</v>
      </c>
      <c r="D46" s="190" t="str">
        <f>'CC detallado'!D46</f>
        <v>-</v>
      </c>
      <c r="E46" s="190" t="str">
        <f>'CC detallado'!E46</f>
        <v>-</v>
      </c>
      <c r="F46" s="190" t="str">
        <f>'CC detallado'!F46</f>
        <v>-</v>
      </c>
      <c r="G46" s="185" t="str">
        <f>'CC detallado'!G46</f>
        <v>Producto 8: Programas de prevención, control y erradicación de brucelosis operando</v>
      </c>
      <c r="H46" s="187">
        <f>SUM(H47:H49)</f>
        <v>580000</v>
      </c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7"/>
      <c r="BP46" s="187"/>
      <c r="BQ46" s="187"/>
    </row>
    <row r="47" spans="1:78" ht="15" customHeight="1" outlineLevel="1" x14ac:dyDescent="0.3">
      <c r="A47" s="67" t="str">
        <f>'CC detallado'!A47</f>
        <v>1.8.1</v>
      </c>
      <c r="B47" s="67">
        <f>'CC detallado'!B47</f>
        <v>1</v>
      </c>
      <c r="C47" s="67">
        <f>'CC detallado'!C47</f>
        <v>260</v>
      </c>
      <c r="D47" s="67" t="str">
        <f>'CC detallado'!D47</f>
        <v>SNC</v>
      </c>
      <c r="E47" s="67" t="str">
        <f>'CC detallado'!E47</f>
        <v>LPI</v>
      </c>
      <c r="F47" s="67" t="str">
        <f>'CC detallado'!F47</f>
        <v>CP</v>
      </c>
      <c r="G47" s="166" t="str">
        <f>'CC detallado'!G47</f>
        <v>Contratación de los servicios de saneamiento de establecimientos infectados</v>
      </c>
      <c r="H47" s="70">
        <f>'CC detallado'!M47</f>
        <v>540000</v>
      </c>
      <c r="J47" s="194"/>
      <c r="K47" s="194"/>
      <c r="L47" s="194"/>
      <c r="M47" s="194"/>
      <c r="N47" s="194"/>
      <c r="O47" s="194"/>
      <c r="P47" s="194"/>
      <c r="Q47" s="198"/>
      <c r="R47" s="198"/>
      <c r="S47" s="198"/>
      <c r="T47" s="198"/>
      <c r="U47" s="198"/>
      <c r="V47" s="197"/>
      <c r="W47" s="199"/>
      <c r="X47" s="199"/>
      <c r="Y47" s="197"/>
      <c r="Z47" s="199"/>
      <c r="AA47" s="199"/>
      <c r="AB47" s="197"/>
      <c r="AC47" s="199"/>
      <c r="AD47" s="199"/>
      <c r="AE47" s="197"/>
      <c r="AF47" s="199"/>
      <c r="AG47" s="199"/>
      <c r="AH47" s="197"/>
      <c r="AI47" s="199"/>
      <c r="AJ47" s="199"/>
      <c r="AK47" s="197"/>
      <c r="AL47" s="199"/>
      <c r="AM47" s="199"/>
      <c r="AN47" s="197"/>
      <c r="AO47" s="199"/>
      <c r="AP47" s="197"/>
      <c r="AQ47" s="197"/>
      <c r="AR47" s="197"/>
      <c r="AS47" s="197"/>
      <c r="AT47" s="197"/>
      <c r="AU47" s="197"/>
      <c r="AV47" s="197"/>
      <c r="AW47" s="197"/>
      <c r="AX47" s="199"/>
      <c r="AY47" s="199"/>
      <c r="AZ47" s="197"/>
      <c r="BA47" s="199"/>
      <c r="BB47" s="199"/>
      <c r="BC47" s="197"/>
      <c r="BD47" s="199"/>
      <c r="BE47" s="199"/>
      <c r="BF47" s="197"/>
      <c r="BG47" s="197"/>
      <c r="BH47" s="199"/>
      <c r="BI47" s="197"/>
      <c r="BJ47" s="199"/>
      <c r="BK47" s="197"/>
      <c r="BL47" s="197"/>
      <c r="BM47" s="199"/>
      <c r="BN47" s="199"/>
      <c r="BO47" s="197"/>
      <c r="BP47" s="199"/>
      <c r="BQ47" s="199"/>
    </row>
    <row r="48" spans="1:78" ht="15" customHeight="1" outlineLevel="1" x14ac:dyDescent="0.3">
      <c r="A48" s="67" t="str">
        <f>'CC detallado'!A48</f>
        <v>1.8.2</v>
      </c>
      <c r="B48" s="67">
        <f>'CC detallado'!B48</f>
        <v>1</v>
      </c>
      <c r="C48" s="67">
        <f>'CC detallado'!C48</f>
        <v>145</v>
      </c>
      <c r="D48" s="67" t="str">
        <f>'CC detallado'!D48</f>
        <v>CI</v>
      </c>
      <c r="E48" s="67" t="str">
        <f>'CC detallado'!E48</f>
        <v>3CV</v>
      </c>
      <c r="F48" s="67" t="str">
        <f>'CC detallado'!F48</f>
        <v>X Prod</v>
      </c>
      <c r="G48" s="166" t="str">
        <f>'CC detallado'!G48</f>
        <v>Consultoría para elaboración diagnóstico situación y elaboración de programa</v>
      </c>
      <c r="H48" s="70">
        <f>'CC detallado'!M48</f>
        <v>20000</v>
      </c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6"/>
      <c r="AO48" s="196"/>
      <c r="AP48" s="197"/>
      <c r="AQ48" s="197"/>
      <c r="AR48" s="197"/>
      <c r="AS48" s="197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4"/>
      <c r="BP48" s="194"/>
      <c r="BQ48" s="194"/>
    </row>
    <row r="49" spans="1:78" ht="15" customHeight="1" outlineLevel="1" x14ac:dyDescent="0.3">
      <c r="A49" s="67" t="str">
        <f>'CC detallado'!A49</f>
        <v>1.8.3</v>
      </c>
      <c r="B49" s="67">
        <f>'CC detallado'!B49</f>
        <v>1</v>
      </c>
      <c r="C49" s="67">
        <f>'CC detallado'!C49</f>
        <v>350</v>
      </c>
      <c r="D49" s="67" t="str">
        <f>'CC detallado'!D49</f>
        <v>B</v>
      </c>
      <c r="E49" s="67" t="str">
        <f>'CC detallado'!E49</f>
        <v>CP</v>
      </c>
      <c r="F49" s="67" t="str">
        <f>'CC detallado'!F49</f>
        <v>Insumos</v>
      </c>
      <c r="G49" s="166" t="str">
        <f>'CC detallado'!G49</f>
        <v>Toma de muestra de hallazgos de matadero y envío a laboratorio</v>
      </c>
      <c r="H49" s="70">
        <f>'CC detallado'!M49</f>
        <v>20000</v>
      </c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8"/>
      <c r="AP49" s="198"/>
      <c r="AQ49" s="198"/>
      <c r="AR49" s="198"/>
      <c r="AS49" s="198"/>
      <c r="AT49" s="197"/>
      <c r="AU49" s="199"/>
      <c r="AV49" s="199"/>
      <c r="AW49" s="197"/>
      <c r="AX49" s="199"/>
      <c r="AY49" s="199"/>
      <c r="AZ49" s="197"/>
      <c r="BA49" s="199"/>
      <c r="BB49" s="197"/>
      <c r="BC49" s="199"/>
      <c r="BD49" s="199"/>
      <c r="BE49" s="197"/>
      <c r="BF49" s="194"/>
      <c r="BG49" s="194"/>
      <c r="BH49" s="194"/>
      <c r="BI49" s="194"/>
      <c r="BJ49" s="194"/>
      <c r="BK49" s="194"/>
      <c r="BL49" s="194"/>
      <c r="BM49" s="194"/>
      <c r="BN49" s="194"/>
      <c r="BO49" s="194"/>
      <c r="BP49" s="194"/>
      <c r="BQ49" s="194"/>
    </row>
    <row r="50" spans="1:78" ht="15" customHeight="1" x14ac:dyDescent="0.3">
      <c r="A50" s="190" t="str">
        <f>'CC detallado'!A50</f>
        <v>1.9</v>
      </c>
      <c r="B50" s="190" t="str">
        <f>'CC detallado'!B50</f>
        <v>C-2</v>
      </c>
      <c r="C50" s="190" t="str">
        <f>'CC detallado'!C50</f>
        <v>-</v>
      </c>
      <c r="D50" s="190" t="str">
        <f>'CC detallado'!D50</f>
        <v>-</v>
      </c>
      <c r="E50" s="190" t="str">
        <f>'CC detallado'!E50</f>
        <v>-</v>
      </c>
      <c r="F50" s="190" t="str">
        <f>'CC detallado'!F50</f>
        <v>-</v>
      </c>
      <c r="G50" s="185" t="str">
        <f>'CC detallado'!G50</f>
        <v>Producto 9: Personal estratégico capacitado para nuevo modelo de gestión de Senacsa</v>
      </c>
      <c r="H50" s="187">
        <f>'CC detallado'!M50</f>
        <v>400000</v>
      </c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7"/>
      <c r="BP50" s="187"/>
      <c r="BQ50" s="187"/>
    </row>
    <row r="51" spans="1:78" ht="15" customHeight="1" outlineLevel="1" x14ac:dyDescent="0.3">
      <c r="A51" s="67" t="str">
        <f>'CC detallado'!A51</f>
        <v>1.9.1</v>
      </c>
      <c r="B51" s="67">
        <f>'CC detallado'!B51</f>
        <v>1</v>
      </c>
      <c r="C51" s="67">
        <f>'CC detallado'!C51</f>
        <v>260</v>
      </c>
      <c r="D51" s="67" t="str">
        <f>'CC detallado'!D51</f>
        <v>FC</v>
      </c>
      <c r="E51" s="67" t="str">
        <f>'CC detallado'!E51</f>
        <v>SBCC</v>
      </c>
      <c r="F51" s="67" t="str">
        <f>'CC detallado'!F51</f>
        <v>X Prod</v>
      </c>
      <c r="G51" s="166" t="str">
        <f>'CC detallado'!G51</f>
        <v>Contratación de firma para de desarrollo de cursos (nivel estratégico, táctico, operativo)</v>
      </c>
      <c r="H51" s="70">
        <f>'CC detallado'!M51</f>
        <v>100000</v>
      </c>
      <c r="J51" s="194"/>
      <c r="K51" s="194"/>
      <c r="L51" s="194"/>
      <c r="M51" s="194"/>
      <c r="N51" s="194"/>
      <c r="O51" s="198"/>
      <c r="P51" s="198"/>
      <c r="Q51" s="198"/>
      <c r="R51" s="198"/>
      <c r="S51" s="198"/>
      <c r="T51" s="198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4"/>
      <c r="BP51" s="194"/>
      <c r="BQ51" s="194"/>
    </row>
    <row r="52" spans="1:78" s="49" customFormat="1" ht="15" customHeight="1" outlineLevel="1" x14ac:dyDescent="0.3">
      <c r="A52" s="67" t="str">
        <f>'CC detallado'!A52</f>
        <v>1.9.2</v>
      </c>
      <c r="B52" s="67">
        <f>'CC detallado'!B52</f>
        <v>1</v>
      </c>
      <c r="C52" s="67">
        <f>'CC detallado'!C52</f>
        <v>260</v>
      </c>
      <c r="D52" s="67" t="str">
        <f>'CC detallado'!D52</f>
        <v>FC</v>
      </c>
      <c r="E52" s="67" t="str">
        <f>'CC detallado'!E52</f>
        <v>SBCC</v>
      </c>
      <c r="F52" s="67" t="str">
        <f>'CC detallado'!F52</f>
        <v>X Prod</v>
      </c>
      <c r="G52" s="166" t="str">
        <f>'CC detallado'!G52</f>
        <v>Programa de modernización organizacional</v>
      </c>
      <c r="H52" s="70">
        <f>'CC detallado'!M52</f>
        <v>300000</v>
      </c>
      <c r="I52" s="76"/>
      <c r="J52" s="70"/>
      <c r="K52" s="195"/>
      <c r="L52" s="195"/>
      <c r="M52" s="195"/>
      <c r="N52" s="195"/>
      <c r="O52" s="195"/>
      <c r="P52" s="195"/>
      <c r="Q52" s="198"/>
      <c r="R52" s="198"/>
      <c r="S52" s="198"/>
      <c r="T52" s="198"/>
      <c r="U52" s="198"/>
      <c r="V52" s="198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</row>
    <row r="53" spans="1:78" s="58" customFormat="1" ht="15" customHeight="1" x14ac:dyDescent="0.3">
      <c r="A53" s="193">
        <f>'CC detallado'!A53</f>
        <v>2</v>
      </c>
      <c r="B53" s="193" t="str">
        <f>'CC detallado'!B53</f>
        <v>C-2</v>
      </c>
      <c r="C53" s="193" t="str">
        <f>'CC detallado'!C53</f>
        <v>-</v>
      </c>
      <c r="D53" s="193" t="str">
        <f>'CC detallado'!D53</f>
        <v>-</v>
      </c>
      <c r="E53" s="193" t="str">
        <f>'CC detallado'!E53</f>
        <v>-</v>
      </c>
      <c r="F53" s="193" t="str">
        <f>'CC detallado'!F53</f>
        <v>-</v>
      </c>
      <c r="G53" s="61" t="str">
        <f>'CC detallado'!G53</f>
        <v xml:space="preserve">Componente 2: Ampliación de los servicios </v>
      </c>
      <c r="H53" s="93">
        <f>H54+H60+H67+H78+H83+H87</f>
        <v>3074400</v>
      </c>
      <c r="I53" s="63">
        <f>H53/$H$112</f>
        <v>0.20528846153846153</v>
      </c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3"/>
      <c r="BR53" s="57"/>
      <c r="BS53" s="57"/>
      <c r="BT53" s="57"/>
      <c r="BU53" s="57"/>
      <c r="BV53" s="57"/>
      <c r="BW53" s="57"/>
      <c r="BX53" s="57"/>
      <c r="BY53" s="57"/>
      <c r="BZ53" s="57"/>
    </row>
    <row r="54" spans="1:78" s="65" customFormat="1" ht="15" customHeight="1" x14ac:dyDescent="0.3">
      <c r="A54" s="190" t="str">
        <f>'CC detallado'!A54</f>
        <v>2.1</v>
      </c>
      <c r="B54" s="190" t="str">
        <f>'CC detallado'!B54</f>
        <v>C-2</v>
      </c>
      <c r="C54" s="190" t="str">
        <f>'CC detallado'!C54</f>
        <v>-</v>
      </c>
      <c r="D54" s="190" t="str">
        <f>'CC detallado'!D54</f>
        <v>-</v>
      </c>
      <c r="E54" s="190" t="str">
        <f>'CC detallado'!E54</f>
        <v>-</v>
      </c>
      <c r="F54" s="190" t="str">
        <f>'CC detallado'!F54</f>
        <v>-</v>
      </c>
      <c r="G54" s="185" t="str">
        <f>'CC detallado'!G54</f>
        <v>Producto 10: Registros de stock ovinos y caprinos  señalados y control de movimientos funcionando</v>
      </c>
      <c r="H54" s="187">
        <f>SUM(H55:H59)</f>
        <v>338900</v>
      </c>
      <c r="I54" s="48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7"/>
      <c r="BP54" s="187"/>
      <c r="BQ54" s="187"/>
    </row>
    <row r="55" spans="1:78" s="65" customFormat="1" ht="15" customHeight="1" outlineLevel="1" x14ac:dyDescent="0.3">
      <c r="A55" s="74" t="str">
        <f>'CC detallado'!A55</f>
        <v>2.1.1</v>
      </c>
      <c r="B55" s="74">
        <f>'CC detallado'!B55</f>
        <v>2</v>
      </c>
      <c r="C55" s="74">
        <f>'CC detallado'!C55</f>
        <v>145</v>
      </c>
      <c r="D55" s="74" t="str">
        <f>'CC detallado'!D55</f>
        <v>CI</v>
      </c>
      <c r="E55" s="74" t="str">
        <f>'CC detallado'!E55</f>
        <v>3CV</v>
      </c>
      <c r="F55" s="74" t="str">
        <f>'CC detallado'!F55</f>
        <v>X Prod</v>
      </c>
      <c r="G55" s="166" t="str">
        <f>'CC detallado'!G55</f>
        <v>Elaboración de Términos de referencia y borrador de contrato para firma</v>
      </c>
      <c r="H55" s="153">
        <f>'CC detallado'!M55</f>
        <v>10000</v>
      </c>
      <c r="I55" s="48"/>
      <c r="J55" s="153"/>
      <c r="K55" s="195"/>
      <c r="L55" s="195"/>
      <c r="M55" s="196"/>
      <c r="N55" s="196"/>
      <c r="O55" s="197"/>
      <c r="P55" s="197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5"/>
      <c r="BP55" s="195"/>
      <c r="BQ55" s="195"/>
    </row>
    <row r="56" spans="1:78" s="65" customFormat="1" ht="15" customHeight="1" outlineLevel="1" x14ac:dyDescent="0.3">
      <c r="A56" s="74" t="str">
        <f>'CC detallado'!A56</f>
        <v>2.1.2</v>
      </c>
      <c r="B56" s="74">
        <f>'CC detallado'!B56</f>
        <v>2</v>
      </c>
      <c r="C56" s="74">
        <f>'CC detallado'!C56</f>
        <v>260</v>
      </c>
      <c r="D56" s="74" t="str">
        <f>'CC detallado'!D56</f>
        <v>FC</v>
      </c>
      <c r="E56" s="74" t="str">
        <f>'CC detallado'!E56</f>
        <v>SBCC</v>
      </c>
      <c r="F56" s="74" t="str">
        <f>'CC detallado'!F56</f>
        <v>X Prod</v>
      </c>
      <c r="G56" s="166" t="str">
        <f>'CC detallado'!G56</f>
        <v>Instrumentar registro</v>
      </c>
      <c r="H56" s="153">
        <f>'CC detallado'!M56</f>
        <v>303900</v>
      </c>
      <c r="I56" s="48"/>
      <c r="J56" s="153"/>
      <c r="K56" s="195"/>
      <c r="L56" s="195"/>
      <c r="M56" s="195"/>
      <c r="N56" s="195"/>
      <c r="O56" s="195"/>
      <c r="P56" s="196"/>
      <c r="Q56" s="196"/>
      <c r="R56" s="196"/>
      <c r="S56" s="196"/>
      <c r="T56" s="196"/>
      <c r="U56" s="196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</row>
    <row r="57" spans="1:78" ht="15" customHeight="1" outlineLevel="1" x14ac:dyDescent="0.3">
      <c r="A57" s="74" t="str">
        <f>'CC detallado'!A57</f>
        <v>2.1.3</v>
      </c>
      <c r="B57" s="74">
        <f>'CC detallado'!B57</f>
        <v>2</v>
      </c>
      <c r="C57" s="74">
        <f>'CC detallado'!C57</f>
        <v>145</v>
      </c>
      <c r="D57" s="74" t="str">
        <f>'CC detallado'!D57</f>
        <v>CI</v>
      </c>
      <c r="E57" s="74" t="str">
        <f>'CC detallado'!E57</f>
        <v>3CV</v>
      </c>
      <c r="F57" s="74" t="str">
        <f>'CC detallado'!F57</f>
        <v>X Prod</v>
      </c>
      <c r="G57" s="166" t="str">
        <f>'CC detallado'!G57</f>
        <v>Diseño y Difusión - Declaración Jurada y Planillas de Exist. y Trat. Sanitarios</v>
      </c>
      <c r="H57" s="153">
        <f>'CC detallado'!M57</f>
        <v>5000</v>
      </c>
      <c r="J57" s="153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6"/>
      <c r="AF57" s="196"/>
      <c r="AG57" s="196"/>
      <c r="AH57" s="197"/>
      <c r="AI57" s="197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5"/>
    </row>
    <row r="58" spans="1:78" ht="15" customHeight="1" outlineLevel="1" x14ac:dyDescent="0.3">
      <c r="A58" s="74" t="str">
        <f>'CC detallado'!A58</f>
        <v>2.1.4</v>
      </c>
      <c r="B58" s="74">
        <f>'CC detallado'!B58</f>
        <v>2</v>
      </c>
      <c r="C58" s="74">
        <f>'CC detallado'!C58</f>
        <v>145</v>
      </c>
      <c r="D58" s="74" t="str">
        <f>'CC detallado'!D58</f>
        <v>CI</v>
      </c>
      <c r="E58" s="74" t="str">
        <f>'CC detallado'!E58</f>
        <v>3CV</v>
      </c>
      <c r="F58" s="74" t="str">
        <f>'CC detallado'!F58</f>
        <v>X Prod</v>
      </c>
      <c r="G58" s="166" t="str">
        <f>'CC detallado'!G58</f>
        <v>Análisis de datos - Declaración Jurada y Planillas de Exist. y Trat. Sanitarios</v>
      </c>
      <c r="H58" s="153">
        <f>'CC detallado'!M58</f>
        <v>18000</v>
      </c>
      <c r="J58" s="153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6"/>
      <c r="AP58" s="196"/>
      <c r="AQ58" s="197"/>
      <c r="AR58" s="195"/>
      <c r="AS58" s="195"/>
      <c r="AT58" s="195"/>
      <c r="AU58" s="195"/>
      <c r="AV58" s="195"/>
      <c r="AW58" s="195"/>
      <c r="AX58" s="195"/>
      <c r="AY58" s="195"/>
      <c r="AZ58" s="195"/>
      <c r="BA58" s="196"/>
      <c r="BB58" s="196"/>
      <c r="BC58" s="197"/>
      <c r="BD58" s="195"/>
      <c r="BE58" s="195"/>
      <c r="BF58" s="195"/>
      <c r="BG58" s="195"/>
      <c r="BH58" s="195"/>
      <c r="BI58" s="195"/>
      <c r="BJ58" s="195"/>
      <c r="BK58" s="196"/>
      <c r="BL58" s="196"/>
      <c r="BM58" s="197"/>
      <c r="BN58" s="195"/>
      <c r="BO58" s="195"/>
      <c r="BP58" s="195"/>
      <c r="BQ58" s="195"/>
    </row>
    <row r="59" spans="1:78" ht="15" customHeight="1" outlineLevel="1" x14ac:dyDescent="0.3">
      <c r="A59" s="74" t="str">
        <f>'CC detallado'!A59</f>
        <v>2.1.5</v>
      </c>
      <c r="B59" s="74">
        <f>'CC detallado'!B59</f>
        <v>2</v>
      </c>
      <c r="C59" s="74">
        <f>'CC detallado'!C59</f>
        <v>145</v>
      </c>
      <c r="D59" s="74" t="str">
        <f>'CC detallado'!D59</f>
        <v>CI</v>
      </c>
      <c r="E59" s="74" t="str">
        <f>'CC detallado'!E59</f>
        <v>3CV</v>
      </c>
      <c r="F59" s="74" t="str">
        <f>'CC detallado'!F59</f>
        <v>x Tiempo</v>
      </c>
      <c r="G59" s="166" t="str">
        <f>'CC detallado'!G59</f>
        <v>Control de Movimientos</v>
      </c>
      <c r="H59" s="153">
        <f>'CC detallado'!M59</f>
        <v>2000</v>
      </c>
      <c r="J59" s="153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6"/>
      <c r="AF59" s="196"/>
      <c r="AG59" s="196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197"/>
      <c r="BP59" s="197"/>
      <c r="BQ59" s="197"/>
    </row>
    <row r="60" spans="1:78" s="65" customFormat="1" ht="15" customHeight="1" x14ac:dyDescent="0.3">
      <c r="A60" s="190" t="str">
        <f>'CC detallado'!A60</f>
        <v>2.2</v>
      </c>
      <c r="B60" s="190" t="str">
        <f>'CC detallado'!B60</f>
        <v>C-2</v>
      </c>
      <c r="C60" s="190" t="str">
        <f>'CC detallado'!C60</f>
        <v>-</v>
      </c>
      <c r="D60" s="190" t="str">
        <f>'CC detallado'!D60</f>
        <v>-</v>
      </c>
      <c r="E60" s="190" t="str">
        <f>'CC detallado'!E60</f>
        <v>-</v>
      </c>
      <c r="F60" s="190" t="str">
        <f>'CC detallado'!F60</f>
        <v>-</v>
      </c>
      <c r="G60" s="185" t="str">
        <f>'CC detallado'!G60</f>
        <v>Producto 11: Planes sanitarios con vigilancia epidemiológica implementados en ovinos, caprinos y porcinos</v>
      </c>
      <c r="H60" s="187">
        <f>SUM(H61:H66)</f>
        <v>413000</v>
      </c>
      <c r="I60" s="48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  <c r="AF60" s="187"/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  <c r="BN60" s="187"/>
      <c r="BO60" s="187"/>
      <c r="BP60" s="187"/>
      <c r="BQ60" s="187"/>
    </row>
    <row r="61" spans="1:78" ht="15" customHeight="1" outlineLevel="1" x14ac:dyDescent="0.3">
      <c r="A61" s="74" t="str">
        <f>'CC detallado'!A61</f>
        <v>2.2.1</v>
      </c>
      <c r="B61" s="74">
        <f>'CC detallado'!B61</f>
        <v>2</v>
      </c>
      <c r="C61" s="74">
        <f>'CC detallado'!C61</f>
        <v>145</v>
      </c>
      <c r="D61" s="74" t="str">
        <f>'CC detallado'!D61</f>
        <v>CI</v>
      </c>
      <c r="E61" s="74" t="str">
        <f>'CC detallado'!E61</f>
        <v>3CV</v>
      </c>
      <c r="F61" s="74" t="str">
        <f>'CC detallado'!F61</f>
        <v>x Tiempo</v>
      </c>
      <c r="G61" s="206" t="str">
        <f>'CC detallado'!G61</f>
        <v xml:space="preserve">Técnicos para laboratorio </v>
      </c>
      <c r="H61" s="153">
        <f>'CC detallado'!M61</f>
        <v>48000</v>
      </c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  <c r="BI61" s="197"/>
      <c r="BJ61" s="197"/>
      <c r="BK61" s="197"/>
      <c r="BL61" s="197"/>
      <c r="BM61" s="197"/>
      <c r="BN61" s="197"/>
      <c r="BO61" s="197"/>
      <c r="BP61" s="197"/>
      <c r="BQ61" s="197"/>
    </row>
    <row r="62" spans="1:78" ht="15" customHeight="1" outlineLevel="1" x14ac:dyDescent="0.3">
      <c r="A62" s="74" t="str">
        <f>'CC detallado'!A62</f>
        <v>2.2.2</v>
      </c>
      <c r="B62" s="74">
        <f>'CC detallado'!B62</f>
        <v>2</v>
      </c>
      <c r="C62" s="74">
        <f>'CC detallado'!C62</f>
        <v>145</v>
      </c>
      <c r="D62" s="74" t="str">
        <f>'CC detallado'!D62</f>
        <v>CI</v>
      </c>
      <c r="E62" s="74" t="str">
        <f>'CC detallado'!E62</f>
        <v>3CV</v>
      </c>
      <c r="F62" s="74" t="str">
        <f>'CC detallado'!F62</f>
        <v>x Tiempo</v>
      </c>
      <c r="G62" s="206" t="str">
        <f>'CC detallado'!G62</f>
        <v>Consultoría para formulación de Planes Sanitarios</v>
      </c>
      <c r="H62" s="153">
        <f>'CC detallado'!M62</f>
        <v>20000</v>
      </c>
      <c r="J62" s="153"/>
      <c r="K62" s="153"/>
      <c r="L62" s="153"/>
      <c r="M62" s="196"/>
      <c r="N62" s="196"/>
      <c r="O62" s="197"/>
      <c r="P62" s="197"/>
      <c r="Q62" s="197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  <c r="BJ62" s="153"/>
      <c r="BK62" s="153"/>
      <c r="BL62" s="153"/>
      <c r="BM62" s="153"/>
      <c r="BN62" s="153"/>
      <c r="BO62" s="153"/>
      <c r="BP62" s="153"/>
      <c r="BQ62" s="153"/>
    </row>
    <row r="63" spans="1:78" ht="15" customHeight="1" outlineLevel="1" x14ac:dyDescent="0.3">
      <c r="A63" s="74" t="str">
        <f>'CC detallado'!A63</f>
        <v>2.2.3</v>
      </c>
      <c r="B63" s="74">
        <f>'CC detallado'!B63</f>
        <v>2</v>
      </c>
      <c r="C63" s="74">
        <f>'CC detallado'!C63</f>
        <v>145</v>
      </c>
      <c r="D63" s="74" t="str">
        <f>'CC detallado'!D63</f>
        <v>CI</v>
      </c>
      <c r="E63" s="74" t="str">
        <f>'CC detallado'!E63</f>
        <v>3CV</v>
      </c>
      <c r="F63" s="74" t="str">
        <f>'CC detallado'!F63</f>
        <v>x Tiempo</v>
      </c>
      <c r="G63" s="166" t="str">
        <f>'CC detallado'!G63</f>
        <v>Vigilancia de predios (revisación, toma de muestras, respuesta inmediata)</v>
      </c>
      <c r="H63" s="153">
        <f>'CC detallado'!M63</f>
        <v>0</v>
      </c>
      <c r="J63" s="153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6"/>
      <c r="AF63" s="196"/>
      <c r="AG63" s="196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7"/>
      <c r="BK63" s="197"/>
      <c r="BL63" s="197"/>
      <c r="BM63" s="197"/>
      <c r="BN63" s="197"/>
      <c r="BO63" s="197"/>
      <c r="BP63" s="197"/>
      <c r="BQ63" s="197"/>
    </row>
    <row r="64" spans="1:78" s="65" customFormat="1" ht="15" customHeight="1" outlineLevel="1" x14ac:dyDescent="0.3">
      <c r="A64" s="74" t="str">
        <f>'CC detallado'!A64</f>
        <v>2.2.4</v>
      </c>
      <c r="B64" s="74">
        <f>'CC detallado'!B64</f>
        <v>2</v>
      </c>
      <c r="C64" s="74">
        <f>'CC detallado'!C64</f>
        <v>145</v>
      </c>
      <c r="D64" s="74" t="str">
        <f>'CC detallado'!D64</f>
        <v>CI</v>
      </c>
      <c r="E64" s="74" t="str">
        <f>'CC detallado'!E64</f>
        <v>3CV</v>
      </c>
      <c r="F64" s="74" t="str">
        <f>'CC detallado'!F64</f>
        <v>x Tiempo</v>
      </c>
      <c r="G64" s="166" t="str">
        <f>'CC detallado'!G64</f>
        <v>Vigilancia de faena</v>
      </c>
      <c r="H64" s="153">
        <f>'CC detallado'!M64</f>
        <v>0</v>
      </c>
      <c r="I64" s="48"/>
      <c r="J64" s="153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6"/>
      <c r="AF64" s="196"/>
      <c r="AG64" s="196"/>
      <c r="AH64" s="197"/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</row>
    <row r="65" spans="1:78" ht="15" customHeight="1" outlineLevel="1" x14ac:dyDescent="0.3">
      <c r="A65" s="74" t="str">
        <f>'CC detallado'!A65</f>
        <v>2.2.5</v>
      </c>
      <c r="B65" s="74">
        <f>'CC detallado'!B65</f>
        <v>2</v>
      </c>
      <c r="C65" s="74">
        <f>'CC detallado'!C65</f>
        <v>350</v>
      </c>
      <c r="D65" s="74" t="str">
        <f>'CC detallado'!D65</f>
        <v>B</v>
      </c>
      <c r="E65" s="74" t="str">
        <f>'CC detallado'!E65</f>
        <v>LPN</v>
      </c>
      <c r="F65" s="74" t="str">
        <f>'CC detallado'!F65</f>
        <v>Insumos</v>
      </c>
      <c r="G65" s="166" t="str">
        <f>'CC detallado'!G65</f>
        <v>Vacunación brucelosis caprina</v>
      </c>
      <c r="H65" s="153">
        <f>'CC detallado'!M65</f>
        <v>95000</v>
      </c>
      <c r="J65" s="153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6"/>
      <c r="AH65" s="196"/>
      <c r="AI65" s="196"/>
      <c r="AJ65" s="197"/>
      <c r="AK65" s="195"/>
      <c r="AL65" s="195"/>
      <c r="AM65" s="195"/>
      <c r="AN65" s="195"/>
      <c r="AO65" s="195"/>
      <c r="AP65" s="195"/>
      <c r="AQ65" s="195"/>
      <c r="AR65" s="195"/>
      <c r="AS65" s="196"/>
      <c r="AT65" s="196"/>
      <c r="AU65" s="196"/>
      <c r="AV65" s="197"/>
      <c r="AW65" s="195"/>
      <c r="AX65" s="195"/>
      <c r="AY65" s="195"/>
      <c r="AZ65" s="195"/>
      <c r="BA65" s="195"/>
      <c r="BB65" s="195"/>
      <c r="BC65" s="195"/>
      <c r="BD65" s="195"/>
      <c r="BE65" s="196"/>
      <c r="BF65" s="196"/>
      <c r="BG65" s="196"/>
      <c r="BH65" s="197"/>
      <c r="BI65" s="195"/>
      <c r="BJ65" s="195"/>
      <c r="BK65" s="195"/>
      <c r="BL65" s="195"/>
      <c r="BM65" s="195"/>
      <c r="BN65" s="195"/>
      <c r="BO65" s="195"/>
      <c r="BP65" s="195"/>
      <c r="BQ65" s="195"/>
    </row>
    <row r="66" spans="1:78" ht="15" customHeight="1" outlineLevel="1" x14ac:dyDescent="0.3">
      <c r="A66" s="74" t="str">
        <f>'CC detallado'!A66</f>
        <v>2.2.6</v>
      </c>
      <c r="B66" s="74">
        <f>'CC detallado'!B66</f>
        <v>2</v>
      </c>
      <c r="C66" s="74">
        <f>'CC detallado'!C66</f>
        <v>350</v>
      </c>
      <c r="D66" s="74" t="str">
        <f>'CC detallado'!D66</f>
        <v>B</v>
      </c>
      <c r="E66" s="74" t="str">
        <f>'CC detallado'!E66</f>
        <v>LPI</v>
      </c>
      <c r="F66" s="74" t="str">
        <f>'CC detallado'!F66</f>
        <v>kits</v>
      </c>
      <c r="G66" s="166" t="str">
        <f>'CC detallado'!G66</f>
        <v>Kits y materiales (938 para ovinos, 4.583 de suinos, 730 de caprinos)</v>
      </c>
      <c r="H66" s="153">
        <f>'CC detallado'!M66</f>
        <v>250000</v>
      </c>
      <c r="J66" s="153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V66" s="196"/>
      <c r="W66" s="196"/>
      <c r="X66" s="196"/>
      <c r="Y66" s="197"/>
      <c r="Z66" s="195"/>
      <c r="AA66" s="195"/>
      <c r="AB66" s="195"/>
      <c r="AC66" s="195"/>
      <c r="AD66" s="195"/>
      <c r="AE66" s="195"/>
      <c r="AF66" s="195"/>
      <c r="AG66" s="195"/>
      <c r="AH66" s="196"/>
      <c r="AI66" s="196"/>
      <c r="AJ66" s="196"/>
      <c r="AK66" s="197"/>
      <c r="AL66" s="195"/>
      <c r="AM66" s="195"/>
      <c r="AN66" s="195"/>
      <c r="AO66" s="195"/>
      <c r="AP66" s="195"/>
      <c r="AQ66" s="195"/>
      <c r="AR66" s="195"/>
      <c r="AS66" s="195"/>
      <c r="AT66" s="196"/>
      <c r="AU66" s="196"/>
      <c r="AV66" s="196"/>
      <c r="AW66" s="197"/>
      <c r="AX66" s="195"/>
      <c r="AY66" s="195"/>
      <c r="AZ66" s="195"/>
      <c r="BA66" s="195"/>
      <c r="BB66" s="195"/>
      <c r="BC66" s="195"/>
      <c r="BD66" s="195"/>
      <c r="BE66" s="195"/>
      <c r="BF66" s="196"/>
      <c r="BG66" s="196"/>
      <c r="BH66" s="196"/>
      <c r="BI66" s="197"/>
      <c r="BJ66" s="195"/>
      <c r="BK66" s="195"/>
      <c r="BL66" s="195"/>
      <c r="BM66" s="195"/>
      <c r="BN66" s="195"/>
      <c r="BO66" s="195"/>
      <c r="BP66" s="195"/>
      <c r="BQ66" s="195"/>
    </row>
    <row r="67" spans="1:78" ht="15" customHeight="1" x14ac:dyDescent="0.3">
      <c r="A67" s="190" t="str">
        <f>'CC detallado'!A67</f>
        <v>2.3</v>
      </c>
      <c r="B67" s="190" t="str">
        <f>'CC detallado'!B67</f>
        <v>C-1</v>
      </c>
      <c r="C67" s="190" t="str">
        <f>'CC detallado'!C67</f>
        <v>-</v>
      </c>
      <c r="D67" s="190" t="str">
        <f>'CC detallado'!D67</f>
        <v>-</v>
      </c>
      <c r="E67" s="190" t="str">
        <f>'CC detallado'!E67</f>
        <v>-</v>
      </c>
      <c r="F67" s="190" t="str">
        <f>'CC detallado'!F67</f>
        <v>-</v>
      </c>
      <c r="G67" s="185" t="str">
        <f>'CC detallado'!G67</f>
        <v>Producto 12: Población de aves y cerdos bajo programas de vigilancia y certificación</v>
      </c>
      <c r="H67" s="187">
        <f>SUM(H68:H77)</f>
        <v>155500</v>
      </c>
      <c r="J67" s="187"/>
      <c r="K67" s="187"/>
      <c r="L67" s="187"/>
      <c r="M67" s="187"/>
      <c r="N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  <c r="AA67" s="187"/>
      <c r="AB67" s="187"/>
      <c r="AC67" s="187"/>
      <c r="AD67" s="187"/>
      <c r="AE67" s="187"/>
      <c r="AF67" s="187"/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  <c r="BI67" s="187"/>
      <c r="BJ67" s="187"/>
      <c r="BK67" s="187"/>
      <c r="BL67" s="187"/>
      <c r="BM67" s="187"/>
      <c r="BN67" s="187"/>
      <c r="BO67" s="187"/>
      <c r="BP67" s="187"/>
      <c r="BQ67" s="187"/>
    </row>
    <row r="68" spans="1:78" ht="15" customHeight="1" outlineLevel="1" x14ac:dyDescent="0.3">
      <c r="A68" s="67" t="str">
        <f>'CC detallado'!A68</f>
        <v>2.3.1</v>
      </c>
      <c r="B68" s="67">
        <f>'CC detallado'!B68</f>
        <v>1</v>
      </c>
      <c r="C68" s="67">
        <f>'CC detallado'!C68</f>
        <v>145</v>
      </c>
      <c r="D68" s="67" t="str">
        <f>'CC detallado'!D68</f>
        <v>CI</v>
      </c>
      <c r="E68" s="67" t="str">
        <f>'CC detallado'!E68</f>
        <v>3CV</v>
      </c>
      <c r="F68" s="67" t="str">
        <f>'CC detallado'!F68</f>
        <v>X Prod</v>
      </c>
      <c r="G68" s="166" t="str">
        <f>'CC detallado'!G68</f>
        <v>Consultoría para establecimiento sistema de certificación de granjas bajo control oficial</v>
      </c>
      <c r="H68" s="70">
        <f>'CC detallado'!M68</f>
        <v>10000</v>
      </c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8"/>
      <c r="W68" s="198"/>
      <c r="X68" s="198"/>
      <c r="Y68" s="198"/>
      <c r="Z68" s="197"/>
      <c r="AA68" s="197"/>
      <c r="AB68" s="197"/>
      <c r="AC68" s="197"/>
      <c r="AD68" s="194"/>
      <c r="AE68" s="194"/>
      <c r="AF68" s="194"/>
      <c r="AG68" s="194"/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  <c r="BI68" s="194"/>
      <c r="BJ68" s="194"/>
      <c r="BK68" s="194"/>
      <c r="BL68" s="194"/>
      <c r="BM68" s="194"/>
      <c r="BN68" s="194"/>
      <c r="BO68" s="194"/>
      <c r="BP68" s="194"/>
      <c r="BQ68" s="194"/>
    </row>
    <row r="69" spans="1:78" ht="15" customHeight="1" outlineLevel="1" x14ac:dyDescent="0.3">
      <c r="A69" s="67" t="str">
        <f>'CC detallado'!A69</f>
        <v>2.3.2</v>
      </c>
      <c r="B69" s="67">
        <f>'CC detallado'!B69</f>
        <v>1</v>
      </c>
      <c r="C69" s="67">
        <f>'CC detallado'!C69</f>
        <v>280</v>
      </c>
      <c r="D69" s="67" t="str">
        <f>'CC detallado'!D69</f>
        <v>SNC</v>
      </c>
      <c r="E69" s="67" t="str">
        <f>'CC detallado'!E69</f>
        <v>LPI</v>
      </c>
      <c r="F69" s="67" t="str">
        <f>'CC detallado'!F69</f>
        <v>Taller</v>
      </c>
      <c r="G69" s="166" t="str">
        <f>'CC detallado'!G69</f>
        <v>Seminario y  taller ( elaboración de procedimientos e instructivos) para adopción sistema</v>
      </c>
      <c r="H69" s="70">
        <f>'CC detallado'!M69</f>
        <v>10000</v>
      </c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7"/>
      <c r="AC69" s="197"/>
      <c r="AD69" s="194"/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  <c r="BI69" s="194"/>
      <c r="BJ69" s="194"/>
      <c r="BK69" s="194"/>
      <c r="BL69" s="194"/>
      <c r="BM69" s="194"/>
      <c r="BN69" s="194"/>
      <c r="BO69" s="194"/>
      <c r="BP69" s="194"/>
      <c r="BQ69" s="194"/>
    </row>
    <row r="70" spans="1:78" ht="15" customHeight="1" outlineLevel="1" x14ac:dyDescent="0.3">
      <c r="A70" s="67" t="str">
        <f>'CC detallado'!A70</f>
        <v>2.3.3</v>
      </c>
      <c r="B70" s="67">
        <f>'CC detallado'!B70</f>
        <v>1</v>
      </c>
      <c r="C70" s="67">
        <f>'CC detallado'!C70</f>
        <v>260</v>
      </c>
      <c r="D70" s="67" t="str">
        <f>'CC detallado'!D70</f>
        <v>SNC</v>
      </c>
      <c r="E70" s="67" t="str">
        <f>'CC detallado'!E70</f>
        <v>CP</v>
      </c>
      <c r="F70" s="67" t="str">
        <f>'CC detallado'!F70</f>
        <v>CP</v>
      </c>
      <c r="G70" s="166" t="str">
        <f>'CC detallado'!G70</f>
        <v>Operación del sistema de monitoreo con envío de muestras</v>
      </c>
      <c r="H70" s="70">
        <f>'CC detallado'!M70</f>
        <v>20000</v>
      </c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6"/>
      <c r="AE70" s="196"/>
      <c r="AF70" s="196"/>
      <c r="AG70" s="196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/>
      <c r="BL70" s="197"/>
      <c r="BM70" s="197"/>
      <c r="BN70" s="197"/>
      <c r="BO70" s="197"/>
      <c r="BP70" s="197"/>
      <c r="BQ70" s="197"/>
    </row>
    <row r="71" spans="1:78" ht="15" customHeight="1" outlineLevel="1" x14ac:dyDescent="0.3">
      <c r="A71" s="67" t="str">
        <f>'CC detallado'!A71</f>
        <v>2.3.4</v>
      </c>
      <c r="B71" s="67">
        <f>'CC detallado'!B71</f>
        <v>1</v>
      </c>
      <c r="C71" s="67">
        <f>'CC detallado'!C71</f>
        <v>145</v>
      </c>
      <c r="D71" s="67" t="str">
        <f>'CC detallado'!D71</f>
        <v>CI</v>
      </c>
      <c r="E71" s="67" t="str">
        <f>'CC detallado'!E71</f>
        <v>3CV</v>
      </c>
      <c r="F71" s="67" t="str">
        <f>'CC detallado'!F71</f>
        <v>X Prod</v>
      </c>
      <c r="G71" s="166" t="str">
        <f>'CC detallado'!G71</f>
        <v>Consultoría para gestión de riesgo y auto declaración de IA y NC(incluye taller)</v>
      </c>
      <c r="H71" s="70">
        <f>'CC detallado'!M71</f>
        <v>15000</v>
      </c>
      <c r="J71" s="194"/>
      <c r="K71" s="194"/>
      <c r="L71" s="194"/>
      <c r="M71" s="194"/>
      <c r="N71" s="198"/>
      <c r="O71" s="198"/>
      <c r="P71" s="198"/>
      <c r="Q71" s="198"/>
      <c r="R71" s="197"/>
      <c r="S71" s="197"/>
      <c r="T71" s="197"/>
      <c r="U71" s="197"/>
      <c r="V71" s="195"/>
      <c r="W71" s="195"/>
      <c r="X71" s="195"/>
      <c r="Y71" s="195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  <c r="BI71" s="194"/>
      <c r="BJ71" s="194"/>
      <c r="BK71" s="194"/>
      <c r="BL71" s="194"/>
      <c r="BM71" s="194"/>
      <c r="BN71" s="194"/>
      <c r="BO71" s="194"/>
      <c r="BP71" s="194"/>
      <c r="BQ71" s="194"/>
    </row>
    <row r="72" spans="1:78" ht="15" customHeight="1" outlineLevel="1" x14ac:dyDescent="0.3">
      <c r="A72" s="67" t="str">
        <f>'CC detallado'!A72</f>
        <v>2.3.5</v>
      </c>
      <c r="B72" s="67">
        <f>'CC detallado'!B72</f>
        <v>1</v>
      </c>
      <c r="C72" s="67">
        <f>'CC detallado'!C72</f>
        <v>280</v>
      </c>
      <c r="D72" s="67" t="str">
        <f>'CC detallado'!D72</f>
        <v>SNC</v>
      </c>
      <c r="E72" s="67" t="str">
        <f>'CC detallado'!E72</f>
        <v>LPI</v>
      </c>
      <c r="F72" s="67" t="str">
        <f>'CC detallado'!F72</f>
        <v>Taller</v>
      </c>
      <c r="G72" s="166" t="str">
        <f>'CC detallado'!G72</f>
        <v>Seminario taller sobre gestión de riesgo de IA y NC</v>
      </c>
      <c r="H72" s="70">
        <f>'CC detallado'!M72</f>
        <v>5000</v>
      </c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7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  <c r="BI72" s="194"/>
      <c r="BJ72" s="194"/>
      <c r="BK72" s="194"/>
      <c r="BL72" s="194"/>
      <c r="BM72" s="194"/>
      <c r="BN72" s="194"/>
      <c r="BO72" s="194"/>
      <c r="BP72" s="194"/>
      <c r="BQ72" s="194"/>
    </row>
    <row r="73" spans="1:78" ht="15" customHeight="1" outlineLevel="1" x14ac:dyDescent="0.3">
      <c r="A73" s="67" t="str">
        <f>'CC detallado'!A73</f>
        <v>2.3.6</v>
      </c>
      <c r="B73" s="67">
        <f>'CC detallado'!B73</f>
        <v>1</v>
      </c>
      <c r="C73" s="67">
        <f>'CC detallado'!C73</f>
        <v>350</v>
      </c>
      <c r="D73" s="67" t="str">
        <f>'CC detallado'!D73</f>
        <v>B</v>
      </c>
      <c r="E73" s="67" t="str">
        <f>'CC detallado'!E73</f>
        <v>CP</v>
      </c>
      <c r="F73" s="67" t="str">
        <f>'CC detallado'!F73</f>
        <v>Vacun</v>
      </c>
      <c r="G73" s="166" t="str">
        <f>'CC detallado'!G73</f>
        <v>Monitoreo seroepidemiológico Influenza Aviar y molecular para New Castle</v>
      </c>
      <c r="H73" s="70">
        <f>'CC detallado'!M73</f>
        <v>50000</v>
      </c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8"/>
      <c r="W73" s="198"/>
      <c r="X73" s="198"/>
      <c r="Y73" s="198"/>
      <c r="Z73" s="197"/>
      <c r="AA73" s="199"/>
      <c r="AB73" s="197"/>
      <c r="AC73" s="194"/>
      <c r="AD73" s="194"/>
      <c r="AE73" s="194"/>
      <c r="AF73" s="194"/>
      <c r="AG73" s="194"/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  <c r="BI73" s="194"/>
      <c r="BJ73" s="194"/>
      <c r="BK73" s="194"/>
      <c r="BL73" s="194"/>
      <c r="BM73" s="194"/>
      <c r="BN73" s="194"/>
      <c r="BO73" s="194"/>
      <c r="BP73" s="194"/>
      <c r="BQ73" s="194"/>
    </row>
    <row r="74" spans="1:78" ht="15" customHeight="1" outlineLevel="1" x14ac:dyDescent="0.3">
      <c r="A74" s="67" t="str">
        <f>'CC detallado'!A74</f>
        <v>2.3.7</v>
      </c>
      <c r="B74" s="67">
        <f>'CC detallado'!B74</f>
        <v>1</v>
      </c>
      <c r="C74" s="67">
        <f>'CC detallado'!C74</f>
        <v>280</v>
      </c>
      <c r="D74" s="67" t="str">
        <f>'CC detallado'!D74</f>
        <v>SNC</v>
      </c>
      <c r="E74" s="67" t="str">
        <f>'CC detallado'!E74</f>
        <v>LPI</v>
      </c>
      <c r="F74" s="67" t="str">
        <f>'CC detallado'!F74</f>
        <v>Taller</v>
      </c>
      <c r="G74" s="166" t="str">
        <f>'CC detallado'!G74</f>
        <v>Elaboración plan de trabajo de asistencia</v>
      </c>
      <c r="H74" s="70">
        <f>'CC detallado'!M74</f>
        <v>5500</v>
      </c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7"/>
      <c r="AC74" s="194"/>
      <c r="AD74" s="194"/>
      <c r="AE74" s="194"/>
      <c r="AF74" s="194"/>
      <c r="AG74" s="194"/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  <c r="BI74" s="194"/>
      <c r="BJ74" s="194"/>
      <c r="BK74" s="194"/>
      <c r="BL74" s="194"/>
      <c r="BM74" s="194"/>
      <c r="BN74" s="194"/>
      <c r="BO74" s="194"/>
      <c r="BP74" s="194"/>
      <c r="BQ74" s="194"/>
    </row>
    <row r="75" spans="1:78" ht="15" customHeight="1" outlineLevel="1" x14ac:dyDescent="0.3">
      <c r="A75" s="67" t="str">
        <f>'CC detallado'!A75</f>
        <v>2.3.8</v>
      </c>
      <c r="B75" s="67">
        <f>'CC detallado'!B75</f>
        <v>1</v>
      </c>
      <c r="C75" s="67">
        <f>'CC detallado'!C75</f>
        <v>350</v>
      </c>
      <c r="D75" s="67" t="str">
        <f>'CC detallado'!D75</f>
        <v>B</v>
      </c>
      <c r="E75" s="67" t="str">
        <f>'CC detallado'!E75</f>
        <v>CP</v>
      </c>
      <c r="F75" s="67" t="str">
        <f>'CC detallado'!F75</f>
        <v>Vacun</v>
      </c>
      <c r="G75" s="166" t="str">
        <f>'CC detallado'!G75</f>
        <v>Adquisición vacunas</v>
      </c>
      <c r="H75" s="70">
        <f>'CC detallado'!M75</f>
        <v>10000</v>
      </c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194"/>
      <c r="AK75" s="198"/>
      <c r="AL75" s="198"/>
      <c r="AM75" s="198"/>
      <c r="AN75" s="198"/>
      <c r="AO75" s="197"/>
      <c r="AP75" s="199"/>
      <c r="AQ75" s="197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  <c r="BI75" s="194"/>
      <c r="BJ75" s="194"/>
      <c r="BK75" s="194"/>
      <c r="BL75" s="194"/>
      <c r="BM75" s="194"/>
      <c r="BN75" s="194"/>
      <c r="BO75" s="194"/>
      <c r="BP75" s="194"/>
      <c r="BQ75" s="194"/>
    </row>
    <row r="76" spans="1:78" ht="15" customHeight="1" outlineLevel="1" x14ac:dyDescent="0.3">
      <c r="A76" s="67" t="str">
        <f>'CC detallado'!A76</f>
        <v>2.3.9</v>
      </c>
      <c r="B76" s="67">
        <f>'CC detallado'!B76</f>
        <v>1</v>
      </c>
      <c r="C76" s="67">
        <f>'CC detallado'!C76</f>
        <v>350</v>
      </c>
      <c r="D76" s="67" t="str">
        <f>'CC detallado'!D76</f>
        <v>B</v>
      </c>
      <c r="E76" s="67" t="str">
        <f>'CC detallado'!E76</f>
        <v>CP</v>
      </c>
      <c r="F76" s="67" t="str">
        <f>'CC detallado'!F76</f>
        <v>Vacun</v>
      </c>
      <c r="G76" s="166" t="str">
        <f>'CC detallado'!G76</f>
        <v>Adquisición de Antiparasitarios</v>
      </c>
      <c r="H76" s="70">
        <f>'CC detallado'!M76</f>
        <v>5000</v>
      </c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8"/>
      <c r="AL76" s="198"/>
      <c r="AM76" s="198"/>
      <c r="AN76" s="198"/>
      <c r="AO76" s="197"/>
      <c r="AP76" s="199"/>
      <c r="AQ76" s="197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  <c r="BI76" s="194"/>
      <c r="BJ76" s="194"/>
      <c r="BK76" s="194"/>
      <c r="BL76" s="194"/>
      <c r="BM76" s="194"/>
      <c r="BN76" s="194"/>
      <c r="BO76" s="194"/>
      <c r="BP76" s="194"/>
      <c r="BQ76" s="194"/>
    </row>
    <row r="77" spans="1:78" ht="15" customHeight="1" outlineLevel="1" x14ac:dyDescent="0.3">
      <c r="A77" s="67" t="str">
        <f>'CC detallado'!A77</f>
        <v>2.3.10</v>
      </c>
      <c r="B77" s="67">
        <f>'CC detallado'!B77</f>
        <v>1</v>
      </c>
      <c r="C77" s="67">
        <f>'CC detallado'!C77</f>
        <v>280</v>
      </c>
      <c r="D77" s="67" t="str">
        <f>'CC detallado'!D77</f>
        <v>SNC</v>
      </c>
      <c r="E77" s="67" t="str">
        <f>'CC detallado'!E77</f>
        <v>LPI</v>
      </c>
      <c r="F77" s="67" t="str">
        <f>'CC detallado'!F77</f>
        <v>Taller</v>
      </c>
      <c r="G77" s="166" t="str">
        <f>'CC detallado'!G77</f>
        <v>Distribución y aplicación</v>
      </c>
      <c r="H77" s="70">
        <f>'CC detallado'!M77</f>
        <v>25000</v>
      </c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7"/>
      <c r="AR77" s="197"/>
      <c r="AS77" s="197"/>
      <c r="AT77" s="197"/>
      <c r="AU77" s="197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  <c r="BI77" s="194"/>
      <c r="BJ77" s="194"/>
      <c r="BK77" s="194"/>
      <c r="BL77" s="194"/>
      <c r="BM77" s="194"/>
      <c r="BN77" s="194"/>
      <c r="BO77" s="194"/>
      <c r="BP77" s="194"/>
      <c r="BQ77" s="194"/>
    </row>
    <row r="78" spans="1:78" s="66" customFormat="1" ht="15" customHeight="1" x14ac:dyDescent="0.3">
      <c r="A78" s="190" t="str">
        <f>'CC detallado'!A78</f>
        <v>2.4</v>
      </c>
      <c r="B78" s="190" t="str">
        <f>'CC detallado'!B78</f>
        <v>C-2</v>
      </c>
      <c r="C78" s="190" t="str">
        <f>'CC detallado'!C78</f>
        <v>-</v>
      </c>
      <c r="D78" s="190" t="str">
        <f>'CC detallado'!D78</f>
        <v>-</v>
      </c>
      <c r="E78" s="190" t="str">
        <f>'CC detallado'!E78</f>
        <v>-</v>
      </c>
      <c r="F78" s="190" t="str">
        <f>'CC detallado'!F78</f>
        <v>-</v>
      </c>
      <c r="G78" s="185" t="str">
        <f>'CC detallado'!G78</f>
        <v xml:space="preserve">Producto 13:  APP de ganado menor operando </v>
      </c>
      <c r="H78" s="187">
        <f>SUM(H79:H82)</f>
        <v>387000</v>
      </c>
      <c r="I78" s="48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  <c r="BN78" s="187"/>
      <c r="BO78" s="187"/>
      <c r="BP78" s="187"/>
      <c r="BQ78" s="187"/>
      <c r="BR78" s="65"/>
      <c r="BS78" s="65"/>
      <c r="BT78" s="65"/>
      <c r="BU78" s="65"/>
      <c r="BV78" s="65"/>
      <c r="BW78" s="65"/>
      <c r="BX78" s="65"/>
      <c r="BY78" s="65"/>
      <c r="BZ78" s="65"/>
    </row>
    <row r="79" spans="1:78" s="65" customFormat="1" ht="15" customHeight="1" outlineLevel="1" x14ac:dyDescent="0.3">
      <c r="A79" s="74" t="str">
        <f>'CC detallado'!A79</f>
        <v>2.4.1</v>
      </c>
      <c r="B79" s="74">
        <f>'CC detallado'!B79</f>
        <v>2</v>
      </c>
      <c r="C79" s="74">
        <f>'CC detallado'!C79</f>
        <v>145</v>
      </c>
      <c r="D79" s="74" t="str">
        <f>'CC detallado'!D79</f>
        <v>CI</v>
      </c>
      <c r="E79" s="74" t="str">
        <f>'CC detallado'!E79</f>
        <v>3CV</v>
      </c>
      <c r="F79" s="74" t="str">
        <f>'CC detallado'!F79</f>
        <v>x Tiempo</v>
      </c>
      <c r="G79" s="166" t="str">
        <f>'CC detallado'!G79</f>
        <v>Coordinador Técnico</v>
      </c>
      <c r="H79" s="153">
        <f>'CC detallado'!M79</f>
        <v>112000</v>
      </c>
      <c r="I79" s="48"/>
      <c r="J79" s="153"/>
      <c r="K79" s="153"/>
      <c r="L79" s="196"/>
      <c r="M79" s="196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  <c r="BI79" s="197"/>
      <c r="BJ79" s="197"/>
      <c r="BK79" s="197"/>
      <c r="BL79" s="197"/>
      <c r="BM79" s="197"/>
      <c r="BN79" s="197"/>
      <c r="BO79" s="197"/>
      <c r="BP79" s="197"/>
      <c r="BQ79" s="197"/>
    </row>
    <row r="80" spans="1:78" s="65" customFormat="1" ht="15" customHeight="1" outlineLevel="1" x14ac:dyDescent="0.3">
      <c r="A80" s="74" t="str">
        <f>'CC detallado'!A80</f>
        <v>2.4.2</v>
      </c>
      <c r="B80" s="74">
        <f>'CC detallado'!B80</f>
        <v>2</v>
      </c>
      <c r="C80" s="74">
        <f>'CC detallado'!C80</f>
        <v>840</v>
      </c>
      <c r="D80" s="74" t="str">
        <f>'CC detallado'!D80</f>
        <v>Tra</v>
      </c>
      <c r="E80" s="74" t="str">
        <f>'CC detallado'!E80</f>
        <v>SD</v>
      </c>
      <c r="F80" s="74" t="str">
        <f>'CC detallado'!F80</f>
        <v>Transf</v>
      </c>
      <c r="G80" s="166" t="str">
        <f>'CC detallado'!G80</f>
        <v>Planes Nacionales de desarrollo para ovinos, caprinos y suinos: convenio con IICA o similar</v>
      </c>
      <c r="H80" s="153">
        <f>'CC detallado'!M80</f>
        <v>250000</v>
      </c>
      <c r="I80" s="48"/>
      <c r="J80" s="153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6"/>
      <c r="AA80" s="196"/>
      <c r="AB80" s="196"/>
      <c r="AC80" s="196"/>
      <c r="AD80" s="196"/>
      <c r="AE80" s="197"/>
      <c r="AF80" s="197"/>
      <c r="AG80" s="197"/>
      <c r="AH80" s="197"/>
      <c r="AI80" s="197"/>
      <c r="AJ80" s="197"/>
      <c r="AK80" s="197"/>
      <c r="AL80" s="197"/>
      <c r="AM80" s="197"/>
      <c r="AN80" s="197"/>
      <c r="AO80" s="197"/>
      <c r="AP80" s="197"/>
      <c r="AQ80" s="197"/>
      <c r="AR80" s="197"/>
      <c r="AS80" s="197"/>
      <c r="AT80" s="197"/>
      <c r="AU80" s="197"/>
      <c r="AV80" s="197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  <c r="BI80" s="195"/>
      <c r="BJ80" s="195"/>
      <c r="BK80" s="195"/>
      <c r="BL80" s="195"/>
      <c r="BM80" s="195"/>
      <c r="BN80" s="195"/>
      <c r="BO80" s="195"/>
      <c r="BP80" s="195"/>
      <c r="BQ80" s="195"/>
    </row>
    <row r="81" spans="1:78" s="65" customFormat="1" ht="15" customHeight="1" outlineLevel="1" x14ac:dyDescent="0.3">
      <c r="A81" s="74" t="str">
        <f>'CC detallado'!A81</f>
        <v>2.4.3</v>
      </c>
      <c r="B81" s="74">
        <f>'CC detallado'!B81</f>
        <v>2</v>
      </c>
      <c r="C81" s="74">
        <f>'CC detallado'!C81</f>
        <v>145</v>
      </c>
      <c r="D81" s="74" t="str">
        <f>'CC detallado'!D81</f>
        <v>CI</v>
      </c>
      <c r="E81" s="74" t="str">
        <f>'CC detallado'!E81</f>
        <v>3CV</v>
      </c>
      <c r="F81" s="74" t="str">
        <f>'CC detallado'!F81</f>
        <v>X Prod</v>
      </c>
      <c r="G81" s="166" t="str">
        <f>'CC detallado'!G81</f>
        <v>Apoyo técnico a certificaciones</v>
      </c>
      <c r="H81" s="153">
        <f>'CC detallado'!M81</f>
        <v>0</v>
      </c>
      <c r="I81" s="48"/>
      <c r="J81" s="153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  <c r="BI81" s="195"/>
      <c r="BJ81" s="195"/>
      <c r="BK81" s="195"/>
      <c r="BL81" s="195"/>
      <c r="BM81" s="195"/>
      <c r="BN81" s="195"/>
      <c r="BO81" s="195"/>
      <c r="BP81" s="195"/>
      <c r="BQ81" s="195"/>
    </row>
    <row r="82" spans="1:78" s="65" customFormat="1" ht="15" customHeight="1" outlineLevel="1" x14ac:dyDescent="0.3">
      <c r="A82" s="74" t="str">
        <f>'CC detallado'!A82</f>
        <v>2.4.4</v>
      </c>
      <c r="B82" s="74">
        <f>'CC detallado'!B82</f>
        <v>2</v>
      </c>
      <c r="C82" s="74">
        <f>'CC detallado'!C82</f>
        <v>280</v>
      </c>
      <c r="D82" s="74" t="str">
        <f>'CC detallado'!D82</f>
        <v>SNC</v>
      </c>
      <c r="E82" s="74" t="str">
        <f>'CC detallado'!E82</f>
        <v>LPI</v>
      </c>
      <c r="F82" s="74" t="str">
        <f>'CC detallado'!F82</f>
        <v>Taller</v>
      </c>
      <c r="G82" s="166" t="str">
        <f>'CC detallado'!G82</f>
        <v>Congresos anuales de ganado menor</v>
      </c>
      <c r="H82" s="153">
        <f>'CC detallado'!M82</f>
        <v>25000</v>
      </c>
      <c r="I82" s="48"/>
      <c r="J82" s="153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7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</row>
    <row r="83" spans="1:78" s="65" customFormat="1" ht="15" customHeight="1" x14ac:dyDescent="0.3">
      <c r="A83" s="190" t="str">
        <f>'CC detallado'!A83</f>
        <v>2.5</v>
      </c>
      <c r="B83" s="190" t="str">
        <f>'CC detallado'!B83</f>
        <v>C-2</v>
      </c>
      <c r="C83" s="190" t="str">
        <f>'CC detallado'!C83</f>
        <v>-</v>
      </c>
      <c r="D83" s="190" t="str">
        <f>'CC detallado'!D83</f>
        <v>-</v>
      </c>
      <c r="E83" s="190" t="str">
        <f>'CC detallado'!E83</f>
        <v>-</v>
      </c>
      <c r="F83" s="190" t="str">
        <f>'CC detallado'!F83</f>
        <v>-</v>
      </c>
      <c r="G83" s="185" t="str">
        <f>'CC detallado'!G83</f>
        <v>Producto 14: Técnicos y productores capacitados en sanidad aplicada a ovinos, caprinos y porcinos</v>
      </c>
      <c r="H83" s="187">
        <f>SUM(H84:H86)</f>
        <v>680000</v>
      </c>
      <c r="I83" s="48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  <c r="AF83" s="187"/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  <c r="BI83" s="187"/>
      <c r="BJ83" s="187"/>
      <c r="BK83" s="187"/>
      <c r="BL83" s="187"/>
      <c r="BM83" s="187"/>
      <c r="BN83" s="187"/>
      <c r="BO83" s="187"/>
      <c r="BP83" s="187"/>
      <c r="BQ83" s="187"/>
    </row>
    <row r="84" spans="1:78" ht="15" customHeight="1" outlineLevel="1" x14ac:dyDescent="0.3">
      <c r="A84" s="74" t="str">
        <f>'CC detallado'!A84</f>
        <v>2.5.1</v>
      </c>
      <c r="B84" s="74">
        <f>'CC detallado'!B84</f>
        <v>2</v>
      </c>
      <c r="C84" s="74">
        <f>'CC detallado'!C84</f>
        <v>145</v>
      </c>
      <c r="D84" s="74" t="str">
        <f>'CC detallado'!D84</f>
        <v>CI</v>
      </c>
      <c r="E84" s="74" t="str">
        <f>'CC detallado'!E84</f>
        <v>3CV</v>
      </c>
      <c r="F84" s="74" t="str">
        <f>'CC detallado'!F84</f>
        <v>X Prod</v>
      </c>
      <c r="G84" s="166" t="str">
        <f>'CC detallado'!G84</f>
        <v>Elaboración de Términos de referencia y borrador de contrato para firmas: capac. Técnicos, capac. Productores</v>
      </c>
      <c r="H84" s="153">
        <f>'CC detallado'!M84</f>
        <v>10000</v>
      </c>
      <c r="J84" s="153"/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5"/>
      <c r="V84" s="195"/>
      <c r="W84" s="196"/>
      <c r="X84" s="196"/>
      <c r="Y84" s="196"/>
      <c r="Z84" s="197"/>
      <c r="AA84" s="197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</row>
    <row r="85" spans="1:78" ht="15" customHeight="1" outlineLevel="1" x14ac:dyDescent="0.3">
      <c r="A85" s="74" t="str">
        <f>'CC detallado'!A85</f>
        <v>2.5.2</v>
      </c>
      <c r="B85" s="74">
        <f>'CC detallado'!B85</f>
        <v>2</v>
      </c>
      <c r="C85" s="74">
        <f>'CC detallado'!C85</f>
        <v>260</v>
      </c>
      <c r="D85" s="74" t="str">
        <f>'CC detallado'!D85</f>
        <v>FC</v>
      </c>
      <c r="E85" s="74" t="str">
        <f>'CC detallado'!E85</f>
        <v>SBCC</v>
      </c>
      <c r="F85" s="74" t="str">
        <f>'CC detallado'!F85</f>
        <v>Capac</v>
      </c>
      <c r="G85" s="166" t="str">
        <f>'CC detallado'!G85</f>
        <v>Contratación firma consultora para capacitación de técnicos (90 tec. Oficiales, 90 privados, 90 acreditación)</v>
      </c>
      <c r="H85" s="153">
        <f>'CC detallado'!M85</f>
        <v>335000</v>
      </c>
      <c r="J85" s="153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6"/>
      <c r="W85" s="196"/>
      <c r="X85" s="196"/>
      <c r="Y85" s="196"/>
      <c r="Z85" s="196"/>
      <c r="AA85" s="196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  <c r="AR85" s="197"/>
      <c r="AS85" s="197"/>
      <c r="AT85" s="197"/>
      <c r="AU85" s="197"/>
      <c r="AV85" s="197"/>
      <c r="AW85" s="197"/>
      <c r="AX85" s="197"/>
      <c r="AY85" s="197"/>
      <c r="AZ85" s="197"/>
      <c r="BA85" s="197"/>
      <c r="BB85" s="197"/>
      <c r="BC85" s="197"/>
      <c r="BD85" s="197"/>
      <c r="BE85" s="197"/>
      <c r="BF85" s="195"/>
      <c r="BG85" s="195"/>
      <c r="BH85" s="195"/>
      <c r="BI85" s="195"/>
      <c r="BJ85" s="195"/>
      <c r="BK85" s="195"/>
      <c r="BL85" s="195"/>
      <c r="BM85" s="195"/>
      <c r="BN85" s="195"/>
      <c r="BO85" s="195"/>
      <c r="BP85" s="195"/>
      <c r="BQ85" s="195"/>
    </row>
    <row r="86" spans="1:78" ht="15" customHeight="1" outlineLevel="1" x14ac:dyDescent="0.3">
      <c r="A86" s="74" t="str">
        <f>'CC detallado'!A86</f>
        <v>2.5.3</v>
      </c>
      <c r="B86" s="74">
        <f>'CC detallado'!B86</f>
        <v>2</v>
      </c>
      <c r="C86" s="74">
        <f>'CC detallado'!C86</f>
        <v>260</v>
      </c>
      <c r="D86" s="74" t="str">
        <f>'CC detallado'!D86</f>
        <v>FC</v>
      </c>
      <c r="E86" s="74" t="str">
        <f>'CC detallado'!E86</f>
        <v>SBCC</v>
      </c>
      <c r="F86" s="74" t="str">
        <f>'CC detallado'!F86</f>
        <v>Capac</v>
      </c>
      <c r="G86" s="166" t="str">
        <f>'CC detallado'!G86</f>
        <v>Contratación firma consultora para capacitación de productores (800 suinos y 800 en ovinos-caprinos)</v>
      </c>
      <c r="H86" s="153">
        <f>'CC detallado'!M86</f>
        <v>335000</v>
      </c>
      <c r="J86" s="153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6"/>
      <c r="AC86" s="196"/>
      <c r="AD86" s="196"/>
      <c r="AE86" s="196"/>
      <c r="AF86" s="196"/>
      <c r="AG86" s="196"/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  <c r="AR86" s="197"/>
      <c r="AS86" s="197"/>
      <c r="AT86" s="197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197"/>
      <c r="BF86" s="197"/>
      <c r="BG86" s="197"/>
      <c r="BH86" s="197"/>
      <c r="BI86" s="197"/>
      <c r="BJ86" s="197"/>
      <c r="BK86" s="197"/>
      <c r="BL86" s="197"/>
      <c r="BM86" s="197"/>
      <c r="BN86" s="197"/>
      <c r="BO86" s="197"/>
      <c r="BP86" s="197"/>
      <c r="BQ86" s="197"/>
    </row>
    <row r="87" spans="1:78" s="57" customFormat="1" ht="15" customHeight="1" x14ac:dyDescent="0.3">
      <c r="A87" s="190" t="str">
        <f>'CC detallado'!A87</f>
        <v>2.6</v>
      </c>
      <c r="B87" s="190" t="str">
        <f>'CC detallado'!B87</f>
        <v>C-2</v>
      </c>
      <c r="C87" s="190" t="str">
        <f>'CC detallado'!C87</f>
        <v>-</v>
      </c>
      <c r="D87" s="190" t="str">
        <f>'CC detallado'!D87</f>
        <v>-</v>
      </c>
      <c r="E87" s="190" t="str">
        <f>'CC detallado'!E87</f>
        <v>-</v>
      </c>
      <c r="F87" s="190" t="str">
        <f>'CC detallado'!F87</f>
        <v>-</v>
      </c>
      <c r="G87" s="185" t="str">
        <f>'CC detallado'!G87</f>
        <v>Producto 15: Eficiencia en la prestación de servicios a usuarios mejorada</v>
      </c>
      <c r="H87" s="187">
        <f>SUM(H88:H94)</f>
        <v>1100000</v>
      </c>
      <c r="I87" s="63"/>
      <c r="J87" s="187"/>
      <c r="K87" s="187"/>
      <c r="L87" s="187"/>
      <c r="M87" s="187"/>
      <c r="N87" s="187"/>
      <c r="O87" s="187"/>
      <c r="P87" s="187"/>
      <c r="Q87" s="187"/>
      <c r="R87" s="187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  <c r="AF87" s="187"/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  <c r="BI87" s="187"/>
      <c r="BJ87" s="187"/>
      <c r="BK87" s="187"/>
      <c r="BL87" s="187"/>
      <c r="BM87" s="187"/>
      <c r="BN87" s="187"/>
      <c r="BO87" s="187"/>
      <c r="BP87" s="187"/>
      <c r="BQ87" s="187"/>
    </row>
    <row r="88" spans="1:78" ht="15" customHeight="1" outlineLevel="1" x14ac:dyDescent="0.3">
      <c r="A88" s="191" t="str">
        <f>'CC detallado'!A88</f>
        <v>2.6.1</v>
      </c>
      <c r="B88" s="191">
        <f>'CC detallado'!B88</f>
        <v>1</v>
      </c>
      <c r="C88" s="191">
        <f>'CC detallado'!C88</f>
        <v>260</v>
      </c>
      <c r="D88" s="191" t="str">
        <f>'CC detallado'!D88</f>
        <v>FC</v>
      </c>
      <c r="E88" s="191" t="str">
        <f>'CC detallado'!E88</f>
        <v>SBCC</v>
      </c>
      <c r="F88" s="191" t="str">
        <f>'CC detallado'!F88</f>
        <v>X Prod</v>
      </c>
      <c r="G88" s="206" t="str">
        <f>'CC detallado'!G88</f>
        <v>Modelado y rediseño de todos los procesos de negocio vinculados a las tramitaciones; revisión de costos y tiempos; diseño de indicadores y medición de línea de base y Plan de fortalecimiento de capacidades</v>
      </c>
      <c r="H88" s="153">
        <f>'CC detallado'!M88</f>
        <v>180000</v>
      </c>
      <c r="J88" s="94"/>
      <c r="K88" s="195"/>
      <c r="L88" s="195"/>
      <c r="M88" s="196"/>
      <c r="N88" s="196"/>
      <c r="O88" s="196"/>
      <c r="P88" s="196"/>
      <c r="Q88" s="196"/>
      <c r="R88" s="196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  <c r="BI88" s="195"/>
      <c r="BJ88" s="195"/>
      <c r="BK88" s="195"/>
      <c r="BL88" s="195"/>
      <c r="BM88" s="195"/>
      <c r="BN88" s="195"/>
      <c r="BO88" s="195"/>
      <c r="BP88" s="195"/>
      <c r="BQ88" s="195"/>
    </row>
    <row r="89" spans="1:78" ht="15" customHeight="1" outlineLevel="1" x14ac:dyDescent="0.3">
      <c r="A89" s="191" t="str">
        <f>'CC detallado'!A89</f>
        <v>2.6.2</v>
      </c>
      <c r="B89" s="191">
        <f>'CC detallado'!B89</f>
        <v>1</v>
      </c>
      <c r="C89" s="191">
        <f>'CC detallado'!C89</f>
        <v>260</v>
      </c>
      <c r="D89" s="191" t="str">
        <f>'CC detallado'!D89</f>
        <v>FC</v>
      </c>
      <c r="E89" s="191" t="str">
        <f>'CC detallado'!E89</f>
        <v>SBCC</v>
      </c>
      <c r="F89" s="191" t="str">
        <f>'CC detallado'!F89</f>
        <v>Sistema</v>
      </c>
      <c r="G89" s="206" t="str">
        <f>'CC detallado'!G89</f>
        <v>Diseño y desarrollo de nuevas prestaciones del SIGOR, plan de seguridad de sistemas y firma electrónica</v>
      </c>
      <c r="H89" s="153">
        <f>'CC detallado'!M89</f>
        <v>605000</v>
      </c>
      <c r="I89" s="76"/>
      <c r="J89" s="94"/>
      <c r="K89" s="195"/>
      <c r="L89" s="195"/>
      <c r="M89" s="195"/>
      <c r="N89" s="195"/>
      <c r="O89" s="195"/>
      <c r="P89" s="195"/>
      <c r="Q89" s="195"/>
      <c r="R89" s="195"/>
      <c r="S89" s="195"/>
      <c r="T89" s="196"/>
      <c r="U89" s="196"/>
      <c r="V89" s="196"/>
      <c r="W89" s="196"/>
      <c r="X89" s="196"/>
      <c r="Y89" s="196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  <c r="BI89" s="195"/>
      <c r="BJ89" s="195"/>
      <c r="BK89" s="195"/>
      <c r="BL89" s="195"/>
      <c r="BM89" s="195"/>
      <c r="BN89" s="195"/>
      <c r="BO89" s="195"/>
      <c r="BP89" s="195"/>
      <c r="BQ89" s="195"/>
    </row>
    <row r="90" spans="1:78" ht="15" customHeight="1" outlineLevel="1" x14ac:dyDescent="0.3">
      <c r="A90" s="191" t="str">
        <f>'CC detallado'!A90</f>
        <v>2.6.3</v>
      </c>
      <c r="B90" s="191">
        <f>'CC detallado'!B90</f>
        <v>1</v>
      </c>
      <c r="C90" s="191">
        <f>'CC detallado'!C90</f>
        <v>260</v>
      </c>
      <c r="D90" s="191" t="str">
        <f>'CC detallado'!D90</f>
        <v>FC</v>
      </c>
      <c r="E90" s="191" t="str">
        <f>'CC detallado'!E90</f>
        <v>SBCC</v>
      </c>
      <c r="F90" s="191" t="str">
        <f>'CC detallado'!F90</f>
        <v>Sistema</v>
      </c>
      <c r="G90" s="206" t="str">
        <f>'CC detallado'!G90</f>
        <v>Integración de información generadas en diferentes áreas para accesibilidad en tiempo real para la toma de decisiones</v>
      </c>
      <c r="H90" s="153">
        <f>'CC detallado'!M90</f>
        <v>100000</v>
      </c>
      <c r="J90" s="70"/>
      <c r="K90" s="195"/>
      <c r="L90" s="195"/>
      <c r="M90" s="195"/>
      <c r="N90" s="195"/>
      <c r="O90" s="195"/>
      <c r="P90" s="195"/>
      <c r="Q90" s="195"/>
      <c r="R90" s="195"/>
      <c r="S90" s="195"/>
      <c r="T90" s="196"/>
      <c r="U90" s="196"/>
      <c r="V90" s="196"/>
      <c r="W90" s="196"/>
      <c r="X90" s="196"/>
      <c r="Y90" s="196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  <c r="BI90" s="195"/>
      <c r="BJ90" s="195"/>
      <c r="BK90" s="195"/>
      <c r="BL90" s="195"/>
      <c r="BM90" s="195"/>
      <c r="BN90" s="195"/>
      <c r="BO90" s="195"/>
      <c r="BP90" s="195"/>
      <c r="BQ90" s="195"/>
    </row>
    <row r="91" spans="1:78" ht="15" customHeight="1" outlineLevel="1" x14ac:dyDescent="0.3">
      <c r="A91" s="191" t="str">
        <f>'CC detallado'!A91</f>
        <v>2.6.4</v>
      </c>
      <c r="B91" s="191">
        <f>'CC detallado'!B91</f>
        <v>1</v>
      </c>
      <c r="C91" s="191">
        <f>'CC detallado'!C91</f>
        <v>145</v>
      </c>
      <c r="D91" s="191" t="str">
        <f>'CC detallado'!D91</f>
        <v>CI</v>
      </c>
      <c r="E91" s="191" t="str">
        <f>'CC detallado'!E91</f>
        <v>3CV</v>
      </c>
      <c r="F91" s="191" t="str">
        <f>'CC detallado'!F91</f>
        <v>X Prod</v>
      </c>
      <c r="G91" s="166" t="str">
        <f>'CC detallado'!G91</f>
        <v>Plan de mejora de los servicios vinculados a la apertura y habilitaciones de mercados.</v>
      </c>
      <c r="H91" s="70">
        <f>'CC detallado'!M91</f>
        <v>30000</v>
      </c>
      <c r="J91" s="70"/>
      <c r="K91" s="195"/>
      <c r="L91" s="195"/>
      <c r="M91" s="195"/>
      <c r="N91" s="196"/>
      <c r="O91" s="196"/>
      <c r="P91" s="196"/>
      <c r="Q91" s="197"/>
      <c r="R91" s="197"/>
      <c r="S91" s="197"/>
      <c r="T91" s="197"/>
      <c r="U91" s="197"/>
      <c r="V91" s="197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  <c r="BI91" s="195"/>
      <c r="BJ91" s="195"/>
      <c r="BK91" s="195"/>
      <c r="BL91" s="195"/>
      <c r="BM91" s="195"/>
      <c r="BN91" s="195"/>
      <c r="BO91" s="195"/>
      <c r="BP91" s="195"/>
      <c r="BQ91" s="195"/>
    </row>
    <row r="92" spans="1:78" s="49" customFormat="1" ht="15" customHeight="1" outlineLevel="1" x14ac:dyDescent="0.3">
      <c r="A92" s="191" t="str">
        <f>'CC detallado'!A92</f>
        <v>2.6.5</v>
      </c>
      <c r="B92" s="191">
        <f>'CC detallado'!B92</f>
        <v>1</v>
      </c>
      <c r="C92" s="191">
        <f>'CC detallado'!C92</f>
        <v>280</v>
      </c>
      <c r="D92" s="191" t="str">
        <f>'CC detallado'!D92</f>
        <v>SNC</v>
      </c>
      <c r="E92" s="191" t="str">
        <f>'CC detallado'!E92</f>
        <v>LPI</v>
      </c>
      <c r="F92" s="191" t="str">
        <f>'CC detallado'!F92</f>
        <v>Taller</v>
      </c>
      <c r="G92" s="166" t="str">
        <f>'CC detallado'!G92</f>
        <v>Inversiones para cubrir brecha de capacidades (capacitaciones al personal, contratación de técnicos, etc.)</v>
      </c>
      <c r="H92" s="70">
        <f>'CC detallado'!M92</f>
        <v>100000</v>
      </c>
      <c r="I92" s="48"/>
      <c r="J92" s="70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6"/>
      <c r="W92" s="196"/>
      <c r="X92" s="196"/>
      <c r="Y92" s="196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/>
      <c r="BQ92" s="197"/>
    </row>
    <row r="93" spans="1:78" s="49" customFormat="1" ht="15" customHeight="1" outlineLevel="1" x14ac:dyDescent="0.3">
      <c r="A93" s="191" t="str">
        <f>'CC detallado'!A93</f>
        <v>2.6.6</v>
      </c>
      <c r="B93" s="191">
        <f>'CC detallado'!B93</f>
        <v>1</v>
      </c>
      <c r="C93" s="191">
        <f>'CC detallado'!C93</f>
        <v>530</v>
      </c>
      <c r="D93" s="191" t="str">
        <f>'CC detallado'!D93</f>
        <v>B</v>
      </c>
      <c r="E93" s="191" t="str">
        <f>'CC detallado'!E93</f>
        <v>SBE</v>
      </c>
      <c r="F93" s="191" t="str">
        <f>'CC detallado'!F93</f>
        <v>Mov Int</v>
      </c>
      <c r="G93" s="166" t="str">
        <f>'CC detallado'!G93</f>
        <v xml:space="preserve">Infraestructura de comunicaciones y equipamiento de unidades zonales para mejorar la disponibilidad, previendo sistemas de redundancia. </v>
      </c>
      <c r="H93" s="70">
        <f>'CC detallado'!M93</f>
        <v>60000</v>
      </c>
      <c r="I93" s="48"/>
      <c r="J93" s="70"/>
      <c r="K93" s="195"/>
      <c r="L93" s="195"/>
      <c r="M93" s="195"/>
      <c r="N93" s="196"/>
      <c r="O93" s="196"/>
      <c r="P93" s="196"/>
      <c r="Q93" s="197"/>
      <c r="R93" s="197"/>
      <c r="S93" s="197"/>
      <c r="T93" s="197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  <c r="BI93" s="195"/>
      <c r="BJ93" s="195"/>
      <c r="BK93" s="195"/>
      <c r="BL93" s="195"/>
      <c r="BM93" s="195"/>
      <c r="BN93" s="195"/>
      <c r="BO93" s="195"/>
      <c r="BP93" s="195"/>
      <c r="BQ93" s="195"/>
    </row>
    <row r="94" spans="1:78" s="49" customFormat="1" ht="15" customHeight="1" outlineLevel="1" x14ac:dyDescent="0.3">
      <c r="A94" s="191" t="str">
        <f>'CC detallado'!A94</f>
        <v>2.6.7</v>
      </c>
      <c r="B94" s="191">
        <f>'CC detallado'!B94</f>
        <v>1</v>
      </c>
      <c r="C94" s="191">
        <f>'CC detallado'!C94</f>
        <v>540</v>
      </c>
      <c r="D94" s="191" t="str">
        <f>'CC detallado'!D94</f>
        <v>B</v>
      </c>
      <c r="E94" s="191" t="str">
        <f>'CC detallado'!E94</f>
        <v>SBE</v>
      </c>
      <c r="F94" s="191" t="str">
        <f>'CC detallado'!F94</f>
        <v>Mov Int</v>
      </c>
      <c r="G94" s="166" t="str">
        <f>'CC detallado'!G94</f>
        <v>Adquisición de nuevas licencias de Bases de Datos</v>
      </c>
      <c r="H94" s="70">
        <f>'CC detallado'!M94</f>
        <v>25000</v>
      </c>
      <c r="I94" s="48"/>
      <c r="J94" s="70"/>
      <c r="K94" s="195"/>
      <c r="L94" s="195"/>
      <c r="M94" s="195"/>
      <c r="N94" s="196"/>
      <c r="O94" s="196"/>
      <c r="P94" s="196"/>
      <c r="Q94" s="197"/>
      <c r="R94" s="197"/>
      <c r="S94" s="197"/>
      <c r="T94" s="197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  <c r="BI94" s="195"/>
      <c r="BJ94" s="195"/>
      <c r="BK94" s="195"/>
      <c r="BL94" s="195"/>
      <c r="BM94" s="195"/>
      <c r="BN94" s="195"/>
      <c r="BO94" s="195"/>
      <c r="BP94" s="195"/>
      <c r="BQ94" s="195"/>
    </row>
    <row r="95" spans="1:78" s="58" customFormat="1" ht="15" customHeight="1" x14ac:dyDescent="0.3">
      <c r="A95" s="193">
        <f>'CC detallado'!A95</f>
        <v>3</v>
      </c>
      <c r="B95" s="193" t="str">
        <f>'CC detallado'!B95</f>
        <v>A-S</v>
      </c>
      <c r="C95" s="193" t="str">
        <f>'CC detallado'!C95</f>
        <v>-</v>
      </c>
      <c r="D95" s="193" t="str">
        <f>'CC detallado'!D95</f>
        <v>-</v>
      </c>
      <c r="E95" s="193" t="str">
        <f>'CC detallado'!E95</f>
        <v>-</v>
      </c>
      <c r="F95" s="193" t="str">
        <f>'CC detallado'!F95</f>
        <v>-</v>
      </c>
      <c r="G95" s="61" t="str">
        <f>'CC detallado'!G95</f>
        <v>Administración y supervisión del programa</v>
      </c>
      <c r="H95" s="93">
        <f>H96</f>
        <v>542000</v>
      </c>
      <c r="I95" s="63">
        <f>H95/$H$112</f>
        <v>3.619123931623932E-2</v>
      </c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93"/>
      <c r="BQ95" s="93"/>
      <c r="BR95" s="57"/>
      <c r="BS95" s="57"/>
      <c r="BT95" s="57"/>
      <c r="BU95" s="57"/>
      <c r="BV95" s="57"/>
      <c r="BW95" s="57"/>
      <c r="BX95" s="57"/>
      <c r="BY95" s="57"/>
      <c r="BZ95" s="57"/>
    </row>
    <row r="96" spans="1:78" s="66" customFormat="1" ht="15" customHeight="1" x14ac:dyDescent="0.3">
      <c r="A96" s="189" t="str">
        <f>'CC detallado'!A96</f>
        <v>3.1</v>
      </c>
      <c r="B96" s="189" t="str">
        <f>'CC detallado'!B96</f>
        <v>-</v>
      </c>
      <c r="C96" s="189" t="str">
        <f>'CC detallado'!C96</f>
        <v>-</v>
      </c>
      <c r="D96" s="189" t="str">
        <f>'CC detallado'!D96</f>
        <v>-</v>
      </c>
      <c r="E96" s="189" t="str">
        <f>'CC detallado'!E96</f>
        <v>-</v>
      </c>
      <c r="F96" s="189" t="str">
        <f>'CC detallado'!F96</f>
        <v>-</v>
      </c>
      <c r="G96" s="185" t="str">
        <f>'CC detallado'!G96</f>
        <v>Unidad Ejecutora</v>
      </c>
      <c r="H96" s="187">
        <f>SUM(H97:H102)</f>
        <v>542000</v>
      </c>
      <c r="I96" s="63">
        <f>H96/$H$112</f>
        <v>3.619123931623932E-2</v>
      </c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  <c r="BI96" s="187"/>
      <c r="BJ96" s="187"/>
      <c r="BK96" s="187"/>
      <c r="BL96" s="187"/>
      <c r="BM96" s="187"/>
      <c r="BN96" s="187"/>
      <c r="BO96" s="187"/>
      <c r="BP96" s="187"/>
      <c r="BQ96" s="187"/>
      <c r="BR96" s="65"/>
      <c r="BS96" s="65"/>
      <c r="BT96" s="65"/>
      <c r="BU96" s="65"/>
      <c r="BV96" s="65"/>
      <c r="BW96" s="65"/>
      <c r="BX96" s="65"/>
      <c r="BY96" s="65"/>
      <c r="BZ96" s="65"/>
    </row>
    <row r="97" spans="1:78" ht="15" customHeight="1" outlineLevel="1" x14ac:dyDescent="0.3">
      <c r="A97" s="67" t="str">
        <f>'CC detallado'!A97</f>
        <v>3.1.1</v>
      </c>
      <c r="B97" s="67" t="str">
        <f>'CC detallado'!B97</f>
        <v>A-S</v>
      </c>
      <c r="C97" s="67">
        <f>'CC detallado'!C97</f>
        <v>145</v>
      </c>
      <c r="D97" s="67" t="str">
        <f>'CC detallado'!D97</f>
        <v>CI</v>
      </c>
      <c r="E97" s="67" t="str">
        <f>'CC detallado'!E97</f>
        <v>3CV</v>
      </c>
      <c r="F97" s="67" t="str">
        <f>'CC detallado'!F97</f>
        <v>x Tiempo</v>
      </c>
      <c r="G97" s="166" t="str">
        <f>'CC detallado'!G97</f>
        <v>Coordinador General del Programa</v>
      </c>
      <c r="H97" s="70">
        <f>'CC detallado'!M97</f>
        <v>150000</v>
      </c>
      <c r="I97" s="63"/>
      <c r="J97" s="197"/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  <c r="BI97" s="197"/>
      <c r="BJ97" s="197"/>
      <c r="BK97" s="197"/>
      <c r="BL97" s="197"/>
      <c r="BM97" s="197"/>
      <c r="BN97" s="197"/>
      <c r="BO97" s="197"/>
      <c r="BP97" s="197"/>
      <c r="BQ97" s="197"/>
    </row>
    <row r="98" spans="1:78" ht="15" customHeight="1" outlineLevel="1" x14ac:dyDescent="0.3">
      <c r="A98" s="67" t="str">
        <f>'CC detallado'!A98</f>
        <v>3.1.2</v>
      </c>
      <c r="B98" s="67" t="str">
        <f>'CC detallado'!B98</f>
        <v>A-S</v>
      </c>
      <c r="C98" s="67">
        <f>'CC detallado'!C98</f>
        <v>145</v>
      </c>
      <c r="D98" s="67" t="str">
        <f>'CC detallado'!D98</f>
        <v>CI</v>
      </c>
      <c r="E98" s="67" t="str">
        <f>'CC detallado'!E98</f>
        <v>3CV</v>
      </c>
      <c r="F98" s="67" t="str">
        <f>'CC detallado'!F98</f>
        <v>x Tiempo</v>
      </c>
      <c r="G98" s="166" t="str">
        <f>'CC detallado'!G98</f>
        <v>Coordinador Componente 1</v>
      </c>
      <c r="H98" s="70">
        <f>'CC detallado'!M98</f>
        <v>118000</v>
      </c>
      <c r="I98" s="63"/>
      <c r="J98" s="196"/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</row>
    <row r="99" spans="1:78" ht="15" customHeight="1" outlineLevel="1" x14ac:dyDescent="0.3">
      <c r="A99" s="67" t="str">
        <f>'CC detallado'!A99</f>
        <v>3.1.4</v>
      </c>
      <c r="B99" s="67" t="str">
        <f>'CC detallado'!B99</f>
        <v>A-S</v>
      </c>
      <c r="C99" s="67">
        <f>'CC detallado'!C99</f>
        <v>145</v>
      </c>
      <c r="D99" s="67" t="str">
        <f>'CC detallado'!D99</f>
        <v>CI</v>
      </c>
      <c r="E99" s="67" t="str">
        <f>'CC detallado'!E99</f>
        <v>3CV</v>
      </c>
      <c r="F99" s="67" t="str">
        <f>'CC detallado'!F99</f>
        <v>x Tiempo</v>
      </c>
      <c r="G99" s="166" t="str">
        <f>'CC detallado'!G99</f>
        <v>Especialista en Planificación y Monitoreo</v>
      </c>
      <c r="H99" s="70">
        <f>'CC detallado'!M99</f>
        <v>106000</v>
      </c>
      <c r="I99" s="63"/>
      <c r="J99" s="196"/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  <c r="BI99" s="197"/>
      <c r="BJ99" s="197"/>
      <c r="BK99" s="197"/>
      <c r="BL99" s="197"/>
      <c r="BM99" s="197"/>
      <c r="BN99" s="197"/>
      <c r="BO99" s="197"/>
      <c r="BP99" s="197"/>
      <c r="BQ99" s="197"/>
    </row>
    <row r="100" spans="1:78" ht="15" customHeight="1" outlineLevel="1" x14ac:dyDescent="0.3">
      <c r="A100" s="67" t="str">
        <f>'CC detallado'!A100</f>
        <v>3.1.5</v>
      </c>
      <c r="B100" s="67" t="str">
        <f>'CC detallado'!B100</f>
        <v>A-S</v>
      </c>
      <c r="C100" s="67">
        <f>'CC detallado'!C100</f>
        <v>145</v>
      </c>
      <c r="D100" s="67" t="str">
        <f>'CC detallado'!D100</f>
        <v>CI</v>
      </c>
      <c r="E100" s="67" t="str">
        <f>'CC detallado'!E100</f>
        <v>3CV</v>
      </c>
      <c r="F100" s="67" t="str">
        <f>'CC detallado'!F100</f>
        <v>x Tiempo</v>
      </c>
      <c r="G100" s="166" t="str">
        <f>'CC detallado'!G100</f>
        <v>Especialista en Adquisiciones y Contrataciones</v>
      </c>
      <c r="H100" s="70">
        <f>'CC detallado'!M100</f>
        <v>96000</v>
      </c>
      <c r="I100" s="63"/>
      <c r="J100" s="196"/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  <c r="BI100" s="197"/>
      <c r="BJ100" s="197"/>
      <c r="BK100" s="197"/>
      <c r="BL100" s="197"/>
      <c r="BM100" s="197"/>
      <c r="BN100" s="197"/>
      <c r="BO100" s="197"/>
      <c r="BP100" s="197"/>
      <c r="BQ100" s="197"/>
    </row>
    <row r="101" spans="1:78" ht="15" customHeight="1" outlineLevel="1" x14ac:dyDescent="0.3">
      <c r="A101" s="67" t="str">
        <f>'CC detallado'!A101</f>
        <v>3.1.6</v>
      </c>
      <c r="B101" s="67" t="str">
        <f>'CC detallado'!B101</f>
        <v>A-S</v>
      </c>
      <c r="C101" s="67">
        <f>'CC detallado'!C101</f>
        <v>145</v>
      </c>
      <c r="D101" s="67" t="str">
        <f>'CC detallado'!D101</f>
        <v>CI</v>
      </c>
      <c r="E101" s="67" t="str">
        <f>'CC detallado'!E101</f>
        <v>3CV</v>
      </c>
      <c r="F101" s="67" t="str">
        <f>'CC detallado'!F101</f>
        <v>x Tiempo</v>
      </c>
      <c r="G101" s="166" t="str">
        <f>'CC detallado'!G101</f>
        <v>Especialista Financiero</v>
      </c>
      <c r="H101" s="70">
        <f>'CC detallado'!M101</f>
        <v>0</v>
      </c>
      <c r="I101" s="63"/>
      <c r="J101" s="196"/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  <c r="BI101" s="197"/>
      <c r="BJ101" s="197"/>
      <c r="BK101" s="197"/>
      <c r="BL101" s="197"/>
      <c r="BM101" s="197"/>
      <c r="BN101" s="197"/>
      <c r="BO101" s="197"/>
      <c r="BP101" s="197"/>
      <c r="BQ101" s="197"/>
    </row>
    <row r="102" spans="1:78" ht="15" customHeight="1" outlineLevel="1" x14ac:dyDescent="0.3">
      <c r="A102" s="67" t="str">
        <f>'CC detallado'!A102</f>
        <v>3.1.7</v>
      </c>
      <c r="B102" s="67" t="str">
        <f>'CC detallado'!B102</f>
        <v>A-S</v>
      </c>
      <c r="C102" s="67">
        <f>'CC detallado'!C102</f>
        <v>145</v>
      </c>
      <c r="D102" s="67" t="str">
        <f>'CC detallado'!D102</f>
        <v>CI</v>
      </c>
      <c r="E102" s="67" t="str">
        <f>'CC detallado'!E102</f>
        <v>3CV</v>
      </c>
      <c r="F102" s="67" t="str">
        <f>'CC detallado'!F102</f>
        <v>x Tiempo</v>
      </c>
      <c r="G102" s="166" t="str">
        <f>'CC detallado'!G102</f>
        <v>Especialista Socioambiental</v>
      </c>
      <c r="H102" s="70">
        <f>'CC detallado'!M102</f>
        <v>72000</v>
      </c>
      <c r="I102" s="63"/>
      <c r="J102" s="196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197"/>
      <c r="BF102" s="197"/>
      <c r="BG102" s="197"/>
      <c r="BH102" s="197"/>
      <c r="BI102" s="197"/>
      <c r="BJ102" s="197"/>
      <c r="BK102" s="197"/>
      <c r="BL102" s="197"/>
      <c r="BM102" s="197"/>
      <c r="BN102" s="197"/>
      <c r="BO102" s="197"/>
      <c r="BP102" s="197"/>
      <c r="BQ102" s="197"/>
    </row>
    <row r="103" spans="1:78" ht="15" customHeight="1" outlineLevel="1" x14ac:dyDescent="0.3">
      <c r="A103" s="67" t="str">
        <f>'CC detallado'!A103</f>
        <v>3.1.8</v>
      </c>
      <c r="B103" s="67">
        <f>'CC detallado'!B103</f>
        <v>0</v>
      </c>
      <c r="C103" s="67">
        <f>'CC detallado'!C103</f>
        <v>0</v>
      </c>
      <c r="D103" s="67">
        <f>'CC detallado'!D103</f>
        <v>0</v>
      </c>
      <c r="E103" s="67">
        <f>'CC detallado'!E103</f>
        <v>0</v>
      </c>
      <c r="F103" s="67">
        <f>'CC detallado'!F103</f>
        <v>0</v>
      </c>
      <c r="G103" s="166" t="str">
        <f>'CC detallado'!G103</f>
        <v>Elaboración de SIGAS</v>
      </c>
      <c r="H103" s="70">
        <f>'CC detallado'!M103</f>
        <v>24000</v>
      </c>
      <c r="I103" s="63"/>
      <c r="J103" s="196"/>
      <c r="K103" s="197"/>
      <c r="L103" s="197"/>
      <c r="M103" s="197"/>
      <c r="N103" s="197"/>
      <c r="O103" s="197"/>
      <c r="P103" s="197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  <c r="BI103" s="195"/>
      <c r="BJ103" s="195"/>
      <c r="BK103" s="195"/>
      <c r="BL103" s="195"/>
      <c r="BM103" s="195"/>
      <c r="BN103" s="195"/>
      <c r="BO103" s="195"/>
      <c r="BP103" s="195"/>
      <c r="BQ103" s="195"/>
    </row>
    <row r="104" spans="1:78" s="58" customFormat="1" ht="15" customHeight="1" x14ac:dyDescent="0.3">
      <c r="A104" s="193">
        <f>'CC detallado'!A104</f>
        <v>4</v>
      </c>
      <c r="B104" s="193" t="str">
        <f>'CC detallado'!B104</f>
        <v>-</v>
      </c>
      <c r="C104" s="193" t="str">
        <f>'CC detallado'!C104</f>
        <v>-</v>
      </c>
      <c r="D104" s="193" t="str">
        <f>'CC detallado'!D104</f>
        <v>-</v>
      </c>
      <c r="E104" s="193" t="str">
        <f>'CC detallado'!E104</f>
        <v>-</v>
      </c>
      <c r="F104" s="193" t="str">
        <f>'CC detallado'!F104</f>
        <v>-</v>
      </c>
      <c r="G104" s="61" t="str">
        <f>'CC detallado'!G104</f>
        <v>Evaluaciones y Auditoria Externas</v>
      </c>
      <c r="H104" s="93">
        <f>H105+H109</f>
        <v>350000</v>
      </c>
      <c r="I104" s="63">
        <f>H104/$H$112</f>
        <v>2.3370726495726496E-2</v>
      </c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  <c r="BH104" s="93"/>
      <c r="BI104" s="93"/>
      <c r="BJ104" s="93"/>
      <c r="BK104" s="93"/>
      <c r="BL104" s="93"/>
      <c r="BM104" s="93"/>
      <c r="BN104" s="93"/>
      <c r="BO104" s="93"/>
      <c r="BP104" s="93"/>
      <c r="BQ104" s="93"/>
      <c r="BR104" s="57"/>
      <c r="BS104" s="57"/>
      <c r="BT104" s="57"/>
      <c r="BU104" s="57"/>
      <c r="BV104" s="57"/>
      <c r="BW104" s="57"/>
      <c r="BX104" s="57"/>
      <c r="BY104" s="57"/>
      <c r="BZ104" s="57"/>
    </row>
    <row r="105" spans="1:78" s="66" customFormat="1" ht="15" customHeight="1" x14ac:dyDescent="0.3">
      <c r="A105" s="190" t="str">
        <f>'CC detallado'!A105</f>
        <v>4.1</v>
      </c>
      <c r="B105" s="190" t="str">
        <f>'CC detallado'!B105</f>
        <v>-</v>
      </c>
      <c r="C105" s="190" t="str">
        <f>'CC detallado'!C105</f>
        <v>-</v>
      </c>
      <c r="D105" s="190" t="str">
        <f>'CC detallado'!D105</f>
        <v>-</v>
      </c>
      <c r="E105" s="190" t="str">
        <f>'CC detallado'!E105</f>
        <v>-</v>
      </c>
      <c r="F105" s="190" t="str">
        <f>'CC detallado'!F105</f>
        <v>-</v>
      </c>
      <c r="G105" s="185" t="str">
        <f>'CC detallado'!G105</f>
        <v>Evaluaciones</v>
      </c>
      <c r="H105" s="187">
        <f>SUM(H106:H108)</f>
        <v>150000</v>
      </c>
      <c r="I105" s="63">
        <f>H105/$H$112</f>
        <v>1.0016025641025642E-2</v>
      </c>
      <c r="J105" s="187"/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  <c r="BI105" s="187"/>
      <c r="BJ105" s="187"/>
      <c r="BK105" s="187"/>
      <c r="BL105" s="187"/>
      <c r="BM105" s="187"/>
      <c r="BN105" s="187"/>
      <c r="BO105" s="187"/>
      <c r="BP105" s="187"/>
      <c r="BQ105" s="187"/>
      <c r="BR105" s="65"/>
      <c r="BS105" s="65"/>
      <c r="BT105" s="65"/>
      <c r="BU105" s="65"/>
      <c r="BV105" s="65"/>
      <c r="BW105" s="65"/>
      <c r="BX105" s="65"/>
      <c r="BY105" s="65"/>
      <c r="BZ105" s="65"/>
    </row>
    <row r="106" spans="1:78" ht="15" customHeight="1" outlineLevel="1" x14ac:dyDescent="0.3">
      <c r="A106" s="67" t="str">
        <f>'CC detallado'!A106</f>
        <v>4.1.1</v>
      </c>
      <c r="B106" s="67" t="str">
        <f>'CC detallado'!B106</f>
        <v>E-A</v>
      </c>
      <c r="C106" s="67">
        <f>'CC detallado'!C106</f>
        <v>260</v>
      </c>
      <c r="D106" s="67" t="str">
        <f>'CC detallado'!D106</f>
        <v>FC</v>
      </c>
      <c r="E106" s="67" t="str">
        <f>'CC detallado'!E106</f>
        <v>SCC</v>
      </c>
      <c r="F106" s="67" t="str">
        <f>'CC detallado'!F106</f>
        <v>Eva</v>
      </c>
      <c r="G106" s="166" t="str">
        <f>'CC detallado'!G106</f>
        <v>Evaluación Intermedia</v>
      </c>
      <c r="H106" s="70">
        <f>'CC detallado'!M106</f>
        <v>20000</v>
      </c>
      <c r="I106" s="63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6"/>
      <c r="AJ106" s="196"/>
      <c r="AK106" s="196"/>
      <c r="AL106" s="196"/>
      <c r="AM106" s="196"/>
      <c r="AN106" s="196"/>
      <c r="AO106" s="197"/>
      <c r="AP106" s="197"/>
      <c r="AQ106" s="197"/>
      <c r="AR106" s="197"/>
      <c r="AS106" s="195"/>
      <c r="AT106" s="195"/>
      <c r="AU106" s="195"/>
      <c r="AV106" s="195"/>
      <c r="AW106" s="195"/>
      <c r="AX106" s="200"/>
      <c r="AY106" s="200"/>
      <c r="AZ106" s="200"/>
      <c r="BA106" s="200"/>
      <c r="BB106" s="200"/>
      <c r="BC106" s="200"/>
      <c r="BD106" s="200"/>
      <c r="BE106" s="200"/>
      <c r="BF106" s="195"/>
      <c r="BG106" s="195"/>
      <c r="BH106" s="195"/>
      <c r="BI106" s="195"/>
      <c r="BJ106" s="195"/>
      <c r="BK106" s="195"/>
      <c r="BL106" s="195"/>
      <c r="BM106" s="195"/>
      <c r="BN106" s="195"/>
      <c r="BO106" s="195"/>
      <c r="BP106" s="195"/>
      <c r="BQ106" s="195"/>
    </row>
    <row r="107" spans="1:78" ht="15" customHeight="1" outlineLevel="1" x14ac:dyDescent="0.3">
      <c r="A107" s="67" t="str">
        <f>'CC detallado'!A107</f>
        <v>4.1.2</v>
      </c>
      <c r="B107" s="67" t="str">
        <f>'CC detallado'!B107</f>
        <v>E-A</v>
      </c>
      <c r="C107" s="67">
        <f>'CC detallado'!C107</f>
        <v>260</v>
      </c>
      <c r="D107" s="67" t="str">
        <f>'CC detallado'!D107</f>
        <v>FC</v>
      </c>
      <c r="E107" s="67" t="str">
        <f>'CC detallado'!E107</f>
        <v>SCC</v>
      </c>
      <c r="F107" s="67" t="str">
        <f>'CC detallado'!F107</f>
        <v>Eva</v>
      </c>
      <c r="G107" s="166" t="str">
        <f>'CC detallado'!G107</f>
        <v>Evaluación Final</v>
      </c>
      <c r="H107" s="70">
        <f>'CC detallado'!M107</f>
        <v>30000</v>
      </c>
      <c r="I107" s="63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6"/>
      <c r="BH107" s="196"/>
      <c r="BI107" s="196"/>
      <c r="BJ107" s="196"/>
      <c r="BK107" s="196"/>
      <c r="BL107" s="196"/>
      <c r="BM107" s="197"/>
      <c r="BN107" s="197"/>
      <c r="BO107" s="197"/>
      <c r="BP107" s="197"/>
      <c r="BQ107" s="195"/>
    </row>
    <row r="108" spans="1:78" ht="15" customHeight="1" outlineLevel="1" x14ac:dyDescent="0.3">
      <c r="A108" s="67" t="str">
        <f>'CC detallado'!A108</f>
        <v>4.1.3</v>
      </c>
      <c r="B108" s="67" t="str">
        <f>'CC detallado'!B108</f>
        <v>E-A</v>
      </c>
      <c r="C108" s="67">
        <f>'CC detallado'!C108</f>
        <v>260</v>
      </c>
      <c r="D108" s="67" t="str">
        <f>'CC detallado'!D108</f>
        <v>FC</v>
      </c>
      <c r="E108" s="67" t="str">
        <f>'CC detallado'!E108</f>
        <v>SCC</v>
      </c>
      <c r="F108" s="67" t="str">
        <f>'CC detallado'!F108</f>
        <v>Eva</v>
      </c>
      <c r="G108" s="166" t="str">
        <f>'CC detallado'!G108</f>
        <v>Evaluación de Impacto</v>
      </c>
      <c r="H108" s="70">
        <f>'CC detallado'!M108</f>
        <v>100000</v>
      </c>
      <c r="I108" s="63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6"/>
      <c r="BH108" s="196"/>
      <c r="BI108" s="196"/>
      <c r="BJ108" s="196"/>
      <c r="BK108" s="196"/>
      <c r="BL108" s="196"/>
      <c r="BM108" s="197"/>
      <c r="BN108" s="197"/>
      <c r="BO108" s="197"/>
      <c r="BP108" s="197"/>
      <c r="BQ108" s="195"/>
    </row>
    <row r="109" spans="1:78" s="66" customFormat="1" ht="15" customHeight="1" x14ac:dyDescent="0.3">
      <c r="A109" s="190" t="str">
        <f>'CC detallado'!A109</f>
        <v>4.2</v>
      </c>
      <c r="B109" s="190" t="str">
        <f>'CC detallado'!B109</f>
        <v>-</v>
      </c>
      <c r="C109" s="190" t="str">
        <f>'CC detallado'!C109</f>
        <v>-</v>
      </c>
      <c r="D109" s="190" t="str">
        <f>'CC detallado'!D109</f>
        <v>-</v>
      </c>
      <c r="E109" s="190" t="str">
        <f>'CC detallado'!E109</f>
        <v>-</v>
      </c>
      <c r="F109" s="190">
        <f>'CC detallado'!F109</f>
        <v>0</v>
      </c>
      <c r="G109" s="185" t="str">
        <f>'CC detallado'!G109</f>
        <v>Auditoria Externa</v>
      </c>
      <c r="H109" s="187">
        <f>H110</f>
        <v>200000</v>
      </c>
      <c r="I109" s="63">
        <f>H109/$H$112</f>
        <v>1.3354700854700854E-2</v>
      </c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  <c r="BI109" s="187"/>
      <c r="BJ109" s="187"/>
      <c r="BK109" s="187"/>
      <c r="BL109" s="187"/>
      <c r="BM109" s="187"/>
      <c r="BN109" s="187"/>
      <c r="BO109" s="187"/>
      <c r="BP109" s="187"/>
      <c r="BQ109" s="187"/>
      <c r="BR109" s="65"/>
      <c r="BS109" s="65"/>
      <c r="BT109" s="65"/>
      <c r="BU109" s="65"/>
      <c r="BV109" s="65"/>
      <c r="BW109" s="65"/>
      <c r="BX109" s="65"/>
      <c r="BY109" s="65"/>
      <c r="BZ109" s="65"/>
    </row>
    <row r="110" spans="1:78" ht="15" customHeight="1" outlineLevel="1" x14ac:dyDescent="0.3">
      <c r="A110" s="67" t="str">
        <f>'CC detallado'!A110</f>
        <v>4.2.1</v>
      </c>
      <c r="B110" s="67" t="str">
        <f>'CC detallado'!B110</f>
        <v>A-E</v>
      </c>
      <c r="C110" s="67">
        <f>'CC detallado'!C110</f>
        <v>260</v>
      </c>
      <c r="D110" s="67" t="str">
        <f>'CC detallado'!D110</f>
        <v>FC</v>
      </c>
      <c r="E110" s="67" t="str">
        <f>'CC detallado'!E110</f>
        <v>SBCC</v>
      </c>
      <c r="F110" s="67" t="str">
        <f>'CC detallado'!F110</f>
        <v>Aud</v>
      </c>
      <c r="G110" s="166" t="str">
        <f>'CC detallado'!G110</f>
        <v>Auditoria Externa del Programa</v>
      </c>
      <c r="H110" s="70">
        <f>'CC detallado'!M110</f>
        <v>200000</v>
      </c>
      <c r="I110" s="63">
        <f>H110/$H$112</f>
        <v>1.3354700854700854E-2</v>
      </c>
      <c r="J110" s="195"/>
      <c r="K110" s="195"/>
      <c r="L110" s="195"/>
      <c r="M110" s="195"/>
      <c r="N110" s="196"/>
      <c r="O110" s="196"/>
      <c r="P110" s="196"/>
      <c r="Q110" s="196"/>
      <c r="R110" s="196"/>
      <c r="S110" s="196"/>
      <c r="T110" s="197"/>
      <c r="U110" s="197"/>
      <c r="V110" s="197"/>
      <c r="W110" s="197"/>
      <c r="X110" s="197"/>
      <c r="Y110" s="197"/>
      <c r="Z110" s="197"/>
      <c r="AA110" s="197"/>
      <c r="AB110" s="197"/>
      <c r="AC110" s="197"/>
      <c r="AD110" s="197"/>
      <c r="AE110" s="197"/>
      <c r="AF110" s="197"/>
      <c r="AG110" s="197"/>
      <c r="AH110" s="197"/>
      <c r="AI110" s="197"/>
      <c r="AJ110" s="197"/>
      <c r="AK110" s="197"/>
      <c r="AL110" s="197"/>
      <c r="AM110" s="197"/>
      <c r="AN110" s="197"/>
      <c r="AO110" s="197"/>
      <c r="AP110" s="197"/>
      <c r="AQ110" s="197"/>
      <c r="AR110" s="197"/>
      <c r="AS110" s="197"/>
      <c r="AT110" s="197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197"/>
      <c r="BF110" s="197"/>
      <c r="BG110" s="197"/>
      <c r="BH110" s="197"/>
      <c r="BI110" s="197"/>
      <c r="BJ110" s="197"/>
      <c r="BK110" s="197"/>
      <c r="BL110" s="197"/>
      <c r="BM110" s="197"/>
      <c r="BN110" s="197"/>
      <c r="BO110" s="197"/>
      <c r="BP110" s="197"/>
      <c r="BQ110" s="195"/>
    </row>
    <row r="111" spans="1:78" s="58" customFormat="1" ht="15" customHeight="1" x14ac:dyDescent="0.3">
      <c r="A111" s="193">
        <f>'CC detallado'!A111</f>
        <v>5</v>
      </c>
      <c r="B111" s="193" t="str">
        <f>'CC detallado'!B111</f>
        <v>Imp</v>
      </c>
      <c r="C111" s="193" t="str">
        <f>'CC detallado'!C111</f>
        <v>-</v>
      </c>
      <c r="D111" s="193" t="str">
        <f>'CC detallado'!D111</f>
        <v>-</v>
      </c>
      <c r="E111" s="193" t="str">
        <f>'CC detallado'!E111</f>
        <v>-</v>
      </c>
      <c r="F111" s="193" t="str">
        <f>'CC detallado'!F111</f>
        <v>-</v>
      </c>
      <c r="G111" s="61" t="str">
        <f>'CC detallado'!G111</f>
        <v>Imprevistos</v>
      </c>
      <c r="H111" s="93">
        <f>'CC detallado'!M111</f>
        <v>150000</v>
      </c>
      <c r="I111" s="63">
        <f>H111/$H$112</f>
        <v>1.0016025641025642E-2</v>
      </c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  <c r="BN111" s="77"/>
      <c r="BO111" s="77"/>
      <c r="BP111" s="77"/>
      <c r="BQ111" s="77"/>
      <c r="BR111" s="57"/>
      <c r="BS111" s="57"/>
      <c r="BT111" s="57"/>
      <c r="BU111" s="57"/>
      <c r="BV111" s="57"/>
      <c r="BW111" s="57"/>
      <c r="BX111" s="57"/>
      <c r="BY111" s="57"/>
      <c r="BZ111" s="57"/>
    </row>
    <row r="112" spans="1:78" s="58" customFormat="1" ht="15" customHeight="1" x14ac:dyDescent="0.3">
      <c r="A112" s="193" t="str">
        <f>'CC detallado'!A112</f>
        <v>-</v>
      </c>
      <c r="B112" s="193" t="str">
        <f>'CC detallado'!B112</f>
        <v>-</v>
      </c>
      <c r="C112" s="193" t="str">
        <f>'CC detallado'!C112</f>
        <v>-</v>
      </c>
      <c r="D112" s="193" t="str">
        <f>'CC detallado'!D112</f>
        <v>-</v>
      </c>
      <c r="E112" s="193" t="str">
        <f>'CC detallado'!E112</f>
        <v>-</v>
      </c>
      <c r="F112" s="193" t="str">
        <f>'CC detallado'!F112</f>
        <v>-</v>
      </c>
      <c r="G112" s="61" t="str">
        <f>'CC detallado'!G112</f>
        <v>Total</v>
      </c>
      <c r="H112" s="93">
        <f>H5+H53+H95+H104+H111</f>
        <v>14976000</v>
      </c>
      <c r="I112" s="56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3"/>
      <c r="BN112" s="93"/>
      <c r="BO112" s="93"/>
      <c r="BP112" s="93"/>
      <c r="BQ112" s="93"/>
      <c r="BR112" s="57"/>
      <c r="BS112" s="57"/>
      <c r="BT112" s="57"/>
      <c r="BU112" s="57"/>
      <c r="BV112" s="57"/>
      <c r="BW112" s="57"/>
      <c r="BX112" s="57"/>
      <c r="BY112" s="57"/>
      <c r="BZ112" s="57"/>
    </row>
    <row r="113" spans="8:8" ht="15" customHeight="1" x14ac:dyDescent="0.3">
      <c r="H113" s="83">
        <f>15000000-H112</f>
        <v>24000</v>
      </c>
    </row>
  </sheetData>
  <autoFilter ref="A4:H113" xr:uid="{00000000-0009-0000-0000-000007000000}"/>
  <mergeCells count="7">
    <mergeCell ref="BF3:BQ3"/>
    <mergeCell ref="A1:H1"/>
    <mergeCell ref="A3:H3"/>
    <mergeCell ref="J3:U3"/>
    <mergeCell ref="V3:AG3"/>
    <mergeCell ref="AH3:AS3"/>
    <mergeCell ref="AT3:B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S136"/>
  <sheetViews>
    <sheetView showGridLines="0" topLeftCell="B1" zoomScale="70" zoomScaleNormal="70" zoomScaleSheetLayoutView="50" workbookViewId="0">
      <selection activeCell="B1" sqref="B1:O1"/>
    </sheetView>
  </sheetViews>
  <sheetFormatPr defaultColWidth="9.109375" defaultRowHeight="13.2" outlineLevelRow="1" x14ac:dyDescent="0.3"/>
  <cols>
    <col min="1" max="1" width="6" style="96" hidden="1" customWidth="1"/>
    <col min="2" max="2" width="12.5546875" style="96" customWidth="1"/>
    <col min="3" max="3" width="42.88671875" style="102" customWidth="1"/>
    <col min="4" max="4" width="15.109375" style="99" customWidth="1"/>
    <col min="5" max="5" width="17.5546875" style="96" customWidth="1"/>
    <col min="6" max="6" width="9.44140625" style="96" customWidth="1"/>
    <col min="7" max="7" width="12.88671875" style="97" customWidth="1"/>
    <col min="8" max="8" width="16.109375" style="96" customWidth="1"/>
    <col min="9" max="9" width="13.6640625" style="96" customWidth="1"/>
    <col min="10" max="10" width="14.44140625" style="96" customWidth="1"/>
    <col min="11" max="11" width="17.5546875" style="96" customWidth="1"/>
    <col min="12" max="12" width="17.88671875" style="98" customWidth="1"/>
    <col min="13" max="13" width="18.109375" style="98" customWidth="1"/>
    <col min="14" max="14" width="18.44140625" style="99" customWidth="1"/>
    <col min="15" max="15" width="31.77734375" style="99" customWidth="1"/>
    <col min="16" max="201" width="9.109375" style="100"/>
    <col min="202" max="16384" width="9.109375" style="96"/>
  </cols>
  <sheetData>
    <row r="1" spans="1:15" x14ac:dyDescent="0.25">
      <c r="B1" s="412" t="s">
        <v>754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</row>
    <row r="2" spans="1:15" x14ac:dyDescent="0.25">
      <c r="B2" s="412" t="s">
        <v>343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</row>
    <row r="3" spans="1:15" x14ac:dyDescent="0.25">
      <c r="B3" s="101" t="s">
        <v>344</v>
      </c>
    </row>
    <row r="4" spans="1:15" x14ac:dyDescent="0.25">
      <c r="B4" s="101" t="s">
        <v>345</v>
      </c>
    </row>
    <row r="5" spans="1:15" x14ac:dyDescent="0.25">
      <c r="B5" s="101"/>
    </row>
    <row r="6" spans="1:15" s="100" customFormat="1" ht="13.2" customHeight="1" x14ac:dyDescent="0.3">
      <c r="A6" s="96"/>
      <c r="B6" s="356" t="s">
        <v>346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8"/>
      <c r="O6" s="233"/>
    </row>
    <row r="7" spans="1:15" s="100" customFormat="1" x14ac:dyDescent="0.3">
      <c r="A7" s="96"/>
      <c r="B7" s="356" t="s">
        <v>347</v>
      </c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8"/>
      <c r="O7" s="253"/>
    </row>
    <row r="8" spans="1:15" s="100" customFormat="1" ht="13.2" customHeight="1" x14ac:dyDescent="0.3">
      <c r="A8" s="96"/>
      <c r="B8" s="347" t="s">
        <v>348</v>
      </c>
      <c r="C8" s="348" t="s">
        <v>349</v>
      </c>
      <c r="D8" s="348" t="s">
        <v>640</v>
      </c>
      <c r="E8" s="347" t="s">
        <v>350</v>
      </c>
      <c r="F8" s="347" t="s">
        <v>351</v>
      </c>
      <c r="G8" s="349" t="s">
        <v>352</v>
      </c>
      <c r="H8" s="350" t="s">
        <v>353</v>
      </c>
      <c r="I8" s="350"/>
      <c r="J8" s="350"/>
      <c r="K8" s="347" t="s">
        <v>354</v>
      </c>
      <c r="L8" s="351" t="s">
        <v>355</v>
      </c>
      <c r="M8" s="347" t="s">
        <v>356</v>
      </c>
      <c r="N8" s="347"/>
      <c r="O8" s="374" t="s">
        <v>357</v>
      </c>
    </row>
    <row r="9" spans="1:15" s="100" customFormat="1" ht="39.6" x14ac:dyDescent="0.3">
      <c r="A9" s="96"/>
      <c r="B9" s="347"/>
      <c r="C9" s="348"/>
      <c r="D9" s="348"/>
      <c r="E9" s="347"/>
      <c r="F9" s="347"/>
      <c r="G9" s="349"/>
      <c r="H9" s="215" t="s">
        <v>358</v>
      </c>
      <c r="I9" s="215" t="s">
        <v>359</v>
      </c>
      <c r="J9" s="215" t="s">
        <v>360</v>
      </c>
      <c r="K9" s="347"/>
      <c r="L9" s="351"/>
      <c r="M9" s="216" t="s">
        <v>361</v>
      </c>
      <c r="N9" s="217" t="s">
        <v>362</v>
      </c>
      <c r="O9" s="354"/>
    </row>
    <row r="10" spans="1:15" s="100" customFormat="1" ht="21" customHeight="1" outlineLevel="1" x14ac:dyDescent="0.3">
      <c r="A10" s="96"/>
      <c r="B10" s="378" t="s">
        <v>411</v>
      </c>
      <c r="C10" s="375" t="s">
        <v>634</v>
      </c>
      <c r="D10" s="211" t="str">
        <f>'CC detallado'!A36</f>
        <v>1.6.1</v>
      </c>
      <c r="E10" s="381" t="str">
        <f>'CC detallado'!E36</f>
        <v>LPI</v>
      </c>
      <c r="F10" s="381">
        <v>17</v>
      </c>
      <c r="G10" s="384">
        <v>1</v>
      </c>
      <c r="H10" s="381">
        <f>'CC detallado'!M36+'CC detallado'!M37+'CC detallado'!M38</f>
        <v>3380000</v>
      </c>
      <c r="I10" s="387">
        <v>1</v>
      </c>
      <c r="J10" s="390">
        <v>0</v>
      </c>
      <c r="K10" s="393" t="s">
        <v>125</v>
      </c>
      <c r="L10" s="393" t="s">
        <v>377</v>
      </c>
      <c r="M10" s="396" t="s">
        <v>638</v>
      </c>
      <c r="N10" s="396" t="s">
        <v>639</v>
      </c>
      <c r="O10" s="409"/>
    </row>
    <row r="11" spans="1:15" s="100" customFormat="1" ht="21" customHeight="1" outlineLevel="1" x14ac:dyDescent="0.3">
      <c r="A11" s="96"/>
      <c r="B11" s="379"/>
      <c r="C11" s="376"/>
      <c r="D11" s="212" t="str">
        <f>'CC detallado'!A37</f>
        <v>1.6.2</v>
      </c>
      <c r="E11" s="382"/>
      <c r="F11" s="382"/>
      <c r="G11" s="385"/>
      <c r="H11" s="382"/>
      <c r="I11" s="388"/>
      <c r="J11" s="391"/>
      <c r="K11" s="394"/>
      <c r="L11" s="394"/>
      <c r="M11" s="397"/>
      <c r="N11" s="397"/>
      <c r="O11" s="410"/>
    </row>
    <row r="12" spans="1:15" s="100" customFormat="1" ht="21" customHeight="1" outlineLevel="1" x14ac:dyDescent="0.3">
      <c r="A12" s="96"/>
      <c r="B12" s="380"/>
      <c r="C12" s="377"/>
      <c r="D12" s="212" t="str">
        <f>'CC detallado'!A38</f>
        <v>1.6.3</v>
      </c>
      <c r="E12" s="383"/>
      <c r="F12" s="383"/>
      <c r="G12" s="386"/>
      <c r="H12" s="383"/>
      <c r="I12" s="389"/>
      <c r="J12" s="392"/>
      <c r="K12" s="395"/>
      <c r="L12" s="395"/>
      <c r="M12" s="398"/>
      <c r="N12" s="398"/>
      <c r="O12" s="411"/>
    </row>
    <row r="13" spans="1:15" s="100" customFormat="1" x14ac:dyDescent="0.3">
      <c r="A13" s="96"/>
      <c r="B13" s="346" t="s">
        <v>363</v>
      </c>
      <c r="C13" s="346"/>
      <c r="D13" s="346"/>
      <c r="E13" s="346"/>
      <c r="F13" s="346"/>
      <c r="G13" s="346"/>
      <c r="H13" s="231">
        <f>SUM(H10:H10)</f>
        <v>3380000</v>
      </c>
      <c r="I13" s="232"/>
      <c r="J13" s="232"/>
      <c r="K13" s="232"/>
      <c r="L13" s="232"/>
      <c r="M13" s="232"/>
      <c r="N13" s="232"/>
      <c r="O13" s="262"/>
    </row>
    <row r="14" spans="1:15" s="100" customFormat="1" x14ac:dyDescent="0.3">
      <c r="A14" s="96"/>
      <c r="B14" s="96"/>
      <c r="C14" s="102"/>
      <c r="D14" s="99"/>
      <c r="E14" s="96"/>
      <c r="F14" s="96"/>
      <c r="G14" s="97"/>
      <c r="H14" s="96"/>
      <c r="I14" s="96"/>
      <c r="J14" s="96"/>
      <c r="K14" s="96"/>
      <c r="L14" s="98"/>
      <c r="M14" s="98"/>
      <c r="N14" s="99"/>
      <c r="O14" s="99"/>
    </row>
    <row r="15" spans="1:15" s="100" customFormat="1" x14ac:dyDescent="0.3">
      <c r="A15" s="96"/>
      <c r="B15" s="356" t="s">
        <v>364</v>
      </c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8"/>
      <c r="O15" s="253"/>
    </row>
    <row r="16" spans="1:15" s="100" customFormat="1" ht="13.2" customHeight="1" x14ac:dyDescent="0.3">
      <c r="A16" s="96"/>
      <c r="B16" s="347" t="s">
        <v>348</v>
      </c>
      <c r="C16" s="348" t="s">
        <v>349</v>
      </c>
      <c r="D16" s="348" t="s">
        <v>640</v>
      </c>
      <c r="E16" s="347" t="s">
        <v>365</v>
      </c>
      <c r="F16" s="347" t="s">
        <v>351</v>
      </c>
      <c r="G16" s="349" t="s">
        <v>352</v>
      </c>
      <c r="H16" s="350" t="s">
        <v>353</v>
      </c>
      <c r="I16" s="350"/>
      <c r="J16" s="350"/>
      <c r="K16" s="347" t="s">
        <v>354</v>
      </c>
      <c r="L16" s="351" t="s">
        <v>355</v>
      </c>
      <c r="M16" s="347" t="s">
        <v>356</v>
      </c>
      <c r="N16" s="347"/>
      <c r="O16" s="374" t="s">
        <v>357</v>
      </c>
    </row>
    <row r="17" spans="1:201" s="100" customFormat="1" ht="39.6" x14ac:dyDescent="0.3">
      <c r="A17" s="96"/>
      <c r="B17" s="347"/>
      <c r="C17" s="348"/>
      <c r="D17" s="348"/>
      <c r="E17" s="347"/>
      <c r="F17" s="347"/>
      <c r="G17" s="349"/>
      <c r="H17" s="215" t="s">
        <v>358</v>
      </c>
      <c r="I17" s="215" t="s">
        <v>359</v>
      </c>
      <c r="J17" s="215" t="s">
        <v>360</v>
      </c>
      <c r="K17" s="347"/>
      <c r="L17" s="351"/>
      <c r="M17" s="216" t="s">
        <v>361</v>
      </c>
      <c r="N17" s="217" t="s">
        <v>362</v>
      </c>
      <c r="O17" s="354"/>
    </row>
    <row r="18" spans="1:201" s="100" customFormat="1" ht="28.2" customHeight="1" outlineLevel="1" x14ac:dyDescent="0.3">
      <c r="A18" s="103"/>
      <c r="B18" s="246" t="s">
        <v>411</v>
      </c>
      <c r="C18" s="219" t="str">
        <f>'CC detallado'!G13</f>
        <v>Adquisición de equipos</v>
      </c>
      <c r="D18" s="260" t="str">
        <f>'CC detallado'!A13</f>
        <v>1.2.2</v>
      </c>
      <c r="E18" s="221" t="str">
        <f>'CC detallado'!E13</f>
        <v>LPI</v>
      </c>
      <c r="F18" s="211"/>
      <c r="G18" s="222">
        <f>G10+1</f>
        <v>2</v>
      </c>
      <c r="H18" s="223">
        <f>'CC detallado'!M13</f>
        <v>330000</v>
      </c>
      <c r="I18" s="224">
        <v>1</v>
      </c>
      <c r="J18" s="225">
        <v>0</v>
      </c>
      <c r="K18" s="211" t="s">
        <v>125</v>
      </c>
      <c r="L18" s="211" t="s">
        <v>377</v>
      </c>
      <c r="M18" s="226" t="s">
        <v>639</v>
      </c>
      <c r="N18" s="226" t="s">
        <v>641</v>
      </c>
      <c r="O18" s="255"/>
    </row>
    <row r="19" spans="1:201" s="100" customFormat="1" ht="28.2" customHeight="1" outlineLevel="1" x14ac:dyDescent="0.3">
      <c r="A19" s="103"/>
      <c r="B19" s="246" t="s">
        <v>411</v>
      </c>
      <c r="C19" s="219" t="str">
        <f>'CC detallado'!G21</f>
        <v>Equipamientos puntos de ingreso y puestos de control</v>
      </c>
      <c r="D19" s="260" t="str">
        <f>'CC detallado'!A21</f>
        <v>1.3.5</v>
      </c>
      <c r="E19" s="221" t="str">
        <f>'CC detallado'!E21</f>
        <v>LPN</v>
      </c>
      <c r="F19" s="211"/>
      <c r="G19" s="222">
        <f>G18+1</f>
        <v>3</v>
      </c>
      <c r="H19" s="223">
        <f>'CC detallado'!M21</f>
        <v>100000</v>
      </c>
      <c r="I19" s="224">
        <v>1</v>
      </c>
      <c r="J19" s="225">
        <v>0</v>
      </c>
      <c r="K19" s="211" t="s">
        <v>125</v>
      </c>
      <c r="L19" s="211" t="s">
        <v>377</v>
      </c>
      <c r="M19" s="226" t="s">
        <v>643</v>
      </c>
      <c r="N19" s="226" t="s">
        <v>645</v>
      </c>
      <c r="O19" s="255"/>
    </row>
    <row r="20" spans="1:201" s="100" customFormat="1" ht="28.2" customHeight="1" outlineLevel="1" x14ac:dyDescent="0.3">
      <c r="A20" s="103"/>
      <c r="B20" s="218" t="s">
        <v>411</v>
      </c>
      <c r="C20" s="219" t="str">
        <f>'CC detallado'!G27</f>
        <v>Equipamiento de depósitos de productos de emergencia</v>
      </c>
      <c r="D20" s="260" t="str">
        <f>'CC detallado'!A27</f>
        <v>1.4.5</v>
      </c>
      <c r="E20" s="221" t="str">
        <f>'CC detallado'!E27</f>
        <v>SBE</v>
      </c>
      <c r="F20" s="211"/>
      <c r="G20" s="222">
        <f t="shared" ref="G20:G28" si="0">G19+1</f>
        <v>4</v>
      </c>
      <c r="H20" s="223">
        <f>'CC detallado'!M27</f>
        <v>60000</v>
      </c>
      <c r="I20" s="224">
        <v>1</v>
      </c>
      <c r="J20" s="225">
        <v>0</v>
      </c>
      <c r="K20" s="211" t="s">
        <v>125</v>
      </c>
      <c r="L20" s="211" t="s">
        <v>377</v>
      </c>
      <c r="M20" s="226" t="s">
        <v>643</v>
      </c>
      <c r="N20" s="226" t="s">
        <v>645</v>
      </c>
      <c r="O20" s="255"/>
    </row>
    <row r="21" spans="1:201" s="100" customFormat="1" ht="28.2" customHeight="1" outlineLevel="1" x14ac:dyDescent="0.3">
      <c r="A21" s="103"/>
      <c r="B21" s="218" t="s">
        <v>411</v>
      </c>
      <c r="C21" s="219" t="str">
        <f>'CC detallado'!G28</f>
        <v>Insumos de ejercicios de simulación</v>
      </c>
      <c r="D21" s="260" t="str">
        <f>'CC detallado'!A28</f>
        <v>1.4.6</v>
      </c>
      <c r="E21" s="221" t="str">
        <f>'CC detallado'!E28</f>
        <v>LPN</v>
      </c>
      <c r="F21" s="211"/>
      <c r="G21" s="222">
        <f t="shared" si="0"/>
        <v>5</v>
      </c>
      <c r="H21" s="223">
        <f>'CC detallado'!M28</f>
        <v>150000</v>
      </c>
      <c r="I21" s="224">
        <v>1</v>
      </c>
      <c r="J21" s="225">
        <v>0</v>
      </c>
      <c r="K21" s="211" t="s">
        <v>125</v>
      </c>
      <c r="L21" s="211" t="s">
        <v>377</v>
      </c>
      <c r="M21" s="226" t="s">
        <v>647</v>
      </c>
      <c r="N21" s="226" t="s">
        <v>638</v>
      </c>
      <c r="O21" s="255"/>
    </row>
    <row r="22" spans="1:201" s="100" customFormat="1" ht="28.2" customHeight="1" outlineLevel="1" x14ac:dyDescent="0.3">
      <c r="A22" s="103"/>
      <c r="B22" s="218" t="s">
        <v>411</v>
      </c>
      <c r="C22" s="219" t="str">
        <f>'CC detallado'!G29</f>
        <v>Formación Banco de vacunas de Fiebre aftosa</v>
      </c>
      <c r="D22" s="260" t="str">
        <f>'CC detallado'!A29</f>
        <v>1.4.7</v>
      </c>
      <c r="E22" s="221" t="str">
        <f>'CC detallado'!E29</f>
        <v>LPI</v>
      </c>
      <c r="F22" s="211"/>
      <c r="G22" s="222">
        <f t="shared" si="0"/>
        <v>6</v>
      </c>
      <c r="H22" s="223">
        <f>'CC detallado'!M29</f>
        <v>100000</v>
      </c>
      <c r="I22" s="224">
        <v>1</v>
      </c>
      <c r="J22" s="225">
        <v>0</v>
      </c>
      <c r="K22" s="211" t="s">
        <v>125</v>
      </c>
      <c r="L22" s="211" t="s">
        <v>377</v>
      </c>
      <c r="M22" s="226" t="s">
        <v>648</v>
      </c>
      <c r="N22" s="226" t="s">
        <v>650</v>
      </c>
      <c r="O22" s="255"/>
    </row>
    <row r="23" spans="1:201" s="100" customFormat="1" ht="28.2" customHeight="1" outlineLevel="1" x14ac:dyDescent="0.3">
      <c r="A23" s="103"/>
      <c r="B23" s="218" t="s">
        <v>411</v>
      </c>
      <c r="C23" s="219" t="str">
        <f>'CC detallado'!G33</f>
        <v>Adquisición de equipamiento para DIGELAB.57 ítems</v>
      </c>
      <c r="D23" s="260" t="str">
        <f>'CC detallado'!A33</f>
        <v>1.5.3</v>
      </c>
      <c r="E23" s="221" t="str">
        <f>'CC detallado'!E33</f>
        <v>LPI</v>
      </c>
      <c r="F23" s="211"/>
      <c r="G23" s="222">
        <f t="shared" si="0"/>
        <v>7</v>
      </c>
      <c r="H23" s="223">
        <f>'CC detallado'!M33</f>
        <v>2307500</v>
      </c>
      <c r="I23" s="224">
        <v>1</v>
      </c>
      <c r="J23" s="225">
        <v>0</v>
      </c>
      <c r="K23" s="211" t="s">
        <v>125</v>
      </c>
      <c r="L23" s="211" t="s">
        <v>377</v>
      </c>
      <c r="M23" s="226" t="s">
        <v>638</v>
      </c>
      <c r="N23" s="226" t="s">
        <v>641</v>
      </c>
      <c r="O23" s="254"/>
    </row>
    <row r="24" spans="1:201" s="100" customFormat="1" ht="28.2" customHeight="1" outlineLevel="1" x14ac:dyDescent="0.3">
      <c r="A24" s="103"/>
      <c r="B24" s="218" t="s">
        <v>411</v>
      </c>
      <c r="C24" s="219" t="str">
        <f>'CC detallado'!G40</f>
        <v>Controles Móviles</v>
      </c>
      <c r="D24" s="260" t="str">
        <f>'CC detallado'!A40</f>
        <v>1.6.5</v>
      </c>
      <c r="E24" s="221" t="str">
        <f>'CC detallado'!E40</f>
        <v>LPI</v>
      </c>
      <c r="F24" s="211"/>
      <c r="G24" s="222">
        <f t="shared" si="0"/>
        <v>8</v>
      </c>
      <c r="H24" s="223">
        <f>'CC detallado'!M40</f>
        <v>300000</v>
      </c>
      <c r="I24" s="224">
        <v>1</v>
      </c>
      <c r="J24" s="225">
        <v>0</v>
      </c>
      <c r="K24" s="211" t="s">
        <v>125</v>
      </c>
      <c r="L24" s="211" t="s">
        <v>377</v>
      </c>
      <c r="M24" s="226" t="s">
        <v>639</v>
      </c>
      <c r="N24" s="226" t="s">
        <v>649</v>
      </c>
      <c r="O24" s="255"/>
    </row>
    <row r="25" spans="1:201" ht="28.2" customHeight="1" outlineLevel="1" x14ac:dyDescent="0.3">
      <c r="B25" s="218" t="s">
        <v>411</v>
      </c>
      <c r="C25" s="227" t="str">
        <f>'CC detallado'!G49</f>
        <v>Toma de muestra de hallazgos de matadero y envío a laboratorio</v>
      </c>
      <c r="D25" s="214" t="str">
        <f>'CC detallado'!A49</f>
        <v>1.8.3</v>
      </c>
      <c r="E25" s="218" t="str">
        <f>'CC detallado'!E49</f>
        <v>CP</v>
      </c>
      <c r="F25" s="214"/>
      <c r="G25" s="222">
        <f t="shared" si="0"/>
        <v>9</v>
      </c>
      <c r="H25" s="221">
        <f>'CC detallado'!M49</f>
        <v>20000</v>
      </c>
      <c r="I25" s="224">
        <v>1</v>
      </c>
      <c r="J25" s="225">
        <v>0</v>
      </c>
      <c r="K25" s="211" t="s">
        <v>125</v>
      </c>
      <c r="L25" s="211" t="s">
        <v>377</v>
      </c>
      <c r="M25" s="229" t="s">
        <v>644</v>
      </c>
      <c r="N25" s="214" t="s">
        <v>652</v>
      </c>
      <c r="O25" s="228"/>
    </row>
    <row r="26" spans="1:201" s="100" customFormat="1" ht="28.2" customHeight="1" outlineLevel="1" x14ac:dyDescent="0.3">
      <c r="A26" s="103"/>
      <c r="B26" s="218" t="s">
        <v>411</v>
      </c>
      <c r="C26" s="219" t="str">
        <f>'CC detallado'!G65</f>
        <v>Vacunación brucelosis caprina</v>
      </c>
      <c r="D26" s="214" t="str">
        <f>'CC detallado'!A65</f>
        <v>2.2.5</v>
      </c>
      <c r="E26" s="246" t="str">
        <f>'CC detallado'!E65</f>
        <v>LPN</v>
      </c>
      <c r="F26" s="211"/>
      <c r="G26" s="222">
        <f t="shared" si="0"/>
        <v>10</v>
      </c>
      <c r="H26" s="221">
        <f>'CC detallado'!M65</f>
        <v>95000</v>
      </c>
      <c r="I26" s="224">
        <v>1</v>
      </c>
      <c r="J26" s="225">
        <v>0</v>
      </c>
      <c r="K26" s="211" t="s">
        <v>125</v>
      </c>
      <c r="L26" s="211" t="s">
        <v>377</v>
      </c>
      <c r="M26" s="226" t="s">
        <v>653</v>
      </c>
      <c r="N26" s="226" t="s">
        <v>642</v>
      </c>
      <c r="O26" s="256"/>
    </row>
    <row r="27" spans="1:201" s="104" customFormat="1" ht="28.2" customHeight="1" outlineLevel="1" x14ac:dyDescent="0.3">
      <c r="A27" s="96"/>
      <c r="B27" s="218" t="s">
        <v>411</v>
      </c>
      <c r="C27" s="219" t="str">
        <f>'CC detallado'!G66</f>
        <v>Kits y materiales (938 para ovinos, 4.583 de suinos, 730 de caprinos)</v>
      </c>
      <c r="D27" s="214" t="str">
        <f>'CC detallado'!A66</f>
        <v>2.2.6</v>
      </c>
      <c r="E27" s="246" t="str">
        <f>'CC detallado'!E66</f>
        <v>LPI</v>
      </c>
      <c r="F27" s="222"/>
      <c r="G27" s="222">
        <f t="shared" si="0"/>
        <v>11</v>
      </c>
      <c r="H27" s="221">
        <f>'CC detallado'!M66</f>
        <v>250000</v>
      </c>
      <c r="I27" s="224">
        <v>1</v>
      </c>
      <c r="J27" s="225">
        <v>0</v>
      </c>
      <c r="K27" s="211" t="s">
        <v>125</v>
      </c>
      <c r="L27" s="211" t="s">
        <v>377</v>
      </c>
      <c r="M27" s="229" t="s">
        <v>642</v>
      </c>
      <c r="N27" s="229" t="s">
        <v>644</v>
      </c>
      <c r="O27" s="234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  <c r="DQ27" s="100"/>
      <c r="DR27" s="100"/>
      <c r="DS27" s="100"/>
      <c r="DT27" s="100"/>
      <c r="DU27" s="100"/>
      <c r="DV27" s="100"/>
      <c r="DW27" s="100"/>
      <c r="DX27" s="100"/>
      <c r="DY27" s="100"/>
      <c r="DZ27" s="100"/>
      <c r="EA27" s="100"/>
      <c r="EB27" s="100"/>
      <c r="EC27" s="100"/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100"/>
      <c r="EO27" s="100"/>
      <c r="EP27" s="100"/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100"/>
      <c r="FU27" s="100"/>
      <c r="FV27" s="100"/>
      <c r="FW27" s="100"/>
      <c r="FX27" s="100"/>
      <c r="FY27" s="100"/>
      <c r="FZ27" s="100"/>
      <c r="GA27" s="100"/>
      <c r="GB27" s="100"/>
      <c r="GC27" s="100"/>
      <c r="GD27" s="100"/>
      <c r="GE27" s="100"/>
      <c r="GF27" s="100"/>
      <c r="GG27" s="100"/>
      <c r="GH27" s="100"/>
      <c r="GI27" s="100"/>
      <c r="GJ27" s="100"/>
      <c r="GK27" s="100"/>
      <c r="GL27" s="100"/>
      <c r="GM27" s="100"/>
      <c r="GN27" s="100"/>
      <c r="GO27" s="100"/>
      <c r="GP27" s="100"/>
      <c r="GQ27" s="100"/>
      <c r="GR27" s="100"/>
      <c r="GS27" s="100"/>
    </row>
    <row r="28" spans="1:201" ht="28.2" customHeight="1" outlineLevel="1" x14ac:dyDescent="0.3">
      <c r="B28" s="246" t="s">
        <v>411</v>
      </c>
      <c r="C28" s="269" t="str">
        <f>'CC detallado'!G73</f>
        <v>Monitoreo seroepidemiológico Influenza Aviar y molecular para New Castle</v>
      </c>
      <c r="D28" s="214" t="str">
        <f>'CC detallado'!A73</f>
        <v>2.3.6</v>
      </c>
      <c r="E28" s="218" t="str">
        <f>'CC detallado'!E73</f>
        <v>CP</v>
      </c>
      <c r="F28" s="214"/>
      <c r="G28" s="222">
        <f t="shared" si="0"/>
        <v>12</v>
      </c>
      <c r="H28" s="221">
        <f>'CC detallado'!M73</f>
        <v>50000</v>
      </c>
      <c r="I28" s="224">
        <v>1</v>
      </c>
      <c r="J28" s="225">
        <v>0</v>
      </c>
      <c r="K28" s="211" t="s">
        <v>125</v>
      </c>
      <c r="L28" s="211" t="s">
        <v>377</v>
      </c>
      <c r="M28" s="226" t="s">
        <v>639</v>
      </c>
      <c r="N28" s="226" t="s">
        <v>641</v>
      </c>
      <c r="O28" s="228"/>
    </row>
    <row r="29" spans="1:201" ht="28.2" customHeight="1" outlineLevel="1" x14ac:dyDescent="0.3">
      <c r="B29" s="378" t="s">
        <v>411</v>
      </c>
      <c r="C29" s="413" t="str">
        <f>'CC detallado'!G75</f>
        <v>Adquisición vacunas</v>
      </c>
      <c r="D29" s="213" t="str">
        <f>'CC detallado'!A75</f>
        <v>2.3.8</v>
      </c>
      <c r="E29" s="378" t="str">
        <f>'CC detallado'!E75</f>
        <v>CP</v>
      </c>
      <c r="F29" s="416"/>
      <c r="G29" s="359">
        <f>G28+1</f>
        <v>13</v>
      </c>
      <c r="H29" s="403">
        <f>'CC detallado'!M75+'CC detallado'!M76</f>
        <v>15000</v>
      </c>
      <c r="I29" s="387">
        <v>1</v>
      </c>
      <c r="J29" s="390">
        <v>0</v>
      </c>
      <c r="K29" s="393" t="s">
        <v>125</v>
      </c>
      <c r="L29" s="393" t="s">
        <v>377</v>
      </c>
      <c r="M29" s="419" t="s">
        <v>644</v>
      </c>
      <c r="N29" s="416" t="s">
        <v>651</v>
      </c>
      <c r="O29" s="228"/>
    </row>
    <row r="30" spans="1:201" ht="28.2" customHeight="1" outlineLevel="1" x14ac:dyDescent="0.3">
      <c r="B30" s="380"/>
      <c r="C30" s="414"/>
      <c r="D30" s="214" t="str">
        <f>'CC detallado'!A76</f>
        <v>2.3.9</v>
      </c>
      <c r="E30" s="380"/>
      <c r="F30" s="417"/>
      <c r="G30" s="415"/>
      <c r="H30" s="418"/>
      <c r="I30" s="389"/>
      <c r="J30" s="392"/>
      <c r="K30" s="395"/>
      <c r="L30" s="395"/>
      <c r="M30" s="420"/>
      <c r="N30" s="417"/>
      <c r="O30" s="228"/>
    </row>
    <row r="31" spans="1:201" s="100" customFormat="1" ht="52.8" outlineLevel="1" x14ac:dyDescent="0.3">
      <c r="A31" s="103"/>
      <c r="B31" s="218" t="s">
        <v>411</v>
      </c>
      <c r="C31" s="219" t="str">
        <f>'CC detallado'!G93</f>
        <v xml:space="preserve">Infraestructura de comunicaciones y equipamiento de unidades zonales para mejorar la disponibilidad, previendo sistemas de redundancia. </v>
      </c>
      <c r="D31" s="260" t="str">
        <f>'CC detallado'!A93</f>
        <v>2.6.6</v>
      </c>
      <c r="E31" s="218" t="str">
        <f>'CC detallado'!E93</f>
        <v>SBE</v>
      </c>
      <c r="F31" s="211"/>
      <c r="G31" s="222">
        <f>G29+1</f>
        <v>14</v>
      </c>
      <c r="H31" s="221">
        <f>'CC detallado'!M93</f>
        <v>60000</v>
      </c>
      <c r="I31" s="224">
        <v>1</v>
      </c>
      <c r="J31" s="225">
        <v>0</v>
      </c>
      <c r="K31" s="211" t="s">
        <v>125</v>
      </c>
      <c r="L31" s="211" t="s">
        <v>377</v>
      </c>
      <c r="M31" s="226" t="s">
        <v>647</v>
      </c>
      <c r="N31" s="226" t="s">
        <v>638</v>
      </c>
      <c r="O31" s="256"/>
    </row>
    <row r="32" spans="1:201" s="100" customFormat="1" ht="28.2" customHeight="1" outlineLevel="1" x14ac:dyDescent="0.3">
      <c r="A32" s="103"/>
      <c r="B32" s="218" t="s">
        <v>411</v>
      </c>
      <c r="C32" s="219" t="str">
        <f>'CC detallado'!G94</f>
        <v>Adquisición de nuevas licencias de Bases de Datos</v>
      </c>
      <c r="D32" s="260" t="str">
        <f>'CC detallado'!A94</f>
        <v>2.6.7</v>
      </c>
      <c r="E32" s="218" t="str">
        <f>'CC detallado'!E94</f>
        <v>SBE</v>
      </c>
      <c r="F32" s="211"/>
      <c r="G32" s="222">
        <f t="shared" ref="G32" si="1">G31+1</f>
        <v>15</v>
      </c>
      <c r="H32" s="221">
        <f>'CC detallado'!M94</f>
        <v>25000</v>
      </c>
      <c r="I32" s="224">
        <v>1</v>
      </c>
      <c r="J32" s="225">
        <v>0</v>
      </c>
      <c r="K32" s="211" t="s">
        <v>125</v>
      </c>
      <c r="L32" s="211" t="s">
        <v>377</v>
      </c>
      <c r="M32" s="226" t="s">
        <v>647</v>
      </c>
      <c r="N32" s="226" t="s">
        <v>638</v>
      </c>
      <c r="O32" s="256"/>
    </row>
    <row r="33" spans="1:15" s="100" customFormat="1" x14ac:dyDescent="0.3">
      <c r="A33" s="96"/>
      <c r="B33" s="346" t="s">
        <v>366</v>
      </c>
      <c r="C33" s="346"/>
      <c r="D33" s="346"/>
      <c r="E33" s="346"/>
      <c r="F33" s="346"/>
      <c r="G33" s="346"/>
      <c r="H33" s="231">
        <f>SUM(H18:H32)</f>
        <v>3862500</v>
      </c>
      <c r="I33" s="232"/>
      <c r="J33" s="232"/>
      <c r="K33" s="232"/>
      <c r="L33" s="232"/>
      <c r="M33" s="232"/>
      <c r="N33" s="232"/>
      <c r="O33" s="257"/>
    </row>
    <row r="34" spans="1:15" x14ac:dyDescent="0.3">
      <c r="H34" s="97"/>
      <c r="I34" s="97"/>
    </row>
    <row r="35" spans="1:15" s="100" customFormat="1" x14ac:dyDescent="0.3">
      <c r="A35" s="96"/>
      <c r="B35" s="356" t="s">
        <v>367</v>
      </c>
      <c r="C35" s="357"/>
      <c r="D35" s="357"/>
      <c r="E35" s="357"/>
      <c r="F35" s="357"/>
      <c r="G35" s="357"/>
      <c r="H35" s="357"/>
      <c r="I35" s="357"/>
      <c r="J35" s="357"/>
      <c r="K35" s="357"/>
      <c r="L35" s="357"/>
      <c r="M35" s="357"/>
      <c r="N35" s="358"/>
      <c r="O35" s="258"/>
    </row>
    <row r="36" spans="1:15" s="100" customFormat="1" ht="13.2" customHeight="1" x14ac:dyDescent="0.3">
      <c r="A36" s="96"/>
      <c r="B36" s="347" t="s">
        <v>348</v>
      </c>
      <c r="C36" s="348" t="s">
        <v>349</v>
      </c>
      <c r="D36" s="348" t="s">
        <v>640</v>
      </c>
      <c r="E36" s="347" t="s">
        <v>365</v>
      </c>
      <c r="F36" s="347" t="s">
        <v>351</v>
      </c>
      <c r="G36" s="349" t="s">
        <v>352</v>
      </c>
      <c r="H36" s="350" t="s">
        <v>353</v>
      </c>
      <c r="I36" s="350"/>
      <c r="J36" s="350"/>
      <c r="K36" s="347" t="s">
        <v>354</v>
      </c>
      <c r="L36" s="351" t="s">
        <v>355</v>
      </c>
      <c r="M36" s="347" t="s">
        <v>356</v>
      </c>
      <c r="N36" s="347"/>
      <c r="O36" s="352" t="s">
        <v>357</v>
      </c>
    </row>
    <row r="37" spans="1:15" s="100" customFormat="1" ht="39.6" x14ac:dyDescent="0.3">
      <c r="A37" s="96"/>
      <c r="B37" s="347"/>
      <c r="C37" s="348"/>
      <c r="D37" s="348"/>
      <c r="E37" s="347"/>
      <c r="F37" s="347"/>
      <c r="G37" s="349"/>
      <c r="H37" s="215" t="s">
        <v>358</v>
      </c>
      <c r="I37" s="215" t="s">
        <v>359</v>
      </c>
      <c r="J37" s="215" t="s">
        <v>360</v>
      </c>
      <c r="K37" s="347"/>
      <c r="L37" s="351"/>
      <c r="M37" s="216" t="s">
        <v>368</v>
      </c>
      <c r="N37" s="217" t="s">
        <v>362</v>
      </c>
      <c r="O37" s="354"/>
    </row>
    <row r="38" spans="1:15" ht="13.2" customHeight="1" outlineLevel="1" x14ac:dyDescent="0.3">
      <c r="B38" s="378" t="s">
        <v>411</v>
      </c>
      <c r="C38" s="407" t="s">
        <v>635</v>
      </c>
      <c r="D38" s="214" t="str">
        <f>'CC detallado'!A10</f>
        <v>1.1.4</v>
      </c>
      <c r="E38" s="378" t="s">
        <v>410</v>
      </c>
      <c r="F38" s="359"/>
      <c r="G38" s="359">
        <f>G32+1</f>
        <v>16</v>
      </c>
      <c r="H38" s="381">
        <f>'CC detallado'!M10+'CC detallado'!M18+'CC detallado'!M24+'CC detallado'!M26+'CC detallado'!M92+'CC detallado'!M44+'CC detallado'!M69+'CC detallado'!M72+'CC detallado'!M74+'CC detallado'!M77+'CC detallado'!M82</f>
        <v>285500</v>
      </c>
      <c r="I38" s="387">
        <v>1</v>
      </c>
      <c r="J38" s="390">
        <v>0</v>
      </c>
      <c r="K38" s="393" t="s">
        <v>625</v>
      </c>
      <c r="L38" s="393" t="s">
        <v>377</v>
      </c>
      <c r="M38" s="393" t="s">
        <v>647</v>
      </c>
      <c r="N38" s="396" t="s">
        <v>638</v>
      </c>
      <c r="O38" s="399"/>
    </row>
    <row r="39" spans="1:15" outlineLevel="1" x14ac:dyDescent="0.3">
      <c r="B39" s="379"/>
      <c r="C39" s="408"/>
      <c r="D39" s="214" t="str">
        <f>'CC detallado'!A18</f>
        <v>1.3.2</v>
      </c>
      <c r="E39" s="379"/>
      <c r="F39" s="360"/>
      <c r="G39" s="360"/>
      <c r="H39" s="382"/>
      <c r="I39" s="388"/>
      <c r="J39" s="391"/>
      <c r="K39" s="394"/>
      <c r="L39" s="394"/>
      <c r="M39" s="394"/>
      <c r="N39" s="397"/>
      <c r="O39" s="400"/>
    </row>
    <row r="40" spans="1:15" outlineLevel="1" x14ac:dyDescent="0.3">
      <c r="B40" s="379"/>
      <c r="C40" s="408"/>
      <c r="D40" s="214" t="str">
        <f>'CC detallado'!A24</f>
        <v>1.4.2</v>
      </c>
      <c r="E40" s="379"/>
      <c r="F40" s="360"/>
      <c r="G40" s="360"/>
      <c r="H40" s="382"/>
      <c r="I40" s="388"/>
      <c r="J40" s="391"/>
      <c r="K40" s="394"/>
      <c r="L40" s="394"/>
      <c r="M40" s="394"/>
      <c r="N40" s="397"/>
      <c r="O40" s="400"/>
    </row>
    <row r="41" spans="1:15" outlineLevel="1" x14ac:dyDescent="0.3">
      <c r="B41" s="379"/>
      <c r="C41" s="408"/>
      <c r="D41" s="214" t="str">
        <f>'CC detallado'!A26</f>
        <v>1.4.4</v>
      </c>
      <c r="E41" s="379"/>
      <c r="F41" s="360"/>
      <c r="G41" s="360"/>
      <c r="H41" s="382"/>
      <c r="I41" s="388"/>
      <c r="J41" s="391"/>
      <c r="K41" s="394"/>
      <c r="L41" s="394"/>
      <c r="M41" s="394"/>
      <c r="N41" s="397"/>
      <c r="O41" s="400"/>
    </row>
    <row r="42" spans="1:15" outlineLevel="1" x14ac:dyDescent="0.3">
      <c r="B42" s="379"/>
      <c r="C42" s="408"/>
      <c r="D42" s="214" t="str">
        <f>'CC detallado'!A44</f>
        <v>1.7.3</v>
      </c>
      <c r="E42" s="379"/>
      <c r="F42" s="360"/>
      <c r="G42" s="360"/>
      <c r="H42" s="382"/>
      <c r="I42" s="388"/>
      <c r="J42" s="391"/>
      <c r="K42" s="394"/>
      <c r="L42" s="394"/>
      <c r="M42" s="394"/>
      <c r="N42" s="397"/>
      <c r="O42" s="400"/>
    </row>
    <row r="43" spans="1:15" outlineLevel="1" x14ac:dyDescent="0.3">
      <c r="B43" s="379"/>
      <c r="C43" s="408"/>
      <c r="D43" s="214" t="str">
        <f>'CC detallado'!A69</f>
        <v>2.3.2</v>
      </c>
      <c r="E43" s="379"/>
      <c r="F43" s="360"/>
      <c r="G43" s="360"/>
      <c r="H43" s="382"/>
      <c r="I43" s="388"/>
      <c r="J43" s="391"/>
      <c r="K43" s="394"/>
      <c r="L43" s="394"/>
      <c r="M43" s="394"/>
      <c r="N43" s="397"/>
      <c r="O43" s="400"/>
    </row>
    <row r="44" spans="1:15" outlineLevel="1" x14ac:dyDescent="0.3">
      <c r="B44" s="379"/>
      <c r="C44" s="408"/>
      <c r="D44" s="213" t="str">
        <f>'CC detallado'!A72</f>
        <v>2.3.5</v>
      </c>
      <c r="E44" s="379"/>
      <c r="F44" s="360"/>
      <c r="G44" s="360"/>
      <c r="H44" s="382"/>
      <c r="I44" s="388"/>
      <c r="J44" s="391"/>
      <c r="K44" s="394"/>
      <c r="L44" s="394"/>
      <c r="M44" s="394"/>
      <c r="N44" s="397"/>
      <c r="O44" s="400"/>
    </row>
    <row r="45" spans="1:15" outlineLevel="1" x14ac:dyDescent="0.3">
      <c r="B45" s="379"/>
      <c r="C45" s="408"/>
      <c r="D45" s="213" t="str">
        <f>'CC detallado'!A74</f>
        <v>2.3.7</v>
      </c>
      <c r="E45" s="379"/>
      <c r="F45" s="360"/>
      <c r="G45" s="360"/>
      <c r="H45" s="382"/>
      <c r="I45" s="388"/>
      <c r="J45" s="391"/>
      <c r="K45" s="394"/>
      <c r="L45" s="394"/>
      <c r="M45" s="394"/>
      <c r="N45" s="397"/>
      <c r="O45" s="400"/>
    </row>
    <row r="46" spans="1:15" outlineLevel="1" x14ac:dyDescent="0.3">
      <c r="B46" s="379"/>
      <c r="C46" s="408"/>
      <c r="D46" s="213" t="str">
        <f>'CC detallado'!A77</f>
        <v>2.3.10</v>
      </c>
      <c r="E46" s="379"/>
      <c r="F46" s="360"/>
      <c r="G46" s="360"/>
      <c r="H46" s="382"/>
      <c r="I46" s="388"/>
      <c r="J46" s="391"/>
      <c r="K46" s="394"/>
      <c r="L46" s="394"/>
      <c r="M46" s="394"/>
      <c r="N46" s="397"/>
      <c r="O46" s="400"/>
    </row>
    <row r="47" spans="1:15" outlineLevel="1" x14ac:dyDescent="0.3">
      <c r="B47" s="379"/>
      <c r="C47" s="408"/>
      <c r="D47" s="213" t="str">
        <f>'CC detallado'!A82</f>
        <v>2.4.4</v>
      </c>
      <c r="E47" s="379"/>
      <c r="F47" s="360"/>
      <c r="G47" s="360"/>
      <c r="H47" s="382"/>
      <c r="I47" s="388"/>
      <c r="J47" s="391"/>
      <c r="K47" s="394"/>
      <c r="L47" s="394"/>
      <c r="M47" s="394"/>
      <c r="N47" s="397"/>
      <c r="O47" s="400"/>
    </row>
    <row r="48" spans="1:15" outlineLevel="1" x14ac:dyDescent="0.3">
      <c r="B48" s="379"/>
      <c r="C48" s="408"/>
      <c r="D48" s="214" t="str">
        <f>'CC detallado'!A92</f>
        <v>2.6.5</v>
      </c>
      <c r="E48" s="379"/>
      <c r="F48" s="360"/>
      <c r="G48" s="360"/>
      <c r="H48" s="382"/>
      <c r="I48" s="388"/>
      <c r="J48" s="391"/>
      <c r="K48" s="394"/>
      <c r="L48" s="394"/>
      <c r="M48" s="394"/>
      <c r="N48" s="397"/>
      <c r="O48" s="400"/>
    </row>
    <row r="49" spans="1:201" outlineLevel="1" x14ac:dyDescent="0.3">
      <c r="B49" s="252" t="s">
        <v>411</v>
      </c>
      <c r="C49" s="219" t="str">
        <f>'CC detallado'!G45</f>
        <v>Edición y difusión de materiales</v>
      </c>
      <c r="D49" s="214" t="str">
        <f>'CC detallado'!A45</f>
        <v>1.7.4</v>
      </c>
      <c r="E49" s="218" t="str">
        <f>'CC detallado'!F45</f>
        <v>SBE</v>
      </c>
      <c r="F49" s="222"/>
      <c r="G49" s="222">
        <f>G38+1</f>
        <v>17</v>
      </c>
      <c r="H49" s="220">
        <f>'CC detallado'!M45</f>
        <v>50000</v>
      </c>
      <c r="I49" s="224">
        <v>1</v>
      </c>
      <c r="J49" s="225">
        <v>0</v>
      </c>
      <c r="K49" s="211" t="s">
        <v>125</v>
      </c>
      <c r="L49" s="212" t="s">
        <v>377</v>
      </c>
      <c r="M49" s="226" t="s">
        <v>654</v>
      </c>
      <c r="N49" s="226" t="s">
        <v>639</v>
      </c>
      <c r="O49" s="234"/>
    </row>
    <row r="50" spans="1:201" s="104" customFormat="1" ht="26.4" outlineLevel="1" x14ac:dyDescent="0.3">
      <c r="A50" s="96"/>
      <c r="B50" s="252" t="s">
        <v>411</v>
      </c>
      <c r="C50" s="219" t="str">
        <f>'CC detallado'!G47</f>
        <v>Contratación de los servicios de saneamiento de establecimientos infectados</v>
      </c>
      <c r="D50" s="214" t="str">
        <f>'CC detallado'!A47</f>
        <v>1.8.1</v>
      </c>
      <c r="E50" s="246" t="str">
        <f>PEP!E47</f>
        <v>LPI</v>
      </c>
      <c r="F50" s="222"/>
      <c r="G50" s="222">
        <f>G49+1</f>
        <v>18</v>
      </c>
      <c r="H50" s="220">
        <f>'CC detallado'!M47</f>
        <v>540000</v>
      </c>
      <c r="I50" s="224">
        <v>1</v>
      </c>
      <c r="J50" s="225">
        <v>0</v>
      </c>
      <c r="K50" s="211" t="s">
        <v>125</v>
      </c>
      <c r="L50" s="212" t="s">
        <v>377</v>
      </c>
      <c r="M50" s="226" t="s">
        <v>638</v>
      </c>
      <c r="N50" s="226" t="s">
        <v>639</v>
      </c>
      <c r="O50" s="234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0"/>
      <c r="DD50" s="100"/>
      <c r="DE50" s="100"/>
      <c r="DF50" s="100"/>
      <c r="DG50" s="100"/>
      <c r="DH50" s="100"/>
      <c r="DI50" s="100"/>
      <c r="DJ50" s="100"/>
      <c r="DK50" s="100"/>
      <c r="DL50" s="100"/>
      <c r="DM50" s="100"/>
      <c r="DN50" s="100"/>
      <c r="DO50" s="100"/>
      <c r="DP50" s="100"/>
      <c r="DQ50" s="100"/>
      <c r="DR50" s="100"/>
      <c r="DS50" s="100"/>
      <c r="DT50" s="100"/>
      <c r="DU50" s="100"/>
      <c r="DV50" s="100"/>
      <c r="DW50" s="100"/>
      <c r="DX50" s="100"/>
      <c r="DY50" s="100"/>
      <c r="DZ50" s="100"/>
      <c r="EA50" s="100"/>
      <c r="EB50" s="100"/>
      <c r="EC50" s="100"/>
      <c r="ED50" s="100"/>
      <c r="EE50" s="100"/>
      <c r="EF50" s="100"/>
      <c r="EG50" s="100"/>
      <c r="EH50" s="100"/>
      <c r="EI50" s="100"/>
      <c r="EJ50" s="100"/>
      <c r="EK50" s="100"/>
      <c r="EL50" s="100"/>
      <c r="EM50" s="100"/>
      <c r="EN50" s="100"/>
      <c r="EO50" s="100"/>
      <c r="EP50" s="100"/>
      <c r="EQ50" s="100"/>
      <c r="ER50" s="100"/>
      <c r="ES50" s="100"/>
      <c r="ET50" s="100"/>
      <c r="EU50" s="100"/>
      <c r="EV50" s="100"/>
      <c r="EW50" s="100"/>
      <c r="EX50" s="100"/>
      <c r="EY50" s="100"/>
      <c r="EZ50" s="100"/>
      <c r="FA50" s="100"/>
      <c r="FB50" s="100"/>
      <c r="FC50" s="100"/>
      <c r="FD50" s="100"/>
      <c r="FE50" s="100"/>
      <c r="FF50" s="100"/>
      <c r="FG50" s="100"/>
      <c r="FH50" s="100"/>
      <c r="FI50" s="100"/>
      <c r="FJ50" s="100"/>
      <c r="FK50" s="100"/>
      <c r="FL50" s="100"/>
      <c r="FM50" s="100"/>
      <c r="FN50" s="100"/>
      <c r="FO50" s="100"/>
      <c r="FP50" s="100"/>
      <c r="FQ50" s="100"/>
      <c r="FR50" s="100"/>
      <c r="FS50" s="100"/>
      <c r="FT50" s="100"/>
      <c r="FU50" s="100"/>
      <c r="FV50" s="100"/>
      <c r="FW50" s="100"/>
      <c r="FX50" s="100"/>
      <c r="FY50" s="100"/>
      <c r="FZ50" s="100"/>
      <c r="GA50" s="100"/>
      <c r="GB50" s="100"/>
      <c r="GC50" s="100"/>
      <c r="GD50" s="100"/>
      <c r="GE50" s="100"/>
      <c r="GF50" s="100"/>
      <c r="GG50" s="100"/>
      <c r="GH50" s="100"/>
      <c r="GI50" s="100"/>
      <c r="GJ50" s="100"/>
      <c r="GK50" s="100"/>
      <c r="GL50" s="100"/>
      <c r="GM50" s="100"/>
      <c r="GN50" s="100"/>
      <c r="GO50" s="100"/>
      <c r="GP50" s="100"/>
      <c r="GQ50" s="100"/>
      <c r="GR50" s="100"/>
      <c r="GS50" s="100"/>
    </row>
    <row r="51" spans="1:201" ht="28.2" customHeight="1" outlineLevel="1" x14ac:dyDescent="0.3">
      <c r="B51" s="252" t="s">
        <v>411</v>
      </c>
      <c r="C51" s="219" t="str">
        <f>'CC detallado'!G70</f>
        <v>Operación del sistema de monitoreo con envío de muestras</v>
      </c>
      <c r="D51" s="214" t="str">
        <f>'CC detallado'!A70</f>
        <v>2.3.3</v>
      </c>
      <c r="E51" s="218" t="str">
        <f>'CC detallado'!F70</f>
        <v>CP</v>
      </c>
      <c r="F51" s="222"/>
      <c r="G51" s="222">
        <f>G50+1</f>
        <v>19</v>
      </c>
      <c r="H51" s="220">
        <f>'CC detallado'!M70</f>
        <v>20000</v>
      </c>
      <c r="I51" s="224">
        <v>1</v>
      </c>
      <c r="J51" s="225">
        <v>0</v>
      </c>
      <c r="K51" s="211" t="s">
        <v>125</v>
      </c>
      <c r="L51" s="212" t="s">
        <v>377</v>
      </c>
      <c r="M51" s="226" t="s">
        <v>649</v>
      </c>
      <c r="N51" s="226" t="s">
        <v>642</v>
      </c>
      <c r="O51" s="234"/>
    </row>
    <row r="52" spans="1:201" s="100" customFormat="1" x14ac:dyDescent="0.3">
      <c r="A52" s="96"/>
      <c r="B52" s="346" t="s">
        <v>369</v>
      </c>
      <c r="C52" s="346"/>
      <c r="D52" s="346"/>
      <c r="E52" s="346"/>
      <c r="F52" s="346"/>
      <c r="G52" s="346"/>
      <c r="H52" s="231">
        <f>SUM(H38:H51)</f>
        <v>895500</v>
      </c>
      <c r="I52" s="232"/>
      <c r="J52" s="232"/>
      <c r="K52" s="232"/>
      <c r="L52" s="232"/>
      <c r="M52" s="232"/>
      <c r="N52" s="232"/>
      <c r="O52" s="257"/>
    </row>
    <row r="53" spans="1:201" s="100" customFormat="1" x14ac:dyDescent="0.3">
      <c r="A53" s="96"/>
      <c r="B53" s="106"/>
      <c r="C53" s="107"/>
      <c r="D53" s="107"/>
      <c r="E53" s="107"/>
      <c r="F53" s="108"/>
      <c r="G53" s="107"/>
      <c r="H53" s="107"/>
      <c r="J53" s="108"/>
      <c r="K53" s="108"/>
      <c r="L53" s="108"/>
      <c r="M53" s="108"/>
      <c r="N53" s="107"/>
      <c r="O53" s="107"/>
    </row>
    <row r="54" spans="1:201" s="100" customFormat="1" x14ac:dyDescent="0.3">
      <c r="A54" s="96"/>
      <c r="B54" s="356" t="s">
        <v>370</v>
      </c>
      <c r="C54" s="357"/>
      <c r="D54" s="357"/>
      <c r="E54" s="357"/>
      <c r="F54" s="357"/>
      <c r="G54" s="357"/>
      <c r="H54" s="357"/>
      <c r="I54" s="357"/>
      <c r="J54" s="357"/>
      <c r="K54" s="357"/>
      <c r="L54" s="357"/>
      <c r="M54" s="358"/>
      <c r="N54" s="253"/>
      <c r="O54" s="253"/>
    </row>
    <row r="55" spans="1:201" s="100" customFormat="1" ht="13.2" customHeight="1" x14ac:dyDescent="0.3">
      <c r="A55" s="109"/>
      <c r="B55" s="347" t="s">
        <v>348</v>
      </c>
      <c r="C55" s="348" t="s">
        <v>349</v>
      </c>
      <c r="D55" s="348" t="s">
        <v>640</v>
      </c>
      <c r="E55" s="347" t="s">
        <v>365</v>
      </c>
      <c r="F55" s="347" t="s">
        <v>352</v>
      </c>
      <c r="G55" s="350" t="s">
        <v>353</v>
      </c>
      <c r="H55" s="350"/>
      <c r="I55" s="350"/>
      <c r="J55" s="347" t="s">
        <v>354</v>
      </c>
      <c r="K55" s="347" t="s">
        <v>355</v>
      </c>
      <c r="L55" s="347" t="s">
        <v>356</v>
      </c>
      <c r="M55" s="347"/>
      <c r="N55" s="352" t="s">
        <v>357</v>
      </c>
      <c r="O55" s="353"/>
    </row>
    <row r="56" spans="1:201" s="100" customFormat="1" ht="39.6" x14ac:dyDescent="0.3">
      <c r="A56" s="109"/>
      <c r="B56" s="347"/>
      <c r="C56" s="348"/>
      <c r="D56" s="348"/>
      <c r="E56" s="347"/>
      <c r="F56" s="347"/>
      <c r="G56" s="236" t="s">
        <v>358</v>
      </c>
      <c r="H56" s="215" t="s">
        <v>359</v>
      </c>
      <c r="I56" s="215" t="s">
        <v>360</v>
      </c>
      <c r="J56" s="347"/>
      <c r="K56" s="347"/>
      <c r="L56" s="216" t="s">
        <v>371</v>
      </c>
      <c r="M56" s="216" t="s">
        <v>362</v>
      </c>
      <c r="N56" s="354"/>
      <c r="O56" s="355"/>
    </row>
    <row r="57" spans="1:201" s="100" customFormat="1" outlineLevel="1" x14ac:dyDescent="0.3">
      <c r="A57" s="110"/>
      <c r="B57" s="252" t="s">
        <v>411</v>
      </c>
      <c r="C57" s="267" t="str">
        <f>'CC detallado'!G8</f>
        <v>Desarrollo e implementación del sistema</v>
      </c>
      <c r="D57" s="214" t="str">
        <f>'CC detallado'!A8</f>
        <v>1.1.2</v>
      </c>
      <c r="E57" s="252" t="str">
        <f>'CC detallado'!E8</f>
        <v>SCC</v>
      </c>
      <c r="F57" s="247">
        <f>G51+1</f>
        <v>20</v>
      </c>
      <c r="G57" s="268">
        <f>'CC detallado'!M8</f>
        <v>180000</v>
      </c>
      <c r="H57" s="248">
        <v>1</v>
      </c>
      <c r="I57" s="249">
        <v>0</v>
      </c>
      <c r="J57" s="250" t="s">
        <v>125</v>
      </c>
      <c r="K57" s="270" t="s">
        <v>377</v>
      </c>
      <c r="L57" s="251" t="s">
        <v>654</v>
      </c>
      <c r="M57" s="251" t="s">
        <v>641</v>
      </c>
      <c r="N57" s="421"/>
      <c r="O57" s="422"/>
    </row>
    <row r="58" spans="1:201" s="104" customFormat="1" ht="26.4" outlineLevel="1" x14ac:dyDescent="0.3">
      <c r="A58" s="96"/>
      <c r="B58" s="218" t="s">
        <v>411</v>
      </c>
      <c r="C58" s="261" t="str">
        <f>'CC detallado'!G15</f>
        <v>Desarrollo de sistemas de gestión de información (incluye capacitación)</v>
      </c>
      <c r="D58" s="213" t="str">
        <f>'CC detallado'!A15</f>
        <v>1.2.4</v>
      </c>
      <c r="E58" s="246" t="str">
        <f>'CC detallado'!E15</f>
        <v>SCC</v>
      </c>
      <c r="F58" s="222">
        <f>F57+1</f>
        <v>21</v>
      </c>
      <c r="G58" s="237">
        <f>'CC detallado'!M15</f>
        <v>100000</v>
      </c>
      <c r="H58" s="224">
        <v>1</v>
      </c>
      <c r="I58" s="225">
        <v>0</v>
      </c>
      <c r="J58" s="211" t="s">
        <v>125</v>
      </c>
      <c r="K58" s="212" t="s">
        <v>377</v>
      </c>
      <c r="L58" s="226" t="s">
        <v>639</v>
      </c>
      <c r="M58" s="226" t="s">
        <v>641</v>
      </c>
      <c r="N58" s="421"/>
      <c r="O58" s="422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0"/>
      <c r="DD58" s="100"/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  <c r="DQ58" s="100"/>
      <c r="DR58" s="100"/>
      <c r="DS58" s="100"/>
      <c r="DT58" s="100"/>
      <c r="DU58" s="100"/>
      <c r="DV58" s="100"/>
      <c r="DW58" s="100"/>
      <c r="DX58" s="100"/>
      <c r="DY58" s="100"/>
      <c r="DZ58" s="100"/>
      <c r="EA58" s="100"/>
      <c r="EB58" s="100"/>
      <c r="EC58" s="100"/>
      <c r="ED58" s="100"/>
      <c r="EE58" s="100"/>
      <c r="EF58" s="100"/>
      <c r="EG58" s="100"/>
      <c r="EH58" s="100"/>
      <c r="EI58" s="100"/>
      <c r="EJ58" s="100"/>
      <c r="EK58" s="100"/>
      <c r="EL58" s="100"/>
      <c r="EM58" s="100"/>
      <c r="EN58" s="100"/>
      <c r="EO58" s="100"/>
      <c r="EP58" s="100"/>
      <c r="EQ58" s="100"/>
      <c r="ER58" s="100"/>
      <c r="ES58" s="100"/>
      <c r="ET58" s="100"/>
      <c r="EU58" s="100"/>
      <c r="EV58" s="100"/>
      <c r="EW58" s="100"/>
      <c r="EX58" s="100"/>
      <c r="EY58" s="100"/>
      <c r="EZ58" s="100"/>
      <c r="FA58" s="100"/>
      <c r="FB58" s="100"/>
      <c r="FC58" s="100"/>
      <c r="FD58" s="100"/>
      <c r="FE58" s="100"/>
      <c r="FF58" s="100"/>
      <c r="FG58" s="100"/>
      <c r="FH58" s="100"/>
      <c r="FI58" s="100"/>
      <c r="FJ58" s="100"/>
      <c r="FK58" s="100"/>
      <c r="FL58" s="100"/>
      <c r="FM58" s="100"/>
      <c r="FN58" s="100"/>
      <c r="FO58" s="100"/>
      <c r="FP58" s="100"/>
      <c r="FQ58" s="100"/>
      <c r="FR58" s="100"/>
      <c r="FS58" s="100"/>
      <c r="FT58" s="100"/>
      <c r="FU58" s="100"/>
      <c r="FV58" s="100"/>
      <c r="FW58" s="100"/>
      <c r="FX58" s="100"/>
      <c r="FY58" s="100"/>
      <c r="FZ58" s="100"/>
      <c r="GA58" s="100"/>
      <c r="GB58" s="100"/>
      <c r="GC58" s="100"/>
      <c r="GD58" s="100"/>
      <c r="GE58" s="100"/>
      <c r="GF58" s="100"/>
      <c r="GG58" s="100"/>
      <c r="GH58" s="100"/>
      <c r="GI58" s="100"/>
      <c r="GJ58" s="100"/>
      <c r="GK58" s="100"/>
      <c r="GL58" s="100"/>
      <c r="GM58" s="100"/>
      <c r="GN58" s="100"/>
      <c r="GO58" s="100"/>
      <c r="GP58" s="100"/>
      <c r="GQ58" s="100"/>
      <c r="GR58" s="100"/>
      <c r="GS58" s="100"/>
    </row>
    <row r="59" spans="1:201" s="100" customFormat="1" ht="26.4" outlineLevel="1" x14ac:dyDescent="0.3">
      <c r="A59" s="108"/>
      <c r="B59" s="246" t="s">
        <v>411</v>
      </c>
      <c r="C59" s="261" t="str">
        <f>'CC detallado'!G31</f>
        <v>Desarrollo e instalación de un sistema informático para Gestión de Laboratorio.</v>
      </c>
      <c r="D59" s="213" t="str">
        <f>'CC detallado'!A31</f>
        <v>1.5.1</v>
      </c>
      <c r="E59" s="246" t="str">
        <f>'CC detallado'!E31</f>
        <v>SBCC</v>
      </c>
      <c r="F59" s="222">
        <f t="shared" ref="F59:F65" si="2">F58+1</f>
        <v>22</v>
      </c>
      <c r="G59" s="237">
        <f>'CC detallado'!M31</f>
        <v>250000</v>
      </c>
      <c r="H59" s="224">
        <v>1</v>
      </c>
      <c r="I59" s="225">
        <v>0</v>
      </c>
      <c r="J59" s="211" t="s">
        <v>125</v>
      </c>
      <c r="K59" s="212" t="s">
        <v>377</v>
      </c>
      <c r="L59" s="226" t="s">
        <v>647</v>
      </c>
      <c r="M59" s="226" t="s">
        <v>639</v>
      </c>
      <c r="N59" s="421"/>
      <c r="O59" s="422"/>
    </row>
    <row r="60" spans="1:201" s="100" customFormat="1" outlineLevel="1" x14ac:dyDescent="0.3">
      <c r="A60" s="108"/>
      <c r="B60" s="246" t="s">
        <v>411</v>
      </c>
      <c r="C60" s="261" t="str">
        <f>'CC detallado'!G39</f>
        <v>Fiscalización de obras</v>
      </c>
      <c r="D60" s="213" t="str">
        <f>'CC detallado'!A39</f>
        <v>1.6.4</v>
      </c>
      <c r="E60" s="246" t="str">
        <f>PEP!E39</f>
        <v>SBCC</v>
      </c>
      <c r="F60" s="222">
        <f t="shared" si="2"/>
        <v>23</v>
      </c>
      <c r="G60" s="237">
        <f>'CC detallado'!M39</f>
        <v>236600.00000000003</v>
      </c>
      <c r="H60" s="224">
        <v>1</v>
      </c>
      <c r="I60" s="225">
        <v>0</v>
      </c>
      <c r="J60" s="211" t="s">
        <v>125</v>
      </c>
      <c r="K60" s="212" t="s">
        <v>377</v>
      </c>
      <c r="L60" s="226" t="s">
        <v>647</v>
      </c>
      <c r="M60" s="226" t="s">
        <v>654</v>
      </c>
      <c r="N60" s="421"/>
      <c r="O60" s="422"/>
    </row>
    <row r="61" spans="1:201" s="100" customFormat="1" outlineLevel="1" x14ac:dyDescent="0.3">
      <c r="A61" s="108"/>
      <c r="B61" s="246" t="s">
        <v>411</v>
      </c>
      <c r="C61" s="261" t="str">
        <f>'CC detallado'!G42</f>
        <v>Desarrollo de software para Trazabilidad</v>
      </c>
      <c r="D61" s="213" t="str">
        <f>'CC detallado'!A42</f>
        <v>1.7.1</v>
      </c>
      <c r="E61" s="246" t="str">
        <f>'CC detallado'!E42</f>
        <v>SBCC</v>
      </c>
      <c r="F61" s="222">
        <f t="shared" si="2"/>
        <v>24</v>
      </c>
      <c r="G61" s="237">
        <f>'CC detallado'!M42</f>
        <v>1830000</v>
      </c>
      <c r="H61" s="224">
        <v>1</v>
      </c>
      <c r="I61" s="225">
        <v>0</v>
      </c>
      <c r="J61" s="211" t="s">
        <v>125</v>
      </c>
      <c r="K61" s="212" t="s">
        <v>377</v>
      </c>
      <c r="L61" s="226" t="s">
        <v>647</v>
      </c>
      <c r="M61" s="226" t="s">
        <v>638</v>
      </c>
      <c r="N61" s="421"/>
      <c r="O61" s="422"/>
    </row>
    <row r="62" spans="1:201" s="100" customFormat="1" ht="26.4" outlineLevel="1" x14ac:dyDescent="0.3">
      <c r="A62" s="108"/>
      <c r="B62" s="246" t="s">
        <v>411</v>
      </c>
      <c r="C62" s="261" t="str">
        <f>'CC detallado'!G51</f>
        <v>Contratación de firma para de desarrollo de cursos (nivel estratégico, táctico, operativo)</v>
      </c>
      <c r="D62" s="213" t="str">
        <f>'CC detallado'!A51</f>
        <v>1.9.1</v>
      </c>
      <c r="E62" s="246" t="str">
        <f>'CC detallado'!E51</f>
        <v>SBCC</v>
      </c>
      <c r="F62" s="222">
        <f t="shared" si="2"/>
        <v>25</v>
      </c>
      <c r="G62" s="237">
        <f>'CC detallado'!M51</f>
        <v>100000</v>
      </c>
      <c r="H62" s="224">
        <v>1</v>
      </c>
      <c r="I62" s="225">
        <v>0</v>
      </c>
      <c r="J62" s="211" t="s">
        <v>125</v>
      </c>
      <c r="K62" s="212" t="s">
        <v>377</v>
      </c>
      <c r="L62" s="226" t="s">
        <v>638</v>
      </c>
      <c r="M62" s="226" t="s">
        <v>654</v>
      </c>
      <c r="N62" s="421"/>
      <c r="O62" s="422"/>
    </row>
    <row r="63" spans="1:201" s="100" customFormat="1" outlineLevel="1" x14ac:dyDescent="0.3">
      <c r="A63" s="108"/>
      <c r="B63" s="246" t="s">
        <v>411</v>
      </c>
      <c r="C63" s="261" t="str">
        <f>'CC detallado'!G52</f>
        <v>Programa de modernización organizacional</v>
      </c>
      <c r="D63" s="213" t="str">
        <f>'CC detallado'!A52</f>
        <v>1.9.2</v>
      </c>
      <c r="E63" s="246" t="str">
        <f>'CC detallado'!E52</f>
        <v>SBCC</v>
      </c>
      <c r="F63" s="222">
        <f t="shared" si="2"/>
        <v>26</v>
      </c>
      <c r="G63" s="237">
        <f>'CC detallado'!M52</f>
        <v>300000</v>
      </c>
      <c r="H63" s="224">
        <v>1</v>
      </c>
      <c r="I63" s="225">
        <v>0</v>
      </c>
      <c r="J63" s="211" t="s">
        <v>125</v>
      </c>
      <c r="K63" s="212" t="s">
        <v>377</v>
      </c>
      <c r="L63" s="226" t="s">
        <v>638</v>
      </c>
      <c r="M63" s="226" t="s">
        <v>639</v>
      </c>
      <c r="N63" s="421"/>
      <c r="O63" s="422"/>
    </row>
    <row r="64" spans="1:201" s="100" customFormat="1" outlineLevel="1" x14ac:dyDescent="0.3">
      <c r="A64" s="108"/>
      <c r="B64" s="246" t="s">
        <v>411</v>
      </c>
      <c r="C64" s="261" t="str">
        <f>'CC detallado'!G56</f>
        <v>Instrumentar registro</v>
      </c>
      <c r="D64" s="213" t="str">
        <f>'CC detallado'!A56</f>
        <v>2.1.2</v>
      </c>
      <c r="E64" s="246" t="str">
        <f>'CC detallado'!E56</f>
        <v>SBCC</v>
      </c>
      <c r="F64" s="222">
        <f t="shared" si="2"/>
        <v>27</v>
      </c>
      <c r="G64" s="237">
        <f>'CC detallado'!M56</f>
        <v>303900</v>
      </c>
      <c r="H64" s="224">
        <v>1</v>
      </c>
      <c r="I64" s="225">
        <v>0</v>
      </c>
      <c r="J64" s="211" t="s">
        <v>631</v>
      </c>
      <c r="K64" s="212" t="s">
        <v>377</v>
      </c>
      <c r="L64" s="226" t="s">
        <v>638</v>
      </c>
      <c r="M64" s="226" t="s">
        <v>639</v>
      </c>
      <c r="N64" s="421"/>
      <c r="O64" s="422"/>
    </row>
    <row r="65" spans="1:201" s="100" customFormat="1" ht="66" outlineLevel="1" x14ac:dyDescent="0.3">
      <c r="A65" s="108"/>
      <c r="B65" s="246" t="s">
        <v>411</v>
      </c>
      <c r="C65" s="261" t="str">
        <f>'CC detallado'!G88</f>
        <v>Modelado y rediseño de todos los procesos de negocio vinculados a las tramitaciones; revisión de costos y tiempos; diseño de indicadores y medición de línea de base y Plan de fortalecimiento de capacidades</v>
      </c>
      <c r="D65" s="213" t="str">
        <f>'CC detallado'!A88</f>
        <v>2.6.1</v>
      </c>
      <c r="E65" s="246" t="str">
        <f>'CC detallado'!E88</f>
        <v>SBCC</v>
      </c>
      <c r="F65" s="222">
        <f t="shared" si="2"/>
        <v>28</v>
      </c>
      <c r="G65" s="237">
        <f>'CC detallado'!M88</f>
        <v>180000</v>
      </c>
      <c r="H65" s="224">
        <v>1</v>
      </c>
      <c r="I65" s="225">
        <v>0</v>
      </c>
      <c r="J65" s="211" t="s">
        <v>125</v>
      </c>
      <c r="K65" s="212" t="s">
        <v>377</v>
      </c>
      <c r="L65" s="226" t="s">
        <v>647</v>
      </c>
      <c r="M65" s="226" t="s">
        <v>654</v>
      </c>
      <c r="N65" s="421"/>
      <c r="O65" s="422"/>
    </row>
    <row r="66" spans="1:201" s="100" customFormat="1" outlineLevel="1" x14ac:dyDescent="0.3">
      <c r="A66" s="108"/>
      <c r="B66" s="378" t="s">
        <v>411</v>
      </c>
      <c r="C66" s="401" t="str">
        <f>'CC detallado'!G89</f>
        <v>Diseño y desarrollo de nuevas prestaciones del SIGOR, plan de seguridad de sistemas y firma electrónica</v>
      </c>
      <c r="D66" s="213" t="str">
        <f>'CC detallado'!A89</f>
        <v>2.6.2</v>
      </c>
      <c r="E66" s="378" t="str">
        <f>'CC detallado'!E89</f>
        <v>SBCC</v>
      </c>
      <c r="F66" s="359">
        <f>F65+1</f>
        <v>29</v>
      </c>
      <c r="G66" s="403">
        <f>'CC detallado'!M89+'CC detallado'!M90</f>
        <v>705000</v>
      </c>
      <c r="H66" s="387">
        <v>1</v>
      </c>
      <c r="I66" s="390">
        <v>0</v>
      </c>
      <c r="J66" s="393" t="s">
        <v>125</v>
      </c>
      <c r="K66" s="405" t="s">
        <v>377</v>
      </c>
      <c r="L66" s="396" t="s">
        <v>654</v>
      </c>
      <c r="M66" s="396" t="s">
        <v>641</v>
      </c>
      <c r="N66" s="423"/>
      <c r="O66" s="424"/>
    </row>
    <row r="67" spans="1:201" s="100" customFormat="1" outlineLevel="1" x14ac:dyDescent="0.3">
      <c r="A67" s="108"/>
      <c r="B67" s="379"/>
      <c r="C67" s="402"/>
      <c r="D67" s="213" t="str">
        <f>'CC detallado'!A90</f>
        <v>2.6.3</v>
      </c>
      <c r="E67" s="379"/>
      <c r="F67" s="360"/>
      <c r="G67" s="404"/>
      <c r="H67" s="388"/>
      <c r="I67" s="391"/>
      <c r="J67" s="394"/>
      <c r="K67" s="406"/>
      <c r="L67" s="398"/>
      <c r="M67" s="398"/>
      <c r="N67" s="425"/>
      <c r="O67" s="426"/>
    </row>
    <row r="68" spans="1:201" s="100" customFormat="1" outlineLevel="1" x14ac:dyDescent="0.3">
      <c r="A68" s="108"/>
      <c r="B68" s="246" t="s">
        <v>411</v>
      </c>
      <c r="C68" s="261" t="str">
        <f>'CC detallado'!G106</f>
        <v>Evaluación Intermedia</v>
      </c>
      <c r="D68" s="213" t="str">
        <f>'CC detallado'!A106</f>
        <v>4.1.1</v>
      </c>
      <c r="E68" s="246" t="str">
        <f>'CC detallado'!E106</f>
        <v>SCC</v>
      </c>
      <c r="F68" s="222">
        <f>F66+1</f>
        <v>30</v>
      </c>
      <c r="G68" s="237">
        <f>'CC detallado'!M106</f>
        <v>20000</v>
      </c>
      <c r="H68" s="224">
        <v>1</v>
      </c>
      <c r="I68" s="225">
        <v>0</v>
      </c>
      <c r="J68" s="211" t="s">
        <v>632</v>
      </c>
      <c r="K68" s="212" t="s">
        <v>377</v>
      </c>
      <c r="L68" s="226" t="s">
        <v>642</v>
      </c>
      <c r="M68" s="226" t="s">
        <v>652</v>
      </c>
      <c r="N68" s="421"/>
      <c r="O68" s="422"/>
    </row>
    <row r="69" spans="1:201" s="100" customFormat="1" outlineLevel="1" x14ac:dyDescent="0.3">
      <c r="A69" s="108"/>
      <c r="B69" s="246" t="s">
        <v>411</v>
      </c>
      <c r="C69" s="261" t="str">
        <f>'CC detallado'!G107</f>
        <v>Evaluación Final</v>
      </c>
      <c r="D69" s="213" t="str">
        <f>'CC detallado'!A107</f>
        <v>4.1.2</v>
      </c>
      <c r="E69" s="246" t="str">
        <f>'CC detallado'!E107</f>
        <v>SCC</v>
      </c>
      <c r="F69" s="222">
        <f>F68+1</f>
        <v>31</v>
      </c>
      <c r="G69" s="237">
        <f>'CC detallado'!M107</f>
        <v>30000</v>
      </c>
      <c r="H69" s="224">
        <v>1</v>
      </c>
      <c r="I69" s="225">
        <v>0</v>
      </c>
      <c r="J69" s="211" t="s">
        <v>632</v>
      </c>
      <c r="K69" s="212" t="s">
        <v>377</v>
      </c>
      <c r="L69" s="226" t="s">
        <v>646</v>
      </c>
      <c r="M69" s="226" t="s">
        <v>655</v>
      </c>
      <c r="N69" s="421"/>
      <c r="O69" s="422"/>
    </row>
    <row r="70" spans="1:201" s="100" customFormat="1" outlineLevel="1" x14ac:dyDescent="0.3">
      <c r="A70" s="108"/>
      <c r="B70" s="246" t="s">
        <v>411</v>
      </c>
      <c r="C70" s="261" t="str">
        <f>'CC detallado'!G108</f>
        <v>Evaluación de Impacto</v>
      </c>
      <c r="D70" s="213" t="str">
        <f>'CC detallado'!A108</f>
        <v>4.1.3</v>
      </c>
      <c r="E70" s="246" t="str">
        <f>'CC detallado'!E108</f>
        <v>SCC</v>
      </c>
      <c r="F70" s="222">
        <f t="shared" ref="F70:F71" si="3">F68+1</f>
        <v>31</v>
      </c>
      <c r="G70" s="237">
        <f>'CC detallado'!M108</f>
        <v>100000</v>
      </c>
      <c r="H70" s="224">
        <v>1</v>
      </c>
      <c r="I70" s="225">
        <v>0</v>
      </c>
      <c r="J70" s="211" t="s">
        <v>632</v>
      </c>
      <c r="K70" s="212" t="s">
        <v>377</v>
      </c>
      <c r="L70" s="226" t="s">
        <v>646</v>
      </c>
      <c r="M70" s="226" t="s">
        <v>655</v>
      </c>
      <c r="N70" s="421"/>
      <c r="O70" s="422"/>
    </row>
    <row r="71" spans="1:201" s="100" customFormat="1" outlineLevel="1" x14ac:dyDescent="0.3">
      <c r="A71" s="108"/>
      <c r="B71" s="246" t="s">
        <v>411</v>
      </c>
      <c r="C71" s="261" t="str">
        <f>'CC detallado'!G110</f>
        <v>Auditoria Externa del Programa</v>
      </c>
      <c r="D71" s="213" t="str">
        <f>'CC detallado'!A110</f>
        <v>4.2.1</v>
      </c>
      <c r="E71" s="246" t="str">
        <f>'CC detallado'!E110</f>
        <v>SBCC</v>
      </c>
      <c r="F71" s="222">
        <f t="shared" si="3"/>
        <v>32</v>
      </c>
      <c r="G71" s="237">
        <f>'CC detallado'!M110</f>
        <v>200000</v>
      </c>
      <c r="H71" s="224">
        <v>1</v>
      </c>
      <c r="I71" s="225">
        <v>0</v>
      </c>
      <c r="J71" s="211" t="s">
        <v>632</v>
      </c>
      <c r="K71" s="212" t="s">
        <v>377</v>
      </c>
      <c r="L71" s="226" t="s">
        <v>647</v>
      </c>
      <c r="M71" s="226" t="s">
        <v>654</v>
      </c>
      <c r="N71" s="421"/>
      <c r="O71" s="422"/>
    </row>
    <row r="72" spans="1:201" s="100" customFormat="1" x14ac:dyDescent="0.3">
      <c r="A72" s="96"/>
      <c r="B72" s="362" t="s">
        <v>372</v>
      </c>
      <c r="C72" s="362"/>
      <c r="D72" s="362"/>
      <c r="E72" s="362"/>
      <c r="F72" s="362"/>
      <c r="G72" s="239">
        <f>SUM(G57:G71)</f>
        <v>4535500</v>
      </c>
      <c r="H72" s="240"/>
      <c r="I72" s="240"/>
      <c r="J72" s="240"/>
      <c r="K72" s="240"/>
      <c r="L72" s="240"/>
      <c r="M72" s="240"/>
      <c r="N72" s="363"/>
      <c r="O72" s="363"/>
    </row>
    <row r="73" spans="1:201" x14ac:dyDescent="0.3">
      <c r="A73" s="108"/>
      <c r="C73" s="96"/>
      <c r="D73" s="96"/>
      <c r="G73" s="96"/>
      <c r="L73" s="96"/>
      <c r="M73" s="96"/>
      <c r="N73" s="96"/>
    </row>
    <row r="74" spans="1:201" s="100" customFormat="1" ht="13.2" customHeight="1" x14ac:dyDescent="0.3">
      <c r="A74" s="96"/>
      <c r="B74" s="356" t="s">
        <v>373</v>
      </c>
      <c r="C74" s="357"/>
      <c r="D74" s="357"/>
      <c r="E74" s="357"/>
      <c r="F74" s="357"/>
      <c r="G74" s="357"/>
      <c r="H74" s="357"/>
      <c r="I74" s="357"/>
      <c r="J74" s="357"/>
      <c r="K74" s="357"/>
      <c r="L74" s="357"/>
      <c r="M74" s="357"/>
      <c r="N74" s="358"/>
      <c r="O74" s="253"/>
    </row>
    <row r="75" spans="1:201" ht="13.2" customHeight="1" x14ac:dyDescent="0.3">
      <c r="B75" s="347" t="s">
        <v>348</v>
      </c>
      <c r="C75" s="348" t="s">
        <v>349</v>
      </c>
      <c r="D75" s="348" t="s">
        <v>640</v>
      </c>
      <c r="E75" s="347" t="s">
        <v>365</v>
      </c>
      <c r="F75" s="347" t="s">
        <v>352</v>
      </c>
      <c r="G75" s="350" t="s">
        <v>353</v>
      </c>
      <c r="H75" s="350"/>
      <c r="I75" s="350"/>
      <c r="J75" s="347" t="s">
        <v>374</v>
      </c>
      <c r="K75" s="347" t="s">
        <v>354</v>
      </c>
      <c r="L75" s="351" t="s">
        <v>355</v>
      </c>
      <c r="M75" s="347" t="s">
        <v>356</v>
      </c>
      <c r="N75" s="347"/>
      <c r="O75" s="352" t="s">
        <v>357</v>
      </c>
    </row>
    <row r="76" spans="1:201" ht="39.6" x14ac:dyDescent="0.3">
      <c r="B76" s="347"/>
      <c r="C76" s="348"/>
      <c r="D76" s="348"/>
      <c r="E76" s="350"/>
      <c r="F76" s="347"/>
      <c r="G76" s="236" t="s">
        <v>358</v>
      </c>
      <c r="H76" s="215" t="s">
        <v>359</v>
      </c>
      <c r="I76" s="215" t="s">
        <v>360</v>
      </c>
      <c r="J76" s="347"/>
      <c r="K76" s="347"/>
      <c r="L76" s="350"/>
      <c r="M76" s="216" t="s">
        <v>375</v>
      </c>
      <c r="N76" s="217" t="s">
        <v>376</v>
      </c>
      <c r="O76" s="354"/>
    </row>
    <row r="77" spans="1:201" s="104" customFormat="1" outlineLevel="1" x14ac:dyDescent="0.3">
      <c r="A77" s="96"/>
      <c r="B77" s="218" t="s">
        <v>411</v>
      </c>
      <c r="C77" s="219" t="str">
        <f>'CC detallado'!G7</f>
        <v>Diseño del SISA integrado</v>
      </c>
      <c r="D77" s="214" t="str">
        <f>'CC detallado'!A7</f>
        <v>1.1.1</v>
      </c>
      <c r="E77" s="230" t="s">
        <v>218</v>
      </c>
      <c r="F77" s="222">
        <f>F71+1</f>
        <v>33</v>
      </c>
      <c r="G77" s="221">
        <f>'CC detallado'!M7</f>
        <v>30000</v>
      </c>
      <c r="H77" s="224">
        <v>1</v>
      </c>
      <c r="I77" s="225">
        <v>0</v>
      </c>
      <c r="J77" s="241">
        <f>'CC detallado'!H7</f>
        <v>1</v>
      </c>
      <c r="K77" s="211" t="s">
        <v>125</v>
      </c>
      <c r="L77" s="211" t="s">
        <v>377</v>
      </c>
      <c r="M77" s="226" t="s">
        <v>647</v>
      </c>
      <c r="N77" s="226" t="s">
        <v>638</v>
      </c>
      <c r="O77" s="234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  <c r="FG77" s="100"/>
      <c r="FH77" s="100"/>
      <c r="FI77" s="100"/>
      <c r="FJ77" s="100"/>
      <c r="FK77" s="100"/>
      <c r="FL77" s="100"/>
      <c r="FM77" s="100"/>
      <c r="FN77" s="100"/>
      <c r="FO77" s="100"/>
      <c r="FP77" s="100"/>
      <c r="FQ77" s="100"/>
      <c r="FR77" s="100"/>
      <c r="FS77" s="100"/>
      <c r="FT77" s="100"/>
      <c r="FU77" s="100"/>
      <c r="FV77" s="100"/>
      <c r="FW77" s="100"/>
      <c r="FX77" s="100"/>
      <c r="FY77" s="100"/>
      <c r="FZ77" s="100"/>
      <c r="GA77" s="100"/>
      <c r="GB77" s="100"/>
      <c r="GC77" s="100"/>
      <c r="GD77" s="100"/>
      <c r="GE77" s="100"/>
      <c r="GF77" s="100"/>
      <c r="GG77" s="100"/>
      <c r="GH77" s="100"/>
      <c r="GI77" s="100"/>
      <c r="GJ77" s="100"/>
      <c r="GK77" s="100"/>
      <c r="GL77" s="100"/>
      <c r="GM77" s="100"/>
      <c r="GN77" s="100"/>
      <c r="GO77" s="100"/>
      <c r="GP77" s="100"/>
      <c r="GQ77" s="100"/>
      <c r="GR77" s="100"/>
      <c r="GS77" s="100"/>
    </row>
    <row r="78" spans="1:201" s="104" customFormat="1" outlineLevel="1" x14ac:dyDescent="0.3">
      <c r="A78" s="96"/>
      <c r="B78" s="212" t="s">
        <v>411</v>
      </c>
      <c r="C78" s="219" t="str">
        <f>'CC detallado'!G9</f>
        <v>Contratación Expertos</v>
      </c>
      <c r="D78" s="214" t="str">
        <f>'CC detallado'!A9</f>
        <v>1.1.3</v>
      </c>
      <c r="E78" s="230" t="s">
        <v>218</v>
      </c>
      <c r="F78" s="222">
        <f>F77+1</f>
        <v>34</v>
      </c>
      <c r="G78" s="221">
        <f>'CC detallado'!M9</f>
        <v>8000</v>
      </c>
      <c r="H78" s="224">
        <v>1</v>
      </c>
      <c r="I78" s="225">
        <v>0</v>
      </c>
      <c r="J78" s="241">
        <f>'CC detallado'!H9</f>
        <v>2</v>
      </c>
      <c r="K78" s="211" t="s">
        <v>125</v>
      </c>
      <c r="L78" s="211" t="s">
        <v>377</v>
      </c>
      <c r="M78" s="226" t="s">
        <v>642</v>
      </c>
      <c r="N78" s="226" t="s">
        <v>644</v>
      </c>
      <c r="O78" s="234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  <c r="FG78" s="100"/>
      <c r="FH78" s="100"/>
      <c r="FI78" s="100"/>
      <c r="FJ78" s="100"/>
      <c r="FK78" s="100"/>
      <c r="FL78" s="100"/>
      <c r="FM78" s="100"/>
      <c r="FN78" s="100"/>
      <c r="FO78" s="100"/>
      <c r="FP78" s="100"/>
      <c r="FQ78" s="100"/>
      <c r="FR78" s="100"/>
      <c r="FS78" s="100"/>
      <c r="FT78" s="100"/>
      <c r="FU78" s="100"/>
      <c r="FV78" s="100"/>
      <c r="FW78" s="100"/>
      <c r="FX78" s="100"/>
      <c r="FY78" s="100"/>
      <c r="FZ78" s="100"/>
      <c r="GA78" s="100"/>
      <c r="GB78" s="100"/>
      <c r="GC78" s="100"/>
      <c r="GD78" s="100"/>
      <c r="GE78" s="100"/>
      <c r="GF78" s="100"/>
      <c r="GG78" s="100"/>
      <c r="GH78" s="100"/>
      <c r="GI78" s="100"/>
      <c r="GJ78" s="100"/>
      <c r="GK78" s="100"/>
      <c r="GL78" s="100"/>
      <c r="GM78" s="100"/>
      <c r="GN78" s="100"/>
      <c r="GO78" s="100"/>
      <c r="GP78" s="100"/>
      <c r="GQ78" s="100"/>
      <c r="GR78" s="100"/>
      <c r="GS78" s="100"/>
    </row>
    <row r="79" spans="1:201" s="104" customFormat="1" ht="26.4" outlineLevel="1" x14ac:dyDescent="0.3">
      <c r="A79" s="96"/>
      <c r="B79" s="212" t="s">
        <v>411</v>
      </c>
      <c r="C79" s="219" t="str">
        <f>'CC detallado'!G12</f>
        <v>Consultoría para establecimiento de la red (incluye diseño)</v>
      </c>
      <c r="D79" s="214" t="str">
        <f>'CC detallado'!A12</f>
        <v>1.2.1</v>
      </c>
      <c r="E79" s="230" t="s">
        <v>218</v>
      </c>
      <c r="F79" s="222">
        <f t="shared" ref="F79:F106" si="4">F78+1</f>
        <v>35</v>
      </c>
      <c r="G79" s="221">
        <f>'CC detallado'!M12</f>
        <v>30000</v>
      </c>
      <c r="H79" s="224">
        <v>1</v>
      </c>
      <c r="I79" s="225">
        <v>0</v>
      </c>
      <c r="J79" s="241">
        <f>'CC detallado'!H12</f>
        <v>1</v>
      </c>
      <c r="K79" s="211" t="s">
        <v>125</v>
      </c>
      <c r="L79" s="211" t="s">
        <v>377</v>
      </c>
      <c r="M79" s="226" t="s">
        <v>654</v>
      </c>
      <c r="N79" s="226" t="s">
        <v>642</v>
      </c>
      <c r="O79" s="234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  <c r="FG79" s="100"/>
      <c r="FH79" s="100"/>
      <c r="FI79" s="100"/>
      <c r="FJ79" s="100"/>
      <c r="FK79" s="100"/>
      <c r="FL79" s="100"/>
      <c r="FM79" s="100"/>
      <c r="FN79" s="100"/>
      <c r="FO79" s="100"/>
      <c r="FP79" s="100"/>
      <c r="FQ79" s="100"/>
      <c r="FR79" s="100"/>
      <c r="FS79" s="100"/>
      <c r="FT79" s="100"/>
      <c r="FU79" s="100"/>
      <c r="FV79" s="100"/>
      <c r="FW79" s="100"/>
      <c r="FX79" s="100"/>
      <c r="FY79" s="100"/>
      <c r="FZ79" s="100"/>
      <c r="GA79" s="100"/>
      <c r="GB79" s="100"/>
      <c r="GC79" s="100"/>
      <c r="GD79" s="100"/>
      <c r="GE79" s="100"/>
      <c r="GF79" s="100"/>
      <c r="GG79" s="100"/>
      <c r="GH79" s="100"/>
      <c r="GI79" s="100"/>
      <c r="GJ79" s="100"/>
      <c r="GK79" s="100"/>
      <c r="GL79" s="100"/>
      <c r="GM79" s="100"/>
      <c r="GN79" s="100"/>
      <c r="GO79" s="100"/>
      <c r="GP79" s="100"/>
      <c r="GQ79" s="100"/>
      <c r="GR79" s="100"/>
      <c r="GS79" s="100"/>
    </row>
    <row r="80" spans="1:201" s="104" customFormat="1" outlineLevel="1" x14ac:dyDescent="0.3">
      <c r="A80" s="96"/>
      <c r="B80" s="212" t="s">
        <v>411</v>
      </c>
      <c r="C80" s="219" t="str">
        <f>'CC detallado'!G14</f>
        <v>Consultoría propuesta sistemas de información</v>
      </c>
      <c r="D80" s="214" t="str">
        <f>'CC detallado'!A14</f>
        <v>1.2.3</v>
      </c>
      <c r="E80" s="230" t="s">
        <v>218</v>
      </c>
      <c r="F80" s="222">
        <f t="shared" si="4"/>
        <v>36</v>
      </c>
      <c r="G80" s="221">
        <f>'CC detallado'!M14</f>
        <v>20000</v>
      </c>
      <c r="H80" s="224">
        <v>1</v>
      </c>
      <c r="I80" s="225">
        <v>0</v>
      </c>
      <c r="J80" s="241">
        <f>'CC detallado'!H14</f>
        <v>1</v>
      </c>
      <c r="K80" s="211" t="s">
        <v>125</v>
      </c>
      <c r="L80" s="211" t="s">
        <v>377</v>
      </c>
      <c r="M80" s="226" t="s">
        <v>654</v>
      </c>
      <c r="N80" s="226" t="s">
        <v>642</v>
      </c>
      <c r="O80" s="234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  <c r="FG80" s="100"/>
      <c r="FH80" s="100"/>
      <c r="FI80" s="100"/>
      <c r="FJ80" s="100"/>
      <c r="FK80" s="100"/>
      <c r="FL80" s="100"/>
      <c r="FM80" s="100"/>
      <c r="FN80" s="100"/>
      <c r="FO80" s="100"/>
      <c r="FP80" s="100"/>
      <c r="FQ80" s="100"/>
      <c r="FR80" s="100"/>
      <c r="FS80" s="100"/>
      <c r="FT80" s="100"/>
      <c r="FU80" s="100"/>
      <c r="FV80" s="100"/>
      <c r="FW80" s="100"/>
      <c r="FX80" s="100"/>
      <c r="FY80" s="100"/>
      <c r="FZ80" s="100"/>
      <c r="GA80" s="100"/>
      <c r="GB80" s="100"/>
      <c r="GC80" s="100"/>
      <c r="GD80" s="100"/>
      <c r="GE80" s="100"/>
      <c r="GF80" s="100"/>
      <c r="GG80" s="100"/>
      <c r="GH80" s="100"/>
      <c r="GI80" s="100"/>
      <c r="GJ80" s="100"/>
      <c r="GK80" s="100"/>
      <c r="GL80" s="100"/>
      <c r="GM80" s="100"/>
      <c r="GN80" s="100"/>
      <c r="GO80" s="100"/>
      <c r="GP80" s="100"/>
      <c r="GQ80" s="100"/>
      <c r="GR80" s="100"/>
      <c r="GS80" s="100"/>
    </row>
    <row r="81" spans="1:201" s="104" customFormat="1" ht="52.8" outlineLevel="1" x14ac:dyDescent="0.3">
      <c r="A81" s="96"/>
      <c r="B81" s="212" t="s">
        <v>411</v>
      </c>
      <c r="C81" s="219" t="str">
        <f>'CC detallado'!G17</f>
        <v>Consultoría de caracterización de riesgo externo y perfeccionamiento de procedimientos de inspección, decomisos y comunicación a usuarios</v>
      </c>
      <c r="D81" s="214" t="str">
        <f>'CC detallado'!A17</f>
        <v>1.3.1</v>
      </c>
      <c r="E81" s="230" t="s">
        <v>218</v>
      </c>
      <c r="F81" s="222">
        <f t="shared" si="4"/>
        <v>37</v>
      </c>
      <c r="G81" s="221">
        <f>'CC detallado'!M17</f>
        <v>20000</v>
      </c>
      <c r="H81" s="224">
        <v>1</v>
      </c>
      <c r="I81" s="225">
        <v>0</v>
      </c>
      <c r="J81" s="241">
        <f>'CC detallado'!H17</f>
        <v>1</v>
      </c>
      <c r="K81" s="211" t="s">
        <v>125</v>
      </c>
      <c r="L81" s="211" t="s">
        <v>377</v>
      </c>
      <c r="M81" s="226" t="s">
        <v>641</v>
      </c>
      <c r="N81" s="226" t="s">
        <v>641</v>
      </c>
      <c r="O81" s="234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  <c r="FG81" s="100"/>
      <c r="FH81" s="100"/>
      <c r="FI81" s="100"/>
      <c r="FJ81" s="100"/>
      <c r="FK81" s="100"/>
      <c r="FL81" s="100"/>
      <c r="FM81" s="100"/>
      <c r="FN81" s="100"/>
      <c r="FO81" s="100"/>
      <c r="FP81" s="100"/>
      <c r="FQ81" s="100"/>
      <c r="FR81" s="100"/>
      <c r="FS81" s="100"/>
      <c r="FT81" s="100"/>
      <c r="FU81" s="100"/>
      <c r="FV81" s="100"/>
      <c r="FW81" s="100"/>
      <c r="FX81" s="100"/>
      <c r="FY81" s="100"/>
      <c r="FZ81" s="100"/>
      <c r="GA81" s="100"/>
      <c r="GB81" s="100"/>
      <c r="GC81" s="100"/>
      <c r="GD81" s="100"/>
      <c r="GE81" s="100"/>
      <c r="GF81" s="100"/>
      <c r="GG81" s="100"/>
      <c r="GH81" s="100"/>
      <c r="GI81" s="100"/>
      <c r="GJ81" s="100"/>
      <c r="GK81" s="100"/>
      <c r="GL81" s="100"/>
      <c r="GM81" s="100"/>
      <c r="GN81" s="100"/>
      <c r="GO81" s="100"/>
      <c r="GP81" s="100"/>
      <c r="GQ81" s="100"/>
      <c r="GR81" s="100"/>
      <c r="GS81" s="100"/>
    </row>
    <row r="82" spans="1:201" s="104" customFormat="1" ht="26.4" outlineLevel="1" x14ac:dyDescent="0.3">
      <c r="A82" s="96"/>
      <c r="B82" s="212" t="s">
        <v>411</v>
      </c>
      <c r="C82" s="219" t="str">
        <f>'CC detallado'!G19</f>
        <v>Consultoría proyecto Estación cuarentenaria y diseño puestos de control internacional</v>
      </c>
      <c r="D82" s="214" t="str">
        <f>'CC detallado'!A19</f>
        <v>1.3.3</v>
      </c>
      <c r="E82" s="230" t="s">
        <v>218</v>
      </c>
      <c r="F82" s="222">
        <f t="shared" si="4"/>
        <v>38</v>
      </c>
      <c r="G82" s="221">
        <f>'CC detallado'!M19</f>
        <v>10000</v>
      </c>
      <c r="H82" s="224">
        <v>1</v>
      </c>
      <c r="I82" s="225">
        <v>0</v>
      </c>
      <c r="J82" s="241">
        <f>'CC detallado'!H19</f>
        <v>1</v>
      </c>
      <c r="K82" s="211" t="s">
        <v>125</v>
      </c>
      <c r="L82" s="211" t="s">
        <v>377</v>
      </c>
      <c r="M82" s="226" t="s">
        <v>642</v>
      </c>
      <c r="N82" s="226" t="s">
        <v>644</v>
      </c>
      <c r="O82" s="234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0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  <c r="DQ82" s="100"/>
      <c r="DR82" s="100"/>
      <c r="DS82" s="100"/>
      <c r="DT82" s="100"/>
      <c r="DU82" s="100"/>
      <c r="DV82" s="100"/>
      <c r="DW82" s="100"/>
      <c r="DX82" s="100"/>
      <c r="DY82" s="100"/>
      <c r="DZ82" s="100"/>
      <c r="EA82" s="100"/>
      <c r="EB82" s="100"/>
      <c r="EC82" s="100"/>
      <c r="ED82" s="100"/>
      <c r="EE82" s="100"/>
      <c r="EF82" s="100"/>
      <c r="EG82" s="100"/>
      <c r="EH82" s="100"/>
      <c r="EI82" s="100"/>
      <c r="EJ82" s="100"/>
      <c r="EK82" s="100"/>
      <c r="EL82" s="100"/>
      <c r="EM82" s="100"/>
      <c r="EN82" s="100"/>
      <c r="EO82" s="100"/>
      <c r="EP82" s="100"/>
      <c r="EQ82" s="100"/>
      <c r="ER82" s="100"/>
      <c r="ES82" s="100"/>
      <c r="ET82" s="100"/>
      <c r="EU82" s="100"/>
      <c r="EV82" s="100"/>
      <c r="EW82" s="100"/>
      <c r="EX82" s="100"/>
      <c r="EY82" s="100"/>
      <c r="EZ82" s="100"/>
      <c r="FA82" s="100"/>
      <c r="FB82" s="100"/>
      <c r="FC82" s="100"/>
      <c r="FD82" s="100"/>
      <c r="FE82" s="100"/>
      <c r="FF82" s="100"/>
      <c r="FG82" s="100"/>
      <c r="FH82" s="100"/>
      <c r="FI82" s="100"/>
      <c r="FJ82" s="100"/>
      <c r="FK82" s="100"/>
      <c r="FL82" s="100"/>
      <c r="FM82" s="100"/>
      <c r="FN82" s="100"/>
      <c r="FO82" s="100"/>
      <c r="FP82" s="100"/>
      <c r="FQ82" s="100"/>
      <c r="FR82" s="100"/>
      <c r="FS82" s="100"/>
      <c r="FT82" s="100"/>
      <c r="FU82" s="100"/>
      <c r="FV82" s="100"/>
      <c r="FW82" s="100"/>
      <c r="FX82" s="100"/>
      <c r="FY82" s="100"/>
      <c r="FZ82" s="100"/>
      <c r="GA82" s="100"/>
      <c r="GB82" s="100"/>
      <c r="GC82" s="100"/>
      <c r="GD82" s="100"/>
      <c r="GE82" s="100"/>
      <c r="GF82" s="100"/>
      <c r="GG82" s="100"/>
      <c r="GH82" s="100"/>
      <c r="GI82" s="100"/>
      <c r="GJ82" s="100"/>
      <c r="GK82" s="100"/>
      <c r="GL82" s="100"/>
      <c r="GM82" s="100"/>
      <c r="GN82" s="100"/>
      <c r="GO82" s="100"/>
      <c r="GP82" s="100"/>
      <c r="GQ82" s="100"/>
      <c r="GR82" s="100"/>
      <c r="GS82" s="100"/>
    </row>
    <row r="83" spans="1:201" s="104" customFormat="1" ht="26.4" outlineLevel="1" x14ac:dyDescent="0.3">
      <c r="A83" s="96"/>
      <c r="B83" s="212" t="s">
        <v>411</v>
      </c>
      <c r="C83" s="219" t="str">
        <f>'CC detallado'!G20</f>
        <v>Diseño para adecuación puestos de control interno</v>
      </c>
      <c r="D83" s="214" t="str">
        <f>'CC detallado'!A20</f>
        <v>1.3.4</v>
      </c>
      <c r="E83" s="230" t="s">
        <v>218</v>
      </c>
      <c r="F83" s="222">
        <f t="shared" si="4"/>
        <v>39</v>
      </c>
      <c r="G83" s="221">
        <f>'CC detallado'!M20</f>
        <v>40000</v>
      </c>
      <c r="H83" s="224">
        <v>1</v>
      </c>
      <c r="I83" s="225">
        <v>0</v>
      </c>
      <c r="J83" s="241">
        <f>'CC detallado'!H20</f>
        <v>1</v>
      </c>
      <c r="K83" s="211" t="s">
        <v>125</v>
      </c>
      <c r="L83" s="211" t="s">
        <v>377</v>
      </c>
      <c r="M83" s="226" t="s">
        <v>642</v>
      </c>
      <c r="N83" s="226" t="s">
        <v>644</v>
      </c>
      <c r="O83" s="234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0"/>
      <c r="DD83" s="100"/>
      <c r="DE83" s="100"/>
      <c r="DF83" s="100"/>
      <c r="DG83" s="100"/>
      <c r="DH83" s="100"/>
      <c r="DI83" s="100"/>
      <c r="DJ83" s="100"/>
      <c r="DK83" s="100"/>
      <c r="DL83" s="100"/>
      <c r="DM83" s="100"/>
      <c r="DN83" s="100"/>
      <c r="DO83" s="100"/>
      <c r="DP83" s="100"/>
      <c r="DQ83" s="100"/>
      <c r="DR83" s="100"/>
      <c r="DS83" s="100"/>
      <c r="DT83" s="100"/>
      <c r="DU83" s="100"/>
      <c r="DV83" s="100"/>
      <c r="DW83" s="100"/>
      <c r="DX83" s="100"/>
      <c r="DY83" s="100"/>
      <c r="DZ83" s="100"/>
      <c r="EA83" s="100"/>
      <c r="EB83" s="100"/>
      <c r="EC83" s="100"/>
      <c r="ED83" s="100"/>
      <c r="EE83" s="100"/>
      <c r="EF83" s="100"/>
      <c r="EG83" s="100"/>
      <c r="EH83" s="100"/>
      <c r="EI83" s="100"/>
      <c r="EJ83" s="100"/>
      <c r="EK83" s="100"/>
      <c r="EL83" s="100"/>
      <c r="EM83" s="100"/>
      <c r="EN83" s="100"/>
      <c r="EO83" s="100"/>
      <c r="EP83" s="100"/>
      <c r="EQ83" s="100"/>
      <c r="ER83" s="100"/>
      <c r="ES83" s="100"/>
      <c r="ET83" s="100"/>
      <c r="EU83" s="100"/>
      <c r="EV83" s="100"/>
      <c r="EW83" s="100"/>
      <c r="EX83" s="100"/>
      <c r="EY83" s="100"/>
      <c r="EZ83" s="100"/>
      <c r="FA83" s="100"/>
      <c r="FB83" s="100"/>
      <c r="FC83" s="100"/>
      <c r="FD83" s="100"/>
      <c r="FE83" s="100"/>
      <c r="FF83" s="100"/>
      <c r="FG83" s="100"/>
      <c r="FH83" s="100"/>
      <c r="FI83" s="100"/>
      <c r="FJ83" s="100"/>
      <c r="FK83" s="100"/>
      <c r="FL83" s="100"/>
      <c r="FM83" s="100"/>
      <c r="FN83" s="100"/>
      <c r="FO83" s="100"/>
      <c r="FP83" s="100"/>
      <c r="FQ83" s="100"/>
      <c r="FR83" s="100"/>
      <c r="FS83" s="100"/>
      <c r="FT83" s="100"/>
      <c r="FU83" s="100"/>
      <c r="FV83" s="100"/>
      <c r="FW83" s="100"/>
      <c r="FX83" s="100"/>
      <c r="FY83" s="100"/>
      <c r="FZ83" s="100"/>
      <c r="GA83" s="100"/>
      <c r="GB83" s="100"/>
      <c r="GC83" s="100"/>
      <c r="GD83" s="100"/>
      <c r="GE83" s="100"/>
      <c r="GF83" s="100"/>
      <c r="GG83" s="100"/>
      <c r="GH83" s="100"/>
      <c r="GI83" s="100"/>
      <c r="GJ83" s="100"/>
      <c r="GK83" s="100"/>
      <c r="GL83" s="100"/>
      <c r="GM83" s="100"/>
      <c r="GN83" s="100"/>
      <c r="GO83" s="100"/>
      <c r="GP83" s="100"/>
      <c r="GQ83" s="100"/>
      <c r="GR83" s="100"/>
      <c r="GS83" s="100"/>
    </row>
    <row r="84" spans="1:201" s="104" customFormat="1" outlineLevel="1" x14ac:dyDescent="0.3">
      <c r="A84" s="96"/>
      <c r="B84" s="212" t="s">
        <v>411</v>
      </c>
      <c r="C84" s="219" t="str">
        <f>'CC detallado'!G23</f>
        <v>Consultoría para elaborar la caracterización</v>
      </c>
      <c r="D84" s="214" t="str">
        <f>'CC detallado'!A23</f>
        <v>1.4.1</v>
      </c>
      <c r="E84" s="230" t="s">
        <v>218</v>
      </c>
      <c r="F84" s="222">
        <f t="shared" si="4"/>
        <v>40</v>
      </c>
      <c r="G84" s="221">
        <f>'CC detallado'!M23</f>
        <v>40000</v>
      </c>
      <c r="H84" s="224">
        <v>1</v>
      </c>
      <c r="I84" s="225">
        <v>0</v>
      </c>
      <c r="J84" s="241">
        <f>'CC detallado'!H23</f>
        <v>1</v>
      </c>
      <c r="K84" s="211" t="s">
        <v>125</v>
      </c>
      <c r="L84" s="211" t="s">
        <v>377</v>
      </c>
      <c r="M84" s="226"/>
      <c r="N84" s="226"/>
      <c r="O84" s="234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0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  <c r="DQ84" s="100"/>
      <c r="DR84" s="100"/>
      <c r="DS84" s="100"/>
      <c r="DT84" s="100"/>
      <c r="DU84" s="100"/>
      <c r="DV84" s="100"/>
      <c r="DW84" s="100"/>
      <c r="DX84" s="100"/>
      <c r="DY84" s="100"/>
      <c r="DZ84" s="100"/>
      <c r="EA84" s="100"/>
      <c r="EB84" s="100"/>
      <c r="EC84" s="100"/>
      <c r="ED84" s="100"/>
      <c r="EE84" s="100"/>
      <c r="EF84" s="100"/>
      <c r="EG84" s="100"/>
      <c r="EH84" s="100"/>
      <c r="EI84" s="100"/>
      <c r="EJ84" s="100"/>
      <c r="EK84" s="100"/>
      <c r="EL84" s="100"/>
      <c r="EM84" s="100"/>
      <c r="EN84" s="100"/>
      <c r="EO84" s="100"/>
      <c r="EP84" s="100"/>
      <c r="EQ84" s="100"/>
      <c r="ER84" s="100"/>
      <c r="ES84" s="100"/>
      <c r="ET84" s="100"/>
      <c r="EU84" s="100"/>
      <c r="EV84" s="100"/>
      <c r="EW84" s="100"/>
      <c r="EX84" s="100"/>
      <c r="EY84" s="100"/>
      <c r="EZ84" s="100"/>
      <c r="FA84" s="100"/>
      <c r="FB84" s="100"/>
      <c r="FC84" s="100"/>
      <c r="FD84" s="100"/>
      <c r="FE84" s="100"/>
      <c r="FF84" s="100"/>
      <c r="FG84" s="100"/>
      <c r="FH84" s="100"/>
      <c r="FI84" s="100"/>
      <c r="FJ84" s="100"/>
      <c r="FK84" s="100"/>
      <c r="FL84" s="100"/>
      <c r="FM84" s="100"/>
      <c r="FN84" s="100"/>
      <c r="FO84" s="100"/>
      <c r="FP84" s="100"/>
      <c r="FQ84" s="100"/>
      <c r="FR84" s="100"/>
      <c r="FS84" s="100"/>
      <c r="FT84" s="100"/>
      <c r="FU84" s="100"/>
      <c r="FV84" s="100"/>
      <c r="FW84" s="100"/>
      <c r="FX84" s="100"/>
      <c r="FY84" s="100"/>
      <c r="FZ84" s="100"/>
      <c r="GA84" s="100"/>
      <c r="GB84" s="100"/>
      <c r="GC84" s="100"/>
      <c r="GD84" s="100"/>
      <c r="GE84" s="100"/>
      <c r="GF84" s="100"/>
      <c r="GG84" s="100"/>
      <c r="GH84" s="100"/>
      <c r="GI84" s="100"/>
      <c r="GJ84" s="100"/>
      <c r="GK84" s="100"/>
      <c r="GL84" s="100"/>
      <c r="GM84" s="100"/>
      <c r="GN84" s="100"/>
      <c r="GO84" s="100"/>
      <c r="GP84" s="100"/>
      <c r="GQ84" s="100"/>
      <c r="GR84" s="100"/>
      <c r="GS84" s="100"/>
    </row>
    <row r="85" spans="1:201" s="104" customFormat="1" ht="26.4" outlineLevel="1" x14ac:dyDescent="0.3">
      <c r="A85" s="96"/>
      <c r="B85" s="212" t="s">
        <v>411</v>
      </c>
      <c r="C85" s="219" t="str">
        <f>'CC detallado'!G25</f>
        <v>Consultoría caracterización de riesgo vulnerabilidad</v>
      </c>
      <c r="D85" s="214" t="str">
        <f>'CC detallado'!A25</f>
        <v>1.4.3</v>
      </c>
      <c r="E85" s="230" t="s">
        <v>218</v>
      </c>
      <c r="F85" s="222">
        <f t="shared" si="4"/>
        <v>41</v>
      </c>
      <c r="G85" s="221">
        <f>'CC detallado'!M25</f>
        <v>20000</v>
      </c>
      <c r="H85" s="224">
        <v>1</v>
      </c>
      <c r="I85" s="225">
        <v>0</v>
      </c>
      <c r="J85" s="241">
        <f>'CC detallado'!H25</f>
        <v>1</v>
      </c>
      <c r="K85" s="211" t="s">
        <v>125</v>
      </c>
      <c r="L85" s="211" t="s">
        <v>377</v>
      </c>
      <c r="M85" s="226" t="s">
        <v>638</v>
      </c>
      <c r="N85" s="226" t="s">
        <v>638</v>
      </c>
      <c r="O85" s="234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0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  <c r="DQ85" s="100"/>
      <c r="DR85" s="100"/>
      <c r="DS85" s="100"/>
      <c r="DT85" s="100"/>
      <c r="DU85" s="100"/>
      <c r="DV85" s="100"/>
      <c r="DW85" s="100"/>
      <c r="DX85" s="100"/>
      <c r="DY85" s="100"/>
      <c r="DZ85" s="100"/>
      <c r="EA85" s="100"/>
      <c r="EB85" s="100"/>
      <c r="EC85" s="100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0"/>
      <c r="ER85" s="100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0"/>
      <c r="FG85" s="100"/>
      <c r="FH85" s="100"/>
      <c r="FI85" s="100"/>
      <c r="FJ85" s="100"/>
      <c r="FK85" s="100"/>
      <c r="FL85" s="100"/>
      <c r="FM85" s="100"/>
      <c r="FN85" s="100"/>
      <c r="FO85" s="100"/>
      <c r="FP85" s="100"/>
      <c r="FQ85" s="100"/>
      <c r="FR85" s="100"/>
      <c r="FS85" s="100"/>
      <c r="FT85" s="100"/>
      <c r="FU85" s="100"/>
      <c r="FV85" s="100"/>
      <c r="FW85" s="100"/>
      <c r="FX85" s="100"/>
      <c r="FY85" s="100"/>
      <c r="FZ85" s="100"/>
      <c r="GA85" s="100"/>
      <c r="GB85" s="100"/>
      <c r="GC85" s="100"/>
      <c r="GD85" s="100"/>
      <c r="GE85" s="100"/>
      <c r="GF85" s="100"/>
      <c r="GG85" s="100"/>
      <c r="GH85" s="100"/>
      <c r="GI85" s="100"/>
      <c r="GJ85" s="100"/>
      <c r="GK85" s="100"/>
      <c r="GL85" s="100"/>
      <c r="GM85" s="100"/>
      <c r="GN85" s="100"/>
      <c r="GO85" s="100"/>
      <c r="GP85" s="100"/>
      <c r="GQ85" s="100"/>
      <c r="GR85" s="100"/>
      <c r="GS85" s="100"/>
    </row>
    <row r="86" spans="1:201" s="104" customFormat="1" ht="39.6" outlineLevel="1" x14ac:dyDescent="0.3">
      <c r="A86" s="96"/>
      <c r="B86" s="212" t="s">
        <v>411</v>
      </c>
      <c r="C86" s="219" t="str">
        <f>'CC detallado'!G32</f>
        <v>Creación de la Red de Laboratorios del SENACSA – DIGELAB. Capacitación de un profesional 30 días</v>
      </c>
      <c r="D86" s="214" t="str">
        <f>'CC detallado'!A32</f>
        <v>1.5.2</v>
      </c>
      <c r="E86" s="230" t="s">
        <v>218</v>
      </c>
      <c r="F86" s="222">
        <f t="shared" si="4"/>
        <v>42</v>
      </c>
      <c r="G86" s="221">
        <f>'CC detallado'!M32</f>
        <v>6500</v>
      </c>
      <c r="H86" s="224">
        <v>1</v>
      </c>
      <c r="I86" s="225">
        <v>0</v>
      </c>
      <c r="J86" s="241">
        <f>'CC detallado'!H32</f>
        <v>1</v>
      </c>
      <c r="K86" s="211" t="s">
        <v>125</v>
      </c>
      <c r="L86" s="211" t="s">
        <v>377</v>
      </c>
      <c r="M86" s="226" t="s">
        <v>638</v>
      </c>
      <c r="N86" s="226" t="s">
        <v>638</v>
      </c>
      <c r="O86" s="234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0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  <c r="DQ86" s="100"/>
      <c r="DR86" s="100"/>
      <c r="DS86" s="100"/>
      <c r="DT86" s="100"/>
      <c r="DU86" s="100"/>
      <c r="DV86" s="100"/>
      <c r="DW86" s="100"/>
      <c r="DX86" s="100"/>
      <c r="DY86" s="100"/>
      <c r="DZ86" s="100"/>
      <c r="EA86" s="100"/>
      <c r="EB86" s="100"/>
      <c r="EC86" s="100"/>
      <c r="ED86" s="100"/>
      <c r="EE86" s="100"/>
      <c r="EF86" s="100"/>
      <c r="EG86" s="100"/>
      <c r="EH86" s="100"/>
      <c r="EI86" s="100"/>
      <c r="EJ86" s="100"/>
      <c r="EK86" s="100"/>
      <c r="EL86" s="100"/>
      <c r="EM86" s="100"/>
      <c r="EN86" s="100"/>
      <c r="EO86" s="100"/>
      <c r="EP86" s="100"/>
      <c r="EQ86" s="100"/>
      <c r="ER86" s="100"/>
      <c r="ES86" s="100"/>
      <c r="ET86" s="100"/>
      <c r="EU86" s="100"/>
      <c r="EV86" s="100"/>
      <c r="EW86" s="100"/>
      <c r="EX86" s="100"/>
      <c r="EY86" s="100"/>
      <c r="EZ86" s="100"/>
      <c r="FA86" s="100"/>
      <c r="FB86" s="100"/>
      <c r="FC86" s="100"/>
      <c r="FD86" s="100"/>
      <c r="FE86" s="100"/>
      <c r="FF86" s="100"/>
      <c r="FG86" s="100"/>
      <c r="FH86" s="100"/>
      <c r="FI86" s="100"/>
      <c r="FJ86" s="100"/>
      <c r="FK86" s="100"/>
      <c r="FL86" s="100"/>
      <c r="FM86" s="100"/>
      <c r="FN86" s="100"/>
      <c r="FO86" s="100"/>
      <c r="FP86" s="100"/>
      <c r="FQ86" s="100"/>
      <c r="FR86" s="100"/>
      <c r="FS86" s="100"/>
      <c r="FT86" s="100"/>
      <c r="FU86" s="100"/>
      <c r="FV86" s="100"/>
      <c r="FW86" s="100"/>
      <c r="FX86" s="100"/>
      <c r="FY86" s="100"/>
      <c r="FZ86" s="100"/>
      <c r="GA86" s="100"/>
      <c r="GB86" s="100"/>
      <c r="GC86" s="100"/>
      <c r="GD86" s="100"/>
      <c r="GE86" s="100"/>
      <c r="GF86" s="100"/>
      <c r="GG86" s="100"/>
      <c r="GH86" s="100"/>
      <c r="GI86" s="100"/>
      <c r="GJ86" s="100"/>
      <c r="GK86" s="100"/>
      <c r="GL86" s="100"/>
      <c r="GM86" s="100"/>
      <c r="GN86" s="100"/>
      <c r="GO86" s="100"/>
      <c r="GP86" s="100"/>
      <c r="GQ86" s="100"/>
      <c r="GR86" s="100"/>
      <c r="GS86" s="100"/>
    </row>
    <row r="87" spans="1:201" s="104" customFormat="1" ht="39.6" outlineLevel="1" x14ac:dyDescent="0.3">
      <c r="A87" s="96"/>
      <c r="B87" s="212" t="s">
        <v>411</v>
      </c>
      <c r="C87" s="219" t="str">
        <f>'CC detallado'!G34</f>
        <v>Incrementar controles de productos biológicos y producción de reactivos. Capacitación de dos profesionales de SENACSA</v>
      </c>
      <c r="D87" s="214" t="str">
        <f>'CC detallado'!A34</f>
        <v>1.5.4</v>
      </c>
      <c r="E87" s="230" t="s">
        <v>218</v>
      </c>
      <c r="F87" s="222">
        <f t="shared" si="4"/>
        <v>43</v>
      </c>
      <c r="G87" s="221">
        <f>'CC detallado'!M34</f>
        <v>126000</v>
      </c>
      <c r="H87" s="224">
        <v>1</v>
      </c>
      <c r="I87" s="225">
        <v>0</v>
      </c>
      <c r="J87" s="241">
        <f>'CC detallado'!H34</f>
        <v>2</v>
      </c>
      <c r="K87" s="211" t="s">
        <v>125</v>
      </c>
      <c r="L87" s="211" t="s">
        <v>377</v>
      </c>
      <c r="M87" s="226" t="s">
        <v>638</v>
      </c>
      <c r="N87" s="226" t="s">
        <v>638</v>
      </c>
      <c r="O87" s="234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0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  <c r="DQ87" s="100"/>
      <c r="DR87" s="100"/>
      <c r="DS87" s="100"/>
      <c r="DT87" s="100"/>
      <c r="DU87" s="100"/>
      <c r="DV87" s="100"/>
      <c r="DW87" s="100"/>
      <c r="DX87" s="100"/>
      <c r="DY87" s="100"/>
      <c r="DZ87" s="100"/>
      <c r="EA87" s="100"/>
      <c r="EB87" s="100"/>
      <c r="EC87" s="100"/>
      <c r="ED87" s="100"/>
      <c r="EE87" s="100"/>
      <c r="EF87" s="100"/>
      <c r="EG87" s="100"/>
      <c r="EH87" s="100"/>
      <c r="EI87" s="100"/>
      <c r="EJ87" s="100"/>
      <c r="EK87" s="100"/>
      <c r="EL87" s="100"/>
      <c r="EM87" s="100"/>
      <c r="EN87" s="100"/>
      <c r="EO87" s="100"/>
      <c r="EP87" s="100"/>
      <c r="EQ87" s="100"/>
      <c r="ER87" s="100"/>
      <c r="ES87" s="100"/>
      <c r="ET87" s="100"/>
      <c r="EU87" s="100"/>
      <c r="EV87" s="100"/>
      <c r="EW87" s="100"/>
      <c r="EX87" s="100"/>
      <c r="EY87" s="100"/>
      <c r="EZ87" s="100"/>
      <c r="FA87" s="100"/>
      <c r="FB87" s="100"/>
      <c r="FC87" s="100"/>
      <c r="FD87" s="100"/>
      <c r="FE87" s="100"/>
      <c r="FF87" s="100"/>
      <c r="FG87" s="100"/>
      <c r="FH87" s="100"/>
      <c r="FI87" s="100"/>
      <c r="FJ87" s="100"/>
      <c r="FK87" s="100"/>
      <c r="FL87" s="100"/>
      <c r="FM87" s="100"/>
      <c r="FN87" s="100"/>
      <c r="FO87" s="100"/>
      <c r="FP87" s="100"/>
      <c r="FQ87" s="100"/>
      <c r="FR87" s="100"/>
      <c r="FS87" s="100"/>
      <c r="FT87" s="100"/>
      <c r="FU87" s="100"/>
      <c r="FV87" s="100"/>
      <c r="FW87" s="100"/>
      <c r="FX87" s="100"/>
      <c r="FY87" s="100"/>
      <c r="FZ87" s="100"/>
      <c r="GA87" s="100"/>
      <c r="GB87" s="100"/>
      <c r="GC87" s="100"/>
      <c r="GD87" s="100"/>
      <c r="GE87" s="100"/>
      <c r="GF87" s="100"/>
      <c r="GG87" s="100"/>
      <c r="GH87" s="100"/>
      <c r="GI87" s="100"/>
      <c r="GJ87" s="100"/>
      <c r="GK87" s="100"/>
      <c r="GL87" s="100"/>
      <c r="GM87" s="100"/>
      <c r="GN87" s="100"/>
      <c r="GO87" s="100"/>
      <c r="GP87" s="100"/>
      <c r="GQ87" s="100"/>
      <c r="GR87" s="100"/>
      <c r="GS87" s="100"/>
    </row>
    <row r="88" spans="1:201" s="104" customFormat="1" outlineLevel="1" x14ac:dyDescent="0.3">
      <c r="A88" s="96"/>
      <c r="B88" s="212" t="s">
        <v>411</v>
      </c>
      <c r="C88" s="219" t="str">
        <f>'CC detallado'!G43</f>
        <v>Plan de implementación</v>
      </c>
      <c r="D88" s="214" t="str">
        <f>'CC detallado'!A43</f>
        <v>1.7.2</v>
      </c>
      <c r="E88" s="230" t="s">
        <v>218</v>
      </c>
      <c r="F88" s="222">
        <f t="shared" si="4"/>
        <v>44</v>
      </c>
      <c r="G88" s="221">
        <f>'CC detallado'!M43</f>
        <v>40000</v>
      </c>
      <c r="H88" s="224">
        <v>1</v>
      </c>
      <c r="I88" s="225">
        <v>0</v>
      </c>
      <c r="J88" s="241">
        <f>'CC detallado'!H43</f>
        <v>1</v>
      </c>
      <c r="K88" s="211" t="s">
        <v>125</v>
      </c>
      <c r="L88" s="211" t="s">
        <v>377</v>
      </c>
      <c r="M88" s="226" t="s">
        <v>654</v>
      </c>
      <c r="N88" s="226" t="s">
        <v>639</v>
      </c>
      <c r="O88" s="234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  <c r="FG88" s="100"/>
      <c r="FH88" s="100"/>
      <c r="FI88" s="100"/>
      <c r="FJ88" s="100"/>
      <c r="FK88" s="100"/>
      <c r="FL88" s="100"/>
      <c r="FM88" s="100"/>
      <c r="FN88" s="100"/>
      <c r="FO88" s="100"/>
      <c r="FP88" s="100"/>
      <c r="FQ88" s="100"/>
      <c r="FR88" s="100"/>
      <c r="FS88" s="100"/>
      <c r="FT88" s="100"/>
      <c r="FU88" s="100"/>
      <c r="FV88" s="100"/>
      <c r="FW88" s="100"/>
      <c r="FX88" s="100"/>
      <c r="FY88" s="100"/>
      <c r="FZ88" s="100"/>
      <c r="GA88" s="100"/>
      <c r="GB88" s="100"/>
      <c r="GC88" s="100"/>
      <c r="GD88" s="100"/>
      <c r="GE88" s="100"/>
      <c r="GF88" s="100"/>
      <c r="GG88" s="100"/>
      <c r="GH88" s="100"/>
      <c r="GI88" s="100"/>
      <c r="GJ88" s="100"/>
      <c r="GK88" s="100"/>
      <c r="GL88" s="100"/>
      <c r="GM88" s="100"/>
      <c r="GN88" s="100"/>
      <c r="GO88" s="100"/>
      <c r="GP88" s="100"/>
      <c r="GQ88" s="100"/>
      <c r="GR88" s="100"/>
      <c r="GS88" s="100"/>
    </row>
    <row r="89" spans="1:201" s="104" customFormat="1" ht="26.4" outlineLevel="1" x14ac:dyDescent="0.3">
      <c r="A89" s="96"/>
      <c r="B89" s="212" t="s">
        <v>411</v>
      </c>
      <c r="C89" s="219" t="str">
        <f>'CC detallado'!G48</f>
        <v>Consultoría para elaboración diagnóstico situación y elaboración de programa</v>
      </c>
      <c r="D89" s="214" t="str">
        <f>'CC detallado'!A48</f>
        <v>1.8.2</v>
      </c>
      <c r="E89" s="230" t="s">
        <v>218</v>
      </c>
      <c r="F89" s="222">
        <f t="shared" si="4"/>
        <v>45</v>
      </c>
      <c r="G89" s="221">
        <f>'CC detallado'!M48</f>
        <v>20000</v>
      </c>
      <c r="H89" s="224">
        <v>1</v>
      </c>
      <c r="I89" s="225">
        <v>0</v>
      </c>
      <c r="J89" s="241">
        <f>'CC detallado'!H48</f>
        <v>1</v>
      </c>
      <c r="K89" s="211" t="s">
        <v>125</v>
      </c>
      <c r="L89" s="211" t="s">
        <v>377</v>
      </c>
      <c r="M89" s="226" t="s">
        <v>652</v>
      </c>
      <c r="N89" s="226" t="s">
        <v>652</v>
      </c>
      <c r="O89" s="234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  <c r="FG89" s="100"/>
      <c r="FH89" s="100"/>
      <c r="FI89" s="100"/>
      <c r="FJ89" s="100"/>
      <c r="FK89" s="100"/>
      <c r="FL89" s="100"/>
      <c r="FM89" s="100"/>
      <c r="FN89" s="100"/>
      <c r="FO89" s="100"/>
      <c r="FP89" s="100"/>
      <c r="FQ89" s="100"/>
      <c r="FR89" s="100"/>
      <c r="FS89" s="100"/>
      <c r="FT89" s="100"/>
      <c r="FU89" s="100"/>
      <c r="FV89" s="100"/>
      <c r="FW89" s="100"/>
      <c r="FX89" s="100"/>
      <c r="FY89" s="100"/>
      <c r="FZ89" s="100"/>
      <c r="GA89" s="100"/>
      <c r="GB89" s="100"/>
      <c r="GC89" s="100"/>
      <c r="GD89" s="100"/>
      <c r="GE89" s="100"/>
      <c r="GF89" s="100"/>
      <c r="GG89" s="100"/>
      <c r="GH89" s="100"/>
      <c r="GI89" s="100"/>
      <c r="GJ89" s="100"/>
      <c r="GK89" s="100"/>
      <c r="GL89" s="100"/>
      <c r="GM89" s="100"/>
      <c r="GN89" s="100"/>
      <c r="GO89" s="100"/>
      <c r="GP89" s="100"/>
      <c r="GQ89" s="100"/>
      <c r="GR89" s="100"/>
      <c r="GS89" s="100"/>
    </row>
    <row r="90" spans="1:201" s="104" customFormat="1" ht="26.4" outlineLevel="1" x14ac:dyDescent="0.3">
      <c r="A90" s="96"/>
      <c r="B90" s="212" t="s">
        <v>411</v>
      </c>
      <c r="C90" s="219" t="str">
        <f>'CC detallado'!G55</f>
        <v>Elaboración de Términos de referencia y borrador de contrato para firma</v>
      </c>
      <c r="D90" s="214" t="str">
        <f>'CC detallado'!A55</f>
        <v>2.1.1</v>
      </c>
      <c r="E90" s="230" t="s">
        <v>218</v>
      </c>
      <c r="F90" s="222">
        <f t="shared" si="4"/>
        <v>46</v>
      </c>
      <c r="G90" s="221">
        <f>'CC detallado'!M55</f>
        <v>10000</v>
      </c>
      <c r="H90" s="224">
        <v>1</v>
      </c>
      <c r="I90" s="225">
        <v>0</v>
      </c>
      <c r="J90" s="241">
        <f>'CC detallado'!H55</f>
        <v>1</v>
      </c>
      <c r="K90" s="211" t="s">
        <v>631</v>
      </c>
      <c r="L90" s="211" t="s">
        <v>377</v>
      </c>
      <c r="M90" s="226" t="s">
        <v>647</v>
      </c>
      <c r="N90" s="226" t="s">
        <v>647</v>
      </c>
      <c r="O90" s="234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0"/>
      <c r="BI90" s="100"/>
      <c r="BJ90" s="100"/>
      <c r="BK90" s="100"/>
      <c r="BL90" s="100"/>
      <c r="BM90" s="100"/>
      <c r="BN90" s="100"/>
      <c r="BO90" s="100"/>
      <c r="BP90" s="100"/>
      <c r="BQ90" s="100"/>
      <c r="BR90" s="100"/>
      <c r="BS90" s="100"/>
      <c r="BT90" s="100"/>
      <c r="BU90" s="100"/>
      <c r="BV90" s="100"/>
      <c r="BW90" s="100"/>
      <c r="BX90" s="100"/>
      <c r="BY90" s="100"/>
      <c r="BZ90" s="100"/>
      <c r="CA90" s="100"/>
      <c r="CB90" s="100"/>
      <c r="CC90" s="100"/>
      <c r="CD90" s="100"/>
      <c r="CE90" s="100"/>
      <c r="CF90" s="100"/>
      <c r="CG90" s="100"/>
      <c r="CH90" s="100"/>
      <c r="CI90" s="100"/>
      <c r="CJ90" s="100"/>
      <c r="CK90" s="100"/>
      <c r="CL90" s="100"/>
      <c r="CM90" s="100"/>
      <c r="CN90" s="100"/>
      <c r="CO90" s="100"/>
      <c r="CP90" s="100"/>
      <c r="CQ90" s="100"/>
      <c r="CR90" s="100"/>
      <c r="CS90" s="100"/>
      <c r="CT90" s="100"/>
      <c r="CU90" s="100"/>
      <c r="CV90" s="100"/>
      <c r="CW90" s="100"/>
      <c r="CX90" s="100"/>
      <c r="CY90" s="100"/>
      <c r="CZ90" s="100"/>
      <c r="DA90" s="100"/>
      <c r="DB90" s="100"/>
      <c r="DC90" s="100"/>
      <c r="DD90" s="100"/>
      <c r="DE90" s="100"/>
      <c r="DF90" s="100"/>
      <c r="DG90" s="100"/>
      <c r="DH90" s="100"/>
      <c r="DI90" s="100"/>
      <c r="DJ90" s="100"/>
      <c r="DK90" s="100"/>
      <c r="DL90" s="100"/>
      <c r="DM90" s="100"/>
      <c r="DN90" s="100"/>
      <c r="DO90" s="100"/>
      <c r="DP90" s="100"/>
      <c r="DQ90" s="100"/>
      <c r="DR90" s="100"/>
      <c r="DS90" s="100"/>
      <c r="DT90" s="100"/>
      <c r="DU90" s="100"/>
      <c r="DV90" s="100"/>
      <c r="DW90" s="100"/>
      <c r="DX90" s="100"/>
      <c r="DY90" s="100"/>
      <c r="DZ90" s="100"/>
      <c r="EA90" s="100"/>
      <c r="EB90" s="100"/>
      <c r="EC90" s="100"/>
      <c r="ED90" s="100"/>
      <c r="EE90" s="100"/>
      <c r="EF90" s="100"/>
      <c r="EG90" s="100"/>
      <c r="EH90" s="100"/>
      <c r="EI90" s="100"/>
      <c r="EJ90" s="100"/>
      <c r="EK90" s="100"/>
      <c r="EL90" s="100"/>
      <c r="EM90" s="100"/>
      <c r="EN90" s="100"/>
      <c r="EO90" s="100"/>
      <c r="EP90" s="100"/>
      <c r="EQ90" s="100"/>
      <c r="ER90" s="100"/>
      <c r="ES90" s="100"/>
      <c r="ET90" s="100"/>
      <c r="EU90" s="100"/>
      <c r="EV90" s="100"/>
      <c r="EW90" s="100"/>
      <c r="EX90" s="100"/>
      <c r="EY90" s="100"/>
      <c r="EZ90" s="100"/>
      <c r="FA90" s="100"/>
      <c r="FB90" s="100"/>
      <c r="FC90" s="100"/>
      <c r="FD90" s="100"/>
      <c r="FE90" s="100"/>
      <c r="FF90" s="100"/>
      <c r="FG90" s="100"/>
      <c r="FH90" s="100"/>
      <c r="FI90" s="100"/>
      <c r="FJ90" s="100"/>
      <c r="FK90" s="100"/>
      <c r="FL90" s="100"/>
      <c r="FM90" s="100"/>
      <c r="FN90" s="100"/>
      <c r="FO90" s="100"/>
      <c r="FP90" s="100"/>
      <c r="FQ90" s="100"/>
      <c r="FR90" s="100"/>
      <c r="FS90" s="100"/>
      <c r="FT90" s="100"/>
      <c r="FU90" s="100"/>
      <c r="FV90" s="100"/>
      <c r="FW90" s="100"/>
      <c r="FX90" s="100"/>
      <c r="FY90" s="100"/>
      <c r="FZ90" s="100"/>
      <c r="GA90" s="100"/>
      <c r="GB90" s="100"/>
      <c r="GC90" s="100"/>
      <c r="GD90" s="100"/>
      <c r="GE90" s="100"/>
      <c r="GF90" s="100"/>
      <c r="GG90" s="100"/>
      <c r="GH90" s="100"/>
      <c r="GI90" s="100"/>
      <c r="GJ90" s="100"/>
      <c r="GK90" s="100"/>
      <c r="GL90" s="100"/>
      <c r="GM90" s="100"/>
      <c r="GN90" s="100"/>
      <c r="GO90" s="100"/>
      <c r="GP90" s="100"/>
      <c r="GQ90" s="100"/>
      <c r="GR90" s="100"/>
      <c r="GS90" s="100"/>
    </row>
    <row r="91" spans="1:201" s="104" customFormat="1" ht="26.4" outlineLevel="1" x14ac:dyDescent="0.3">
      <c r="A91" s="96"/>
      <c r="B91" s="212" t="s">
        <v>411</v>
      </c>
      <c r="C91" s="219" t="str">
        <f>'CC detallado'!G57</f>
        <v>Diseño y Difusión - Declaración Jurada y Planillas de Exist. y Trat. Sanitarios</v>
      </c>
      <c r="D91" s="214" t="str">
        <f>'CC detallado'!A57</f>
        <v>2.1.3</v>
      </c>
      <c r="E91" s="230" t="s">
        <v>218</v>
      </c>
      <c r="F91" s="222">
        <f t="shared" si="4"/>
        <v>47</v>
      </c>
      <c r="G91" s="221">
        <f>'CC detallado'!M57</f>
        <v>5000</v>
      </c>
      <c r="H91" s="224">
        <v>1</v>
      </c>
      <c r="I91" s="225">
        <v>0</v>
      </c>
      <c r="J91" s="241">
        <f>'CC detallado'!H57</f>
        <v>1</v>
      </c>
      <c r="K91" s="211" t="s">
        <v>631</v>
      </c>
      <c r="L91" s="211" t="s">
        <v>377</v>
      </c>
      <c r="M91" s="226" t="s">
        <v>653</v>
      </c>
      <c r="N91" s="226" t="s">
        <v>642</v>
      </c>
      <c r="O91" s="234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  <c r="BA91" s="100"/>
      <c r="BB91" s="100"/>
      <c r="BC91" s="100"/>
      <c r="BD91" s="100"/>
      <c r="BE91" s="100"/>
      <c r="BF91" s="100"/>
      <c r="BG91" s="100"/>
      <c r="BH91" s="100"/>
      <c r="BI91" s="100"/>
      <c r="BJ91" s="100"/>
      <c r="BK91" s="100"/>
      <c r="BL91" s="100"/>
      <c r="BM91" s="100"/>
      <c r="BN91" s="100"/>
      <c r="BO91" s="100"/>
      <c r="BP91" s="100"/>
      <c r="BQ91" s="100"/>
      <c r="BR91" s="100"/>
      <c r="BS91" s="100"/>
      <c r="BT91" s="100"/>
      <c r="BU91" s="100"/>
      <c r="BV91" s="100"/>
      <c r="BW91" s="100"/>
      <c r="BX91" s="100"/>
      <c r="BY91" s="100"/>
      <c r="BZ91" s="100"/>
      <c r="CA91" s="100"/>
      <c r="CB91" s="100"/>
      <c r="CC91" s="100"/>
      <c r="CD91" s="100"/>
      <c r="CE91" s="100"/>
      <c r="CF91" s="100"/>
      <c r="CG91" s="100"/>
      <c r="CH91" s="100"/>
      <c r="CI91" s="100"/>
      <c r="CJ91" s="100"/>
      <c r="CK91" s="100"/>
      <c r="CL91" s="100"/>
      <c r="CM91" s="100"/>
      <c r="CN91" s="100"/>
      <c r="CO91" s="100"/>
      <c r="CP91" s="100"/>
      <c r="CQ91" s="100"/>
      <c r="CR91" s="100"/>
      <c r="CS91" s="100"/>
      <c r="CT91" s="100"/>
      <c r="CU91" s="100"/>
      <c r="CV91" s="100"/>
      <c r="CW91" s="100"/>
      <c r="CX91" s="100"/>
      <c r="CY91" s="100"/>
      <c r="CZ91" s="100"/>
      <c r="DA91" s="100"/>
      <c r="DB91" s="100"/>
      <c r="DC91" s="100"/>
      <c r="DD91" s="100"/>
      <c r="DE91" s="100"/>
      <c r="DF91" s="100"/>
      <c r="DG91" s="100"/>
      <c r="DH91" s="100"/>
      <c r="DI91" s="100"/>
      <c r="DJ91" s="100"/>
      <c r="DK91" s="100"/>
      <c r="DL91" s="100"/>
      <c r="DM91" s="100"/>
      <c r="DN91" s="100"/>
      <c r="DO91" s="100"/>
      <c r="DP91" s="100"/>
      <c r="DQ91" s="100"/>
      <c r="DR91" s="100"/>
      <c r="DS91" s="100"/>
      <c r="DT91" s="100"/>
      <c r="DU91" s="100"/>
      <c r="DV91" s="100"/>
      <c r="DW91" s="100"/>
      <c r="DX91" s="100"/>
      <c r="DY91" s="100"/>
      <c r="DZ91" s="100"/>
      <c r="EA91" s="100"/>
      <c r="EB91" s="100"/>
      <c r="EC91" s="100"/>
      <c r="ED91" s="100"/>
      <c r="EE91" s="100"/>
      <c r="EF91" s="100"/>
      <c r="EG91" s="100"/>
      <c r="EH91" s="100"/>
      <c r="EI91" s="100"/>
      <c r="EJ91" s="100"/>
      <c r="EK91" s="100"/>
      <c r="EL91" s="100"/>
      <c r="EM91" s="100"/>
      <c r="EN91" s="100"/>
      <c r="EO91" s="100"/>
      <c r="EP91" s="100"/>
      <c r="EQ91" s="100"/>
      <c r="ER91" s="100"/>
      <c r="ES91" s="100"/>
      <c r="ET91" s="100"/>
      <c r="EU91" s="100"/>
      <c r="EV91" s="100"/>
      <c r="EW91" s="100"/>
      <c r="EX91" s="100"/>
      <c r="EY91" s="100"/>
      <c r="EZ91" s="100"/>
      <c r="FA91" s="100"/>
      <c r="FB91" s="100"/>
      <c r="FC91" s="100"/>
      <c r="FD91" s="100"/>
      <c r="FE91" s="100"/>
      <c r="FF91" s="100"/>
      <c r="FG91" s="100"/>
      <c r="FH91" s="100"/>
      <c r="FI91" s="100"/>
      <c r="FJ91" s="100"/>
      <c r="FK91" s="100"/>
      <c r="FL91" s="100"/>
      <c r="FM91" s="100"/>
      <c r="FN91" s="100"/>
      <c r="FO91" s="100"/>
      <c r="FP91" s="100"/>
      <c r="FQ91" s="100"/>
      <c r="FR91" s="100"/>
      <c r="FS91" s="100"/>
      <c r="FT91" s="100"/>
      <c r="FU91" s="100"/>
      <c r="FV91" s="100"/>
      <c r="FW91" s="100"/>
      <c r="FX91" s="100"/>
      <c r="FY91" s="100"/>
      <c r="FZ91" s="100"/>
      <c r="GA91" s="100"/>
      <c r="GB91" s="100"/>
      <c r="GC91" s="100"/>
      <c r="GD91" s="100"/>
      <c r="GE91" s="100"/>
      <c r="GF91" s="100"/>
      <c r="GG91" s="100"/>
      <c r="GH91" s="100"/>
      <c r="GI91" s="100"/>
      <c r="GJ91" s="100"/>
      <c r="GK91" s="100"/>
      <c r="GL91" s="100"/>
      <c r="GM91" s="100"/>
      <c r="GN91" s="100"/>
      <c r="GO91" s="100"/>
      <c r="GP91" s="100"/>
      <c r="GQ91" s="100"/>
      <c r="GR91" s="100"/>
      <c r="GS91" s="100"/>
    </row>
    <row r="92" spans="1:201" s="104" customFormat="1" ht="26.4" outlineLevel="1" x14ac:dyDescent="0.3">
      <c r="A92" s="96"/>
      <c r="B92" s="212" t="s">
        <v>411</v>
      </c>
      <c r="C92" s="219" t="str">
        <f>'CC detallado'!G58</f>
        <v>Análisis de datos - Declaración Jurada y Planillas de Exist. y Trat. Sanitarios</v>
      </c>
      <c r="D92" s="214" t="str">
        <f>'CC detallado'!A58</f>
        <v>2.1.4</v>
      </c>
      <c r="E92" s="230" t="s">
        <v>218</v>
      </c>
      <c r="F92" s="222">
        <f t="shared" si="4"/>
        <v>48</v>
      </c>
      <c r="G92" s="221">
        <f>'CC detallado'!M58</f>
        <v>18000</v>
      </c>
      <c r="H92" s="224">
        <v>1</v>
      </c>
      <c r="I92" s="225">
        <v>0</v>
      </c>
      <c r="J92" s="241">
        <f>'CC detallado'!H58</f>
        <v>1</v>
      </c>
      <c r="K92" s="211" t="s">
        <v>631</v>
      </c>
      <c r="L92" s="211" t="s">
        <v>377</v>
      </c>
      <c r="M92" s="226" t="s">
        <v>652</v>
      </c>
      <c r="N92" s="226" t="s">
        <v>652</v>
      </c>
      <c r="O92" s="234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0"/>
      <c r="BI92" s="100"/>
      <c r="BJ92" s="100"/>
      <c r="BK92" s="100"/>
      <c r="BL92" s="100"/>
      <c r="BM92" s="100"/>
      <c r="BN92" s="100"/>
      <c r="BO92" s="100"/>
      <c r="BP92" s="100"/>
      <c r="BQ92" s="100"/>
      <c r="BR92" s="100"/>
      <c r="BS92" s="100"/>
      <c r="BT92" s="100"/>
      <c r="BU92" s="100"/>
      <c r="BV92" s="100"/>
      <c r="BW92" s="100"/>
      <c r="BX92" s="100"/>
      <c r="BY92" s="100"/>
      <c r="BZ92" s="100"/>
      <c r="CA92" s="100"/>
      <c r="CB92" s="100"/>
      <c r="CC92" s="100"/>
      <c r="CD92" s="100"/>
      <c r="CE92" s="100"/>
      <c r="CF92" s="100"/>
      <c r="CG92" s="100"/>
      <c r="CH92" s="100"/>
      <c r="CI92" s="100"/>
      <c r="CJ92" s="100"/>
      <c r="CK92" s="100"/>
      <c r="CL92" s="100"/>
      <c r="CM92" s="100"/>
      <c r="CN92" s="100"/>
      <c r="CO92" s="100"/>
      <c r="CP92" s="100"/>
      <c r="CQ92" s="100"/>
      <c r="CR92" s="100"/>
      <c r="CS92" s="100"/>
      <c r="CT92" s="100"/>
      <c r="CU92" s="100"/>
      <c r="CV92" s="100"/>
      <c r="CW92" s="100"/>
      <c r="CX92" s="100"/>
      <c r="CY92" s="100"/>
      <c r="CZ92" s="100"/>
      <c r="DA92" s="100"/>
      <c r="DB92" s="100"/>
      <c r="DC92" s="100"/>
      <c r="DD92" s="100"/>
      <c r="DE92" s="100"/>
      <c r="DF92" s="100"/>
      <c r="DG92" s="100"/>
      <c r="DH92" s="100"/>
      <c r="DI92" s="100"/>
      <c r="DJ92" s="100"/>
      <c r="DK92" s="100"/>
      <c r="DL92" s="100"/>
      <c r="DM92" s="100"/>
      <c r="DN92" s="100"/>
      <c r="DO92" s="100"/>
      <c r="DP92" s="100"/>
      <c r="DQ92" s="100"/>
      <c r="DR92" s="100"/>
      <c r="DS92" s="100"/>
      <c r="DT92" s="100"/>
      <c r="DU92" s="100"/>
      <c r="DV92" s="100"/>
      <c r="DW92" s="100"/>
      <c r="DX92" s="100"/>
      <c r="DY92" s="100"/>
      <c r="DZ92" s="100"/>
      <c r="EA92" s="100"/>
      <c r="EB92" s="100"/>
      <c r="EC92" s="100"/>
      <c r="ED92" s="100"/>
      <c r="EE92" s="100"/>
      <c r="EF92" s="100"/>
      <c r="EG92" s="100"/>
      <c r="EH92" s="100"/>
      <c r="EI92" s="100"/>
      <c r="EJ92" s="100"/>
      <c r="EK92" s="100"/>
      <c r="EL92" s="100"/>
      <c r="EM92" s="100"/>
      <c r="EN92" s="100"/>
      <c r="EO92" s="100"/>
      <c r="EP92" s="100"/>
      <c r="EQ92" s="100"/>
      <c r="ER92" s="100"/>
      <c r="ES92" s="100"/>
      <c r="ET92" s="100"/>
      <c r="EU92" s="100"/>
      <c r="EV92" s="100"/>
      <c r="EW92" s="100"/>
      <c r="EX92" s="100"/>
      <c r="EY92" s="100"/>
      <c r="EZ92" s="100"/>
      <c r="FA92" s="100"/>
      <c r="FB92" s="100"/>
      <c r="FC92" s="100"/>
      <c r="FD92" s="100"/>
      <c r="FE92" s="100"/>
      <c r="FF92" s="100"/>
      <c r="FG92" s="100"/>
      <c r="FH92" s="100"/>
      <c r="FI92" s="100"/>
      <c r="FJ92" s="100"/>
      <c r="FK92" s="100"/>
      <c r="FL92" s="100"/>
      <c r="FM92" s="100"/>
      <c r="FN92" s="100"/>
      <c r="FO92" s="100"/>
      <c r="FP92" s="100"/>
      <c r="FQ92" s="100"/>
      <c r="FR92" s="100"/>
      <c r="FS92" s="100"/>
      <c r="FT92" s="100"/>
      <c r="FU92" s="100"/>
      <c r="FV92" s="100"/>
      <c r="FW92" s="100"/>
      <c r="FX92" s="100"/>
      <c r="FY92" s="100"/>
      <c r="FZ92" s="100"/>
      <c r="GA92" s="100"/>
      <c r="GB92" s="100"/>
      <c r="GC92" s="100"/>
      <c r="GD92" s="100"/>
      <c r="GE92" s="100"/>
      <c r="GF92" s="100"/>
      <c r="GG92" s="100"/>
      <c r="GH92" s="100"/>
      <c r="GI92" s="100"/>
      <c r="GJ92" s="100"/>
      <c r="GK92" s="100"/>
      <c r="GL92" s="100"/>
      <c r="GM92" s="100"/>
      <c r="GN92" s="100"/>
      <c r="GO92" s="100"/>
      <c r="GP92" s="100"/>
      <c r="GQ92" s="100"/>
      <c r="GR92" s="100"/>
      <c r="GS92" s="100"/>
    </row>
    <row r="93" spans="1:201" s="263" customFormat="1" outlineLevel="1" x14ac:dyDescent="0.3">
      <c r="A93" s="96"/>
      <c r="B93" s="212" t="s">
        <v>411</v>
      </c>
      <c r="C93" s="219" t="str">
        <f>'CC detallado'!G59</f>
        <v>Control de Movimientos</v>
      </c>
      <c r="D93" s="214" t="str">
        <f>'CC detallado'!A59</f>
        <v>2.1.5</v>
      </c>
      <c r="E93" s="230" t="s">
        <v>218</v>
      </c>
      <c r="F93" s="222">
        <f t="shared" si="4"/>
        <v>49</v>
      </c>
      <c r="G93" s="221">
        <f>'CC detallado'!M59</f>
        <v>2000</v>
      </c>
      <c r="H93" s="224">
        <v>1</v>
      </c>
      <c r="I93" s="225">
        <v>0</v>
      </c>
      <c r="J93" s="241">
        <f>'CC detallado'!H59</f>
        <v>2</v>
      </c>
      <c r="K93" s="211" t="s">
        <v>631</v>
      </c>
      <c r="L93" s="211" t="s">
        <v>377</v>
      </c>
      <c r="M93" s="226" t="s">
        <v>653</v>
      </c>
      <c r="N93" s="226" t="s">
        <v>642</v>
      </c>
      <c r="O93" s="234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  <c r="BN93" s="100"/>
      <c r="BO93" s="100"/>
      <c r="BP93" s="100"/>
      <c r="BQ93" s="100"/>
      <c r="BR93" s="100"/>
      <c r="BS93" s="10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  <c r="CT93" s="100"/>
      <c r="CU93" s="100"/>
      <c r="CV93" s="100"/>
      <c r="CW93" s="100"/>
      <c r="CX93" s="100"/>
      <c r="CY93" s="100"/>
      <c r="CZ93" s="100"/>
      <c r="DA93" s="100"/>
      <c r="DB93" s="100"/>
      <c r="DC93" s="100"/>
      <c r="DD93" s="100"/>
      <c r="DE93" s="100"/>
      <c r="DF93" s="100"/>
      <c r="DG93" s="100"/>
      <c r="DH93" s="100"/>
      <c r="DI93" s="100"/>
      <c r="DJ93" s="100"/>
      <c r="DK93" s="100"/>
      <c r="DL93" s="100"/>
      <c r="DM93" s="100"/>
      <c r="DN93" s="100"/>
      <c r="DO93" s="100"/>
      <c r="DP93" s="100"/>
      <c r="DQ93" s="100"/>
      <c r="DR93" s="100"/>
      <c r="DS93" s="100"/>
      <c r="DT93" s="100"/>
      <c r="DU93" s="100"/>
      <c r="DV93" s="100"/>
      <c r="DW93" s="100"/>
      <c r="DX93" s="100"/>
      <c r="DY93" s="100"/>
      <c r="DZ93" s="100"/>
      <c r="EA93" s="100"/>
      <c r="EB93" s="100"/>
      <c r="EC93" s="100"/>
      <c r="ED93" s="100"/>
      <c r="EE93" s="100"/>
      <c r="EF93" s="100"/>
      <c r="EG93" s="100"/>
      <c r="EH93" s="100"/>
      <c r="EI93" s="100"/>
      <c r="EJ93" s="100"/>
      <c r="EK93" s="100"/>
      <c r="EL93" s="100"/>
      <c r="EM93" s="100"/>
      <c r="EN93" s="100"/>
      <c r="EO93" s="100"/>
      <c r="EP93" s="100"/>
      <c r="EQ93" s="100"/>
      <c r="ER93" s="100"/>
      <c r="ES93" s="100"/>
      <c r="ET93" s="100"/>
      <c r="EU93" s="100"/>
      <c r="EV93" s="100"/>
      <c r="EW93" s="100"/>
      <c r="EX93" s="100"/>
      <c r="EY93" s="100"/>
      <c r="EZ93" s="100"/>
      <c r="FA93" s="100"/>
      <c r="FB93" s="100"/>
      <c r="FC93" s="100"/>
      <c r="FD93" s="100"/>
      <c r="FE93" s="100"/>
      <c r="FF93" s="100"/>
      <c r="FG93" s="100"/>
      <c r="FH93" s="100"/>
      <c r="FI93" s="100"/>
      <c r="FJ93" s="100"/>
      <c r="FK93" s="100"/>
      <c r="FL93" s="100"/>
      <c r="FM93" s="100"/>
      <c r="FN93" s="100"/>
      <c r="FO93" s="100"/>
      <c r="FP93" s="100"/>
      <c r="FQ93" s="100"/>
      <c r="FR93" s="100"/>
      <c r="FS93" s="100"/>
      <c r="FT93" s="100"/>
      <c r="FU93" s="100"/>
      <c r="FV93" s="100"/>
      <c r="FW93" s="100"/>
      <c r="FX93" s="100"/>
      <c r="FY93" s="100"/>
      <c r="FZ93" s="100"/>
      <c r="GA93" s="100"/>
      <c r="GB93" s="100"/>
      <c r="GC93" s="100"/>
      <c r="GD93" s="100"/>
      <c r="GE93" s="100"/>
      <c r="GF93" s="100"/>
      <c r="GG93" s="100"/>
      <c r="GH93" s="100"/>
      <c r="GI93" s="100"/>
      <c r="GJ93" s="100"/>
      <c r="GK93" s="100"/>
      <c r="GL93" s="100"/>
      <c r="GM93" s="100"/>
      <c r="GN93" s="100"/>
      <c r="GO93" s="100"/>
      <c r="GP93" s="100"/>
      <c r="GQ93" s="100"/>
      <c r="GR93" s="100"/>
      <c r="GS93" s="100"/>
    </row>
    <row r="94" spans="1:201" s="263" customFormat="1" outlineLevel="1" x14ac:dyDescent="0.3">
      <c r="A94" s="96"/>
      <c r="B94" s="212" t="s">
        <v>411</v>
      </c>
      <c r="C94" s="219" t="str">
        <f>'CC detallado'!G61</f>
        <v xml:space="preserve">Técnicos para laboratorio </v>
      </c>
      <c r="D94" s="214" t="str">
        <f>'CC detallado'!A61</f>
        <v>2.2.1</v>
      </c>
      <c r="E94" s="230" t="s">
        <v>218</v>
      </c>
      <c r="F94" s="222">
        <f t="shared" si="4"/>
        <v>50</v>
      </c>
      <c r="G94" s="221">
        <f>'CC detallado'!M61</f>
        <v>48000</v>
      </c>
      <c r="H94" s="224">
        <v>1</v>
      </c>
      <c r="I94" s="225">
        <v>0</v>
      </c>
      <c r="J94" s="241">
        <f>'CC detallado'!H61</f>
        <v>1</v>
      </c>
      <c r="K94" s="211" t="s">
        <v>631</v>
      </c>
      <c r="L94" s="211" t="s">
        <v>377</v>
      </c>
      <c r="M94" s="226" t="s">
        <v>647</v>
      </c>
      <c r="N94" s="226" t="s">
        <v>647</v>
      </c>
      <c r="O94" s="234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00"/>
      <c r="BM94" s="100"/>
      <c r="BN94" s="100"/>
      <c r="BO94" s="100"/>
      <c r="BP94" s="100"/>
      <c r="BQ94" s="100"/>
      <c r="BR94" s="100"/>
      <c r="BS94" s="100"/>
      <c r="BT94" s="100"/>
      <c r="BU94" s="100"/>
      <c r="BV94" s="100"/>
      <c r="BW94" s="100"/>
      <c r="BX94" s="100"/>
      <c r="BY94" s="100"/>
      <c r="BZ94" s="100"/>
      <c r="CA94" s="100"/>
      <c r="CB94" s="100"/>
      <c r="CC94" s="100"/>
      <c r="CD94" s="100"/>
      <c r="CE94" s="100"/>
      <c r="CF94" s="100"/>
      <c r="CG94" s="100"/>
      <c r="CH94" s="100"/>
      <c r="CI94" s="100"/>
      <c r="CJ94" s="100"/>
      <c r="CK94" s="100"/>
      <c r="CL94" s="100"/>
      <c r="CM94" s="100"/>
      <c r="CN94" s="100"/>
      <c r="CO94" s="100"/>
      <c r="CP94" s="100"/>
      <c r="CQ94" s="100"/>
      <c r="CR94" s="100"/>
      <c r="CS94" s="100"/>
      <c r="CT94" s="100"/>
      <c r="CU94" s="100"/>
      <c r="CV94" s="100"/>
      <c r="CW94" s="100"/>
      <c r="CX94" s="100"/>
      <c r="CY94" s="100"/>
      <c r="CZ94" s="100"/>
      <c r="DA94" s="100"/>
      <c r="DB94" s="100"/>
      <c r="DC94" s="100"/>
      <c r="DD94" s="100"/>
      <c r="DE94" s="100"/>
      <c r="DF94" s="100"/>
      <c r="DG94" s="100"/>
      <c r="DH94" s="100"/>
      <c r="DI94" s="100"/>
      <c r="DJ94" s="100"/>
      <c r="DK94" s="100"/>
      <c r="DL94" s="100"/>
      <c r="DM94" s="100"/>
      <c r="DN94" s="100"/>
      <c r="DO94" s="100"/>
      <c r="DP94" s="100"/>
      <c r="DQ94" s="100"/>
      <c r="DR94" s="100"/>
      <c r="DS94" s="100"/>
      <c r="DT94" s="100"/>
      <c r="DU94" s="100"/>
      <c r="DV94" s="100"/>
      <c r="DW94" s="100"/>
      <c r="DX94" s="100"/>
      <c r="DY94" s="100"/>
      <c r="DZ94" s="100"/>
      <c r="EA94" s="100"/>
      <c r="EB94" s="100"/>
      <c r="EC94" s="100"/>
      <c r="ED94" s="100"/>
      <c r="EE94" s="100"/>
      <c r="EF94" s="100"/>
      <c r="EG94" s="100"/>
      <c r="EH94" s="100"/>
      <c r="EI94" s="100"/>
      <c r="EJ94" s="100"/>
      <c r="EK94" s="100"/>
      <c r="EL94" s="100"/>
      <c r="EM94" s="100"/>
      <c r="EN94" s="100"/>
      <c r="EO94" s="100"/>
      <c r="EP94" s="100"/>
      <c r="EQ94" s="100"/>
      <c r="ER94" s="100"/>
      <c r="ES94" s="100"/>
      <c r="ET94" s="100"/>
      <c r="EU94" s="100"/>
      <c r="EV94" s="100"/>
      <c r="EW94" s="100"/>
      <c r="EX94" s="100"/>
      <c r="EY94" s="100"/>
      <c r="EZ94" s="100"/>
      <c r="FA94" s="100"/>
      <c r="FB94" s="100"/>
      <c r="FC94" s="100"/>
      <c r="FD94" s="100"/>
      <c r="FE94" s="100"/>
      <c r="FF94" s="100"/>
      <c r="FG94" s="100"/>
      <c r="FH94" s="100"/>
      <c r="FI94" s="100"/>
      <c r="FJ94" s="100"/>
      <c r="FK94" s="100"/>
      <c r="FL94" s="100"/>
      <c r="FM94" s="100"/>
      <c r="FN94" s="100"/>
      <c r="FO94" s="100"/>
      <c r="FP94" s="100"/>
      <c r="FQ94" s="100"/>
      <c r="FR94" s="100"/>
      <c r="FS94" s="100"/>
      <c r="FT94" s="100"/>
      <c r="FU94" s="100"/>
      <c r="FV94" s="100"/>
      <c r="FW94" s="100"/>
      <c r="FX94" s="100"/>
      <c r="FY94" s="100"/>
      <c r="FZ94" s="100"/>
      <c r="GA94" s="100"/>
      <c r="GB94" s="100"/>
      <c r="GC94" s="100"/>
      <c r="GD94" s="100"/>
      <c r="GE94" s="100"/>
      <c r="GF94" s="100"/>
      <c r="GG94" s="100"/>
      <c r="GH94" s="100"/>
      <c r="GI94" s="100"/>
      <c r="GJ94" s="100"/>
      <c r="GK94" s="100"/>
      <c r="GL94" s="100"/>
      <c r="GM94" s="100"/>
      <c r="GN94" s="100"/>
      <c r="GO94" s="100"/>
      <c r="GP94" s="100"/>
      <c r="GQ94" s="100"/>
      <c r="GR94" s="100"/>
      <c r="GS94" s="100"/>
    </row>
    <row r="95" spans="1:201" s="263" customFormat="1" ht="26.4" outlineLevel="1" x14ac:dyDescent="0.3">
      <c r="A95" s="96"/>
      <c r="B95" s="212" t="s">
        <v>411</v>
      </c>
      <c r="C95" s="219" t="str">
        <f>'CC detallado'!G62</f>
        <v>Consultoría para formulación de Planes Sanitarios</v>
      </c>
      <c r="D95" s="214" t="str">
        <f>'CC detallado'!A62</f>
        <v>2.2.2</v>
      </c>
      <c r="E95" s="230" t="s">
        <v>218</v>
      </c>
      <c r="F95" s="222">
        <f t="shared" si="4"/>
        <v>51</v>
      </c>
      <c r="G95" s="221">
        <f>'CC detallado'!M62</f>
        <v>20000</v>
      </c>
      <c r="H95" s="224">
        <v>1</v>
      </c>
      <c r="I95" s="225">
        <v>0</v>
      </c>
      <c r="J95" s="241">
        <f>'CC detallado'!H62</f>
        <v>1</v>
      </c>
      <c r="K95" s="211" t="s">
        <v>631</v>
      </c>
      <c r="L95" s="211" t="s">
        <v>377</v>
      </c>
      <c r="M95" s="226" t="s">
        <v>647</v>
      </c>
      <c r="N95" s="226" t="s">
        <v>647</v>
      </c>
      <c r="O95" s="234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0"/>
      <c r="BI95" s="100"/>
      <c r="BJ95" s="100"/>
      <c r="BK95" s="100"/>
      <c r="BL95" s="100"/>
      <c r="BM95" s="100"/>
      <c r="BN95" s="100"/>
      <c r="BO95" s="100"/>
      <c r="BP95" s="100"/>
      <c r="BQ95" s="100"/>
      <c r="BR95" s="100"/>
      <c r="BS95" s="100"/>
      <c r="BT95" s="100"/>
      <c r="BU95" s="100"/>
      <c r="BV95" s="100"/>
      <c r="BW95" s="100"/>
      <c r="BX95" s="100"/>
      <c r="BY95" s="100"/>
      <c r="BZ95" s="100"/>
      <c r="CA95" s="100"/>
      <c r="CB95" s="100"/>
      <c r="CC95" s="100"/>
      <c r="CD95" s="100"/>
      <c r="CE95" s="100"/>
      <c r="CF95" s="100"/>
      <c r="CG95" s="100"/>
      <c r="CH95" s="100"/>
      <c r="CI95" s="100"/>
      <c r="CJ95" s="100"/>
      <c r="CK95" s="100"/>
      <c r="CL95" s="100"/>
      <c r="CM95" s="100"/>
      <c r="CN95" s="100"/>
      <c r="CO95" s="100"/>
      <c r="CP95" s="100"/>
      <c r="CQ95" s="100"/>
      <c r="CR95" s="100"/>
      <c r="CS95" s="100"/>
      <c r="CT95" s="100"/>
      <c r="CU95" s="100"/>
      <c r="CV95" s="100"/>
      <c r="CW95" s="100"/>
      <c r="CX95" s="100"/>
      <c r="CY95" s="100"/>
      <c r="CZ95" s="100"/>
      <c r="DA95" s="100"/>
      <c r="DB95" s="100"/>
      <c r="DC95" s="100"/>
      <c r="DD95" s="100"/>
      <c r="DE95" s="100"/>
      <c r="DF95" s="100"/>
      <c r="DG95" s="100"/>
      <c r="DH95" s="100"/>
      <c r="DI95" s="100"/>
      <c r="DJ95" s="100"/>
      <c r="DK95" s="100"/>
      <c r="DL95" s="100"/>
      <c r="DM95" s="100"/>
      <c r="DN95" s="100"/>
      <c r="DO95" s="100"/>
      <c r="DP95" s="100"/>
      <c r="DQ95" s="100"/>
      <c r="DR95" s="100"/>
      <c r="DS95" s="100"/>
      <c r="DT95" s="100"/>
      <c r="DU95" s="100"/>
      <c r="DV95" s="100"/>
      <c r="DW95" s="100"/>
      <c r="DX95" s="100"/>
      <c r="DY95" s="100"/>
      <c r="DZ95" s="100"/>
      <c r="EA95" s="100"/>
      <c r="EB95" s="100"/>
      <c r="EC95" s="100"/>
      <c r="ED95" s="100"/>
      <c r="EE95" s="100"/>
      <c r="EF95" s="100"/>
      <c r="EG95" s="100"/>
      <c r="EH95" s="100"/>
      <c r="EI95" s="100"/>
      <c r="EJ95" s="100"/>
      <c r="EK95" s="100"/>
      <c r="EL95" s="100"/>
      <c r="EM95" s="100"/>
      <c r="EN95" s="100"/>
      <c r="EO95" s="100"/>
      <c r="EP95" s="100"/>
      <c r="EQ95" s="100"/>
      <c r="ER95" s="100"/>
      <c r="ES95" s="100"/>
      <c r="ET95" s="100"/>
      <c r="EU95" s="100"/>
      <c r="EV95" s="100"/>
      <c r="EW95" s="100"/>
      <c r="EX95" s="100"/>
      <c r="EY95" s="100"/>
      <c r="EZ95" s="100"/>
      <c r="FA95" s="100"/>
      <c r="FB95" s="100"/>
      <c r="FC95" s="100"/>
      <c r="FD95" s="100"/>
      <c r="FE95" s="100"/>
      <c r="FF95" s="100"/>
      <c r="FG95" s="100"/>
      <c r="FH95" s="100"/>
      <c r="FI95" s="100"/>
      <c r="FJ95" s="100"/>
      <c r="FK95" s="100"/>
      <c r="FL95" s="100"/>
      <c r="FM95" s="100"/>
      <c r="FN95" s="100"/>
      <c r="FO95" s="100"/>
      <c r="FP95" s="100"/>
      <c r="FQ95" s="100"/>
      <c r="FR95" s="100"/>
      <c r="FS95" s="100"/>
      <c r="FT95" s="100"/>
      <c r="FU95" s="100"/>
      <c r="FV95" s="100"/>
      <c r="FW95" s="100"/>
      <c r="FX95" s="100"/>
      <c r="FY95" s="100"/>
      <c r="FZ95" s="100"/>
      <c r="GA95" s="100"/>
      <c r="GB95" s="100"/>
      <c r="GC95" s="100"/>
      <c r="GD95" s="100"/>
      <c r="GE95" s="100"/>
      <c r="GF95" s="100"/>
      <c r="GG95" s="100"/>
      <c r="GH95" s="100"/>
      <c r="GI95" s="100"/>
      <c r="GJ95" s="100"/>
      <c r="GK95" s="100"/>
      <c r="GL95" s="100"/>
      <c r="GM95" s="100"/>
      <c r="GN95" s="100"/>
      <c r="GO95" s="100"/>
      <c r="GP95" s="100"/>
      <c r="GQ95" s="100"/>
      <c r="GR95" s="100"/>
      <c r="GS95" s="100"/>
    </row>
    <row r="96" spans="1:201" s="104" customFormat="1" ht="26.4" outlineLevel="1" x14ac:dyDescent="0.3">
      <c r="A96" s="96"/>
      <c r="B96" s="212" t="s">
        <v>411</v>
      </c>
      <c r="C96" s="219" t="str">
        <f>'CC detallado'!G68</f>
        <v>Consultoría para establecimiento sistema de certificación de granjas bajo control oficial</v>
      </c>
      <c r="D96" s="214" t="str">
        <f>'CC detallado'!A68</f>
        <v>2.3.1</v>
      </c>
      <c r="E96" s="230" t="s">
        <v>218</v>
      </c>
      <c r="F96" s="222">
        <f t="shared" si="4"/>
        <v>52</v>
      </c>
      <c r="G96" s="221">
        <f>'CC detallado'!M68</f>
        <v>10000</v>
      </c>
      <c r="H96" s="224">
        <v>1</v>
      </c>
      <c r="I96" s="225">
        <v>0</v>
      </c>
      <c r="J96" s="241">
        <f>'CC detallado'!H68</f>
        <v>1</v>
      </c>
      <c r="K96" s="211" t="s">
        <v>125</v>
      </c>
      <c r="L96" s="211" t="s">
        <v>377</v>
      </c>
      <c r="M96" s="226" t="s">
        <v>639</v>
      </c>
      <c r="N96" s="226" t="s">
        <v>641</v>
      </c>
      <c r="O96" s="234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0"/>
      <c r="BK96" s="100"/>
      <c r="BL96" s="100"/>
      <c r="BM96" s="100"/>
      <c r="BN96" s="100"/>
      <c r="BO96" s="100"/>
      <c r="BP96" s="100"/>
      <c r="BQ96" s="100"/>
      <c r="BR96" s="100"/>
      <c r="BS96" s="100"/>
      <c r="BT96" s="100"/>
      <c r="BU96" s="100"/>
      <c r="BV96" s="100"/>
      <c r="BW96" s="100"/>
      <c r="BX96" s="100"/>
      <c r="BY96" s="100"/>
      <c r="BZ96" s="100"/>
      <c r="CA96" s="100"/>
      <c r="CB96" s="100"/>
      <c r="CC96" s="100"/>
      <c r="CD96" s="100"/>
      <c r="CE96" s="100"/>
      <c r="CF96" s="100"/>
      <c r="CG96" s="100"/>
      <c r="CH96" s="100"/>
      <c r="CI96" s="100"/>
      <c r="CJ96" s="100"/>
      <c r="CK96" s="100"/>
      <c r="CL96" s="100"/>
      <c r="CM96" s="100"/>
      <c r="CN96" s="100"/>
      <c r="CO96" s="100"/>
      <c r="CP96" s="100"/>
      <c r="CQ96" s="100"/>
      <c r="CR96" s="100"/>
      <c r="CS96" s="100"/>
      <c r="CT96" s="100"/>
      <c r="CU96" s="100"/>
      <c r="CV96" s="100"/>
      <c r="CW96" s="100"/>
      <c r="CX96" s="100"/>
      <c r="CY96" s="100"/>
      <c r="CZ96" s="100"/>
      <c r="DA96" s="100"/>
      <c r="DB96" s="100"/>
      <c r="DC96" s="100"/>
      <c r="DD96" s="100"/>
      <c r="DE96" s="100"/>
      <c r="DF96" s="100"/>
      <c r="DG96" s="100"/>
      <c r="DH96" s="100"/>
      <c r="DI96" s="100"/>
      <c r="DJ96" s="100"/>
      <c r="DK96" s="100"/>
      <c r="DL96" s="100"/>
      <c r="DM96" s="100"/>
      <c r="DN96" s="100"/>
      <c r="DO96" s="100"/>
      <c r="DP96" s="100"/>
      <c r="DQ96" s="100"/>
      <c r="DR96" s="100"/>
      <c r="DS96" s="100"/>
      <c r="DT96" s="100"/>
      <c r="DU96" s="100"/>
      <c r="DV96" s="100"/>
      <c r="DW96" s="100"/>
      <c r="DX96" s="100"/>
      <c r="DY96" s="100"/>
      <c r="DZ96" s="100"/>
      <c r="EA96" s="100"/>
      <c r="EB96" s="100"/>
      <c r="EC96" s="100"/>
      <c r="ED96" s="100"/>
      <c r="EE96" s="100"/>
      <c r="EF96" s="100"/>
      <c r="EG96" s="100"/>
      <c r="EH96" s="100"/>
      <c r="EI96" s="100"/>
      <c r="EJ96" s="100"/>
      <c r="EK96" s="100"/>
      <c r="EL96" s="100"/>
      <c r="EM96" s="100"/>
      <c r="EN96" s="100"/>
      <c r="EO96" s="100"/>
      <c r="EP96" s="100"/>
      <c r="EQ96" s="100"/>
      <c r="ER96" s="100"/>
      <c r="ES96" s="100"/>
      <c r="ET96" s="100"/>
      <c r="EU96" s="100"/>
      <c r="EV96" s="100"/>
      <c r="EW96" s="100"/>
      <c r="EX96" s="100"/>
      <c r="EY96" s="100"/>
      <c r="EZ96" s="100"/>
      <c r="FA96" s="100"/>
      <c r="FB96" s="100"/>
      <c r="FC96" s="100"/>
      <c r="FD96" s="100"/>
      <c r="FE96" s="100"/>
      <c r="FF96" s="100"/>
      <c r="FG96" s="100"/>
      <c r="FH96" s="100"/>
      <c r="FI96" s="100"/>
      <c r="FJ96" s="100"/>
      <c r="FK96" s="100"/>
      <c r="FL96" s="100"/>
      <c r="FM96" s="100"/>
      <c r="FN96" s="100"/>
      <c r="FO96" s="100"/>
      <c r="FP96" s="100"/>
      <c r="FQ96" s="100"/>
      <c r="FR96" s="100"/>
      <c r="FS96" s="100"/>
      <c r="FT96" s="100"/>
      <c r="FU96" s="100"/>
      <c r="FV96" s="100"/>
      <c r="FW96" s="100"/>
      <c r="FX96" s="100"/>
      <c r="FY96" s="100"/>
      <c r="FZ96" s="100"/>
      <c r="GA96" s="100"/>
      <c r="GB96" s="100"/>
      <c r="GC96" s="100"/>
      <c r="GD96" s="100"/>
      <c r="GE96" s="100"/>
      <c r="GF96" s="100"/>
      <c r="GG96" s="100"/>
      <c r="GH96" s="100"/>
      <c r="GI96" s="100"/>
      <c r="GJ96" s="100"/>
      <c r="GK96" s="100"/>
      <c r="GL96" s="100"/>
      <c r="GM96" s="100"/>
      <c r="GN96" s="100"/>
      <c r="GO96" s="100"/>
      <c r="GP96" s="100"/>
      <c r="GQ96" s="100"/>
      <c r="GR96" s="100"/>
      <c r="GS96" s="100"/>
    </row>
    <row r="97" spans="1:201" s="104" customFormat="1" ht="26.4" outlineLevel="1" x14ac:dyDescent="0.3">
      <c r="A97" s="96"/>
      <c r="B97" s="212" t="s">
        <v>411</v>
      </c>
      <c r="C97" s="219" t="str">
        <f>'CC detallado'!G71</f>
        <v>Consultoría para gestión de riesgo y auto declaración de IA y NC(incluye taller)</v>
      </c>
      <c r="D97" s="214" t="str">
        <f>'CC detallado'!A71</f>
        <v>2.3.4</v>
      </c>
      <c r="E97" s="230" t="s">
        <v>218</v>
      </c>
      <c r="F97" s="222">
        <f>F96+1</f>
        <v>53</v>
      </c>
      <c r="G97" s="221">
        <f>'CC detallado'!M71</f>
        <v>15000</v>
      </c>
      <c r="H97" s="224">
        <v>1</v>
      </c>
      <c r="I97" s="225">
        <v>0</v>
      </c>
      <c r="J97" s="241">
        <f>'CC detallado'!H71</f>
        <v>1</v>
      </c>
      <c r="K97" s="211" t="s">
        <v>125</v>
      </c>
      <c r="L97" s="211" t="s">
        <v>377</v>
      </c>
      <c r="M97" s="226" t="s">
        <v>647</v>
      </c>
      <c r="N97" s="226" t="s">
        <v>638</v>
      </c>
      <c r="O97" s="234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0"/>
      <c r="BK97" s="100"/>
      <c r="BL97" s="100"/>
      <c r="BM97" s="100"/>
      <c r="BN97" s="100"/>
      <c r="BO97" s="100"/>
      <c r="BP97" s="100"/>
      <c r="BQ97" s="100"/>
      <c r="BR97" s="100"/>
      <c r="BS97" s="100"/>
      <c r="BT97" s="100"/>
      <c r="BU97" s="100"/>
      <c r="BV97" s="100"/>
      <c r="BW97" s="100"/>
      <c r="BX97" s="100"/>
      <c r="BY97" s="100"/>
      <c r="BZ97" s="100"/>
      <c r="CA97" s="100"/>
      <c r="CB97" s="100"/>
      <c r="CC97" s="100"/>
      <c r="CD97" s="100"/>
      <c r="CE97" s="100"/>
      <c r="CF97" s="100"/>
      <c r="CG97" s="100"/>
      <c r="CH97" s="100"/>
      <c r="CI97" s="100"/>
      <c r="CJ97" s="100"/>
      <c r="CK97" s="100"/>
      <c r="CL97" s="100"/>
      <c r="CM97" s="100"/>
      <c r="CN97" s="100"/>
      <c r="CO97" s="100"/>
      <c r="CP97" s="100"/>
      <c r="CQ97" s="100"/>
      <c r="CR97" s="100"/>
      <c r="CS97" s="100"/>
      <c r="CT97" s="100"/>
      <c r="CU97" s="100"/>
      <c r="CV97" s="100"/>
      <c r="CW97" s="100"/>
      <c r="CX97" s="100"/>
      <c r="CY97" s="100"/>
      <c r="CZ97" s="100"/>
      <c r="DA97" s="100"/>
      <c r="DB97" s="100"/>
      <c r="DC97" s="100"/>
      <c r="DD97" s="100"/>
      <c r="DE97" s="100"/>
      <c r="DF97" s="100"/>
      <c r="DG97" s="100"/>
      <c r="DH97" s="100"/>
      <c r="DI97" s="100"/>
      <c r="DJ97" s="100"/>
      <c r="DK97" s="100"/>
      <c r="DL97" s="100"/>
      <c r="DM97" s="100"/>
      <c r="DN97" s="100"/>
      <c r="DO97" s="100"/>
      <c r="DP97" s="100"/>
      <c r="DQ97" s="100"/>
      <c r="DR97" s="100"/>
      <c r="DS97" s="100"/>
      <c r="DT97" s="100"/>
      <c r="DU97" s="100"/>
      <c r="DV97" s="100"/>
      <c r="DW97" s="100"/>
      <c r="DX97" s="100"/>
      <c r="DY97" s="100"/>
      <c r="DZ97" s="100"/>
      <c r="EA97" s="100"/>
      <c r="EB97" s="100"/>
      <c r="EC97" s="100"/>
      <c r="ED97" s="100"/>
      <c r="EE97" s="100"/>
      <c r="EF97" s="100"/>
      <c r="EG97" s="100"/>
      <c r="EH97" s="100"/>
      <c r="EI97" s="100"/>
      <c r="EJ97" s="100"/>
      <c r="EK97" s="100"/>
      <c r="EL97" s="100"/>
      <c r="EM97" s="100"/>
      <c r="EN97" s="100"/>
      <c r="EO97" s="100"/>
      <c r="EP97" s="100"/>
      <c r="EQ97" s="100"/>
      <c r="ER97" s="100"/>
      <c r="ES97" s="100"/>
      <c r="ET97" s="100"/>
      <c r="EU97" s="100"/>
      <c r="EV97" s="100"/>
      <c r="EW97" s="100"/>
      <c r="EX97" s="100"/>
      <c r="EY97" s="100"/>
      <c r="EZ97" s="100"/>
      <c r="FA97" s="100"/>
      <c r="FB97" s="100"/>
      <c r="FC97" s="100"/>
      <c r="FD97" s="100"/>
      <c r="FE97" s="100"/>
      <c r="FF97" s="100"/>
      <c r="FG97" s="100"/>
      <c r="FH97" s="100"/>
      <c r="FI97" s="100"/>
      <c r="FJ97" s="100"/>
      <c r="FK97" s="100"/>
      <c r="FL97" s="100"/>
      <c r="FM97" s="100"/>
      <c r="FN97" s="100"/>
      <c r="FO97" s="100"/>
      <c r="FP97" s="100"/>
      <c r="FQ97" s="100"/>
      <c r="FR97" s="100"/>
      <c r="FS97" s="100"/>
      <c r="FT97" s="100"/>
      <c r="FU97" s="100"/>
      <c r="FV97" s="100"/>
      <c r="FW97" s="100"/>
      <c r="FX97" s="100"/>
      <c r="FY97" s="100"/>
      <c r="FZ97" s="100"/>
      <c r="GA97" s="100"/>
      <c r="GB97" s="100"/>
      <c r="GC97" s="100"/>
      <c r="GD97" s="100"/>
      <c r="GE97" s="100"/>
      <c r="GF97" s="100"/>
      <c r="GG97" s="100"/>
      <c r="GH97" s="100"/>
      <c r="GI97" s="100"/>
      <c r="GJ97" s="100"/>
      <c r="GK97" s="100"/>
      <c r="GL97" s="100"/>
      <c r="GM97" s="100"/>
      <c r="GN97" s="100"/>
      <c r="GO97" s="100"/>
      <c r="GP97" s="100"/>
      <c r="GQ97" s="100"/>
      <c r="GR97" s="100"/>
      <c r="GS97" s="100"/>
    </row>
    <row r="98" spans="1:201" s="263" customFormat="1" outlineLevel="1" x14ac:dyDescent="0.3">
      <c r="A98" s="96"/>
      <c r="B98" s="212" t="s">
        <v>411</v>
      </c>
      <c r="C98" s="219" t="str">
        <f>'CC detallado'!G79</f>
        <v>Coordinador Técnico</v>
      </c>
      <c r="D98" s="214" t="str">
        <f>'CC detallado'!A79</f>
        <v>2.4.1</v>
      </c>
      <c r="E98" s="230" t="s">
        <v>218</v>
      </c>
      <c r="F98" s="222">
        <f t="shared" si="4"/>
        <v>54</v>
      </c>
      <c r="G98" s="221">
        <f>'CC detallado'!M79</f>
        <v>112000</v>
      </c>
      <c r="H98" s="224">
        <v>1</v>
      </c>
      <c r="I98" s="225">
        <v>0</v>
      </c>
      <c r="J98" s="241">
        <f>'CC detallado'!H79</f>
        <v>1</v>
      </c>
      <c r="K98" s="211" t="s">
        <v>631</v>
      </c>
      <c r="L98" s="211" t="s">
        <v>377</v>
      </c>
      <c r="M98" s="226" t="s">
        <v>659</v>
      </c>
      <c r="N98" s="226" t="s">
        <v>647</v>
      </c>
      <c r="O98" s="234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0"/>
      <c r="CB98" s="100"/>
      <c r="CC98" s="100"/>
      <c r="CD98" s="100"/>
      <c r="CE98" s="100"/>
      <c r="CF98" s="100"/>
      <c r="CG98" s="100"/>
      <c r="CH98" s="100"/>
      <c r="CI98" s="100"/>
      <c r="CJ98" s="100"/>
      <c r="CK98" s="100"/>
      <c r="CL98" s="100"/>
      <c r="CM98" s="100"/>
      <c r="CN98" s="100"/>
      <c r="CO98" s="100"/>
      <c r="CP98" s="100"/>
      <c r="CQ98" s="100"/>
      <c r="CR98" s="100"/>
      <c r="CS98" s="100"/>
      <c r="CT98" s="100"/>
      <c r="CU98" s="100"/>
      <c r="CV98" s="100"/>
      <c r="CW98" s="100"/>
      <c r="CX98" s="100"/>
      <c r="CY98" s="100"/>
      <c r="CZ98" s="100"/>
      <c r="DA98" s="100"/>
      <c r="DB98" s="100"/>
      <c r="DC98" s="100"/>
      <c r="DD98" s="100"/>
      <c r="DE98" s="100"/>
      <c r="DF98" s="100"/>
      <c r="DG98" s="100"/>
      <c r="DH98" s="100"/>
      <c r="DI98" s="100"/>
      <c r="DJ98" s="100"/>
      <c r="DK98" s="100"/>
      <c r="DL98" s="100"/>
      <c r="DM98" s="100"/>
      <c r="DN98" s="100"/>
      <c r="DO98" s="100"/>
      <c r="DP98" s="100"/>
      <c r="DQ98" s="100"/>
      <c r="DR98" s="100"/>
      <c r="DS98" s="100"/>
      <c r="DT98" s="100"/>
      <c r="DU98" s="100"/>
      <c r="DV98" s="100"/>
      <c r="DW98" s="100"/>
      <c r="DX98" s="100"/>
      <c r="DY98" s="100"/>
      <c r="DZ98" s="100"/>
      <c r="EA98" s="100"/>
      <c r="EB98" s="100"/>
      <c r="EC98" s="100"/>
      <c r="ED98" s="100"/>
      <c r="EE98" s="100"/>
      <c r="EF98" s="100"/>
      <c r="EG98" s="100"/>
      <c r="EH98" s="100"/>
      <c r="EI98" s="100"/>
      <c r="EJ98" s="100"/>
      <c r="EK98" s="100"/>
      <c r="EL98" s="100"/>
      <c r="EM98" s="100"/>
      <c r="EN98" s="100"/>
      <c r="EO98" s="100"/>
      <c r="EP98" s="100"/>
      <c r="EQ98" s="100"/>
      <c r="ER98" s="100"/>
      <c r="ES98" s="100"/>
      <c r="ET98" s="100"/>
      <c r="EU98" s="100"/>
      <c r="EV98" s="100"/>
      <c r="EW98" s="100"/>
      <c r="EX98" s="100"/>
      <c r="EY98" s="100"/>
      <c r="EZ98" s="100"/>
      <c r="FA98" s="100"/>
      <c r="FB98" s="100"/>
      <c r="FC98" s="100"/>
      <c r="FD98" s="100"/>
      <c r="FE98" s="100"/>
      <c r="FF98" s="100"/>
      <c r="FG98" s="100"/>
      <c r="FH98" s="100"/>
      <c r="FI98" s="100"/>
      <c r="FJ98" s="100"/>
      <c r="FK98" s="100"/>
      <c r="FL98" s="100"/>
      <c r="FM98" s="100"/>
      <c r="FN98" s="100"/>
      <c r="FO98" s="100"/>
      <c r="FP98" s="100"/>
      <c r="FQ98" s="100"/>
      <c r="FR98" s="100"/>
      <c r="FS98" s="100"/>
      <c r="FT98" s="100"/>
      <c r="FU98" s="100"/>
      <c r="FV98" s="100"/>
      <c r="FW98" s="100"/>
      <c r="FX98" s="100"/>
      <c r="FY98" s="100"/>
      <c r="FZ98" s="100"/>
      <c r="GA98" s="100"/>
      <c r="GB98" s="100"/>
      <c r="GC98" s="100"/>
      <c r="GD98" s="100"/>
      <c r="GE98" s="100"/>
      <c r="GF98" s="100"/>
      <c r="GG98" s="100"/>
      <c r="GH98" s="100"/>
      <c r="GI98" s="100"/>
      <c r="GJ98" s="100"/>
      <c r="GK98" s="100"/>
      <c r="GL98" s="100"/>
      <c r="GM98" s="100"/>
      <c r="GN98" s="100"/>
      <c r="GO98" s="100"/>
      <c r="GP98" s="100"/>
      <c r="GQ98" s="100"/>
      <c r="GR98" s="100"/>
      <c r="GS98" s="100"/>
    </row>
    <row r="99" spans="1:201" s="263" customFormat="1" ht="39.6" outlineLevel="1" x14ac:dyDescent="0.3">
      <c r="A99" s="96"/>
      <c r="B99" s="212" t="s">
        <v>411</v>
      </c>
      <c r="C99" s="219" t="str">
        <f>'CC detallado'!G84</f>
        <v>Elaboración de Términos de referencia y borrador de contrato para firmas: capac. Técnicos, capac. Productores</v>
      </c>
      <c r="D99" s="214" t="str">
        <f>'CC detallado'!A84</f>
        <v>2.5.1</v>
      </c>
      <c r="E99" s="230" t="s">
        <v>218</v>
      </c>
      <c r="F99" s="222">
        <f t="shared" si="4"/>
        <v>55</v>
      </c>
      <c r="G99" s="221">
        <f>'CC detallado'!M84</f>
        <v>10000</v>
      </c>
      <c r="H99" s="224">
        <v>1</v>
      </c>
      <c r="I99" s="225">
        <v>0</v>
      </c>
      <c r="J99" s="241">
        <f>'CC detallado'!H84</f>
        <v>1</v>
      </c>
      <c r="K99" s="211" t="s">
        <v>631</v>
      </c>
      <c r="L99" s="211" t="s">
        <v>377</v>
      </c>
      <c r="M99" s="226" t="s">
        <v>639</v>
      </c>
      <c r="N99" s="226" t="s">
        <v>641</v>
      </c>
      <c r="O99" s="234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  <c r="BH99" s="100"/>
      <c r="BI99" s="100"/>
      <c r="BJ99" s="100"/>
      <c r="BK99" s="100"/>
      <c r="BL99" s="100"/>
      <c r="BM99" s="100"/>
      <c r="BN99" s="100"/>
      <c r="BO99" s="100"/>
      <c r="BP99" s="100"/>
      <c r="BQ99" s="100"/>
      <c r="BR99" s="100"/>
      <c r="BS99" s="100"/>
      <c r="BT99" s="100"/>
      <c r="BU99" s="100"/>
      <c r="BV99" s="100"/>
      <c r="BW99" s="100"/>
      <c r="BX99" s="100"/>
      <c r="BY99" s="100"/>
      <c r="BZ99" s="100"/>
      <c r="CA99" s="100"/>
      <c r="CB99" s="100"/>
      <c r="CC99" s="100"/>
      <c r="CD99" s="100"/>
      <c r="CE99" s="100"/>
      <c r="CF99" s="100"/>
      <c r="CG99" s="100"/>
      <c r="CH99" s="100"/>
      <c r="CI99" s="100"/>
      <c r="CJ99" s="100"/>
      <c r="CK99" s="100"/>
      <c r="CL99" s="100"/>
      <c r="CM99" s="100"/>
      <c r="CN99" s="100"/>
      <c r="CO99" s="100"/>
      <c r="CP99" s="100"/>
      <c r="CQ99" s="100"/>
      <c r="CR99" s="100"/>
      <c r="CS99" s="100"/>
      <c r="CT99" s="100"/>
      <c r="CU99" s="100"/>
      <c r="CV99" s="100"/>
      <c r="CW99" s="100"/>
      <c r="CX99" s="100"/>
      <c r="CY99" s="100"/>
      <c r="CZ99" s="100"/>
      <c r="DA99" s="100"/>
      <c r="DB99" s="100"/>
      <c r="DC99" s="100"/>
      <c r="DD99" s="100"/>
      <c r="DE99" s="100"/>
      <c r="DF99" s="100"/>
      <c r="DG99" s="100"/>
      <c r="DH99" s="100"/>
      <c r="DI99" s="100"/>
      <c r="DJ99" s="100"/>
      <c r="DK99" s="100"/>
      <c r="DL99" s="100"/>
      <c r="DM99" s="100"/>
      <c r="DN99" s="100"/>
      <c r="DO99" s="100"/>
      <c r="DP99" s="100"/>
      <c r="DQ99" s="100"/>
      <c r="DR99" s="100"/>
      <c r="DS99" s="100"/>
      <c r="DT99" s="100"/>
      <c r="DU99" s="100"/>
      <c r="DV99" s="100"/>
      <c r="DW99" s="100"/>
      <c r="DX99" s="100"/>
      <c r="DY99" s="100"/>
      <c r="DZ99" s="100"/>
      <c r="EA99" s="100"/>
      <c r="EB99" s="100"/>
      <c r="EC99" s="100"/>
      <c r="ED99" s="100"/>
      <c r="EE99" s="100"/>
      <c r="EF99" s="100"/>
      <c r="EG99" s="100"/>
      <c r="EH99" s="100"/>
      <c r="EI99" s="100"/>
      <c r="EJ99" s="100"/>
      <c r="EK99" s="100"/>
      <c r="EL99" s="100"/>
      <c r="EM99" s="100"/>
      <c r="EN99" s="100"/>
      <c r="EO99" s="100"/>
      <c r="EP99" s="100"/>
      <c r="EQ99" s="100"/>
      <c r="ER99" s="100"/>
      <c r="ES99" s="100"/>
      <c r="ET99" s="100"/>
      <c r="EU99" s="100"/>
      <c r="EV99" s="100"/>
      <c r="EW99" s="100"/>
      <c r="EX99" s="100"/>
      <c r="EY99" s="100"/>
      <c r="EZ99" s="100"/>
      <c r="FA99" s="100"/>
      <c r="FB99" s="100"/>
      <c r="FC99" s="100"/>
      <c r="FD99" s="100"/>
      <c r="FE99" s="100"/>
      <c r="FF99" s="100"/>
      <c r="FG99" s="100"/>
      <c r="FH99" s="100"/>
      <c r="FI99" s="100"/>
      <c r="FJ99" s="100"/>
      <c r="FK99" s="100"/>
      <c r="FL99" s="100"/>
      <c r="FM99" s="100"/>
      <c r="FN99" s="100"/>
      <c r="FO99" s="100"/>
      <c r="FP99" s="100"/>
      <c r="FQ99" s="100"/>
      <c r="FR99" s="100"/>
      <c r="FS99" s="100"/>
      <c r="FT99" s="100"/>
      <c r="FU99" s="100"/>
      <c r="FV99" s="100"/>
      <c r="FW99" s="100"/>
      <c r="FX99" s="100"/>
      <c r="FY99" s="100"/>
      <c r="FZ99" s="100"/>
      <c r="GA99" s="100"/>
      <c r="GB99" s="100"/>
      <c r="GC99" s="100"/>
      <c r="GD99" s="100"/>
      <c r="GE99" s="100"/>
      <c r="GF99" s="100"/>
      <c r="GG99" s="100"/>
      <c r="GH99" s="100"/>
      <c r="GI99" s="100"/>
      <c r="GJ99" s="100"/>
      <c r="GK99" s="100"/>
      <c r="GL99" s="100"/>
      <c r="GM99" s="100"/>
      <c r="GN99" s="100"/>
      <c r="GO99" s="100"/>
      <c r="GP99" s="100"/>
      <c r="GQ99" s="100"/>
      <c r="GR99" s="100"/>
      <c r="GS99" s="100"/>
    </row>
    <row r="100" spans="1:201" s="104" customFormat="1" ht="26.4" outlineLevel="1" x14ac:dyDescent="0.3">
      <c r="A100" s="96"/>
      <c r="B100" s="212" t="s">
        <v>411</v>
      </c>
      <c r="C100" s="219" t="str">
        <f>'CC detallado'!G91</f>
        <v>Plan de mejora de los servicios vinculados a la apertura y habilitaciones de mercados.</v>
      </c>
      <c r="D100" s="214" t="str">
        <f>'CC detallado'!A91</f>
        <v>2.6.4</v>
      </c>
      <c r="E100" s="230" t="s">
        <v>218</v>
      </c>
      <c r="F100" s="222">
        <f t="shared" si="4"/>
        <v>56</v>
      </c>
      <c r="G100" s="221">
        <f>'CC detallado'!M91</f>
        <v>30000</v>
      </c>
      <c r="H100" s="224">
        <v>1</v>
      </c>
      <c r="I100" s="225">
        <v>0</v>
      </c>
      <c r="J100" s="241">
        <f>'CC detallado'!H91</f>
        <v>1</v>
      </c>
      <c r="K100" s="211" t="s">
        <v>125</v>
      </c>
      <c r="L100" s="211" t="s">
        <v>377</v>
      </c>
      <c r="M100" s="226" t="s">
        <v>647</v>
      </c>
      <c r="N100" s="226" t="s">
        <v>638</v>
      </c>
      <c r="O100" s="234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0"/>
      <c r="CB100" s="100"/>
      <c r="CC100" s="100"/>
      <c r="CD100" s="100"/>
      <c r="CE100" s="100"/>
      <c r="CF100" s="100"/>
      <c r="CG100" s="100"/>
      <c r="CH100" s="100"/>
      <c r="CI100" s="100"/>
      <c r="CJ100" s="100"/>
      <c r="CK100" s="100"/>
      <c r="CL100" s="100"/>
      <c r="CM100" s="100"/>
      <c r="CN100" s="100"/>
      <c r="CO100" s="100"/>
      <c r="CP100" s="100"/>
      <c r="CQ100" s="100"/>
      <c r="CR100" s="100"/>
      <c r="CS100" s="100"/>
      <c r="CT100" s="100"/>
      <c r="CU100" s="100"/>
      <c r="CV100" s="100"/>
      <c r="CW100" s="100"/>
      <c r="CX100" s="100"/>
      <c r="CY100" s="100"/>
      <c r="CZ100" s="100"/>
      <c r="DA100" s="100"/>
      <c r="DB100" s="100"/>
      <c r="DC100" s="100"/>
      <c r="DD100" s="100"/>
      <c r="DE100" s="100"/>
      <c r="DF100" s="100"/>
      <c r="DG100" s="100"/>
      <c r="DH100" s="100"/>
      <c r="DI100" s="100"/>
      <c r="DJ100" s="100"/>
      <c r="DK100" s="100"/>
      <c r="DL100" s="100"/>
      <c r="DM100" s="100"/>
      <c r="DN100" s="100"/>
      <c r="DO100" s="100"/>
      <c r="DP100" s="100"/>
      <c r="DQ100" s="100"/>
      <c r="DR100" s="100"/>
      <c r="DS100" s="100"/>
      <c r="DT100" s="100"/>
      <c r="DU100" s="100"/>
      <c r="DV100" s="100"/>
      <c r="DW100" s="100"/>
      <c r="DX100" s="100"/>
      <c r="DY100" s="100"/>
      <c r="DZ100" s="100"/>
      <c r="EA100" s="100"/>
      <c r="EB100" s="100"/>
      <c r="EC100" s="100"/>
      <c r="ED100" s="100"/>
      <c r="EE100" s="100"/>
      <c r="EF100" s="100"/>
      <c r="EG100" s="100"/>
      <c r="EH100" s="100"/>
      <c r="EI100" s="100"/>
      <c r="EJ100" s="100"/>
      <c r="EK100" s="100"/>
      <c r="EL100" s="100"/>
      <c r="EM100" s="100"/>
      <c r="EN100" s="100"/>
      <c r="EO100" s="100"/>
      <c r="EP100" s="100"/>
      <c r="EQ100" s="100"/>
      <c r="ER100" s="100"/>
      <c r="ES100" s="100"/>
      <c r="ET100" s="100"/>
      <c r="EU100" s="100"/>
      <c r="EV100" s="100"/>
      <c r="EW100" s="100"/>
      <c r="EX100" s="100"/>
      <c r="EY100" s="100"/>
      <c r="EZ100" s="100"/>
      <c r="FA100" s="100"/>
      <c r="FB100" s="100"/>
      <c r="FC100" s="100"/>
      <c r="FD100" s="100"/>
      <c r="FE100" s="100"/>
      <c r="FF100" s="100"/>
      <c r="FG100" s="100"/>
      <c r="FH100" s="100"/>
      <c r="FI100" s="100"/>
      <c r="FJ100" s="100"/>
      <c r="FK100" s="100"/>
      <c r="FL100" s="100"/>
      <c r="FM100" s="100"/>
      <c r="FN100" s="100"/>
      <c r="FO100" s="100"/>
      <c r="FP100" s="100"/>
      <c r="FQ100" s="100"/>
      <c r="FR100" s="100"/>
      <c r="FS100" s="100"/>
      <c r="FT100" s="100"/>
      <c r="FU100" s="100"/>
      <c r="FV100" s="100"/>
      <c r="FW100" s="100"/>
      <c r="FX100" s="100"/>
      <c r="FY100" s="100"/>
      <c r="FZ100" s="100"/>
      <c r="GA100" s="100"/>
      <c r="GB100" s="100"/>
      <c r="GC100" s="100"/>
      <c r="GD100" s="100"/>
      <c r="GE100" s="100"/>
      <c r="GF100" s="100"/>
      <c r="GG100" s="100"/>
      <c r="GH100" s="100"/>
      <c r="GI100" s="100"/>
      <c r="GJ100" s="100"/>
      <c r="GK100" s="100"/>
      <c r="GL100" s="100"/>
      <c r="GM100" s="100"/>
      <c r="GN100" s="100"/>
      <c r="GO100" s="100"/>
      <c r="GP100" s="100"/>
      <c r="GQ100" s="100"/>
      <c r="GR100" s="100"/>
      <c r="GS100" s="100"/>
    </row>
    <row r="101" spans="1:201" s="263" customFormat="1" outlineLevel="1" x14ac:dyDescent="0.3">
      <c r="A101" s="96"/>
      <c r="B101" s="212" t="s">
        <v>411</v>
      </c>
      <c r="C101" s="219" t="str">
        <f>'CC detallado'!G97</f>
        <v>Coordinador General del Programa</v>
      </c>
      <c r="D101" s="214" t="str">
        <f>'CC detallado'!A97</f>
        <v>3.1.1</v>
      </c>
      <c r="E101" s="230" t="s">
        <v>218</v>
      </c>
      <c r="F101" s="222">
        <f t="shared" si="4"/>
        <v>57</v>
      </c>
      <c r="G101" s="221">
        <f>'CC detallado'!M97</f>
        <v>150000</v>
      </c>
      <c r="H101" s="224">
        <v>1</v>
      </c>
      <c r="I101" s="225">
        <v>0</v>
      </c>
      <c r="J101" s="241">
        <f>'CC detallado'!H97</f>
        <v>1</v>
      </c>
      <c r="K101" s="211" t="s">
        <v>633</v>
      </c>
      <c r="L101" s="211" t="s">
        <v>377</v>
      </c>
      <c r="M101" s="226" t="s">
        <v>659</v>
      </c>
      <c r="N101" s="226" t="s">
        <v>659</v>
      </c>
      <c r="O101" s="234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0"/>
      <c r="BI101" s="100"/>
      <c r="BJ101" s="100"/>
      <c r="BK101" s="100"/>
      <c r="BL101" s="100"/>
      <c r="BM101" s="100"/>
      <c r="BN101" s="100"/>
      <c r="BO101" s="100"/>
      <c r="BP101" s="100"/>
      <c r="BQ101" s="100"/>
      <c r="BR101" s="100"/>
      <c r="BS101" s="100"/>
      <c r="BT101" s="100"/>
      <c r="BU101" s="100"/>
      <c r="BV101" s="100"/>
      <c r="BW101" s="100"/>
      <c r="BX101" s="100"/>
      <c r="BY101" s="100"/>
      <c r="BZ101" s="100"/>
      <c r="CA101" s="100"/>
      <c r="CB101" s="100"/>
      <c r="CC101" s="100"/>
      <c r="CD101" s="100"/>
      <c r="CE101" s="100"/>
      <c r="CF101" s="100"/>
      <c r="CG101" s="100"/>
      <c r="CH101" s="100"/>
      <c r="CI101" s="100"/>
      <c r="CJ101" s="100"/>
      <c r="CK101" s="100"/>
      <c r="CL101" s="100"/>
      <c r="CM101" s="100"/>
      <c r="CN101" s="100"/>
      <c r="CO101" s="100"/>
      <c r="CP101" s="100"/>
      <c r="CQ101" s="100"/>
      <c r="CR101" s="100"/>
      <c r="CS101" s="100"/>
      <c r="CT101" s="100"/>
      <c r="CU101" s="100"/>
      <c r="CV101" s="100"/>
      <c r="CW101" s="100"/>
      <c r="CX101" s="100"/>
      <c r="CY101" s="100"/>
      <c r="CZ101" s="100"/>
      <c r="DA101" s="100"/>
      <c r="DB101" s="100"/>
      <c r="DC101" s="100"/>
      <c r="DD101" s="100"/>
      <c r="DE101" s="100"/>
      <c r="DF101" s="100"/>
      <c r="DG101" s="100"/>
      <c r="DH101" s="100"/>
      <c r="DI101" s="100"/>
      <c r="DJ101" s="100"/>
      <c r="DK101" s="100"/>
      <c r="DL101" s="100"/>
      <c r="DM101" s="100"/>
      <c r="DN101" s="100"/>
      <c r="DO101" s="100"/>
      <c r="DP101" s="100"/>
      <c r="DQ101" s="100"/>
      <c r="DR101" s="100"/>
      <c r="DS101" s="100"/>
      <c r="DT101" s="100"/>
      <c r="DU101" s="100"/>
      <c r="DV101" s="100"/>
      <c r="DW101" s="100"/>
      <c r="DX101" s="100"/>
      <c r="DY101" s="100"/>
      <c r="DZ101" s="100"/>
      <c r="EA101" s="100"/>
      <c r="EB101" s="100"/>
      <c r="EC101" s="100"/>
      <c r="ED101" s="100"/>
      <c r="EE101" s="100"/>
      <c r="EF101" s="100"/>
      <c r="EG101" s="100"/>
      <c r="EH101" s="100"/>
      <c r="EI101" s="100"/>
      <c r="EJ101" s="100"/>
      <c r="EK101" s="100"/>
      <c r="EL101" s="100"/>
      <c r="EM101" s="100"/>
      <c r="EN101" s="100"/>
      <c r="EO101" s="100"/>
      <c r="EP101" s="100"/>
      <c r="EQ101" s="100"/>
      <c r="ER101" s="100"/>
      <c r="ES101" s="100"/>
      <c r="ET101" s="100"/>
      <c r="EU101" s="100"/>
      <c r="EV101" s="100"/>
      <c r="EW101" s="100"/>
      <c r="EX101" s="100"/>
      <c r="EY101" s="100"/>
      <c r="EZ101" s="100"/>
      <c r="FA101" s="100"/>
      <c r="FB101" s="100"/>
      <c r="FC101" s="100"/>
      <c r="FD101" s="100"/>
      <c r="FE101" s="100"/>
      <c r="FF101" s="100"/>
      <c r="FG101" s="100"/>
      <c r="FH101" s="100"/>
      <c r="FI101" s="100"/>
      <c r="FJ101" s="100"/>
      <c r="FK101" s="100"/>
      <c r="FL101" s="100"/>
      <c r="FM101" s="100"/>
      <c r="FN101" s="100"/>
      <c r="FO101" s="100"/>
      <c r="FP101" s="100"/>
      <c r="FQ101" s="100"/>
      <c r="FR101" s="100"/>
      <c r="FS101" s="100"/>
      <c r="FT101" s="100"/>
      <c r="FU101" s="100"/>
      <c r="FV101" s="100"/>
      <c r="FW101" s="100"/>
      <c r="FX101" s="100"/>
      <c r="FY101" s="100"/>
      <c r="FZ101" s="100"/>
      <c r="GA101" s="100"/>
      <c r="GB101" s="100"/>
      <c r="GC101" s="100"/>
      <c r="GD101" s="100"/>
      <c r="GE101" s="100"/>
      <c r="GF101" s="100"/>
      <c r="GG101" s="100"/>
      <c r="GH101" s="100"/>
      <c r="GI101" s="100"/>
      <c r="GJ101" s="100"/>
      <c r="GK101" s="100"/>
      <c r="GL101" s="100"/>
      <c r="GM101" s="100"/>
      <c r="GN101" s="100"/>
      <c r="GO101" s="100"/>
      <c r="GP101" s="100"/>
      <c r="GQ101" s="100"/>
      <c r="GR101" s="100"/>
      <c r="GS101" s="100"/>
    </row>
    <row r="102" spans="1:201" s="263" customFormat="1" outlineLevel="1" x14ac:dyDescent="0.3">
      <c r="A102" s="96"/>
      <c r="B102" s="212" t="s">
        <v>411</v>
      </c>
      <c r="C102" s="219" t="str">
        <f>'CC detallado'!G98</f>
        <v>Coordinador Componente 1</v>
      </c>
      <c r="D102" s="214" t="str">
        <f>'CC detallado'!A98</f>
        <v>3.1.2</v>
      </c>
      <c r="E102" s="230" t="s">
        <v>218</v>
      </c>
      <c r="F102" s="222">
        <f t="shared" si="4"/>
        <v>58</v>
      </c>
      <c r="G102" s="221">
        <f>'CC detallado'!M98</f>
        <v>118000</v>
      </c>
      <c r="H102" s="224">
        <v>1</v>
      </c>
      <c r="I102" s="225">
        <v>0</v>
      </c>
      <c r="J102" s="241">
        <f>'CC detallado'!H98</f>
        <v>1</v>
      </c>
      <c r="K102" s="211" t="s">
        <v>633</v>
      </c>
      <c r="L102" s="211" t="s">
        <v>377</v>
      </c>
      <c r="M102" s="226" t="s">
        <v>659</v>
      </c>
      <c r="N102" s="226" t="s">
        <v>659</v>
      </c>
      <c r="O102" s="234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0"/>
      <c r="BI102" s="100"/>
      <c r="BJ102" s="100"/>
      <c r="BK102" s="100"/>
      <c r="BL102" s="100"/>
      <c r="BM102" s="100"/>
      <c r="BN102" s="100"/>
      <c r="BO102" s="100"/>
      <c r="BP102" s="100"/>
      <c r="BQ102" s="100"/>
      <c r="BR102" s="100"/>
      <c r="BS102" s="100"/>
      <c r="BT102" s="100"/>
      <c r="BU102" s="100"/>
      <c r="BV102" s="100"/>
      <c r="BW102" s="100"/>
      <c r="BX102" s="100"/>
      <c r="BY102" s="100"/>
      <c r="BZ102" s="100"/>
      <c r="CA102" s="100"/>
      <c r="CB102" s="100"/>
      <c r="CC102" s="100"/>
      <c r="CD102" s="100"/>
      <c r="CE102" s="100"/>
      <c r="CF102" s="100"/>
      <c r="CG102" s="100"/>
      <c r="CH102" s="100"/>
      <c r="CI102" s="100"/>
      <c r="CJ102" s="100"/>
      <c r="CK102" s="100"/>
      <c r="CL102" s="100"/>
      <c r="CM102" s="100"/>
      <c r="CN102" s="100"/>
      <c r="CO102" s="100"/>
      <c r="CP102" s="100"/>
      <c r="CQ102" s="100"/>
      <c r="CR102" s="100"/>
      <c r="CS102" s="100"/>
      <c r="CT102" s="100"/>
      <c r="CU102" s="100"/>
      <c r="CV102" s="100"/>
      <c r="CW102" s="100"/>
      <c r="CX102" s="100"/>
      <c r="CY102" s="100"/>
      <c r="CZ102" s="100"/>
      <c r="DA102" s="100"/>
      <c r="DB102" s="100"/>
      <c r="DC102" s="100"/>
      <c r="DD102" s="100"/>
      <c r="DE102" s="100"/>
      <c r="DF102" s="100"/>
      <c r="DG102" s="100"/>
      <c r="DH102" s="100"/>
      <c r="DI102" s="100"/>
      <c r="DJ102" s="100"/>
      <c r="DK102" s="100"/>
      <c r="DL102" s="100"/>
      <c r="DM102" s="100"/>
      <c r="DN102" s="100"/>
      <c r="DO102" s="100"/>
      <c r="DP102" s="100"/>
      <c r="DQ102" s="100"/>
      <c r="DR102" s="100"/>
      <c r="DS102" s="100"/>
      <c r="DT102" s="100"/>
      <c r="DU102" s="100"/>
      <c r="DV102" s="100"/>
      <c r="DW102" s="100"/>
      <c r="DX102" s="100"/>
      <c r="DY102" s="100"/>
      <c r="DZ102" s="100"/>
      <c r="EA102" s="100"/>
      <c r="EB102" s="100"/>
      <c r="EC102" s="100"/>
      <c r="ED102" s="100"/>
      <c r="EE102" s="100"/>
      <c r="EF102" s="100"/>
      <c r="EG102" s="100"/>
      <c r="EH102" s="100"/>
      <c r="EI102" s="100"/>
      <c r="EJ102" s="100"/>
      <c r="EK102" s="100"/>
      <c r="EL102" s="100"/>
      <c r="EM102" s="100"/>
      <c r="EN102" s="100"/>
      <c r="EO102" s="100"/>
      <c r="EP102" s="100"/>
      <c r="EQ102" s="100"/>
      <c r="ER102" s="100"/>
      <c r="ES102" s="100"/>
      <c r="ET102" s="100"/>
      <c r="EU102" s="100"/>
      <c r="EV102" s="100"/>
      <c r="EW102" s="100"/>
      <c r="EX102" s="100"/>
      <c r="EY102" s="100"/>
      <c r="EZ102" s="100"/>
      <c r="FA102" s="100"/>
      <c r="FB102" s="100"/>
      <c r="FC102" s="100"/>
      <c r="FD102" s="100"/>
      <c r="FE102" s="100"/>
      <c r="FF102" s="100"/>
      <c r="FG102" s="100"/>
      <c r="FH102" s="100"/>
      <c r="FI102" s="100"/>
      <c r="FJ102" s="100"/>
      <c r="FK102" s="100"/>
      <c r="FL102" s="100"/>
      <c r="FM102" s="100"/>
      <c r="FN102" s="100"/>
      <c r="FO102" s="100"/>
      <c r="FP102" s="100"/>
      <c r="FQ102" s="100"/>
      <c r="FR102" s="100"/>
      <c r="FS102" s="100"/>
      <c r="FT102" s="100"/>
      <c r="FU102" s="100"/>
      <c r="FV102" s="100"/>
      <c r="FW102" s="100"/>
      <c r="FX102" s="100"/>
      <c r="FY102" s="100"/>
      <c r="FZ102" s="100"/>
      <c r="GA102" s="100"/>
      <c r="GB102" s="100"/>
      <c r="GC102" s="100"/>
      <c r="GD102" s="100"/>
      <c r="GE102" s="100"/>
      <c r="GF102" s="100"/>
      <c r="GG102" s="100"/>
      <c r="GH102" s="100"/>
      <c r="GI102" s="100"/>
      <c r="GJ102" s="100"/>
      <c r="GK102" s="100"/>
      <c r="GL102" s="100"/>
      <c r="GM102" s="100"/>
      <c r="GN102" s="100"/>
      <c r="GO102" s="100"/>
      <c r="GP102" s="100"/>
      <c r="GQ102" s="100"/>
      <c r="GR102" s="100"/>
      <c r="GS102" s="100"/>
    </row>
    <row r="103" spans="1:201" s="263" customFormat="1" outlineLevel="1" x14ac:dyDescent="0.3">
      <c r="A103" s="96"/>
      <c r="B103" s="212" t="s">
        <v>411</v>
      </c>
      <c r="C103" s="219" t="str">
        <f>'CC detallado'!G99</f>
        <v>Especialista en Planificación y Monitoreo</v>
      </c>
      <c r="D103" s="214" t="str">
        <f>'CC detallado'!A99</f>
        <v>3.1.4</v>
      </c>
      <c r="E103" s="230" t="s">
        <v>218</v>
      </c>
      <c r="F103" s="222">
        <f t="shared" si="4"/>
        <v>59</v>
      </c>
      <c r="G103" s="221">
        <f>'CC detallado'!M99</f>
        <v>106000</v>
      </c>
      <c r="H103" s="224">
        <v>1</v>
      </c>
      <c r="I103" s="225">
        <v>0</v>
      </c>
      <c r="J103" s="241">
        <f>'CC detallado'!H99</f>
        <v>1</v>
      </c>
      <c r="K103" s="211" t="s">
        <v>633</v>
      </c>
      <c r="L103" s="211" t="s">
        <v>377</v>
      </c>
      <c r="M103" s="226" t="s">
        <v>659</v>
      </c>
      <c r="N103" s="226" t="s">
        <v>659</v>
      </c>
      <c r="O103" s="234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  <c r="BH103" s="100"/>
      <c r="BI103" s="100"/>
      <c r="BJ103" s="100"/>
      <c r="BK103" s="100"/>
      <c r="BL103" s="100"/>
      <c r="BM103" s="100"/>
      <c r="BN103" s="100"/>
      <c r="BO103" s="100"/>
      <c r="BP103" s="100"/>
      <c r="BQ103" s="100"/>
      <c r="BR103" s="100"/>
      <c r="BS103" s="100"/>
      <c r="BT103" s="100"/>
      <c r="BU103" s="100"/>
      <c r="BV103" s="100"/>
      <c r="BW103" s="100"/>
      <c r="BX103" s="100"/>
      <c r="BY103" s="100"/>
      <c r="BZ103" s="100"/>
      <c r="CA103" s="100"/>
      <c r="CB103" s="100"/>
      <c r="CC103" s="100"/>
      <c r="CD103" s="100"/>
      <c r="CE103" s="100"/>
      <c r="CF103" s="100"/>
      <c r="CG103" s="100"/>
      <c r="CH103" s="100"/>
      <c r="CI103" s="100"/>
      <c r="CJ103" s="100"/>
      <c r="CK103" s="100"/>
      <c r="CL103" s="100"/>
      <c r="CM103" s="100"/>
      <c r="CN103" s="100"/>
      <c r="CO103" s="100"/>
      <c r="CP103" s="100"/>
      <c r="CQ103" s="100"/>
      <c r="CR103" s="100"/>
      <c r="CS103" s="100"/>
      <c r="CT103" s="100"/>
      <c r="CU103" s="100"/>
      <c r="CV103" s="100"/>
      <c r="CW103" s="100"/>
      <c r="CX103" s="100"/>
      <c r="CY103" s="100"/>
      <c r="CZ103" s="100"/>
      <c r="DA103" s="100"/>
      <c r="DB103" s="100"/>
      <c r="DC103" s="100"/>
      <c r="DD103" s="100"/>
      <c r="DE103" s="100"/>
      <c r="DF103" s="100"/>
      <c r="DG103" s="100"/>
      <c r="DH103" s="100"/>
      <c r="DI103" s="100"/>
      <c r="DJ103" s="100"/>
      <c r="DK103" s="100"/>
      <c r="DL103" s="100"/>
      <c r="DM103" s="100"/>
      <c r="DN103" s="100"/>
      <c r="DO103" s="100"/>
      <c r="DP103" s="100"/>
      <c r="DQ103" s="100"/>
      <c r="DR103" s="100"/>
      <c r="DS103" s="100"/>
      <c r="DT103" s="100"/>
      <c r="DU103" s="100"/>
      <c r="DV103" s="100"/>
      <c r="DW103" s="100"/>
      <c r="DX103" s="100"/>
      <c r="DY103" s="100"/>
      <c r="DZ103" s="100"/>
      <c r="EA103" s="100"/>
      <c r="EB103" s="100"/>
      <c r="EC103" s="100"/>
      <c r="ED103" s="100"/>
      <c r="EE103" s="100"/>
      <c r="EF103" s="100"/>
      <c r="EG103" s="100"/>
      <c r="EH103" s="100"/>
      <c r="EI103" s="100"/>
      <c r="EJ103" s="100"/>
      <c r="EK103" s="100"/>
      <c r="EL103" s="100"/>
      <c r="EM103" s="100"/>
      <c r="EN103" s="100"/>
      <c r="EO103" s="100"/>
      <c r="EP103" s="100"/>
      <c r="EQ103" s="100"/>
      <c r="ER103" s="100"/>
      <c r="ES103" s="100"/>
      <c r="ET103" s="100"/>
      <c r="EU103" s="100"/>
      <c r="EV103" s="100"/>
      <c r="EW103" s="100"/>
      <c r="EX103" s="100"/>
      <c r="EY103" s="100"/>
      <c r="EZ103" s="100"/>
      <c r="FA103" s="100"/>
      <c r="FB103" s="100"/>
      <c r="FC103" s="100"/>
      <c r="FD103" s="100"/>
      <c r="FE103" s="100"/>
      <c r="FF103" s="100"/>
      <c r="FG103" s="100"/>
      <c r="FH103" s="100"/>
      <c r="FI103" s="100"/>
      <c r="FJ103" s="100"/>
      <c r="FK103" s="100"/>
      <c r="FL103" s="100"/>
      <c r="FM103" s="100"/>
      <c r="FN103" s="100"/>
      <c r="FO103" s="100"/>
      <c r="FP103" s="100"/>
      <c r="FQ103" s="100"/>
      <c r="FR103" s="100"/>
      <c r="FS103" s="100"/>
      <c r="FT103" s="100"/>
      <c r="FU103" s="100"/>
      <c r="FV103" s="100"/>
      <c r="FW103" s="100"/>
      <c r="FX103" s="100"/>
      <c r="FY103" s="100"/>
      <c r="FZ103" s="100"/>
      <c r="GA103" s="100"/>
      <c r="GB103" s="100"/>
      <c r="GC103" s="100"/>
      <c r="GD103" s="100"/>
      <c r="GE103" s="100"/>
      <c r="GF103" s="100"/>
      <c r="GG103" s="100"/>
      <c r="GH103" s="100"/>
      <c r="GI103" s="100"/>
      <c r="GJ103" s="100"/>
      <c r="GK103" s="100"/>
      <c r="GL103" s="100"/>
      <c r="GM103" s="100"/>
      <c r="GN103" s="100"/>
      <c r="GO103" s="100"/>
      <c r="GP103" s="100"/>
      <c r="GQ103" s="100"/>
      <c r="GR103" s="100"/>
      <c r="GS103" s="100"/>
    </row>
    <row r="104" spans="1:201" s="263" customFormat="1" outlineLevel="1" x14ac:dyDescent="0.3">
      <c r="A104" s="96"/>
      <c r="B104" s="212" t="s">
        <v>411</v>
      </c>
      <c r="C104" s="219" t="str">
        <f>'CC detallado'!G100</f>
        <v>Especialista en Adquisiciones y Contrataciones</v>
      </c>
      <c r="D104" s="214" t="str">
        <f>'CC detallado'!A100</f>
        <v>3.1.5</v>
      </c>
      <c r="E104" s="230" t="s">
        <v>218</v>
      </c>
      <c r="F104" s="222">
        <f t="shared" si="4"/>
        <v>60</v>
      </c>
      <c r="G104" s="221">
        <f>'CC detallado'!M100</f>
        <v>96000</v>
      </c>
      <c r="H104" s="224">
        <v>1</v>
      </c>
      <c r="I104" s="225">
        <v>0</v>
      </c>
      <c r="J104" s="241">
        <f>'CC detallado'!H100</f>
        <v>1</v>
      </c>
      <c r="K104" s="211" t="s">
        <v>633</v>
      </c>
      <c r="L104" s="211" t="s">
        <v>377</v>
      </c>
      <c r="M104" s="226" t="s">
        <v>659</v>
      </c>
      <c r="N104" s="226" t="s">
        <v>659</v>
      </c>
      <c r="O104" s="234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0"/>
      <c r="BE104" s="100"/>
      <c r="BF104" s="100"/>
      <c r="BG104" s="100"/>
      <c r="BH104" s="100"/>
      <c r="BI104" s="100"/>
      <c r="BJ104" s="100"/>
      <c r="BK104" s="100"/>
      <c r="BL104" s="100"/>
      <c r="BM104" s="100"/>
      <c r="BN104" s="100"/>
      <c r="BO104" s="100"/>
      <c r="BP104" s="100"/>
      <c r="BQ104" s="100"/>
      <c r="BR104" s="100"/>
      <c r="BS104" s="100"/>
      <c r="BT104" s="100"/>
      <c r="BU104" s="100"/>
      <c r="BV104" s="100"/>
      <c r="BW104" s="100"/>
      <c r="BX104" s="100"/>
      <c r="BY104" s="100"/>
      <c r="BZ104" s="100"/>
      <c r="CA104" s="100"/>
      <c r="CB104" s="100"/>
      <c r="CC104" s="100"/>
      <c r="CD104" s="100"/>
      <c r="CE104" s="100"/>
      <c r="CF104" s="100"/>
      <c r="CG104" s="100"/>
      <c r="CH104" s="100"/>
      <c r="CI104" s="100"/>
      <c r="CJ104" s="100"/>
      <c r="CK104" s="100"/>
      <c r="CL104" s="100"/>
      <c r="CM104" s="100"/>
      <c r="CN104" s="100"/>
      <c r="CO104" s="100"/>
      <c r="CP104" s="100"/>
      <c r="CQ104" s="100"/>
      <c r="CR104" s="100"/>
      <c r="CS104" s="100"/>
      <c r="CT104" s="100"/>
      <c r="CU104" s="100"/>
      <c r="CV104" s="100"/>
      <c r="CW104" s="100"/>
      <c r="CX104" s="100"/>
      <c r="CY104" s="100"/>
      <c r="CZ104" s="100"/>
      <c r="DA104" s="100"/>
      <c r="DB104" s="100"/>
      <c r="DC104" s="100"/>
      <c r="DD104" s="100"/>
      <c r="DE104" s="100"/>
      <c r="DF104" s="100"/>
      <c r="DG104" s="100"/>
      <c r="DH104" s="100"/>
      <c r="DI104" s="100"/>
      <c r="DJ104" s="100"/>
      <c r="DK104" s="100"/>
      <c r="DL104" s="100"/>
      <c r="DM104" s="100"/>
      <c r="DN104" s="100"/>
      <c r="DO104" s="100"/>
      <c r="DP104" s="100"/>
      <c r="DQ104" s="100"/>
      <c r="DR104" s="100"/>
      <c r="DS104" s="100"/>
      <c r="DT104" s="100"/>
      <c r="DU104" s="100"/>
      <c r="DV104" s="100"/>
      <c r="DW104" s="100"/>
      <c r="DX104" s="100"/>
      <c r="DY104" s="100"/>
      <c r="DZ104" s="100"/>
      <c r="EA104" s="100"/>
      <c r="EB104" s="100"/>
      <c r="EC104" s="100"/>
      <c r="ED104" s="100"/>
      <c r="EE104" s="100"/>
      <c r="EF104" s="100"/>
      <c r="EG104" s="100"/>
      <c r="EH104" s="100"/>
      <c r="EI104" s="100"/>
      <c r="EJ104" s="100"/>
      <c r="EK104" s="100"/>
      <c r="EL104" s="100"/>
      <c r="EM104" s="100"/>
      <c r="EN104" s="100"/>
      <c r="EO104" s="100"/>
      <c r="EP104" s="100"/>
      <c r="EQ104" s="100"/>
      <c r="ER104" s="100"/>
      <c r="ES104" s="100"/>
      <c r="ET104" s="100"/>
      <c r="EU104" s="100"/>
      <c r="EV104" s="100"/>
      <c r="EW104" s="100"/>
      <c r="EX104" s="100"/>
      <c r="EY104" s="100"/>
      <c r="EZ104" s="100"/>
      <c r="FA104" s="100"/>
      <c r="FB104" s="100"/>
      <c r="FC104" s="100"/>
      <c r="FD104" s="100"/>
      <c r="FE104" s="100"/>
      <c r="FF104" s="100"/>
      <c r="FG104" s="100"/>
      <c r="FH104" s="100"/>
      <c r="FI104" s="100"/>
      <c r="FJ104" s="100"/>
      <c r="FK104" s="100"/>
      <c r="FL104" s="100"/>
      <c r="FM104" s="100"/>
      <c r="FN104" s="100"/>
      <c r="FO104" s="100"/>
      <c r="FP104" s="100"/>
      <c r="FQ104" s="100"/>
      <c r="FR104" s="100"/>
      <c r="FS104" s="100"/>
      <c r="FT104" s="100"/>
      <c r="FU104" s="100"/>
      <c r="FV104" s="100"/>
      <c r="FW104" s="100"/>
      <c r="FX104" s="100"/>
      <c r="FY104" s="100"/>
      <c r="FZ104" s="100"/>
      <c r="GA104" s="100"/>
      <c r="GB104" s="100"/>
      <c r="GC104" s="100"/>
      <c r="GD104" s="100"/>
      <c r="GE104" s="100"/>
      <c r="GF104" s="100"/>
      <c r="GG104" s="100"/>
      <c r="GH104" s="100"/>
      <c r="GI104" s="100"/>
      <c r="GJ104" s="100"/>
      <c r="GK104" s="100"/>
      <c r="GL104" s="100"/>
      <c r="GM104" s="100"/>
      <c r="GN104" s="100"/>
      <c r="GO104" s="100"/>
      <c r="GP104" s="100"/>
      <c r="GQ104" s="100"/>
      <c r="GR104" s="100"/>
      <c r="GS104" s="100"/>
    </row>
    <row r="105" spans="1:201" s="263" customFormat="1" outlineLevel="1" x14ac:dyDescent="0.3">
      <c r="A105" s="96"/>
      <c r="B105" s="212" t="s">
        <v>411</v>
      </c>
      <c r="C105" s="219" t="str">
        <f>'CC detallado'!G102</f>
        <v>Especialista Socioambiental</v>
      </c>
      <c r="D105" s="214" t="str">
        <f>'CC detallado'!A102</f>
        <v>3.1.7</v>
      </c>
      <c r="E105" s="230" t="s">
        <v>218</v>
      </c>
      <c r="F105" s="222">
        <f t="shared" si="4"/>
        <v>61</v>
      </c>
      <c r="G105" s="221">
        <f>'CC detallado'!M102</f>
        <v>72000</v>
      </c>
      <c r="H105" s="224">
        <v>1</v>
      </c>
      <c r="I105" s="225">
        <v>0</v>
      </c>
      <c r="J105" s="241">
        <f>'CC detallado'!H102</f>
        <v>1</v>
      </c>
      <c r="K105" s="211" t="s">
        <v>633</v>
      </c>
      <c r="L105" s="211" t="s">
        <v>377</v>
      </c>
      <c r="M105" s="226" t="s">
        <v>659</v>
      </c>
      <c r="N105" s="226" t="s">
        <v>659</v>
      </c>
      <c r="O105" s="234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  <c r="BN105" s="100"/>
      <c r="BO105" s="100"/>
      <c r="BP105" s="100"/>
      <c r="BQ105" s="100"/>
      <c r="BR105" s="100"/>
      <c r="BS105" s="100"/>
      <c r="BT105" s="100"/>
      <c r="BU105" s="100"/>
      <c r="BV105" s="100"/>
      <c r="BW105" s="100"/>
      <c r="BX105" s="100"/>
      <c r="BY105" s="100"/>
      <c r="BZ105" s="100"/>
      <c r="CA105" s="100"/>
      <c r="CB105" s="100"/>
      <c r="CC105" s="100"/>
      <c r="CD105" s="100"/>
      <c r="CE105" s="100"/>
      <c r="CF105" s="100"/>
      <c r="CG105" s="100"/>
      <c r="CH105" s="100"/>
      <c r="CI105" s="100"/>
      <c r="CJ105" s="100"/>
      <c r="CK105" s="100"/>
      <c r="CL105" s="100"/>
      <c r="CM105" s="100"/>
      <c r="CN105" s="100"/>
      <c r="CO105" s="100"/>
      <c r="CP105" s="100"/>
      <c r="CQ105" s="100"/>
      <c r="CR105" s="100"/>
      <c r="CS105" s="100"/>
      <c r="CT105" s="100"/>
      <c r="CU105" s="100"/>
      <c r="CV105" s="100"/>
      <c r="CW105" s="100"/>
      <c r="CX105" s="100"/>
      <c r="CY105" s="100"/>
      <c r="CZ105" s="100"/>
      <c r="DA105" s="100"/>
      <c r="DB105" s="100"/>
      <c r="DC105" s="100"/>
      <c r="DD105" s="100"/>
      <c r="DE105" s="100"/>
      <c r="DF105" s="100"/>
      <c r="DG105" s="100"/>
      <c r="DH105" s="100"/>
      <c r="DI105" s="100"/>
      <c r="DJ105" s="100"/>
      <c r="DK105" s="100"/>
      <c r="DL105" s="100"/>
      <c r="DM105" s="100"/>
      <c r="DN105" s="100"/>
      <c r="DO105" s="100"/>
      <c r="DP105" s="100"/>
      <c r="DQ105" s="100"/>
      <c r="DR105" s="100"/>
      <c r="DS105" s="100"/>
      <c r="DT105" s="100"/>
      <c r="DU105" s="100"/>
      <c r="DV105" s="100"/>
      <c r="DW105" s="100"/>
      <c r="DX105" s="100"/>
      <c r="DY105" s="100"/>
      <c r="DZ105" s="100"/>
      <c r="EA105" s="100"/>
      <c r="EB105" s="100"/>
      <c r="EC105" s="100"/>
      <c r="ED105" s="100"/>
      <c r="EE105" s="100"/>
      <c r="EF105" s="100"/>
      <c r="EG105" s="100"/>
      <c r="EH105" s="100"/>
      <c r="EI105" s="100"/>
      <c r="EJ105" s="100"/>
      <c r="EK105" s="100"/>
      <c r="EL105" s="100"/>
      <c r="EM105" s="100"/>
      <c r="EN105" s="100"/>
      <c r="EO105" s="100"/>
      <c r="EP105" s="100"/>
      <c r="EQ105" s="100"/>
      <c r="ER105" s="100"/>
      <c r="ES105" s="100"/>
      <c r="ET105" s="100"/>
      <c r="EU105" s="100"/>
      <c r="EV105" s="100"/>
      <c r="EW105" s="100"/>
      <c r="EX105" s="100"/>
      <c r="EY105" s="100"/>
      <c r="EZ105" s="100"/>
      <c r="FA105" s="100"/>
      <c r="FB105" s="100"/>
      <c r="FC105" s="100"/>
      <c r="FD105" s="100"/>
      <c r="FE105" s="100"/>
      <c r="FF105" s="100"/>
      <c r="FG105" s="100"/>
      <c r="FH105" s="100"/>
      <c r="FI105" s="100"/>
      <c r="FJ105" s="100"/>
      <c r="FK105" s="100"/>
      <c r="FL105" s="100"/>
      <c r="FM105" s="100"/>
      <c r="FN105" s="100"/>
      <c r="FO105" s="100"/>
      <c r="FP105" s="100"/>
      <c r="FQ105" s="100"/>
      <c r="FR105" s="100"/>
      <c r="FS105" s="100"/>
      <c r="FT105" s="100"/>
      <c r="FU105" s="100"/>
      <c r="FV105" s="100"/>
      <c r="FW105" s="100"/>
      <c r="FX105" s="100"/>
      <c r="FY105" s="100"/>
      <c r="FZ105" s="100"/>
      <c r="GA105" s="100"/>
      <c r="GB105" s="100"/>
      <c r="GC105" s="100"/>
      <c r="GD105" s="100"/>
      <c r="GE105" s="100"/>
      <c r="GF105" s="100"/>
      <c r="GG105" s="100"/>
      <c r="GH105" s="100"/>
      <c r="GI105" s="100"/>
      <c r="GJ105" s="100"/>
      <c r="GK105" s="100"/>
      <c r="GL105" s="100"/>
      <c r="GM105" s="100"/>
      <c r="GN105" s="100"/>
      <c r="GO105" s="100"/>
      <c r="GP105" s="100"/>
      <c r="GQ105" s="100"/>
      <c r="GR105" s="100"/>
      <c r="GS105" s="100"/>
    </row>
    <row r="106" spans="1:201" s="263" customFormat="1" outlineLevel="1" x14ac:dyDescent="0.3">
      <c r="A106" s="96"/>
      <c r="B106" s="212" t="s">
        <v>411</v>
      </c>
      <c r="C106" s="219" t="str">
        <f>'CC detallado'!G103</f>
        <v>Elaboración de SIGAS</v>
      </c>
      <c r="D106" s="214" t="str">
        <f>'CC detallado'!A103</f>
        <v>3.1.8</v>
      </c>
      <c r="E106" s="230" t="s">
        <v>218</v>
      </c>
      <c r="F106" s="222">
        <f t="shared" si="4"/>
        <v>62</v>
      </c>
      <c r="G106" s="221">
        <f>'CC detallado'!M103</f>
        <v>24000</v>
      </c>
      <c r="H106" s="224">
        <v>1</v>
      </c>
      <c r="I106" s="225">
        <v>0</v>
      </c>
      <c r="J106" s="241">
        <f>'CC detallado'!H103</f>
        <v>1</v>
      </c>
      <c r="K106" s="211" t="s">
        <v>633</v>
      </c>
      <c r="L106" s="211" t="s">
        <v>377</v>
      </c>
      <c r="M106" s="226" t="s">
        <v>659</v>
      </c>
      <c r="N106" s="226" t="s">
        <v>659</v>
      </c>
      <c r="O106" s="234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0"/>
      <c r="BI106" s="100"/>
      <c r="BJ106" s="100"/>
      <c r="BK106" s="100"/>
      <c r="BL106" s="100"/>
      <c r="BM106" s="100"/>
      <c r="BN106" s="100"/>
      <c r="BO106" s="100"/>
      <c r="BP106" s="100"/>
      <c r="BQ106" s="100"/>
      <c r="BR106" s="100"/>
      <c r="BS106" s="100"/>
      <c r="BT106" s="100"/>
      <c r="BU106" s="100"/>
      <c r="BV106" s="100"/>
      <c r="BW106" s="100"/>
      <c r="BX106" s="100"/>
      <c r="BY106" s="100"/>
      <c r="BZ106" s="100"/>
      <c r="CA106" s="100"/>
      <c r="CB106" s="100"/>
      <c r="CC106" s="100"/>
      <c r="CD106" s="100"/>
      <c r="CE106" s="100"/>
      <c r="CF106" s="100"/>
      <c r="CG106" s="100"/>
      <c r="CH106" s="100"/>
      <c r="CI106" s="100"/>
      <c r="CJ106" s="100"/>
      <c r="CK106" s="100"/>
      <c r="CL106" s="100"/>
      <c r="CM106" s="100"/>
      <c r="CN106" s="100"/>
      <c r="CO106" s="100"/>
      <c r="CP106" s="100"/>
      <c r="CQ106" s="100"/>
      <c r="CR106" s="100"/>
      <c r="CS106" s="100"/>
      <c r="CT106" s="100"/>
      <c r="CU106" s="100"/>
      <c r="CV106" s="100"/>
      <c r="CW106" s="100"/>
      <c r="CX106" s="100"/>
      <c r="CY106" s="100"/>
      <c r="CZ106" s="100"/>
      <c r="DA106" s="100"/>
      <c r="DB106" s="100"/>
      <c r="DC106" s="100"/>
      <c r="DD106" s="100"/>
      <c r="DE106" s="100"/>
      <c r="DF106" s="100"/>
      <c r="DG106" s="100"/>
      <c r="DH106" s="100"/>
      <c r="DI106" s="100"/>
      <c r="DJ106" s="100"/>
      <c r="DK106" s="100"/>
      <c r="DL106" s="100"/>
      <c r="DM106" s="100"/>
      <c r="DN106" s="100"/>
      <c r="DO106" s="100"/>
      <c r="DP106" s="100"/>
      <c r="DQ106" s="100"/>
      <c r="DR106" s="100"/>
      <c r="DS106" s="100"/>
      <c r="DT106" s="100"/>
      <c r="DU106" s="100"/>
      <c r="DV106" s="100"/>
      <c r="DW106" s="100"/>
      <c r="DX106" s="100"/>
      <c r="DY106" s="100"/>
      <c r="DZ106" s="100"/>
      <c r="EA106" s="100"/>
      <c r="EB106" s="100"/>
      <c r="EC106" s="100"/>
      <c r="ED106" s="100"/>
      <c r="EE106" s="100"/>
      <c r="EF106" s="100"/>
      <c r="EG106" s="100"/>
      <c r="EH106" s="100"/>
      <c r="EI106" s="100"/>
      <c r="EJ106" s="100"/>
      <c r="EK106" s="100"/>
      <c r="EL106" s="100"/>
      <c r="EM106" s="100"/>
      <c r="EN106" s="100"/>
      <c r="EO106" s="100"/>
      <c r="EP106" s="100"/>
      <c r="EQ106" s="100"/>
      <c r="ER106" s="100"/>
      <c r="ES106" s="100"/>
      <c r="ET106" s="100"/>
      <c r="EU106" s="100"/>
      <c r="EV106" s="100"/>
      <c r="EW106" s="100"/>
      <c r="EX106" s="100"/>
      <c r="EY106" s="100"/>
      <c r="EZ106" s="100"/>
      <c r="FA106" s="100"/>
      <c r="FB106" s="100"/>
      <c r="FC106" s="100"/>
      <c r="FD106" s="100"/>
      <c r="FE106" s="100"/>
      <c r="FF106" s="100"/>
      <c r="FG106" s="100"/>
      <c r="FH106" s="100"/>
      <c r="FI106" s="100"/>
      <c r="FJ106" s="100"/>
      <c r="FK106" s="100"/>
      <c r="FL106" s="100"/>
      <c r="FM106" s="100"/>
      <c r="FN106" s="100"/>
      <c r="FO106" s="100"/>
      <c r="FP106" s="100"/>
      <c r="FQ106" s="100"/>
      <c r="FR106" s="100"/>
      <c r="FS106" s="100"/>
      <c r="FT106" s="100"/>
      <c r="FU106" s="100"/>
      <c r="FV106" s="100"/>
      <c r="FW106" s="100"/>
      <c r="FX106" s="100"/>
      <c r="FY106" s="100"/>
      <c r="FZ106" s="100"/>
      <c r="GA106" s="100"/>
      <c r="GB106" s="100"/>
      <c r="GC106" s="100"/>
      <c r="GD106" s="100"/>
      <c r="GE106" s="100"/>
      <c r="GF106" s="100"/>
      <c r="GG106" s="100"/>
      <c r="GH106" s="100"/>
      <c r="GI106" s="100"/>
      <c r="GJ106" s="100"/>
      <c r="GK106" s="100"/>
      <c r="GL106" s="100"/>
      <c r="GM106" s="100"/>
      <c r="GN106" s="100"/>
      <c r="GO106" s="100"/>
      <c r="GP106" s="100"/>
      <c r="GQ106" s="100"/>
      <c r="GR106" s="100"/>
      <c r="GS106" s="100"/>
    </row>
    <row r="107" spans="1:201" x14ac:dyDescent="0.3">
      <c r="B107" s="362" t="s">
        <v>378</v>
      </c>
      <c r="C107" s="362"/>
      <c r="D107" s="362"/>
      <c r="E107" s="362"/>
      <c r="F107" s="362"/>
      <c r="G107" s="239">
        <f>SUM(G77:G106)</f>
        <v>1256500</v>
      </c>
      <c r="H107" s="240"/>
      <c r="I107" s="240"/>
      <c r="J107" s="239">
        <f>SUM(J77:J105)</f>
        <v>32</v>
      </c>
      <c r="K107" s="240"/>
      <c r="L107" s="240"/>
      <c r="M107" s="242"/>
      <c r="N107" s="242"/>
      <c r="O107" s="259"/>
    </row>
    <row r="108" spans="1:201" x14ac:dyDescent="0.3">
      <c r="B108" s="111"/>
      <c r="C108" s="112"/>
      <c r="D108" s="113"/>
      <c r="E108" s="111"/>
      <c r="F108" s="111"/>
      <c r="G108" s="114"/>
      <c r="H108" s="111"/>
      <c r="I108" s="111"/>
      <c r="J108" s="111"/>
      <c r="K108" s="111"/>
      <c r="L108" s="115"/>
      <c r="M108" s="115"/>
      <c r="N108" s="113"/>
      <c r="O108" s="113"/>
    </row>
    <row r="109" spans="1:201" s="100" customFormat="1" ht="13.2" customHeight="1" x14ac:dyDescent="0.3">
      <c r="A109" s="96"/>
      <c r="B109" s="356" t="s">
        <v>379</v>
      </c>
      <c r="C109" s="357"/>
      <c r="D109" s="357"/>
      <c r="E109" s="357"/>
      <c r="F109" s="357"/>
      <c r="G109" s="357"/>
      <c r="H109" s="357"/>
      <c r="I109" s="357"/>
      <c r="J109" s="357"/>
      <c r="K109" s="357"/>
      <c r="L109" s="357"/>
      <c r="M109" s="357"/>
      <c r="N109" s="357"/>
      <c r="O109" s="358"/>
    </row>
    <row r="110" spans="1:201" ht="13.2" customHeight="1" x14ac:dyDescent="0.3">
      <c r="B110" s="347" t="s">
        <v>348</v>
      </c>
      <c r="C110" s="348" t="s">
        <v>349</v>
      </c>
      <c r="D110" s="348" t="s">
        <v>640</v>
      </c>
      <c r="E110" s="347" t="s">
        <v>365</v>
      </c>
      <c r="F110" s="347" t="s">
        <v>352</v>
      </c>
      <c r="G110" s="350" t="s">
        <v>353</v>
      </c>
      <c r="H110" s="350"/>
      <c r="I110" s="350"/>
      <c r="J110" s="347" t="s">
        <v>354</v>
      </c>
      <c r="K110" s="347" t="s">
        <v>355</v>
      </c>
      <c r="L110" s="347" t="s">
        <v>356</v>
      </c>
      <c r="M110" s="347"/>
      <c r="N110" s="352" t="s">
        <v>357</v>
      </c>
      <c r="O110" s="353"/>
    </row>
    <row r="111" spans="1:201" ht="39.6" x14ac:dyDescent="0.3">
      <c r="B111" s="347"/>
      <c r="C111" s="348"/>
      <c r="D111" s="348"/>
      <c r="E111" s="350"/>
      <c r="F111" s="347"/>
      <c r="G111" s="236" t="s">
        <v>358</v>
      </c>
      <c r="H111" s="215" t="s">
        <v>359</v>
      </c>
      <c r="I111" s="215" t="s">
        <v>360</v>
      </c>
      <c r="J111" s="347"/>
      <c r="K111" s="361"/>
      <c r="L111" s="216" t="s">
        <v>380</v>
      </c>
      <c r="M111" s="216" t="s">
        <v>381</v>
      </c>
      <c r="N111" s="354"/>
      <c r="O111" s="355"/>
    </row>
    <row r="112" spans="1:201" s="100" customFormat="1" ht="39.6" outlineLevel="1" x14ac:dyDescent="0.3">
      <c r="A112" s="108"/>
      <c r="B112" s="246" t="s">
        <v>411</v>
      </c>
      <c r="C112" s="261" t="str">
        <f>'CC detallado'!G85</f>
        <v>Contratación firma consultora para capacitación de técnicos (90 tec. Oficiales, 90 privados, 90 acreditación)</v>
      </c>
      <c r="D112" s="213" t="str">
        <f>'CC detallado'!A85</f>
        <v>2.5.2</v>
      </c>
      <c r="E112" s="246" t="str">
        <f>'CC detallado'!E85</f>
        <v>SBCC</v>
      </c>
      <c r="F112" s="222">
        <f>F105+1</f>
        <v>62</v>
      </c>
      <c r="G112" s="237">
        <f>'CC detallado'!M85</f>
        <v>335000</v>
      </c>
      <c r="H112" s="224">
        <v>1</v>
      </c>
      <c r="I112" s="225">
        <v>0</v>
      </c>
      <c r="J112" s="211" t="s">
        <v>631</v>
      </c>
      <c r="K112" s="212" t="s">
        <v>377</v>
      </c>
      <c r="L112" s="243" t="s">
        <v>656</v>
      </c>
      <c r="M112" s="235" t="s">
        <v>657</v>
      </c>
      <c r="N112" s="246"/>
      <c r="O112" s="245"/>
    </row>
    <row r="113" spans="1:201" s="100" customFormat="1" ht="39.6" outlineLevel="1" x14ac:dyDescent="0.3">
      <c r="A113" s="108"/>
      <c r="B113" s="246" t="s">
        <v>411</v>
      </c>
      <c r="C113" s="261" t="str">
        <f>'CC detallado'!G86</f>
        <v>Contratación firma consultora para capacitación de productores (800 suinos y 800 en ovinos-caprinos)</v>
      </c>
      <c r="D113" s="213" t="str">
        <f>'CC detallado'!A86</f>
        <v>2.5.3</v>
      </c>
      <c r="E113" s="246" t="str">
        <f>'CC detallado'!E86</f>
        <v>SBCC</v>
      </c>
      <c r="F113" s="222">
        <f>F112+1</f>
        <v>63</v>
      </c>
      <c r="G113" s="237">
        <f>'CC detallado'!M86</f>
        <v>335000</v>
      </c>
      <c r="H113" s="224">
        <v>1</v>
      </c>
      <c r="I113" s="225">
        <v>0</v>
      </c>
      <c r="J113" s="211" t="s">
        <v>631</v>
      </c>
      <c r="K113" s="212" t="s">
        <v>377</v>
      </c>
      <c r="L113" s="243" t="s">
        <v>649</v>
      </c>
      <c r="M113" s="235" t="s">
        <v>642</v>
      </c>
      <c r="N113" s="246"/>
      <c r="O113" s="245"/>
    </row>
    <row r="114" spans="1:201" x14ac:dyDescent="0.3">
      <c r="A114" s="116"/>
      <c r="B114" s="362" t="s">
        <v>382</v>
      </c>
      <c r="C114" s="362"/>
      <c r="D114" s="362"/>
      <c r="E114" s="362"/>
      <c r="F114" s="362"/>
      <c r="G114" s="244">
        <f>SUM(G112:G113)</f>
        <v>670000</v>
      </c>
      <c r="H114" s="240"/>
      <c r="I114" s="240"/>
      <c r="J114" s="240"/>
      <c r="K114" s="240"/>
      <c r="L114" s="240"/>
      <c r="M114" s="242"/>
      <c r="N114" s="365"/>
      <c r="O114" s="365"/>
    </row>
    <row r="115" spans="1:201" x14ac:dyDescent="0.3">
      <c r="B115" s="111"/>
      <c r="C115" s="112"/>
      <c r="D115" s="113"/>
      <c r="E115" s="111"/>
      <c r="F115" s="111"/>
      <c r="G115" s="114"/>
      <c r="H115" s="111"/>
      <c r="I115" s="111"/>
      <c r="J115" s="111"/>
      <c r="K115" s="111"/>
      <c r="L115" s="115"/>
      <c r="M115" s="115"/>
      <c r="N115" s="113"/>
      <c r="O115" s="113"/>
    </row>
    <row r="116" spans="1:201" s="100" customFormat="1" ht="13.2" customHeight="1" x14ac:dyDescent="0.3">
      <c r="A116" s="96"/>
      <c r="B116" s="356" t="s">
        <v>383</v>
      </c>
      <c r="C116" s="357"/>
      <c r="D116" s="357"/>
      <c r="E116" s="357"/>
      <c r="F116" s="357"/>
      <c r="G116" s="357"/>
      <c r="H116" s="357"/>
      <c r="I116" s="357"/>
      <c r="J116" s="357"/>
      <c r="K116" s="357"/>
      <c r="L116" s="357"/>
      <c r="M116" s="358"/>
      <c r="N116" s="253"/>
      <c r="O116" s="253"/>
    </row>
    <row r="117" spans="1:201" ht="39.6" customHeight="1" x14ac:dyDescent="0.3">
      <c r="A117" s="109"/>
      <c r="B117" s="347" t="s">
        <v>348</v>
      </c>
      <c r="C117" s="348" t="s">
        <v>384</v>
      </c>
      <c r="D117" s="348" t="s">
        <v>640</v>
      </c>
      <c r="E117" s="347" t="s">
        <v>352</v>
      </c>
      <c r="F117" s="347"/>
      <c r="G117" s="350" t="s">
        <v>353</v>
      </c>
      <c r="H117" s="350"/>
      <c r="I117" s="350"/>
      <c r="J117" s="347" t="s">
        <v>354</v>
      </c>
      <c r="K117" s="370" t="s">
        <v>385</v>
      </c>
      <c r="L117" s="347" t="s">
        <v>356</v>
      </c>
      <c r="M117" s="347"/>
      <c r="N117" s="366" t="s">
        <v>357</v>
      </c>
      <c r="O117" s="367"/>
    </row>
    <row r="118" spans="1:201" s="117" customFormat="1" ht="66" x14ac:dyDescent="0.3">
      <c r="A118" s="109"/>
      <c r="B118" s="347"/>
      <c r="C118" s="348"/>
      <c r="D118" s="348"/>
      <c r="E118" s="347"/>
      <c r="F118" s="347"/>
      <c r="G118" s="215" t="s">
        <v>358</v>
      </c>
      <c r="H118" s="236" t="s">
        <v>359</v>
      </c>
      <c r="I118" s="215" t="s">
        <v>360</v>
      </c>
      <c r="J118" s="347"/>
      <c r="K118" s="371"/>
      <c r="L118" s="215" t="s">
        <v>386</v>
      </c>
      <c r="M118" s="216" t="s">
        <v>387</v>
      </c>
      <c r="N118" s="368"/>
      <c r="O118" s="369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  <c r="BN118" s="100"/>
      <c r="BO118" s="100"/>
      <c r="BP118" s="100"/>
      <c r="BQ118" s="100"/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/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/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/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/>
      <c r="DR118" s="100"/>
      <c r="DS118" s="100"/>
      <c r="DT118" s="100"/>
      <c r="DU118" s="100"/>
      <c r="DV118" s="100"/>
      <c r="DW118" s="100"/>
      <c r="DX118" s="100"/>
      <c r="DY118" s="100"/>
      <c r="DZ118" s="100"/>
      <c r="EA118" s="100"/>
      <c r="EB118" s="100"/>
      <c r="EC118" s="100"/>
      <c r="ED118" s="100"/>
      <c r="EE118" s="100"/>
      <c r="EF118" s="100"/>
      <c r="EG118" s="100"/>
      <c r="EH118" s="100"/>
      <c r="EI118" s="100"/>
      <c r="EJ118" s="100"/>
      <c r="EK118" s="100"/>
      <c r="EL118" s="100"/>
      <c r="EM118" s="100"/>
      <c r="EN118" s="100"/>
      <c r="EO118" s="100"/>
      <c r="EP118" s="100"/>
      <c r="EQ118" s="100"/>
      <c r="ER118" s="100"/>
      <c r="ES118" s="100"/>
      <c r="ET118" s="100"/>
      <c r="EU118" s="100"/>
      <c r="EV118" s="100"/>
      <c r="EW118" s="100"/>
      <c r="EX118" s="100"/>
      <c r="EY118" s="100"/>
      <c r="EZ118" s="100"/>
      <c r="FA118" s="100"/>
      <c r="FB118" s="100"/>
      <c r="FC118" s="100"/>
      <c r="FD118" s="100"/>
      <c r="FE118" s="100"/>
      <c r="FF118" s="100"/>
      <c r="FG118" s="100"/>
      <c r="FH118" s="100"/>
      <c r="FI118" s="100"/>
      <c r="FJ118" s="100"/>
      <c r="FK118" s="100"/>
      <c r="FL118" s="100"/>
      <c r="FM118" s="100"/>
      <c r="FN118" s="100"/>
      <c r="FO118" s="100"/>
      <c r="FP118" s="100"/>
      <c r="FQ118" s="100"/>
      <c r="FR118" s="100"/>
      <c r="FS118" s="100"/>
      <c r="FT118" s="100"/>
      <c r="FU118" s="100"/>
      <c r="FV118" s="100"/>
      <c r="FW118" s="100"/>
      <c r="FX118" s="100"/>
      <c r="FY118" s="100"/>
      <c r="FZ118" s="100"/>
      <c r="GA118" s="100"/>
      <c r="GB118" s="100"/>
      <c r="GC118" s="100"/>
      <c r="GD118" s="100"/>
      <c r="GE118" s="100"/>
      <c r="GF118" s="100"/>
      <c r="GG118" s="100"/>
      <c r="GH118" s="100"/>
      <c r="GI118" s="100"/>
      <c r="GJ118" s="100"/>
      <c r="GK118" s="100"/>
      <c r="GL118" s="100"/>
      <c r="GM118" s="100"/>
      <c r="GN118" s="100"/>
      <c r="GO118" s="100"/>
      <c r="GP118" s="100"/>
      <c r="GQ118" s="100"/>
      <c r="GR118" s="100"/>
      <c r="GS118" s="100"/>
    </row>
    <row r="119" spans="1:201" s="105" customFormat="1" ht="26.4" outlineLevel="1" x14ac:dyDescent="0.3">
      <c r="B119" s="212" t="s">
        <v>411</v>
      </c>
      <c r="C119" s="219" t="str">
        <f>'CC detallado'!G80</f>
        <v>Planes Nacionales de desarrollo para ovinos, caprinos y suinos: convenio con IICA o similar</v>
      </c>
      <c r="D119" s="265" t="str">
        <f>'CC detallado'!A80</f>
        <v>2.4.2</v>
      </c>
      <c r="E119" s="238"/>
      <c r="F119" s="222">
        <f>F113+1</f>
        <v>64</v>
      </c>
      <c r="G119" s="221">
        <f>'CC detallado'!M80</f>
        <v>250000</v>
      </c>
      <c r="H119" s="224">
        <v>1</v>
      </c>
      <c r="I119" s="225">
        <v>0</v>
      </c>
      <c r="J119" s="211" t="s">
        <v>631</v>
      </c>
      <c r="K119" s="264" t="s">
        <v>658</v>
      </c>
      <c r="L119" s="243" t="s">
        <v>641</v>
      </c>
      <c r="M119" s="243" t="s">
        <v>653</v>
      </c>
      <c r="N119" s="427"/>
      <c r="O119" s="428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0"/>
      <c r="AX119" s="100"/>
      <c r="AY119" s="100"/>
      <c r="AZ119" s="100"/>
      <c r="BA119" s="100"/>
      <c r="BB119" s="100"/>
      <c r="BC119" s="100"/>
      <c r="BD119" s="100"/>
      <c r="BE119" s="100"/>
      <c r="BF119" s="100"/>
      <c r="BG119" s="100"/>
      <c r="BH119" s="100"/>
      <c r="BI119" s="100"/>
      <c r="BJ119" s="100"/>
      <c r="BK119" s="100"/>
      <c r="BL119" s="100"/>
      <c r="BM119" s="100"/>
      <c r="BN119" s="100"/>
      <c r="BO119" s="100"/>
      <c r="BP119" s="100"/>
      <c r="BQ119" s="100"/>
      <c r="BR119" s="100"/>
      <c r="BS119" s="100"/>
      <c r="BT119" s="100"/>
      <c r="BU119" s="100"/>
      <c r="BV119" s="100"/>
      <c r="BW119" s="100"/>
      <c r="BX119" s="100"/>
      <c r="BY119" s="100"/>
      <c r="BZ119" s="100"/>
      <c r="CA119" s="100"/>
      <c r="CB119" s="100"/>
      <c r="CC119" s="100"/>
      <c r="CD119" s="100"/>
      <c r="CE119" s="100"/>
      <c r="CF119" s="100"/>
      <c r="CG119" s="100"/>
      <c r="CH119" s="100"/>
      <c r="CI119" s="100"/>
      <c r="CJ119" s="100"/>
      <c r="CK119" s="100"/>
      <c r="CL119" s="100"/>
      <c r="CM119" s="100"/>
      <c r="CN119" s="100"/>
      <c r="CO119" s="100"/>
      <c r="CP119" s="100"/>
      <c r="CQ119" s="100"/>
      <c r="CR119" s="100"/>
      <c r="CS119" s="100"/>
      <c r="CT119" s="100"/>
      <c r="CU119" s="100"/>
      <c r="CV119" s="100"/>
      <c r="CW119" s="100"/>
      <c r="CX119" s="100"/>
      <c r="CY119" s="100"/>
      <c r="CZ119" s="100"/>
      <c r="DA119" s="100"/>
      <c r="DB119" s="100"/>
      <c r="DC119" s="100"/>
      <c r="DD119" s="100"/>
      <c r="DE119" s="100"/>
      <c r="DF119" s="100"/>
      <c r="DG119" s="100"/>
      <c r="DH119" s="100"/>
      <c r="DI119" s="100"/>
      <c r="DJ119" s="100"/>
      <c r="DK119" s="100"/>
      <c r="DL119" s="100"/>
      <c r="DM119" s="100"/>
      <c r="DN119" s="100"/>
      <c r="DO119" s="100"/>
      <c r="DP119" s="100"/>
      <c r="DQ119" s="100"/>
      <c r="DR119" s="100"/>
      <c r="DS119" s="100"/>
      <c r="DT119" s="100"/>
      <c r="DU119" s="100"/>
      <c r="DV119" s="100"/>
      <c r="DW119" s="100"/>
      <c r="DX119" s="100"/>
      <c r="DY119" s="100"/>
      <c r="DZ119" s="100"/>
      <c r="EA119" s="100"/>
      <c r="EB119" s="100"/>
      <c r="EC119" s="100"/>
      <c r="ED119" s="100"/>
      <c r="EE119" s="100"/>
      <c r="EF119" s="100"/>
      <c r="EG119" s="100"/>
      <c r="EH119" s="100"/>
      <c r="EI119" s="100"/>
      <c r="EJ119" s="100"/>
      <c r="EK119" s="100"/>
      <c r="EL119" s="100"/>
      <c r="EM119" s="100"/>
      <c r="EN119" s="100"/>
      <c r="EO119" s="100"/>
      <c r="EP119" s="100"/>
      <c r="EQ119" s="100"/>
      <c r="ER119" s="100"/>
      <c r="ES119" s="100"/>
      <c r="ET119" s="100"/>
      <c r="EU119" s="100"/>
      <c r="EV119" s="100"/>
      <c r="EW119" s="100"/>
      <c r="EX119" s="100"/>
      <c r="EY119" s="100"/>
      <c r="EZ119" s="100"/>
      <c r="FA119" s="100"/>
      <c r="FB119" s="100"/>
      <c r="FC119" s="100"/>
      <c r="FD119" s="100"/>
      <c r="FE119" s="100"/>
      <c r="FF119" s="100"/>
      <c r="FG119" s="100"/>
      <c r="FH119" s="100"/>
      <c r="FI119" s="100"/>
      <c r="FJ119" s="100"/>
      <c r="FK119" s="100"/>
      <c r="FL119" s="100"/>
      <c r="FM119" s="100"/>
      <c r="FN119" s="100"/>
      <c r="FO119" s="100"/>
      <c r="FP119" s="100"/>
      <c r="FQ119" s="100"/>
      <c r="FR119" s="100"/>
      <c r="FS119" s="100"/>
      <c r="FT119" s="100"/>
      <c r="FU119" s="100"/>
      <c r="FV119" s="100"/>
      <c r="FW119" s="100"/>
      <c r="FX119" s="100"/>
      <c r="FY119" s="100"/>
      <c r="FZ119" s="100"/>
      <c r="GA119" s="100"/>
      <c r="GB119" s="100"/>
      <c r="GC119" s="100"/>
      <c r="GD119" s="100"/>
      <c r="GE119" s="100"/>
      <c r="GF119" s="100"/>
      <c r="GG119" s="100"/>
      <c r="GH119" s="100"/>
      <c r="GI119" s="100"/>
      <c r="GJ119" s="100"/>
      <c r="GK119" s="100"/>
      <c r="GL119" s="100"/>
      <c r="GM119" s="100"/>
      <c r="GN119" s="100"/>
      <c r="GO119" s="100"/>
      <c r="GP119" s="100"/>
      <c r="GQ119" s="100"/>
      <c r="GR119" s="100"/>
      <c r="GS119" s="100"/>
    </row>
    <row r="120" spans="1:201" x14ac:dyDescent="0.3">
      <c r="B120" s="362" t="s">
        <v>388</v>
      </c>
      <c r="C120" s="362"/>
      <c r="D120" s="362"/>
      <c r="E120" s="362"/>
      <c r="F120" s="362"/>
      <c r="G120" s="239">
        <f>SUM(G119:G119)</f>
        <v>250000</v>
      </c>
      <c r="H120" s="240"/>
      <c r="I120" s="240"/>
      <c r="J120" s="240"/>
      <c r="K120" s="240"/>
      <c r="L120" s="242"/>
      <c r="M120" s="242"/>
      <c r="N120" s="266"/>
      <c r="O120" s="266"/>
    </row>
    <row r="122" spans="1:201" x14ac:dyDescent="0.3">
      <c r="L122" s="96"/>
      <c r="M122" s="96"/>
      <c r="N122" s="96"/>
      <c r="P122" s="96"/>
      <c r="Q122" s="96"/>
      <c r="R122" s="96"/>
      <c r="S122" s="96"/>
    </row>
    <row r="123" spans="1:201" ht="13.8" thickBot="1" x14ac:dyDescent="0.35">
      <c r="L123" s="96"/>
      <c r="M123" s="96"/>
      <c r="N123" s="96"/>
      <c r="P123" s="96"/>
      <c r="Q123" s="96"/>
      <c r="R123" s="96"/>
      <c r="S123" s="96"/>
    </row>
    <row r="124" spans="1:201" s="100" customFormat="1" ht="14.4" thickTop="1" thickBot="1" x14ac:dyDescent="0.35">
      <c r="A124" s="96"/>
      <c r="B124" s="364" t="s">
        <v>363</v>
      </c>
      <c r="C124" s="364"/>
      <c r="D124" s="364"/>
      <c r="E124" s="364"/>
      <c r="F124" s="364"/>
      <c r="G124" s="118">
        <f>H13</f>
        <v>3380000</v>
      </c>
      <c r="H124" s="119">
        <f>G124/$G$135</f>
        <v>0.22533333333333333</v>
      </c>
      <c r="I124" s="96"/>
      <c r="J124" s="96"/>
      <c r="K124" s="96"/>
      <c r="L124" s="96"/>
      <c r="M124" s="96"/>
      <c r="N124" s="96"/>
      <c r="O124" s="99"/>
      <c r="P124" s="96"/>
      <c r="Q124" s="96"/>
      <c r="R124" s="96"/>
      <c r="S124" s="96"/>
    </row>
    <row r="125" spans="1:201" s="100" customFormat="1" ht="14.4" thickTop="1" thickBot="1" x14ac:dyDescent="0.35">
      <c r="A125" s="96"/>
      <c r="B125" s="364" t="s">
        <v>366</v>
      </c>
      <c r="C125" s="364"/>
      <c r="D125" s="364"/>
      <c r="E125" s="364"/>
      <c r="F125" s="364"/>
      <c r="G125" s="118">
        <f>H33</f>
        <v>3862500</v>
      </c>
      <c r="H125" s="119">
        <f t="shared" ref="H125:H134" si="5">G125/$G$135</f>
        <v>0.25750000000000001</v>
      </c>
      <c r="I125" s="96"/>
      <c r="J125" s="96"/>
      <c r="K125" s="96"/>
      <c r="L125" s="96"/>
      <c r="M125" s="96"/>
      <c r="N125" s="96"/>
      <c r="O125" s="99"/>
      <c r="P125" s="96"/>
      <c r="Q125" s="96"/>
      <c r="R125" s="96"/>
      <c r="S125" s="96"/>
    </row>
    <row r="126" spans="1:201" s="100" customFormat="1" ht="14.4" thickTop="1" thickBot="1" x14ac:dyDescent="0.35">
      <c r="A126" s="96"/>
      <c r="B126" s="364" t="s">
        <v>369</v>
      </c>
      <c r="C126" s="364"/>
      <c r="D126" s="364"/>
      <c r="E126" s="364"/>
      <c r="F126" s="364"/>
      <c r="G126" s="118">
        <f>H52</f>
        <v>895500</v>
      </c>
      <c r="H126" s="119">
        <f t="shared" si="5"/>
        <v>5.9700000000000003E-2</v>
      </c>
      <c r="I126" s="96"/>
      <c r="J126" s="96"/>
      <c r="K126" s="96"/>
      <c r="L126" s="96"/>
      <c r="M126" s="96"/>
      <c r="N126" s="96"/>
      <c r="O126" s="99"/>
      <c r="P126" s="96"/>
      <c r="Q126" s="96"/>
      <c r="R126" s="96"/>
      <c r="S126" s="96"/>
    </row>
    <row r="127" spans="1:201" s="100" customFormat="1" ht="14.4" thickTop="1" thickBot="1" x14ac:dyDescent="0.35">
      <c r="A127" s="96"/>
      <c r="B127" s="372" t="s">
        <v>372</v>
      </c>
      <c r="C127" s="372"/>
      <c r="D127" s="372"/>
      <c r="E127" s="372"/>
      <c r="F127" s="372"/>
      <c r="G127" s="118">
        <f>G72</f>
        <v>4535500</v>
      </c>
      <c r="H127" s="119">
        <f t="shared" si="5"/>
        <v>0.30236666666666667</v>
      </c>
      <c r="I127" s="96"/>
      <c r="J127" s="96"/>
      <c r="K127" s="96"/>
      <c r="L127" s="96"/>
      <c r="M127" s="96"/>
      <c r="N127" s="96"/>
      <c r="O127" s="99"/>
      <c r="P127" s="96"/>
      <c r="Q127" s="96"/>
      <c r="R127" s="96"/>
      <c r="S127" s="96"/>
    </row>
    <row r="128" spans="1:201" ht="14.4" thickTop="1" thickBot="1" x14ac:dyDescent="0.35">
      <c r="B128" s="372" t="s">
        <v>378</v>
      </c>
      <c r="C128" s="372"/>
      <c r="D128" s="372"/>
      <c r="E128" s="372"/>
      <c r="F128" s="372"/>
      <c r="G128" s="118">
        <f>G107</f>
        <v>1256500</v>
      </c>
      <c r="H128" s="119">
        <f t="shared" si="5"/>
        <v>8.376666666666667E-2</v>
      </c>
      <c r="L128" s="96"/>
      <c r="M128" s="96"/>
      <c r="N128" s="96"/>
      <c r="P128" s="96"/>
      <c r="Q128" s="96"/>
      <c r="R128" s="96"/>
      <c r="S128" s="96"/>
    </row>
    <row r="129" spans="1:19" ht="14.4" thickTop="1" thickBot="1" x14ac:dyDescent="0.35">
      <c r="B129" s="372" t="s">
        <v>636</v>
      </c>
      <c r="C129" s="372"/>
      <c r="D129" s="372"/>
      <c r="E129" s="372"/>
      <c r="F129" s="372"/>
      <c r="G129" s="118">
        <f>G114</f>
        <v>670000</v>
      </c>
      <c r="H129" s="119">
        <f t="shared" si="5"/>
        <v>4.4666666666666667E-2</v>
      </c>
      <c r="L129" s="96"/>
      <c r="M129" s="96"/>
      <c r="N129" s="96"/>
      <c r="P129" s="96"/>
      <c r="Q129" s="96"/>
      <c r="R129" s="96"/>
      <c r="S129" s="96"/>
    </row>
    <row r="130" spans="1:19" ht="14.4" thickTop="1" thickBot="1" x14ac:dyDescent="0.35">
      <c r="B130" s="373" t="s">
        <v>389</v>
      </c>
      <c r="C130" s="373"/>
      <c r="D130" s="373"/>
      <c r="E130" s="373"/>
      <c r="F130" s="373"/>
      <c r="G130" s="120">
        <f>SUM(G124:G129)</f>
        <v>14600000</v>
      </c>
      <c r="H130" s="119"/>
      <c r="L130" s="96"/>
      <c r="M130" s="96"/>
      <c r="N130" s="96"/>
      <c r="P130" s="96"/>
      <c r="Q130" s="96"/>
      <c r="R130" s="96"/>
      <c r="S130" s="96"/>
    </row>
    <row r="131" spans="1:19" ht="14.4" thickTop="1" thickBot="1" x14ac:dyDescent="0.35">
      <c r="A131" s="116"/>
      <c r="B131" s="372" t="s">
        <v>390</v>
      </c>
      <c r="C131" s="372"/>
      <c r="D131" s="372"/>
      <c r="E131" s="372"/>
      <c r="F131" s="372"/>
      <c r="G131" s="118">
        <f>G120</f>
        <v>250000</v>
      </c>
      <c r="H131" s="119">
        <f t="shared" si="5"/>
        <v>1.6666666666666666E-2</v>
      </c>
      <c r="L131" s="96"/>
      <c r="M131" s="96"/>
      <c r="N131" s="96"/>
      <c r="P131" s="96"/>
      <c r="Q131" s="96"/>
      <c r="R131" s="96"/>
      <c r="S131" s="96"/>
    </row>
    <row r="132" spans="1:19" ht="14.4" thickTop="1" thickBot="1" x14ac:dyDescent="0.35">
      <c r="A132" s="116"/>
      <c r="B132" s="372" t="s">
        <v>391</v>
      </c>
      <c r="C132" s="372"/>
      <c r="D132" s="372"/>
      <c r="E132" s="372"/>
      <c r="F132" s="372" t="s">
        <v>392</v>
      </c>
      <c r="G132" s="118">
        <v>0</v>
      </c>
      <c r="H132" s="119">
        <f t="shared" si="5"/>
        <v>0</v>
      </c>
      <c r="L132" s="96"/>
      <c r="M132" s="96"/>
      <c r="N132" s="96"/>
      <c r="P132" s="96"/>
      <c r="Q132" s="96"/>
      <c r="R132" s="96"/>
      <c r="S132" s="96"/>
    </row>
    <row r="133" spans="1:19" ht="14.4" thickTop="1" thickBot="1" x14ac:dyDescent="0.35">
      <c r="A133" s="116"/>
      <c r="B133" s="372" t="s">
        <v>393</v>
      </c>
      <c r="C133" s="372"/>
      <c r="D133" s="372"/>
      <c r="E133" s="372"/>
      <c r="F133" s="372" t="s">
        <v>199</v>
      </c>
      <c r="G133" s="118">
        <v>0</v>
      </c>
      <c r="H133" s="119">
        <f t="shared" si="5"/>
        <v>0</v>
      </c>
      <c r="L133" s="96"/>
      <c r="M133" s="96"/>
      <c r="N133" s="96"/>
      <c r="P133" s="96"/>
      <c r="Q133" s="96"/>
      <c r="R133" s="96"/>
      <c r="S133" s="96"/>
    </row>
    <row r="134" spans="1:19" ht="14.4" thickTop="1" thickBot="1" x14ac:dyDescent="0.35">
      <c r="A134" s="116"/>
      <c r="B134" s="372" t="s">
        <v>394</v>
      </c>
      <c r="C134" s="372"/>
      <c r="D134" s="372"/>
      <c r="E134" s="372"/>
      <c r="F134" s="372" t="s">
        <v>39</v>
      </c>
      <c r="G134" s="118">
        <f>'CC detallado'!M111</f>
        <v>150000</v>
      </c>
      <c r="H134" s="119">
        <f t="shared" si="5"/>
        <v>0.01</v>
      </c>
      <c r="L134" s="96"/>
      <c r="M134" s="96"/>
      <c r="N134" s="96"/>
      <c r="P134" s="96"/>
      <c r="Q134" s="96"/>
      <c r="R134" s="96"/>
      <c r="S134" s="96"/>
    </row>
    <row r="135" spans="1:19" ht="14.4" thickTop="1" thickBot="1" x14ac:dyDescent="0.35">
      <c r="B135" s="373" t="s">
        <v>342</v>
      </c>
      <c r="C135" s="373"/>
      <c r="D135" s="373"/>
      <c r="E135" s="373"/>
      <c r="F135" s="373" t="s">
        <v>395</v>
      </c>
      <c r="G135" s="120">
        <f>SUM(G130:G134)</f>
        <v>15000000</v>
      </c>
      <c r="H135" s="119"/>
      <c r="L135" s="96"/>
      <c r="M135" s="96"/>
      <c r="N135" s="96"/>
      <c r="P135" s="96"/>
      <c r="Q135" s="96"/>
      <c r="R135" s="96"/>
      <c r="S135" s="96"/>
    </row>
    <row r="136" spans="1:19" s="100" customFormat="1" ht="13.8" thickTop="1" x14ac:dyDescent="0.3">
      <c r="A136" s="96"/>
      <c r="B136" s="96"/>
      <c r="C136" s="102"/>
      <c r="D136" s="99"/>
      <c r="E136" s="96"/>
      <c r="F136" s="96"/>
      <c r="G136" s="121">
        <f>15000000-G135</f>
        <v>0</v>
      </c>
      <c r="H136" s="96"/>
      <c r="I136" s="96"/>
      <c r="J136" s="96"/>
      <c r="K136" s="96"/>
      <c r="L136" s="98"/>
      <c r="M136" s="98"/>
      <c r="N136" s="99"/>
      <c r="O136" s="99"/>
    </row>
  </sheetData>
  <mergeCells count="168">
    <mergeCell ref="N68:O68"/>
    <mergeCell ref="N69:O69"/>
    <mergeCell ref="N70:O70"/>
    <mergeCell ref="N71:O71"/>
    <mergeCell ref="N66:O67"/>
    <mergeCell ref="N119:O119"/>
    <mergeCell ref="N57:O57"/>
    <mergeCell ref="N58:O58"/>
    <mergeCell ref="N59:O59"/>
    <mergeCell ref="N60:O60"/>
    <mergeCell ref="N65:O65"/>
    <mergeCell ref="N61:O61"/>
    <mergeCell ref="N62:O62"/>
    <mergeCell ref="N63:O63"/>
    <mergeCell ref="N64:O64"/>
    <mergeCell ref="N110:O111"/>
    <mergeCell ref="B109:O109"/>
    <mergeCell ref="B110:B111"/>
    <mergeCell ref="C110:C111"/>
    <mergeCell ref="D110:D111"/>
    <mergeCell ref="E110:E111"/>
    <mergeCell ref="F110:F111"/>
    <mergeCell ref="G110:I110"/>
    <mergeCell ref="L117:M117"/>
    <mergeCell ref="H38:H48"/>
    <mergeCell ref="I38:I48"/>
    <mergeCell ref="J38:J48"/>
    <mergeCell ref="K38:K48"/>
    <mergeCell ref="L38:L48"/>
    <mergeCell ref="O10:O12"/>
    <mergeCell ref="B1:O1"/>
    <mergeCell ref="B2:O2"/>
    <mergeCell ref="C29:C30"/>
    <mergeCell ref="B29:B30"/>
    <mergeCell ref="E29:E30"/>
    <mergeCell ref="G29:G30"/>
    <mergeCell ref="F29:F30"/>
    <mergeCell ref="H29:H30"/>
    <mergeCell ref="I29:I30"/>
    <mergeCell ref="J29:J30"/>
    <mergeCell ref="K29:K30"/>
    <mergeCell ref="L29:L30"/>
    <mergeCell ref="M29:M30"/>
    <mergeCell ref="N29:N30"/>
    <mergeCell ref="L16:L17"/>
    <mergeCell ref="M16:N16"/>
    <mergeCell ref="L8:L9"/>
    <mergeCell ref="M8:N8"/>
    <mergeCell ref="B35:N35"/>
    <mergeCell ref="B16:B17"/>
    <mergeCell ref="C16:C17"/>
    <mergeCell ref="D16:D17"/>
    <mergeCell ref="E16:E17"/>
    <mergeCell ref="F16:F17"/>
    <mergeCell ref="O38:O48"/>
    <mergeCell ref="L66:L67"/>
    <mergeCell ref="M66:M67"/>
    <mergeCell ref="C66:C67"/>
    <mergeCell ref="B66:B67"/>
    <mergeCell ref="E66:E67"/>
    <mergeCell ref="F66:F67"/>
    <mergeCell ref="G66:G67"/>
    <mergeCell ref="H66:H67"/>
    <mergeCell ref="I66:I67"/>
    <mergeCell ref="J66:J67"/>
    <mergeCell ref="K66:K67"/>
    <mergeCell ref="M38:M48"/>
    <mergeCell ref="N38:N48"/>
    <mergeCell ref="B38:B48"/>
    <mergeCell ref="C38:C48"/>
    <mergeCell ref="E38:E48"/>
    <mergeCell ref="F38:F48"/>
    <mergeCell ref="O8:O9"/>
    <mergeCell ref="B6:N6"/>
    <mergeCell ref="B7:N7"/>
    <mergeCell ref="O16:O17"/>
    <mergeCell ref="B15:N15"/>
    <mergeCell ref="C10:C12"/>
    <mergeCell ref="B10:B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B132:F132"/>
    <mergeCell ref="B133:F133"/>
    <mergeCell ref="B134:F134"/>
    <mergeCell ref="B135:F135"/>
    <mergeCell ref="B125:F125"/>
    <mergeCell ref="B126:F126"/>
    <mergeCell ref="B127:F127"/>
    <mergeCell ref="B128:F128"/>
    <mergeCell ref="B130:F130"/>
    <mergeCell ref="B131:F131"/>
    <mergeCell ref="B129:F129"/>
    <mergeCell ref="B120:F120"/>
    <mergeCell ref="B124:F124"/>
    <mergeCell ref="B114:F114"/>
    <mergeCell ref="N114:O114"/>
    <mergeCell ref="B117:B118"/>
    <mergeCell ref="C117:C118"/>
    <mergeCell ref="D117:D118"/>
    <mergeCell ref="E117:F118"/>
    <mergeCell ref="G117:I117"/>
    <mergeCell ref="J117:J118"/>
    <mergeCell ref="N117:O118"/>
    <mergeCell ref="K117:K118"/>
    <mergeCell ref="B116:M116"/>
    <mergeCell ref="J110:J111"/>
    <mergeCell ref="K110:K111"/>
    <mergeCell ref="L110:M110"/>
    <mergeCell ref="J75:J76"/>
    <mergeCell ref="K75:K76"/>
    <mergeCell ref="L75:L76"/>
    <mergeCell ref="M75:N75"/>
    <mergeCell ref="B107:F107"/>
    <mergeCell ref="B72:F72"/>
    <mergeCell ref="N72:O72"/>
    <mergeCell ref="B75:B76"/>
    <mergeCell ref="C75:C76"/>
    <mergeCell ref="D75:D76"/>
    <mergeCell ref="E75:E76"/>
    <mergeCell ref="F75:F76"/>
    <mergeCell ref="G75:I75"/>
    <mergeCell ref="O75:O76"/>
    <mergeCell ref="B74:N74"/>
    <mergeCell ref="G55:I55"/>
    <mergeCell ref="J55:J56"/>
    <mergeCell ref="K55:K56"/>
    <mergeCell ref="L55:M55"/>
    <mergeCell ref="L36:L37"/>
    <mergeCell ref="M36:N36"/>
    <mergeCell ref="B52:G52"/>
    <mergeCell ref="B55:B56"/>
    <mergeCell ref="C55:C56"/>
    <mergeCell ref="D55:D56"/>
    <mergeCell ref="E55:E56"/>
    <mergeCell ref="F55:F56"/>
    <mergeCell ref="N55:O56"/>
    <mergeCell ref="B36:B37"/>
    <mergeCell ref="C36:C37"/>
    <mergeCell ref="D36:D37"/>
    <mergeCell ref="E36:E37"/>
    <mergeCell ref="F36:F37"/>
    <mergeCell ref="G36:G37"/>
    <mergeCell ref="H36:J36"/>
    <mergeCell ref="K36:K37"/>
    <mergeCell ref="O36:O37"/>
    <mergeCell ref="B54:M54"/>
    <mergeCell ref="G38:G48"/>
    <mergeCell ref="B33:G33"/>
    <mergeCell ref="B8:B9"/>
    <mergeCell ref="C8:C9"/>
    <mergeCell ref="D8:D9"/>
    <mergeCell ref="E8:E9"/>
    <mergeCell ref="F8:F9"/>
    <mergeCell ref="G8:G9"/>
    <mergeCell ref="H8:J8"/>
    <mergeCell ref="K8:K9"/>
    <mergeCell ref="G16:G17"/>
    <mergeCell ref="H16:J16"/>
    <mergeCell ref="K16:K17"/>
    <mergeCell ref="B13:G13"/>
  </mergeCells>
  <pageMargins left="0.7" right="0.7" top="0.75" bottom="0.75" header="0.3" footer="0.3"/>
  <pageSetup scale="43" orientation="landscape" r:id="rId1"/>
  <rowBreaks count="3" manualBreakCount="3">
    <brk id="53" max="16383" man="1"/>
    <brk id="91" max="16383" man="1"/>
    <brk id="115" max="16383" man="1"/>
  </rowBreaks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R0001992124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CSD/RND</Division_x0020_or_x0020_Unit>
    <IDBDocs_x0020_Number xmlns="cdc7663a-08f0-4737-9e8c-148ce897a09c" xsi:nil="true"/>
    <Document_x0020_Author xmlns="cdc7663a-08f0-4737-9e8c-148ce897a09c">Valle Porrua, Yolanda</Document_x0020_Author>
    <_dlc_DocId xmlns="cdc7663a-08f0-4737-9e8c-148ce897a09c">EZSHARE-1395480667-22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TaxCatchAll xmlns="cdc7663a-08f0-4737-9e8c-148ce897a09c">
      <Value>24</Value>
      <Value>61</Value>
      <Value>106</Value>
      <Value>29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PR-L1148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HEALTH AND FOOD SAFETY</TermName>
          <TermId xmlns="http://schemas.microsoft.com/office/infopath/2007/PartnerControls">bf6f8218-fe34-4f32-9b40-89f741b31fc6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https://idbg.sharepoint.com/teams/EZ-PR-LON/PR-L1148/_layouts/15/DocIdRedir.aspx?ID=EZSHARE-1395480667-22</Url>
      <Description>EZSHARE-1395480667-22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C4B79AB3DF17745A66D3E24A5AC1542" ma:contentTypeVersion="154" ma:contentTypeDescription="A content type to manage public (operations) IDB documents" ma:contentTypeScope="" ma:versionID="cbbf30b90e946b9d87296e75d33260f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d09fad95fc4f2a7f112fd94df2805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L114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5D9CF-96EE-4838-B8EB-265096A05607}"/>
</file>

<file path=customXml/itemProps2.xml><?xml version="1.0" encoding="utf-8"?>
<ds:datastoreItem xmlns:ds="http://schemas.openxmlformats.org/officeDocument/2006/customXml" ds:itemID="{436BFBE6-5E89-4E3F-8ECA-8EF58F03BC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26ED473-C82E-4AC9-A3C2-1F914E122F94}">
  <ds:schemaRefs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9CCD751-3FFF-46F8-A128-A4B97E1F881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EBFA059-EBE4-4258-A276-53E43022BA14}"/>
</file>

<file path=customXml/itemProps6.xml><?xml version="1.0" encoding="utf-8"?>
<ds:datastoreItem xmlns:ds="http://schemas.openxmlformats.org/officeDocument/2006/customXml" ds:itemID="{0A8A7219-F3D6-4277-B681-0F70DA92F7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INDICE</vt:lpstr>
      <vt:lpstr>EDT</vt:lpstr>
      <vt:lpstr>MDR</vt:lpstr>
      <vt:lpstr>CC Gral</vt:lpstr>
      <vt:lpstr>CC detallado</vt:lpstr>
      <vt:lpstr>PEP</vt:lpstr>
      <vt:lpstr>POA año 1</vt:lpstr>
      <vt:lpstr>Cronograma</vt:lpstr>
      <vt:lpstr>PA</vt:lpstr>
      <vt:lpstr>PAI</vt:lpstr>
      <vt:lpstr>Hoja1</vt:lpstr>
      <vt:lpstr>Rem Adic</vt:lpstr>
      <vt:lpstr>PA!Print_Area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Amaciel</dc:creator>
  <cp:keywords/>
  <cp:lastModifiedBy>Valle Porrua, Yolanda</cp:lastModifiedBy>
  <cp:lastPrinted>2017-01-25T12:25:34Z</cp:lastPrinted>
  <dcterms:created xsi:type="dcterms:W3CDTF">2017-01-18T12:14:49Z</dcterms:created>
  <dcterms:modified xsi:type="dcterms:W3CDTF">2018-04-24T22:54:49Z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106;#AGRICULTURAL HEALTH AND FOOD SAFETY|bf6f8218-fe34-4f32-9b40-89f741b31fc6</vt:lpwstr>
  </property>
  <property fmtid="{D5CDD505-2E9C-101B-9397-08002B2CF9AE}" pid="7" name="Country">
    <vt:lpwstr>24;#Paraguay|50282442-27e7-4526-9d04-55bf5da33a10</vt:lpwstr>
  </property>
  <property fmtid="{D5CDD505-2E9C-101B-9397-08002B2CF9AE}" pid="8" name="Fund IDB">
    <vt:lpwstr>29;#ORC|c028a4b2-ad8b-4cf4-9cac-a2ae6a778e23</vt:lpwstr>
  </property>
  <property fmtid="{D5CDD505-2E9C-101B-9397-08002B2CF9AE}" pid="9" name="_dlc_DocIdItemGuid">
    <vt:lpwstr>f99b47d3-e9a9-4b92-af5c-734e35956bda</vt:lpwstr>
  </property>
  <property fmtid="{D5CDD505-2E9C-101B-9397-08002B2CF9AE}" pid="10" name="Sector IDB">
    <vt:lpwstr>61;#AGRICULTURE AND RURAL DEVELOPMENT|d219a801-c2c3-4618-9f55-1bc987044feb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0x0101001A458A224826124E8B45B1D613300CFC008C4B79AB3DF17745A66D3E24A5AC1542</vt:lpwstr>
  </property>
</Properties>
</file>