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do\OneDrive - Inter-American Development Bank Group\HUD\Jason\BR-L1344 - Cascavel\Plano de Aquisições\"/>
    </mc:Choice>
  </mc:AlternateContent>
  <xr:revisionPtr revIDLastSave="1" documentId="11_A53D6F5C41932FCD4312D3DDBD61349F0C2524E3" xr6:coauthVersionLast="40" xr6:coauthVersionMax="40" xr10:uidLastSave="{A09FD04E-DB75-4903-85CC-DA231AF5EDA6}"/>
  <bookViews>
    <workbookView xWindow="10130" yWindow="140" windowWidth="10320" windowHeight="8000" tabRatio="852" xr2:uid="{00000000-000D-0000-FFFF-FFFF00000000}"/>
  </bookViews>
  <sheets>
    <sheet name="PA FEV_19 " sheetId="32" r:id="rId1"/>
    <sheet name="Fol Com PA FEV_19 " sheetId="3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a" localSheetId="1">#REF!</definedName>
    <definedName name="aa" localSheetId="0">#REF!</definedName>
    <definedName name="aa">#REF!</definedName>
    <definedName name="AÇO" localSheetId="1">'[1]Conc 20'!#REF!</definedName>
    <definedName name="AÇO" localSheetId="0">'[1]Conc 20'!#REF!</definedName>
    <definedName name="AÇO">'[1]Conc 20'!#REF!</definedName>
    <definedName name="Área_impressão_IM" localSheetId="1">#REF!</definedName>
    <definedName name="Área_impressão_IM" localSheetId="0">#REF!</definedName>
    <definedName name="Área_impressão_IM">#REF!</definedName>
    <definedName name="BDI" localSheetId="1">#REF!</definedName>
    <definedName name="BDI" localSheetId="0">#REF!</definedName>
    <definedName name="BDI">#REF!</definedName>
    <definedName name="capacitacao">'[2]Detalhes Plano de Aquisições'!$E$120:$E$128</definedName>
    <definedName name="_xlnm.Database" localSheetId="1">#REF!</definedName>
    <definedName name="_xlnm.Database" localSheetId="0">#REF!</definedName>
    <definedName name="_xlnm.Database">#REF!</definedName>
    <definedName name="DDADOS_VOL5_0" localSheetId="1">#REF!</definedName>
    <definedName name="DDADOS_VOL5_0" localSheetId="0">#REF!</definedName>
    <definedName name="DDADOS_VOL5_0">#REF!</definedName>
    <definedName name="DES" localSheetId="1">#REF!</definedName>
    <definedName name="DES" localSheetId="0">#REF!</definedName>
    <definedName name="DES">#REF!</definedName>
    <definedName name="Detalhes_do_Demonstrativo_MDE" localSheetId="1">'[3]Anexo X - ENSINO'!#REF!</definedName>
    <definedName name="Detalhes_do_Demonstrativo_MDE" localSheetId="0">'[3]Anexo X - ENSINO'!#REF!</definedName>
    <definedName name="Detalhes_do_Demonstrativo_MDE">'[3]Anexo X - ENSINO'!#REF!</definedName>
    <definedName name="Ganhos_e_perdas_de_receita" localSheetId="1">#REF!</definedName>
    <definedName name="Ganhos_e_perdas_de_receita" localSheetId="0">#REF!</definedName>
    <definedName name="Ganhos_e_perdas_de_receita">#REF!</definedName>
    <definedName name="Ganhos_e_Perdas_de_Receita_99" localSheetId="1">#REF!</definedName>
    <definedName name="Ganhos_e_Perdas_de_Receita_99" localSheetId="0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'[4]Orçamento Global'!$D$38</definedName>
    <definedName name="MOE" localSheetId="1">#REF!</definedName>
    <definedName name="MOE" localSheetId="0">#REF!</definedName>
    <definedName name="MOE">#REF!</definedName>
    <definedName name="MOH" localSheetId="1">#REF!</definedName>
    <definedName name="MOH" localSheetId="0">#REF!</definedName>
    <definedName name="MOH">#REF!</definedName>
    <definedName name="Planilha_1ÁreaTotal" localSheetId="1">#REF!,#REF!</definedName>
    <definedName name="Planilha_1ÁreaTotal" localSheetId="0">#REF!,#REF!</definedName>
    <definedName name="Planilha_1ÁreaTotal">#REF!,#REF!</definedName>
    <definedName name="Planilha_1CabGráfico" localSheetId="1">#REF!</definedName>
    <definedName name="Planilha_1CabGráfico" localSheetId="0">#REF!</definedName>
    <definedName name="Planilha_1CabGráfico">#REF!</definedName>
    <definedName name="Planilha_1TítCols" localSheetId="1">#REF!,#REF!</definedName>
    <definedName name="Planilha_1TítCols" localSheetId="0">#REF!,#REF!</definedName>
    <definedName name="Planilha_1TítCols">#REF!,#REF!</definedName>
    <definedName name="Planilha_1TítLins" localSheetId="1">#REF!</definedName>
    <definedName name="Planilha_1TítLins" localSheetId="0">#REF!</definedName>
    <definedName name="Planilha_1TítLins">#REF!</definedName>
    <definedName name="Planilha_2ÁreaTotal" localSheetId="1">#REF!,#REF!</definedName>
    <definedName name="Planilha_2ÁreaTotal" localSheetId="0">#REF!,#REF!</definedName>
    <definedName name="Planilha_2ÁreaTotal">#REF!,#REF!</definedName>
    <definedName name="Planilha_2CabGráfico" localSheetId="1">#REF!</definedName>
    <definedName name="Planilha_2CabGráfico" localSheetId="0">#REF!</definedName>
    <definedName name="Planilha_2CabGráfico">#REF!</definedName>
    <definedName name="Planilha_2TítCols" localSheetId="1">#REF!,#REF!</definedName>
    <definedName name="Planilha_2TítCols" localSheetId="0">#REF!,#REF!</definedName>
    <definedName name="Planilha_2TítCols">#REF!,#REF!</definedName>
    <definedName name="Planilha_2TítLins" localSheetId="1">#REF!</definedName>
    <definedName name="Planilha_2TítLins" localSheetId="0">#REF!</definedName>
    <definedName name="Planilha_2TítLins">#REF!</definedName>
    <definedName name="Planilha_3ÁreaTotal" localSheetId="1">#REF!,#REF!</definedName>
    <definedName name="Planilha_3ÁreaTotal" localSheetId="0">#REF!,#REF!</definedName>
    <definedName name="Planilha_3ÁreaTotal">#REF!,#REF!</definedName>
    <definedName name="Planilha_3CabGráfico" localSheetId="1">#REF!</definedName>
    <definedName name="Planilha_3CabGráfico" localSheetId="0">#REF!</definedName>
    <definedName name="Planilha_3CabGráfico">#REF!</definedName>
    <definedName name="Planilha_3TítCols" localSheetId="1">#REF!,#REF!</definedName>
    <definedName name="Planilha_3TítCols" localSheetId="0">#REF!,#REF!</definedName>
    <definedName name="Planilha_3TítCols">#REF!,#REF!</definedName>
    <definedName name="Planilha_3TítLins" localSheetId="1">#REF!</definedName>
    <definedName name="Planilha_3TítLins" localSheetId="0">#REF!</definedName>
    <definedName name="Planilha_3TítLins">#REF!</definedName>
    <definedName name="Planilha_4ÁreaTotal" localSheetId="1">#REF!,#REF!</definedName>
    <definedName name="Planilha_4ÁreaTotal" localSheetId="0">#REF!,#REF!</definedName>
    <definedName name="Planilha_4ÁreaTotal">#REF!,#REF!</definedName>
    <definedName name="Planilha_4TítCols" localSheetId="1">#REF!,#REF!</definedName>
    <definedName name="Planilha_4TítCols" localSheetId="0">#REF!,#REF!</definedName>
    <definedName name="Planilha_4TítCols">#REF!,#REF!</definedName>
    <definedName name="_xlnm.Print_Area" localSheetId="1">'Fol Com PA FEV_19 '!$A$1:$B$56</definedName>
    <definedName name="_xlnm.Print_Area" localSheetId="0">'PA FEV_19 '!$A$1:$Q$217</definedName>
    <definedName name="Tabela_1___Déficit_da_Previdência_Social__RGPS" localSheetId="1">#REF!</definedName>
    <definedName name="Tabela_1___Déficit_da_Previdência_Social__RGPS" localSheetId="0">#REF!</definedName>
    <definedName name="Tabela_1___Déficit_da_Previdência_Social__RGPS">#REF!</definedName>
    <definedName name="Tabela_10___Resultado_Primário_do_Governo_Central_em_1999" localSheetId="1">#REF!</definedName>
    <definedName name="Tabela_10___Resultado_Primário_do_Governo_Central_em_1999" localSheetId="0">#REF!</definedName>
    <definedName name="Tabela_10___Resultado_Primário_do_Governo_Central_em_1999">#REF!</definedName>
    <definedName name="Tabela_2___Contribuições_Previdenciárias" localSheetId="1">#REF!</definedName>
    <definedName name="Tabela_2___Contribuições_Previdenciárias" localSheetId="0">#REF!</definedName>
    <definedName name="Tabela_2___Contribuições_Previdenciárias">#REF!</definedName>
    <definedName name="Tabela_3___Benefícios__previsto_x_realizado" localSheetId="1">#REF!</definedName>
    <definedName name="Tabela_3___Benefícios__previsto_x_realizado" localSheetId="0">#REF!</definedName>
    <definedName name="Tabela_3___Benefícios__previsto_x_realizado">#REF!</definedName>
    <definedName name="Tabela_4___Receitas_Administradas_pela_SRF__previsto_x_realizado" localSheetId="1">#REF!</definedName>
    <definedName name="Tabela_4___Receitas_Administradas_pela_SRF__previsto_x_realizado" localSheetId="0">#REF!</definedName>
    <definedName name="Tabela_4___Receitas_Administradas_pela_SRF__previsto_x_realizado">#REF!</definedName>
    <definedName name="Tabela_5___Receitas_Administradas_em_Agosto" localSheetId="1">#REF!</definedName>
    <definedName name="Tabela_5___Receitas_Administradas_em_Agosto" localSheetId="0">#REF!</definedName>
    <definedName name="Tabela_5___Receitas_Administradas_em_Agosto">#REF!</definedName>
    <definedName name="Tabela_6___Receitas_Diretamente_Arrecadadas" localSheetId="1">#REF!</definedName>
    <definedName name="Tabela_6___Receitas_Diretamente_Arrecadadas" localSheetId="0">#REF!</definedName>
    <definedName name="Tabela_6___Receitas_Diretamente_Arrecadadas">#REF!</definedName>
    <definedName name="Tabela_7___Déficit_da_Previdência_Social_em_1999" localSheetId="1">#REF!</definedName>
    <definedName name="Tabela_7___Déficit_da_Previdência_Social_em_1999" localSheetId="0">#REF!</definedName>
    <definedName name="Tabela_7___Déficit_da_Previdência_Social_em_1999">#REF!</definedName>
    <definedName name="Tabela_8___Receitas_Administradas__revisão_da_previsão" localSheetId="1">#REF!</definedName>
    <definedName name="Tabela_8___Receitas_Administradas__revisão_da_previsão" localSheetId="0">#REF!</definedName>
    <definedName name="Tabela_8___Receitas_Administradas__revisão_da_previsão">#REF!</definedName>
    <definedName name="Tabela_9___Resultado_Primário_de_1999" localSheetId="1">#REF!</definedName>
    <definedName name="Tabela_9___Resultado_Primário_de_1999" localSheetId="0">#REF!</definedName>
    <definedName name="Tabela_9___Resultado_Primário_de_1999">#REF!</definedName>
    <definedName name="total" localSheetId="1">'[5]Orçamento sem preço'!#REF!</definedName>
    <definedName name="total" localSheetId="0">'[5]Orçamento sem preço'!#REF!</definedName>
    <definedName name="total">'[5]Orçamento sem preço'!#REF!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32" l="1"/>
  <c r="H54" i="32"/>
  <c r="H52" i="32"/>
  <c r="H51" i="32"/>
  <c r="H50" i="32"/>
  <c r="H41" i="32"/>
  <c r="H63" i="32"/>
  <c r="H62" i="32"/>
  <c r="H33" i="32"/>
  <c r="H61" i="32"/>
  <c r="H60" i="32"/>
  <c r="H180" i="32"/>
  <c r="H42" i="32"/>
  <c r="H179" i="32"/>
  <c r="H59" i="32"/>
  <c r="A8" i="31"/>
  <c r="A9" i="31"/>
  <c r="H178" i="32"/>
  <c r="H177" i="32"/>
  <c r="H176" i="32"/>
  <c r="H175" i="32"/>
  <c r="H174" i="32"/>
  <c r="H173" i="32"/>
  <c r="H171" i="32"/>
  <c r="H170" i="32"/>
  <c r="H169" i="32"/>
  <c r="H163" i="32"/>
  <c r="H162" i="32"/>
  <c r="H161" i="32"/>
  <c r="H160" i="32"/>
  <c r="H159" i="32"/>
  <c r="H158" i="32"/>
  <c r="H156" i="32"/>
  <c r="H155" i="32"/>
  <c r="H154" i="32"/>
  <c r="H152" i="32"/>
  <c r="H151" i="32"/>
  <c r="H150" i="32"/>
  <c r="H149" i="32"/>
  <c r="H148" i="32"/>
  <c r="H164" i="32" s="1"/>
  <c r="G142" i="32"/>
  <c r="G141" i="32"/>
  <c r="G140" i="32"/>
  <c r="G139" i="32"/>
  <c r="G138" i="32"/>
  <c r="G137" i="32"/>
  <c r="G136" i="32"/>
  <c r="H130" i="32"/>
  <c r="H129" i="32"/>
  <c r="H128" i="32"/>
  <c r="H127" i="32"/>
  <c r="H126" i="32"/>
  <c r="H125" i="32"/>
  <c r="H124" i="32"/>
  <c r="H123" i="32"/>
  <c r="H117" i="32"/>
  <c r="H116" i="32"/>
  <c r="H115" i="32"/>
  <c r="H114" i="32"/>
  <c r="H112" i="32"/>
  <c r="H118" i="32" s="1"/>
  <c r="H111" i="32"/>
  <c r="H110" i="32"/>
  <c r="H104" i="32"/>
  <c r="H103" i="32"/>
  <c r="H102" i="32"/>
  <c r="H101" i="32"/>
  <c r="H100" i="32"/>
  <c r="H99" i="32"/>
  <c r="H98" i="32"/>
  <c r="H97" i="32"/>
  <c r="H96" i="32"/>
  <c r="H95" i="32"/>
  <c r="H94" i="32"/>
  <c r="H93" i="32"/>
  <c r="H92" i="32"/>
  <c r="H91" i="32"/>
  <c r="H90" i="32"/>
  <c r="H89" i="32"/>
  <c r="H88" i="32"/>
  <c r="H87" i="32"/>
  <c r="H86" i="32"/>
  <c r="H85" i="32"/>
  <c r="H84" i="32"/>
  <c r="H83" i="32"/>
  <c r="H82" i="32"/>
  <c r="H81" i="32"/>
  <c r="H80" i="32"/>
  <c r="H79" i="32"/>
  <c r="H78" i="32"/>
  <c r="H77" i="32"/>
  <c r="H76" i="32"/>
  <c r="H75" i="32"/>
  <c r="H74" i="32"/>
  <c r="H73" i="32"/>
  <c r="H72" i="32"/>
  <c r="H71" i="32"/>
  <c r="H105" i="32" s="1"/>
  <c r="H58" i="32"/>
  <c r="H57" i="32"/>
  <c r="H56" i="32"/>
  <c r="H55" i="32"/>
  <c r="H53" i="32"/>
  <c r="H49" i="32"/>
  <c r="H48" i="32"/>
  <c r="H47" i="32"/>
  <c r="H46" i="32"/>
  <c r="H45" i="32"/>
  <c r="H44" i="32"/>
  <c r="H43" i="32"/>
  <c r="H40" i="32"/>
  <c r="H39" i="32"/>
  <c r="H35" i="32"/>
  <c r="J34" i="32"/>
  <c r="I34" i="32"/>
  <c r="H34" i="32"/>
  <c r="H32" i="32"/>
  <c r="H31" i="32"/>
  <c r="H30" i="32"/>
  <c r="H29" i="32"/>
  <c r="H28" i="32"/>
  <c r="H27" i="32"/>
  <c r="H26" i="32"/>
  <c r="H24" i="32"/>
  <c r="H23" i="32"/>
  <c r="H21" i="32"/>
  <c r="H20" i="32"/>
  <c r="H19" i="32"/>
  <c r="H18" i="32"/>
  <c r="J17" i="32"/>
  <c r="H17" i="32"/>
  <c r="H65" i="32" l="1"/>
  <c r="H131" i="32"/>
  <c r="G143" i="32"/>
  <c r="H181" i="32"/>
</calcChain>
</file>

<file path=xl/sharedStrings.xml><?xml version="1.0" encoding="utf-8"?>
<sst xmlns="http://schemas.openxmlformats.org/spreadsheetml/2006/main" count="1141" uniqueCount="420">
  <si>
    <t>Datas Estimadas</t>
  </si>
  <si>
    <t>Comentários</t>
  </si>
  <si>
    <t>1. Obras</t>
  </si>
  <si>
    <t>Objeto</t>
  </si>
  <si>
    <t>Aquisição de equipamento - sistema de tomografia florestal</t>
  </si>
  <si>
    <t>UCP</t>
  </si>
  <si>
    <t>Aquisição de equipamentos para atualização da telefônia digital</t>
  </si>
  <si>
    <t>Aquisição de equipamentos semaforicos</t>
  </si>
  <si>
    <t>SQC</t>
  </si>
  <si>
    <t>Pregão Eletrônico</t>
  </si>
  <si>
    <t>Tomada de Preços</t>
  </si>
  <si>
    <t>Dispensa por Justificativa</t>
  </si>
  <si>
    <t>Aquisição de equipamentos para o Centro de Convivência do Floresta</t>
  </si>
  <si>
    <t>Aquisição de equipamentos para o Centro de Convivência do Santa Felicidade</t>
  </si>
  <si>
    <t xml:space="preserve">Aquisição de equipamentos para o Centro de Convivência do Cascavel Velho </t>
  </si>
  <si>
    <t>BRASIL</t>
  </si>
  <si>
    <t xml:space="preserve">PLANO DE AQUISIÇÕES (PA) - 18 MESES </t>
  </si>
  <si>
    <t>Status</t>
  </si>
  <si>
    <t>100</t>
  </si>
  <si>
    <t>0</t>
  </si>
  <si>
    <t>2.2.1</t>
  </si>
  <si>
    <r>
      <t>CONTRATO DE EMPRÉSTIMO Nº 2999/</t>
    </r>
    <r>
      <rPr>
        <b/>
        <sz val="11"/>
        <color indexed="8"/>
        <rFont val="Calibri"/>
        <family val="2"/>
      </rPr>
      <t xml:space="preserve"> OC-BR</t>
    </r>
  </si>
  <si>
    <t>1.1.1.1</t>
  </si>
  <si>
    <t>1.1.2</t>
  </si>
  <si>
    <t>1.1.3</t>
  </si>
  <si>
    <t>1.1.5</t>
  </si>
  <si>
    <t>1.4</t>
  </si>
  <si>
    <t>1.1.1.2</t>
  </si>
  <si>
    <t>1.1.4</t>
  </si>
  <si>
    <t>2.3.2</t>
  </si>
  <si>
    <t>2.1.2</t>
  </si>
  <si>
    <t>2.4.2</t>
  </si>
  <si>
    <t>2.2.2</t>
  </si>
  <si>
    <t>Contratação de empresa para ministrar curso de  Patologias das Construções e gerenciamento de resíduos na construção civil</t>
  </si>
  <si>
    <t>PROGRAMA DE DESENVOLVIMENTO INTEGRADO DE CASCAVEL, PR</t>
  </si>
  <si>
    <t>Contrato de Empréstimo: 2999/OC-BR</t>
  </si>
  <si>
    <t>Atualizado por: Unidade de Coordenação do Programa - UCP</t>
  </si>
  <si>
    <t>*: Campos Obrigatórios</t>
  </si>
  <si>
    <t>OBRAS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</si>
  <si>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</si>
  <si>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</si>
  <si>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</si>
  <si>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</si>
  <si>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</si>
  <si>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</si>
  <si>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</si>
  <si>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</si>
  <si>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</si>
  <si>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</si>
  <si>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</si>
  <si>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</si>
  <si>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US$  mil</t>
  </si>
  <si>
    <t>Montante Estimado % BID</t>
  </si>
  <si>
    <t>Montante Estimado % Contrapartida</t>
  </si>
  <si>
    <t>Publicação do Anúncio/Convite</t>
  </si>
  <si>
    <t>Assinatura do Contrato</t>
  </si>
  <si>
    <t>Execução de obras na Av. Brasil, calçadão, ciclovia</t>
  </si>
  <si>
    <t>Licitação Pública Nacional (LPN)</t>
  </si>
  <si>
    <t>[indicar]</t>
  </si>
  <si>
    <t>Ex-Ante</t>
  </si>
  <si>
    <t>set-14</t>
  </si>
  <si>
    <t>Contrato em Execução</t>
  </si>
  <si>
    <t>Execução de obras na Av. Tancredo Neves</t>
  </si>
  <si>
    <t>Sistema Nacional (SN)</t>
  </si>
  <si>
    <t>Sistema Nacional</t>
  </si>
  <si>
    <t>Concorrência Pública Nacional</t>
  </si>
  <si>
    <t>Previsto</t>
  </si>
  <si>
    <t>Ex-Post</t>
  </si>
  <si>
    <t>Licitação Pública Internacional (LPI)</t>
  </si>
  <si>
    <t>1.2.1 /1.2.2</t>
  </si>
  <si>
    <t>Execução do viaduto na BR 277.</t>
  </si>
  <si>
    <t>Execução de calçadas nos prédios públicos</t>
  </si>
  <si>
    <t>Implantação do Centro de Convivência do Cascavel Velho (fase 2)</t>
  </si>
  <si>
    <t>Execução da readequação da rede de distribuição de energia elétrica, substituição da rede aérea para subterrânea, no Calçadão da Av.Brasil, entre as Ruas Sete de Setembro e Barão do Cerro Azul e na travessa Pe Champagnat</t>
  </si>
  <si>
    <t>Total</t>
  </si>
  <si>
    <t>BENS</t>
  </si>
  <si>
    <t>Unidade Executora</t>
  </si>
  <si>
    <t xml:space="preserve">Montante Estimado </t>
  </si>
  <si>
    <t>Método de Revisão (Selecionar uma das opções)</t>
  </si>
  <si>
    <t>Comentários - para Sistema Nacional incluir Método de Seleção</t>
  </si>
  <si>
    <t>Montante Estimado em US$ mil</t>
  </si>
  <si>
    <t>Contratação Direta (CD)</t>
  </si>
  <si>
    <t>Aquisição de equipamentos para o Centro de Convivência do Morumbi</t>
  </si>
  <si>
    <t>SERVIÇOS QUE NÃO SÃO DE CONSULTORIA</t>
  </si>
  <si>
    <t>Implantação de rede de fibra óptica, manutenção e expansão da rede.</t>
  </si>
  <si>
    <t>Serviço de cartografia digital para diagnóstico das áreas verdes do município</t>
  </si>
  <si>
    <t>out-15</t>
  </si>
  <si>
    <t>Implantação de aplicativos para ampliação do Geoportal</t>
  </si>
  <si>
    <t>Serviços e Aquisição de ortofoto para o perímetro urbano do Município de Cascavel e sede dos Distritos.</t>
  </si>
  <si>
    <t>mai-15</t>
  </si>
  <si>
    <t>CONSULTORIAS FIRMAS</t>
  </si>
  <si>
    <t>Publicação  Manifestação de Interesse</t>
  </si>
  <si>
    <t xml:space="preserve"> Apoio ao Gerenciamento do Programa e Supervisão das obras e monitoramento do programa.</t>
  </si>
  <si>
    <t>Seleção Baseada na Qualidade e Custo (SBQC)</t>
  </si>
  <si>
    <t>Processo em Curso</t>
  </si>
  <si>
    <t>Projeto executivo para implantação de rede de fibra óptica</t>
  </si>
  <si>
    <t>Seleção Baseada nas Qualificações do Consultor (SQC)</t>
  </si>
  <si>
    <t>CONSULTORIAS INDIVIDUAIS</t>
  </si>
  <si>
    <t>Quantidade Estimada de Consultores</t>
  </si>
  <si>
    <t>Não Objeção aos  TDR da Atividade</t>
  </si>
  <si>
    <t>Assinatura Contrato</t>
  </si>
  <si>
    <t>Curso na área de paisagismo.</t>
  </si>
  <si>
    <t xml:space="preserve">Comparação de Qualificações (3 CV) </t>
  </si>
  <si>
    <t>CAPACITAÇÃO</t>
  </si>
  <si>
    <t xml:space="preserve"> Publicação  Manifestação de Interesse ou do Anúncio</t>
  </si>
  <si>
    <t>Comparação de Preços (CP)</t>
  </si>
  <si>
    <t>Curso na área de legislação</t>
  </si>
  <si>
    <t>Curso na área de avaliação de árvores urbanas, manejo e estabilidade</t>
  </si>
  <si>
    <t>Curso na área de capacitação de monitores/guias para os parques ambientais.</t>
  </si>
  <si>
    <t>Curso gestão e regulação dos serviços de transporte e em processos de integração temporal.</t>
  </si>
  <si>
    <t>Curso 1) MOC 10175 – MICROSOFT SHAREPOINT 2010,  2) MOC 6419, 6421 e 6425 WINDOWS SERVER, 3) MCTS: MICROSOFT EXCHANGE SERVER 2010, CONFIGURING.</t>
  </si>
  <si>
    <t>Curso em capacitação em rede de Fibra Óptica</t>
  </si>
  <si>
    <t>Curso de Power Civil Bentley</t>
  </si>
  <si>
    <t>abr-15</t>
  </si>
  <si>
    <t>SUBPROJETOS</t>
  </si>
  <si>
    <t>Objeto da Transferência</t>
  </si>
  <si>
    <t>Quantidade Estimada de Subprojetos</t>
  </si>
  <si>
    <t>Assinatura do Contrato/ Convênio por Adjudicação dos Subprojetos</t>
  </si>
  <si>
    <t>Data de 
Transferência</t>
  </si>
  <si>
    <t>Método  de Revisão</t>
  </si>
  <si>
    <t>Nova Licitação</t>
  </si>
  <si>
    <t>Processo Cancelado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</si>
  <si>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</si>
  <si>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</si>
  <si>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</si>
  <si>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</si>
  <si>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</si>
  <si>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Seleção Baseada na Qualidade (SBQ)</t>
  </si>
  <si>
    <t>Seleção Baseada no Menor Custo (SBMC) </t>
  </si>
  <si>
    <t>Seleção Baseada em Orçamento Fixo (SBOF)</t>
  </si>
  <si>
    <t>Bens, Obras e Serviços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</si>
  <si>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</si>
  <si>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</si>
  <si>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</si>
  <si>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</si>
  <si>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</si>
  <si>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</si>
  <si>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>FOLHA DE COMENTÁRIOS</t>
  </si>
  <si>
    <t>ATIVIDADE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</si>
  <si>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</si>
  <si>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</si>
  <si>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</si>
  <si>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</si>
  <si>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</si>
  <si>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</si>
  <si>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</si>
  <si>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Taxa Câmbio - R$</t>
  </si>
  <si>
    <t>_</t>
  </si>
  <si>
    <t>BR-B2772</t>
  </si>
  <si>
    <t>LPN 02/2014</t>
  </si>
  <si>
    <t>LPN 01/2014</t>
  </si>
  <si>
    <t>BR-B2533</t>
  </si>
  <si>
    <t>SBQC 01/2014</t>
  </si>
  <si>
    <t>TP 54/2014</t>
  </si>
  <si>
    <t>Dispensa 70/2012</t>
  </si>
  <si>
    <t>CP 01/2015</t>
  </si>
  <si>
    <t xml:space="preserve">Capacitação da equipe de gerenciamento dos Centros de Convivência do Programa </t>
  </si>
  <si>
    <t>Curso sobre excel, MS PROJECT 2010 e Gerenciamento de projetos.</t>
  </si>
  <si>
    <t xml:space="preserve">Curso de orçamento de projetos </t>
  </si>
  <si>
    <t xml:space="preserve"> PLANO DE AQUISIÇÕES (PA) - 18 MESES</t>
  </si>
  <si>
    <t>PROGRAMA DE DESENVOLVIMENTO INTEGRADO DE CASCAVEL - PR</t>
  </si>
  <si>
    <t>Terminal Leste (desapropriação)</t>
  </si>
  <si>
    <t>1.1.7</t>
  </si>
  <si>
    <t>Terminal Sudoeste (desapropriação)</t>
  </si>
  <si>
    <t>1.1.9</t>
  </si>
  <si>
    <t>Rua Jequitiba - desapropriação</t>
  </si>
  <si>
    <t>1.2.7</t>
  </si>
  <si>
    <t>Rua Jose de Sá Cavalcante - desapropriação</t>
  </si>
  <si>
    <t>1.2.8</t>
  </si>
  <si>
    <t>Rua Visconde Guarapuava - desapropriação</t>
  </si>
  <si>
    <t>1.2.9</t>
  </si>
  <si>
    <t>DECRETO MUNICIPAL Nº 10.820/2012 E PROCESSO Nº 45208/2014 DE 21/08/2012, DESTINADO AO PROLONGAMENTO DA RUA VISCONTE DE GUARAPUAVA Empenhos nº. 8697 (R$400.000,00),nº 8698 (R$235.000,00), nº. 8699 (340.000,00) e nº. (R$470.000,00). 
CBR 1732/15 - Of. 140 (22/05/2015 - Cotação R$ 3,0653 = US$471.405,7351)</t>
  </si>
  <si>
    <t>45208/2014</t>
  </si>
  <si>
    <t>Rua Ipanema - desapropriação</t>
  </si>
  <si>
    <t>1.2.11</t>
  </si>
  <si>
    <t>Rua kenedy/Recife - Desapropriação</t>
  </si>
  <si>
    <t>1.2.12</t>
  </si>
  <si>
    <t>Viaduto BR 277 - desapropriação</t>
  </si>
  <si>
    <t>1.4.2</t>
  </si>
  <si>
    <t>Parque Morumbi - Desapropriação</t>
  </si>
  <si>
    <t>2.2.4</t>
  </si>
  <si>
    <t>Engº Civil para apoio à Fiscalização das obras</t>
  </si>
  <si>
    <t>Engº Civil para apoio na elaboração de orçamento das obras</t>
  </si>
  <si>
    <t>Engº Civil para apoio ao Planejamento</t>
  </si>
  <si>
    <t>Serviço de Levantamento Aerofotogrametrico, perfilamento a laser, Restituição das Edificações, Geocodificação, Cruzamentos dos dados Edificações com Banco de dados CTM e Imageamento Georreferenciado das Fachadas</t>
  </si>
  <si>
    <t>Elaboração da Rede Geodésica Municipal de Cascavel</t>
  </si>
  <si>
    <t>Apoio ao Gerenciamento e Supervisão das atividades do PDI/BID.</t>
  </si>
  <si>
    <t>Desapropriação para Viaduto 277
* Inexigibilidade 69-2015
NE 10162/15 - R$499.612,00
NE 10163/15 - R$565.530,00
NE 10164/15 - R$196.948,00
NE 10166/15 - R$10.990,00
* Inexigibilidade 71-2015
NE 10376/15 - R$145.376,03</t>
  </si>
  <si>
    <t>CBR 4007/2015 de 13/11/2015</t>
  </si>
  <si>
    <t>BR11113
CBR 4045/15 (17/11/15)</t>
  </si>
  <si>
    <t>CBR-2892/15 (25/08/2015;
CBR 3625/2015 (19/10/2015)
Contrato nº 213/2015 de 06/11/2015 - CI nº01/2015
NE 12616/2015</t>
  </si>
  <si>
    <t>BR11112
CBR 4038/15 (17/11/15)</t>
  </si>
  <si>
    <t>CBR-2561/15 (29/07/15);
CBR 3283/2015 (24/09/2015);
CBR-4001/15 (13/11/15)
Contrato nº 250/2015 de 04/12/2015 - CP nº01/2015.
NE 13833/15.
PRISM BR</t>
  </si>
  <si>
    <t>BR</t>
  </si>
  <si>
    <t>1º Termo Aditivo Ct 32/2015 - LPN 02/14</t>
  </si>
  <si>
    <t>-</t>
  </si>
  <si>
    <t>Execução de obras - Terminal Leste</t>
  </si>
  <si>
    <t>Execução de obras - Terminal Oeste</t>
  </si>
  <si>
    <t>Execução de obras - Terminal Nordeste</t>
  </si>
  <si>
    <t>Execução de obras - Terminal Sudoeste</t>
  </si>
  <si>
    <t>Execução de obras - 4 Terminais</t>
  </si>
  <si>
    <t>Execução de calçadas nos prédios públicos - Fase 1</t>
  </si>
  <si>
    <t>Execução de calçadas nos prédios públicos - Fase 2</t>
  </si>
  <si>
    <t>Serviço de imagem de satélite de toda área do município corrigida e ortorretificada.</t>
  </si>
  <si>
    <t>UPGRADE GPS GTR² para  RTK com capacitação</t>
  </si>
  <si>
    <t>Execução de abertura de via - Rua Jequitibá e Rua José de Sá Cavalcante.</t>
  </si>
  <si>
    <t>Aquisição de software Bentley Power Civil (Bentley Map) com ferramentas select e treinamento para utilização</t>
  </si>
  <si>
    <t>2º Termo Aditivo Ct 32/2015 - LPN 02/14</t>
  </si>
  <si>
    <t>3º Termo Aditivo Ct 32/2015 - LPN 02/14</t>
  </si>
  <si>
    <t>4º Termo Aditivo Ct 32/2015 - LPN 02/14</t>
  </si>
  <si>
    <t xml:space="preserve">1º Aditivo
1ª Readequação da Planilha de Orçamento </t>
  </si>
  <si>
    <t xml:space="preserve">3º Aditivo
2ª Readequação da Planilha de Orçamento </t>
  </si>
  <si>
    <t xml:space="preserve">2º Aditivo
Reajuste 7,46% </t>
  </si>
  <si>
    <t>4º Aditivo
Reajuste 7,46% ref. ao 3º T.Ad.</t>
  </si>
  <si>
    <t>LPN 01/2015</t>
  </si>
  <si>
    <t>BR-B3232</t>
  </si>
  <si>
    <t>Concorrência Pública Nacional  nº 01/2016</t>
  </si>
  <si>
    <t>19/2015</t>
  </si>
  <si>
    <t>Concorrência Pública Nacional
nº 19/2015</t>
  </si>
  <si>
    <t>Serviço de cartografia digital Faz parte do pedido de substituição para o DMLAC - SEMA</t>
  </si>
  <si>
    <t>SDP 01/15</t>
  </si>
  <si>
    <t>Curso na área de legislação - ver se de fato será trocado para fiscalização</t>
  </si>
  <si>
    <t>Curso na área de avaliação de árvores urbanas, manejo e estabilidade foi incluido na substituição para o DMLAC</t>
  </si>
  <si>
    <t xml:space="preserve">Ofício 430/15 de 09/11/2015
CBR 4007/2015 de 13/11/2015 </t>
  </si>
  <si>
    <t>Protocolo nº 56539/10/2012
Termo de Concordância</t>
  </si>
  <si>
    <t>Protocolo  nº 16491/04/2013 Termo de Concordância</t>
  </si>
  <si>
    <t>Terminal Leste
Desapropriação Quadra nº 68 no Loteamento São Cristovão
Propriedade do Sr. Selvino Bigolin
• Lote nº 07 Avaliado em R$ 230.000,00
• Lote nº 08 Avaliado em R$ 190.000,00
• Lote nº 09 Avaliado em R$ 280.000,00
• Lote nº 07 Avaliado em R$ 180.000,00
Totalizando R$ 880.000,00, permutados pelo Lote nº 08, Quadra nº 403 no valor de R$ 800.000,00. Saldo remanescente de 80.000,00 a pagar por processo de inexigibilidade nº 51/2015. Empenho 8093/2015;
Desapropriação Quadra nº 68 no Loteamento São Cristovão
Propriedade do Sr. Carlos Antonio Studzinski
• Lote nº 11 Avaliado em R$ 190.000,00
• Lote nº 12 Avaliado em R$ 310.000,00
• Lote nº 13 Avaliado em R$ 200.000,00
• Lote nº 14 Avaliado em R$ 300.000,00
Totalizando R$ 1.000.000,00, permutados pelo Lote Único da Quadra 03 do Loteamento Jardim as Nações.
 DECRETO MUNICIPAL Nº 11.253 de 18/04/2013
 DECRETO MUNICIPAL 11.788 de 29/04/2014
 PROCESSO Nº 16491/04/2013
Destinados a implantação do Terminal de Transbordo Leste.</t>
  </si>
  <si>
    <t>Protocolo nº 42434/08/2012 Termo de Concordância 2015.</t>
  </si>
  <si>
    <t>Execução do Departamento Municipal de Licenciamento Ambiental - DMLAC e/ou Instituto de Licenciamento Ambiental</t>
  </si>
  <si>
    <t>Aquisição de equipamentos - DMLAC e/ou Instituto de Licenciamento Ambiental</t>
  </si>
  <si>
    <t>1º Termo Aditivo Ct 35/2016 - LPN 01/15</t>
  </si>
  <si>
    <t>Projeto para Implantação do Parque Ambiental e Centro de Convivência no Bairro Floresta.</t>
  </si>
  <si>
    <t>Projeto para Implantação do Parque Ambiental e Centro de Convivência no Bairro Santa Felicidade.</t>
  </si>
  <si>
    <t>Projeto para Implantação do Parque Ambiental no Bairro Santa Cruz.</t>
  </si>
  <si>
    <t>2.4.2 e 2.3.3</t>
  </si>
  <si>
    <t>2.6.2 e 2.4.3</t>
  </si>
  <si>
    <t>2.5.2</t>
  </si>
  <si>
    <t>2.6.1 e 2.4.1</t>
  </si>
  <si>
    <t>2.5.1</t>
  </si>
  <si>
    <t>2.4.1 e 2.3.1</t>
  </si>
  <si>
    <t>CI 01-16</t>
  </si>
  <si>
    <t>CBR-2892/15 (25/08/2015;
CBR 3625/2015 (19/10/2015);
CBR-4045/15 (17/11/15)
Contrato nº 221/2015 de 12/11/2015 - CI nº03/2015.
NE 12772/15 e 1º Aditivo NE4896/16</t>
  </si>
  <si>
    <t>Inexigbilidade 67/2016</t>
  </si>
  <si>
    <t>Inex 67/16</t>
  </si>
  <si>
    <t>CP 01/2016</t>
  </si>
  <si>
    <t>CP 02/2016</t>
  </si>
  <si>
    <t>CP 04/2016</t>
  </si>
  <si>
    <t>CP 03/2016</t>
  </si>
  <si>
    <t>LPN 02/2016</t>
  </si>
  <si>
    <t>LPN 01/2016</t>
  </si>
  <si>
    <t>BR-B3463</t>
  </si>
  <si>
    <t>BR-B3472</t>
  </si>
  <si>
    <t>Implantação do Parque Linear no Bairro Santa Cruz.</t>
  </si>
  <si>
    <t>Implantação do Parque Linear e Centro de Convivência Intergeracional no Bairro Morumbi.</t>
  </si>
  <si>
    <t xml:space="preserve">Implantação do Parque Linear e Centro de Convivência Intergeracional  no Bairro Floresta. </t>
  </si>
  <si>
    <t xml:space="preserve">Implantação do Parque Linear e Centro de Convivência Intergeracional  no Bairro Santa Felicidade. </t>
  </si>
  <si>
    <t>5º TA Rerratificação da Planilha Orçamentária (14/10/2016) - (3ª Readequação da Planilha de Orçamento)</t>
  </si>
  <si>
    <t>6º TA Reequilírio Econômico-Financeiro Material Pétreo do Ct 32/2015 - LPN 02/14</t>
  </si>
  <si>
    <t>BR-B3525</t>
  </si>
  <si>
    <t xml:space="preserve">7º Apostilamento
Reajuste 5,87% </t>
  </si>
  <si>
    <t>7º  TA -Termo Apostilamento Ct 32/2015 - LPN 02/14</t>
  </si>
  <si>
    <t>BR-B3588</t>
  </si>
  <si>
    <t>BR-B3589</t>
  </si>
  <si>
    <t xml:space="preserve">Desapropriação para Viaduto 277
* Inexigibilidade 
NE 2696/17 - R$43.606,00,00
DESAPROPRIAÇÃO DE IMÓVEl - NELI TERESINHA ZONIN, CPF 431.680.609-25, REFERENTE DESAPROPRIAÇÃO AMIGÁVEL DO LOTE  Nº 01 DA QUADRA Nº 24 DO LOTEAMENTO JARDIM NOVA ITÁLIA, COM AREA DE 436,06 M² CONFORME MATRÍCULA 38.333 DO 3º REGISTRO DE IMÓVEIS DA COMARCA DE CASCAVEL-PR,CONFORME DECRETO Nº13.223 DE 21 DEZEMBRO DE 2016,PROCESSO ADMINISTRATIVO Nº 43878/2016 DE 31/08/2016, </t>
  </si>
  <si>
    <t>PROCESSO ADMINISTRATIVO Nº 43878/2016 DE 31/08/2016</t>
  </si>
  <si>
    <t>2º Termo Aditivo Ct 35/2016 - LPN 01/15 - prazo 03 meses</t>
  </si>
  <si>
    <t>3º Termo Aditivo Ct 35/2016 - LPN 01/15 - prazo 02 meses</t>
  </si>
  <si>
    <t>CD 01/2016</t>
  </si>
  <si>
    <t>SQC 02/2016</t>
  </si>
  <si>
    <t>SQC 01/2016</t>
  </si>
  <si>
    <t>CI 01/15</t>
  </si>
  <si>
    <t>CI 03/15</t>
  </si>
  <si>
    <t>8º TA - Termo Aditivo de Prazo 04 (quatro) meses de  execução a partir de 06 de abril de 2017 e de vigência a partir de 06 de junho de 2017 (04/04/2017)</t>
  </si>
  <si>
    <t>8º Aditivo - prazo</t>
  </si>
  <si>
    <t>4º Aditivo de 18/05/17 - Aumento de 02 meses a partir de 21/05/2017 (execução) e de 17/07/2017  (vigência).</t>
  </si>
  <si>
    <t>MASCOR IMÓVEIS, INSCRITA NO CNPJ-MF SOB N°
04.093.718/0001-20 REFERENTE DESAPROPRIAÇÃO AMIGAVEL DE PARTE DO LOTE N° 01 ,QUADRA 02,
LOTEAMENTO JARDIM VENEZA, COM AREA DE 536,85 M2</t>
  </si>
  <si>
    <t>PROCESSO ADMINISTRATIVO Nº 42434/08/2012</t>
  </si>
  <si>
    <t xml:space="preserve">Parque e CCI Morumbi
Desapropriações: 
• Chácara nº 65
 Propriedade do Sr. Álvaro Rossi (espólio)  NE 10609/15
Autos sob nº 0027946-38.2012.8.16.0021
•  Chácara nº 161
Propriedade de K2 Agropastoril LTDA Me - Inexigibilidade 84/15 - NE 12760/2015            </t>
  </si>
  <si>
    <t xml:space="preserve">5º Aditivo Meta Física de 19/07/2017 </t>
  </si>
  <si>
    <t>Abertura de via - Rua Ipanema</t>
  </si>
  <si>
    <t>1.20</t>
  </si>
  <si>
    <t>1.2.6</t>
  </si>
  <si>
    <t>1.2.4/1.2.5</t>
  </si>
  <si>
    <t>9º TA - Termo Aditivo de ReRa - Redimensionmanto de Planilha (02/08/2017) do Ct 32/2015 - CBR 2728/17 de 09/08/2017</t>
  </si>
  <si>
    <t>9º Aditivo - prazo</t>
  </si>
  <si>
    <t>10º TA - Termo Aditivo (03/10/2017- Prorrogação prazo de vigência por 01 (um) mês a partir de 06/10/2017 e Supressão (5ª Readequação da Planilha de Orçamento)  do Ct 32/2015 - CBR xxx/17 de xx/0x/2017</t>
  </si>
  <si>
    <t>10º Aditivo - prazo e supressão</t>
  </si>
  <si>
    <t>LPN 01/2016
Ct 177/2016
e
1º Aditivo- 18/04/2017 - Prazo de 90 dias execução a contar de 19/04/17 e vigência a contar de 18/06/17.
2º Aditivo - (03/08/2017) - Redimensionamento de R$178.198,10 e Prorrogação prazo de execução por 30 dias a partir de 03/08/17 e o de vigência por 30 dias a partir de 16/09/17 do Ct 177/2016
3º Aditivo - (13/10/2017) - Prorrogação prazo de vigência por 30 dias a partir de 16/10/17 e supressão de R$734,15 do Ct 177/2016.</t>
  </si>
  <si>
    <t>CI nº 1080/2017 - SESOP (17/10/2017) - Anulação Saldo de Empenhos, referente ao 9º e 10º (aditivos de supressões) e saldo de empenhos de reajustes aplicados ao contrato.</t>
  </si>
  <si>
    <t>CI nº 1080/2017 - SESOP (17/10/2017) - Anulação Saldo de Empenhos,</t>
  </si>
  <si>
    <t>EX-post</t>
  </si>
  <si>
    <t>LPN 05/2017</t>
  </si>
  <si>
    <t>LPN 02/2017</t>
  </si>
  <si>
    <t>LPN 01/2017</t>
  </si>
  <si>
    <t>LPN 04/2016</t>
  </si>
  <si>
    <t>LPN 04/2017</t>
  </si>
  <si>
    <t>LPN 03/2017</t>
  </si>
  <si>
    <t>Avaliação do Programa - Linha Base</t>
  </si>
  <si>
    <t>Avaliação do Programa - Final</t>
  </si>
  <si>
    <t>LPI 01/16
Dataprom - Equipamentos de Informática Industrial Ltda - CNPJ 80.590.045/0001-00 
Contrato nº102/2016 de 11/08/2016 (12 meses conclusão e 14 meses vigência) - CBR-4492/2016 de 10/11/16 - PRISM BR-B3472
1º Termo Aditivo (01/02/2017) - Apostilamento - Alteração Dotação Orçamentária do Ct 40/2016.
2º Termo Aditivo (07/08/2017) - Prorrogação prazo de 12 meses de execução iniciando em  11/08/17 a 10/08/18 e 14 meses de vigência iniciando em 11/10/17 a 10/12/18, do Ct 40/2016
3º Termo Aditivo (13/12/2017) - Redimensonamento - ReRatificação Planilha R$1.979.795,76</t>
  </si>
  <si>
    <t>LPN 01/2018</t>
  </si>
  <si>
    <t>LPN
01/2018</t>
  </si>
  <si>
    <t>Revitalização Avenida Itelo Weber</t>
  </si>
  <si>
    <t>Execução de sinalização horizontal para faixas exclusivas de ônibus</t>
  </si>
  <si>
    <t>EXECUÇÃO DE OBRAS REMANESCENTES DA AVENIDA BRASIL - TRECHO ENTRE AS RUAS LINS E CAPANEMA</t>
  </si>
  <si>
    <t>Concorrência Pública Nacional nº11/2018</t>
  </si>
  <si>
    <t>Concorrência Pública Nacional  nº 11/2018</t>
  </si>
  <si>
    <t>Concorrência Pública Nacional  nº 24/2018</t>
  </si>
  <si>
    <t>Execução do Parque Linear do Córrego Bezerra no Bairro Santa Cruz.</t>
  </si>
  <si>
    <t>LPN
02/2018</t>
  </si>
  <si>
    <t>LPN
04/2018</t>
  </si>
  <si>
    <t>LPN 03/2018</t>
  </si>
  <si>
    <t>LPN 06/2018</t>
  </si>
  <si>
    <t>Aquisição de equipamentos para o Centro de Convivência do Morumbi (Aquisição e instalação de aparelhos novos de ar condicionado)</t>
  </si>
  <si>
    <t>Req. 2585/18</t>
  </si>
  <si>
    <t>2.10</t>
  </si>
  <si>
    <t>2.11</t>
  </si>
  <si>
    <t>2.12</t>
  </si>
  <si>
    <t>2.13</t>
  </si>
  <si>
    <t>2.14</t>
  </si>
  <si>
    <t>2.15</t>
  </si>
  <si>
    <t>Req. 2312/18</t>
  </si>
  <si>
    <t>Registro de Preços</t>
  </si>
  <si>
    <t>2.16</t>
  </si>
  <si>
    <t>Pregão Eletrônico nº 258/18</t>
  </si>
  <si>
    <t>Pregão Eletrônico nº 193/18</t>
  </si>
  <si>
    <t>Compras Unificadas</t>
  </si>
  <si>
    <t>Registro de Preços
(Depto Inform.)</t>
  </si>
  <si>
    <t>Aquisição de equipamentos para o Centro de Convivência do Morumbi (Execução de serviços, fornecimento de cortinas e persianas (instaladas) )</t>
  </si>
  <si>
    <t>Pregão Eletrônico nº 21/18</t>
  </si>
  <si>
    <t>Pregão Eletrônico
(Atas 258 e 259 /2018 -Vence em 25/04/2019)</t>
  </si>
  <si>
    <t>Pregão Eletrônico
(Ata 616/2018 -Vence em 17/09/2019)</t>
  </si>
  <si>
    <t>Pregão Eletrônico nº 247/18</t>
  </si>
  <si>
    <t>Pregão Eletrônico
(Atas: 707, 708,709, 710, 711, 712, 713, 714, 715, 716 e 718/2018 -Vencem em10/10/2019)</t>
  </si>
  <si>
    <t>Registro de Preços - Compras Unificadas</t>
  </si>
  <si>
    <t>Pregão Eletrônico nº 395/18</t>
  </si>
  <si>
    <t>Pregão Eletrônico
(Ata 87/2018 -Vence em 17/01/2019)</t>
  </si>
  <si>
    <t>2.17</t>
  </si>
  <si>
    <t>2.18</t>
  </si>
  <si>
    <t>2.19</t>
  </si>
  <si>
    <t>2.20</t>
  </si>
  <si>
    <t>2.21</t>
  </si>
  <si>
    <t>2.22</t>
  </si>
  <si>
    <t>Aquisição de equipamentos para o Centro de Convivência do Morumbi  (Equipamentos de informática e eletrônicos)</t>
  </si>
  <si>
    <t>Aquisição de equipamentos para o Centro de Convivência do Morumbi (Computadores e notebooks)</t>
  </si>
  <si>
    <t xml:space="preserve">Aquisição de equipamentos para o Centro de Convivência do Morumbi (Veículos novos (0km) ) </t>
  </si>
  <si>
    <t xml:space="preserve">Aquisição de equipamentos para o Centro de Convivência do Morumbi (Equipamentos e mobiliários em geral ) </t>
  </si>
  <si>
    <t xml:space="preserve">Aquisição de equipamentos para o Centro de Convivência do Morumbi (Materiais de limpeza e higiene, copa e cozinha) </t>
  </si>
  <si>
    <t xml:space="preserve">Aquisição de equipamentos para o Centro de Convivência do Morumbi (Equipamentos para os programas da rede socioassistencial do Município de Cascavel) </t>
  </si>
  <si>
    <t>Pregão Eletrônico nº 421/18</t>
  </si>
  <si>
    <t>Pregão Eletrônico
(Atas: 134, 136, 137, 138, 140, 143, 144, 145, 146, 148 e 149/2018 -Vencem em 21/02/2019)</t>
  </si>
  <si>
    <t xml:space="preserve">Aquisição de equipamentos para o Centro de Convivência do Morumbi (Mobiliários nos padrões exigidos pela NR17) </t>
  </si>
  <si>
    <t>Req 2210/18</t>
  </si>
  <si>
    <t>Pregão Eletrônico nº 426/17</t>
  </si>
  <si>
    <t>Medic. Trabalho</t>
  </si>
  <si>
    <t>Pregão Eletrônico
(Ata 180/2018 -Vence em 27/02/2019)</t>
  </si>
  <si>
    <t xml:space="preserve">Aquisição de equipamentos para o Centro de Convivência do Morumbi (Materiais esportivos) </t>
  </si>
  <si>
    <t xml:space="preserve">Aquisição de equipamentos para o Centro de Convivência do Morumbi (Aquisição com serviço de instalação incluso de uma plataforma vertical de acessibilidade semicabinada ) </t>
  </si>
  <si>
    <t>Pregão Presencial nº 298/18</t>
  </si>
  <si>
    <t xml:space="preserve">Aquisição de equipamentos para o Centro de Convivência do Morumbi (Equipamentos em atendimento aos programas da rede socioassistencial do município de Cascavel equipamentos em atendimento aos programas da rede socioassistencial do município de Cascavel ) </t>
  </si>
  <si>
    <t>Req.  2470/18</t>
  </si>
  <si>
    <t xml:space="preserve">Aquisição de equipamentos para o Centro de Convivência do Morumbi (Equipamentos e materiais de som e iluminação, projeção e vídeo) </t>
  </si>
  <si>
    <t>Req.  2572/18</t>
  </si>
  <si>
    <t>Aquisição de equipamentos para o Centro de Convivência do Cascavel Velho ( )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</si>
  <si>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</si>
  <si>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</si>
  <si>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</si>
  <si>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</si>
  <si>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</si>
  <si>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</si>
  <si>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</si>
  <si>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</si>
  <si>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</si>
  <si>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</si>
  <si>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Aquisição de equipamentos para o Centro de Convivência do Cascavel Velho (Aquisição e instalação de aparelhos novos de ar condicionado)</t>
  </si>
  <si>
    <t>Req.  2585/18</t>
  </si>
  <si>
    <t>Aquisição de equipamentos para o Centro de Convivência do Cascavel Velho (equipamentos de informática e eletrônicos )</t>
  </si>
  <si>
    <t>Aquisição de equipamentos para o Centro de Convivência do Cascavel Velho (Computadores e notebooks)</t>
  </si>
  <si>
    <t>Aquisição de equipamentos para o Centro de Convivência do Cascavel Velho (execução de serviços, fornecimento de cortinas e persianas (instaladas) )</t>
  </si>
  <si>
    <t>Pregão Eletrônico
(Ata 259 /2018 -Vence em 25/04/2019)</t>
  </si>
  <si>
    <t>Aquisição de equipamentos para o Centro de Convivência do Cascavel Velho (veículo novo (0km) )</t>
  </si>
  <si>
    <t>Pregão Eletrônico
(Atas: 708,709, 710, 711, 712, 714, 715, 716 e 718/2018 -Vencem em10/10/2019)</t>
  </si>
  <si>
    <t>Aquisição de equipamentos para o Centro de Convivência do Cascavel Velho (Equipamentos e mobiliários em geral, em atendimento aos programas da rede socioassistencial do município de Cascavel )</t>
  </si>
  <si>
    <t>Pregão Eletrônico nº 348/18</t>
  </si>
  <si>
    <t>Pregão Eletrônico
(Ata 933/2017 -Vence em 15/12/2018)</t>
  </si>
  <si>
    <t>Aquisição de equipamentos para o Centro de Convivência do Cascavel Velho (Equipamentos para a Administração Pública Municipal de Cascavel)</t>
  </si>
  <si>
    <t>Aquisição de equipamentos para o Centro de Convivência do Cascavel Velho (Materiais de limpeza, e higiene, copa e cozinha)</t>
  </si>
  <si>
    <t>Aquisição de equipamentos para o Centro de Convivência do Cascavel Velho (Equipamentos para os programas da rede socioassistencial do município de Cascavel)</t>
  </si>
  <si>
    <t>Pregão Eletrônico
(Atas: 134, 136,  138, 140, 143, 144, 145, 146 e 148/2018 -Vencem em 21/02/2019)</t>
  </si>
  <si>
    <t>Aquisição de equipamentos para o Centro de Convivência do Cascavel Velho (Mobiliários nos padrões exigidos pela NR17 )</t>
  </si>
  <si>
    <t>Atualização Nº: 10</t>
  </si>
  <si>
    <t>Rua Carijós - Desapropriação</t>
  </si>
  <si>
    <t>PROCESSO ADMINISTRATIVO Nº 21012/2017</t>
  </si>
  <si>
    <t>1.2.16</t>
  </si>
  <si>
    <t>Tribunal de Justiça- Autos nº00349951-09.2018.16.0021 
Desapropriação com Imissão de Posse em face de Ary Milla e espólio de João Antonio Mylla
Parte destacada do lote de terrras rural nº 79 - Gleba Cascavel - área de 77.935 m² para fins de complemento da Rua Yanomanis e prolongamento da Rua Carijós até a Av. Presidente Tancredo Neves 
Decreto nº 13.474 de 05/05/2017
PROCESSO ADMINISTRATIVO Nº 21012/2017</t>
  </si>
  <si>
    <t xml:space="preserve">Abertura de via - Rua Kennedy/Recife </t>
  </si>
  <si>
    <t>Abertura e Recape de vias no entorno da Av Tancredo Neves</t>
  </si>
  <si>
    <t>Readequação de vias no entorno do Viaduto  da BR 277</t>
  </si>
  <si>
    <t>1.2.15</t>
  </si>
  <si>
    <t>Execução de calçadas nos prédios públicos - Fase 3</t>
  </si>
  <si>
    <t>1.3.3</t>
  </si>
  <si>
    <t>1.24 Abertura e Recape de vias no entorno da Av Tancredo Neves</t>
  </si>
  <si>
    <t>1.25 Readequação de vias no entorno do Viaduto  da BR 277</t>
  </si>
  <si>
    <t>1.26 Execução de calçadas nos prédios públicos - Fase 3</t>
  </si>
  <si>
    <t>Houve a inclusão deste investimento/aquisição/contratação conforme acordo realizado na Revisão de Carteira  em outubro de 2018 e Missão realizada de 17 a 19/11/2018.</t>
  </si>
  <si>
    <t>Considerando que as licitações para execução das calçadas foram realizadas por fases, conforme elaboração/conclusão dos projetos executivos, houve a necessidade de inclusão da Fase 3 nesse período, em virtude da dilação de prazo contratual e aplicação de saldo do contrato de empréstimo até então não comprometido.</t>
  </si>
  <si>
    <t>Execução de obras de Reurbanização na Av. Barão do Rio Branco</t>
  </si>
  <si>
    <t>EXECUÇÃO DE OBRAS - REURBANIZAÇÃO DA AVENIDA PRESIDENTE TANCREDO NEVES - LPN 05/17
Consórcio ECEC-DIARC - CNPJ 29.299.383/0001-22 (ECEC - Empresa Cascavelense de Engenharia e Construções Ltda (61,04% e Diarc Engenahria e Pré-Fabricados Ltda (38,96%))
Contrato nº 306/2017 de 27/12/2017 OS emitida em 04/01/2018 -  300 dias de execução (30/10/2018) a partir da OS  e  360 dias de vigência (vai até 21/12/201/)
1º Termo Apostilamento - 29/12/2017 Inlcusão de valores nas reservas de saldo - CI 1308/2017/SESOP.
2º Termo Apostilamento - 13/03/2018 Alteração Fiscais de Contrato (inclui-se Fiscal da Obra de Pavimentação Flexível e Rígida, e, de Rede Elétrica) - CI 149/2018/SESOP.
3º Termo Termo Apostilamento - 28/03/2018 Alteração Fiscais de Contrato (Altera Fiscal da Obra - Civil e Drenagem)- CI 204/2018/SESOP
4º Termo Apostilamento de 06/06/2018, inclusão da dotação principal 700 - CI nº 450/2018 SESOP
5º Termo Ajuste 02/07/18 - Objetivo ajustar os quantitativos estabelecidos pelo Sistema Atende.Net ao realmente contratado através de lançamento de Termo Aditivo no Sistema.
6º Termo Apostilamento - 03/09/2018 Alteração Fiscais de Contrato (inclui-se Fiscal da Obra de Pavimentação Flexível e Rígida, e, Dreanagem/Parte Civil/Parte Urbanística) - CI 875/2018/SESOP
7º Termo Aditivo (30/10/18)- Prorroga-se o prazo de vigência por 60 (sessenta) dias a partir de 22/12/2018 até 19/02/2019, e,  prorroga-se o prazo de execução das obras por 60 (sessenta) dias a partir de 31/10/2018 até 29/12/2018.Redimensionamento do objeto - supressão de R$133.580,13 e acréscimo/aditivo de R$743.192,36, resultado/valor entre supressão e acréscimo/aditivo: R$609.612,23.  8º Termo Apostilamento 12/12/2018 Designa Gestor do Contrato Sandro Camilo Rocha Rancy (titular) e Mauríco mariano Fontes (suplente. Designa a Comissão recebimento provisório e definitivo da obra: Cletírio Ferreira Feistler, Sandro Camilo Rocha Rancy e Maurício Maricano Fontes
9º Termo Aditivo (21/12/2018)- Prorroga-se o prazo de vigência por 30 (trinta) dias a partir de 20/02/2019 até 21/03/2019, e,  prorroga-se o prazo de execução das obras por 30 (trinta) dias a partir de 30/12/2018 até 28/01/2018.</t>
  </si>
  <si>
    <t>LPN
05/2018</t>
  </si>
  <si>
    <t>Atualizado em: 04/02/2019</t>
  </si>
  <si>
    <t>6º Aditivo de 12/09/17 - Aumento de 03 meses de vigência a partir de 18/09/2017 e SUPRESSÃO de R$33.383,60</t>
  </si>
  <si>
    <t>1º Termo - Apostilamento para alteração de Fiscal Suplente (29/08/2017)
2º Termo - Apostilamento para alteração de Fiscal Titular (22/09/2017)
3º Termo - Redimensionamento do objeto - R$60.445,96 (acréscimo) e R$3.023,06 (supressão) = R$57.422,90 de 25/01/2018
4º Termo firmado em 17/04/2018 - Prorroga-se o prazo de vigência por 05 (cinco) meses a partir de 12/06/2018 até 11/11/2018, e,  prorroga-se o prazo de execução das obras por 5 (cinco) meses a partir de 01/05/2018 até 30/09/2018.
5º Termo Apostilamento de 18/05/2018, inclusão da dotação principal 601 - CI nº 660/2018 SEASO
6º Termo - Redimensionamento do objeto - R$515.712,39 (acréscimo) e R$50.593,18 (supressão) = R$465.119,21 de 04/06/2018.
7º Termo Apostilamento de 11/06/2018, inclusão da dotação principal 377 - CI nº 113/2018 SEMA
8º Termo - Redimensionamento do objeto - R$324.362,34 (acréscimo) e R$402.899,59 (supressão) = -R$78.537,25 de 06/09/2018
9º Termo firmado em 27/09/2018 - Prorroga-se o prazo de vigência por 30 (trinta) dias a partir de 12/11/2018 até 11/12/2018, e,  prorroga-se o prazo de execução das obras por 30(trinta) dias a partir de 01/10/2018 até 30/10/2018.
Anulação Saldo de Empenho NE 9535/18 no valor de R$21.462,75, correspondente ao desconto concedido na NF 626 de 20/09/2018, conforme CI nº 294/18 SEMA de 27/09/2018 e Processo/Autos nº 43256.16.2017.8.16.0021- Nota de Anulação de Empenho nº1513/2018 de 04/10/2018.</t>
  </si>
  <si>
    <t>1º Termo Aditivo (09/11/18)- Prorroga-se o prazo de vigência 60 dias a partir de 08/12/2018 (Vai até 05/02/2019) e o prazo de execução 60 dias a partir de 10/11/2018 (Vai até 08/01/2019) . Redimensionamento do objeto - supressão de R$12.207,03 e acréscimo/aditivo de R$145.254,17 Resultado/valor entre supressão e acréscimo/aditivo: R$133.047,14, e, designa Gestor do Contrato (Titular: Wagner da Costa Rosa e Suplente:  Lia Mara Teobaldo Tironi); Fiscal Administrativo (Titular: Emilio Fernando Martini e Suplente: Wagner da Costa Rosa) / Comissão Recebimento Definitivo e Provisório de Bens (Fabio Zardo Caliari, Emilio Fernando Martini, Clever Lineu Zanin).</t>
  </si>
  <si>
    <t>1º Termo Aditivo (09/11/2016) - 1º Redimensionamento do Ct 40/2016
2º Termo Aditivo (15/03/20176) - Prorrogação prazo de execução por 03 meses a partir de 23/03/17
3º Termo Aditivo (21/06/2017) - Redimensionamento e Prorrogação prazo de execução por 03 meses a partir de 23/06/17 (até 22/09/2017) e o de vigência por 03 meses a partir de 04/09/2017 (Até 03/12/2017)do Ct 40/2016
Anulação saldo de empenho NE 8162/17 - CI 60/2018 de 30/01/2018 - R$ 11.305,70, conforme TRD</t>
  </si>
  <si>
    <t>1º Termo Aditivo (09/05/2018)- Prorroga-se prazo de vigência por 90 dias - a partr de 30/07/18 (Até 27/10/18) e de execução por 90 dias a partir de 14/06/2018 (Até 11/09/2018) e Redimensionamento do objeto no valor de  R$102.067,17(acréscimo/aditivo) e promover a supressão de R$381.315,19 . O valor total deste termo suprime o objeto no valor de (R$279.248,02)
2º Termo Aditivo (13/09/2018)- Prorroga-se prazo de vigência por 60 dias - a partir de 28/10/18 (Até 26/12/18). 
3º Termo Aditivo (13/12/2018)- promover a supressão de R$25.506,48</t>
  </si>
  <si>
    <t xml:space="preserve">1º Termo de 02/03/18- Prorrogação prazo de vigência por 90 (noventa) dias a partir de 14/05/2018 e prazo de execução por 90 (noventa) dias a partir de 14/03/2018 
2º Termo de 11/06/18- Prorrogação prazo de execução por 30 (trinta) dias a partir de 11/06/2018 e Redimensionamento do objeto - supressão de R$28.991,09 e acréscimo/aditivo de R$74.736,37. Resultado/valor entre supressão e acréscimo/aditivo: R$45.745,28
Anulação Saldo de Empenhos (Devido a aplicação de percentual/arredondamentos)
</t>
  </si>
  <si>
    <t>1º Termo Aditivo (12/09/2018) - Prorrogação prazo de execução por 30 dias a partir de 12/09/2018 até 11/10/2018 e de vigência 30 dias a partir de 22/10/2018 até 20/11/2018 do Ct 304/2017
2º Termo Aditivo (11/10/2018) -  Redimensionamento do objeto - supressão de R$167996,62 e acréscimo/aditivo de R$44.618,19. Resultado/valor entre supressão e acréscimo/aditivo: -R$123..378,43, 
e Prorrogação prazo de execução por 30 dias a partir de 12/10/2018 até 10/11/2018 e de vigência 30 dias a partir de 21/11/2018 até 20/12/2018 do Ct 304/2017
3º Termo Aditivo (21/12/2018) - Prorrogação do prazo de  vigência 60 dias a partir de 21/12/2018 até 18/02/2019 do Ct 304/2017</t>
  </si>
  <si>
    <t>1º Termo Apostilamento - 30/07/2018 Alteração Fiscais de Obra conforme CI 692/18 SESOP - Matheus Israel Brandão (titular) e Ulysses Afonso Zaror (suplente) 
2º Termo Apostilamento - 08/10/2018 Alteração Fiscais de Obra conforme CI 1028/18 SESOP - Wellington da Silva Casado (titular) e Ulysses Afonso Zaror (suplente) 
3º Termo Aditivo 17/12/2018 - Prorrogação prazo de vigência em 02 meses a partir de 21/01/2019  (vence em 20/03/2019)e execução de 01 mês a partir de 20/12/2018 (vence 19/01/2019).
4º Termo Apostilamento 17/12/2018 Designa Gestor do Contrato Sandro Camilo Rocha Rancy (titular) e Mauríco mariano Fontes (suplente. Designa a Comissão recebimento provisório e definitivo da obra: Cletírio Ferreira Feistler, Sandro Camilo Rocha Rancy e Maurício Maricano Fontes
5º Termo Aditivo 15/01/2019 - Prorrogação prazo de vigência em 02 meses a partir de 22/03/2019  (vence em 21/05/2019) e execução de 02 meses a partir de 21/01/2019 (vence 20/03/2019).</t>
  </si>
  <si>
    <t>1º Termo Aditivo (01/02/2017) - Apostilamento - Alteração Dotação Orçamentária do Ct 40/2016 - CI 82/2017/SESOP
2º Termo Aditivo (07/08/2017) - Prorrogação prazo de 12 meses de execução iniciando em  11/08/17 a 10/08/18 e 14 meses de vigência iniciando em 11/10/17 a 10/12/18, do Ct 102/2016
3º Termo Aditivo (13/12/2017) - Redimensonamento - ReRatificação Planilha R$1.979.795,76
4º Termo  Apostilamento  (05/01/2018) - Alteração Dotação Orçamentária do Ct 40/2016 - CI 01/2018/SESOP
5º Termo Aditivo – Prorrogação de prazo, sendo 04 meses de vigência a partir de 11/12/2018 até 10/04/19 e de 03 meses de execução a partir da assinatura 24/09/18 até 23/12/18, do Ct 102/2016.
6º Termo Aditivo (16/01/2019) - Redimensonamento - ReRatificação Planilha R$157.684,24</t>
  </si>
  <si>
    <t>fse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</si>
</sst>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(* #,##0.00_);_(* \(#,##0.00\);_(* &quot;-&quot;??_);_(@_)"/>
    <numFmt numFmtId="164" formatCode="_([$€-2]* #,##0.00_);_([$€-2]* \(#,##0.00\);_([$€-2]* &quot;-&quot;??_)"/>
    <numFmt numFmtId="165" formatCode="0.0%"/>
    <numFmt numFmtId="166" formatCode="0.00000"/>
    <numFmt numFmtId="167" formatCode="#,##0.0_);\(#,##0.0\)"/>
    <numFmt numFmtId="168" formatCode="0_)"/>
    <numFmt numFmtId="169" formatCode="0.00_)"/>
    <numFmt numFmtId="170" formatCode="d\.mmm"/>
    <numFmt numFmtId="171" formatCode="0.00000000"/>
    <numFmt numFmtId="172" formatCode="0.0000000000"/>
    <numFmt numFmtId="173" formatCode="#,##0.000000"/>
    <numFmt numFmtId="174" formatCode="&quot;$&quot;#,##0.00000_);\(&quot;$&quot;#,##0.00000\)"/>
    <numFmt numFmtId="175" formatCode="0.0_)"/>
    <numFmt numFmtId="176" formatCode="&quot;R&quot;\ #,##0;&quot;R&quot;\ \-#,##0"/>
    <numFmt numFmtId="177" formatCode="&quot;Cr$&quot;\ #,##0.00_);\(&quot;Cr$&quot;\ #,##0.00\)"/>
    <numFmt numFmtId="178" formatCode="[$-416]mmm\-yy;@"/>
    <numFmt numFmtId="179" formatCode="0.0"/>
    <numFmt numFmtId="180" formatCode="#,##0.000"/>
  </numFmts>
  <fonts count="40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0070C0"/>
      <name val="Times New Roman"/>
      <family val="1"/>
    </font>
    <font>
      <sz val="12"/>
      <color rgb="FF00B050"/>
      <name val="Times New Roman"/>
      <family val="1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177" fontId="2" fillId="0" borderId="0">
      <alignment horizontal="center" vertical="top"/>
    </xf>
    <xf numFmtId="0" fontId="5" fillId="0" borderId="1" applyBorder="0"/>
    <xf numFmtId="3" fontId="6" fillId="0" borderId="0" applyNumberFormat="0" applyFill="0" applyBorder="0" applyAlignment="0" applyProtection="0"/>
    <xf numFmtId="3" fontId="7" fillId="0" borderId="0" applyNumberFormat="0" applyFill="0" applyBorder="0" applyAlignment="0" applyProtection="0"/>
    <xf numFmtId="175" fontId="2" fillId="0" borderId="0" applyNumberFormat="0" applyFill="0" applyBorder="0" applyAlignment="0"/>
    <xf numFmtId="3" fontId="8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5" fontId="9" fillId="0" borderId="0" applyFont="0" applyFill="0" applyBorder="0" applyAlignment="0" applyProtection="0">
      <alignment horizontal="left"/>
    </xf>
    <xf numFmtId="0" fontId="2" fillId="0" borderId="0" applyFont="0" applyFill="0" applyBorder="0" applyProtection="0">
      <alignment horizontal="left"/>
    </xf>
    <xf numFmtId="167" fontId="10" fillId="0" borderId="0" applyFont="0" applyFill="0" applyBorder="0" applyAlignment="0" applyProtection="0">
      <protection locked="0"/>
    </xf>
    <xf numFmtId="39" fontId="11" fillId="0" borderId="0" applyFont="0" applyFill="0" applyBorder="0" applyAlignment="0" applyProtection="0"/>
    <xf numFmtId="174" fontId="2" fillId="0" borderId="0" applyFont="0" applyFill="0" applyBorder="0" applyAlignment="0"/>
    <xf numFmtId="164" fontId="2" fillId="0" borderId="0" applyFont="0" applyFill="0" applyBorder="0" applyAlignment="0" applyProtection="0"/>
    <xf numFmtId="0" fontId="1" fillId="0" borderId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65" fontId="14" fillId="0" borderId="4" applyFill="0" applyBorder="0" applyAlignment="0">
      <alignment horizontal="center"/>
      <protection locked="0"/>
    </xf>
    <xf numFmtId="10" fontId="12" fillId="3" borderId="5" applyNumberFormat="0" applyBorder="0" applyAlignment="0" applyProtection="0"/>
    <xf numFmtId="167" fontId="14" fillId="0" borderId="0" applyFill="0" applyBorder="0" applyAlignment="0">
      <protection locked="0"/>
    </xf>
    <xf numFmtId="174" fontId="2" fillId="0" borderId="0" applyFill="0" applyBorder="0" applyAlignment="0" applyProtection="0">
      <protection locked="0"/>
    </xf>
    <xf numFmtId="17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7" fontId="15" fillId="0" borderId="0"/>
    <xf numFmtId="169" fontId="16" fillId="0" borderId="0"/>
    <xf numFmtId="175" fontId="2" fillId="0" borderId="0" applyFill="0" applyBorder="0" applyAlignment="0"/>
    <xf numFmtId="0" fontId="2" fillId="0" borderId="0"/>
    <xf numFmtId="0" fontId="2" fillId="0" borderId="0"/>
    <xf numFmtId="9" fontId="2" fillId="0" borderId="4" applyNumberFormat="0" applyBorder="0">
      <alignment horizontal="center" vertical="center"/>
    </xf>
    <xf numFmtId="0" fontId="3" fillId="4" borderId="5" applyNumberFormat="0" applyFont="0" applyBorder="0" applyAlignment="0" applyProtection="0">
      <alignment horizontal="center"/>
    </xf>
    <xf numFmtId="176" fontId="2" fillId="0" borderId="6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" fontId="2" fillId="0" borderId="0" applyFont="0" applyFill="0" applyBorder="0" applyAlignment="0" applyProtection="0"/>
    <xf numFmtId="3" fontId="4" fillId="0" borderId="0" applyFill="0" applyBorder="0" applyAlignment="0" applyProtection="0"/>
    <xf numFmtId="3" fontId="17" fillId="0" borderId="0" applyFill="0" applyBorder="0" applyAlignment="0" applyProtection="0"/>
    <xf numFmtId="3" fontId="4" fillId="0" borderId="0" applyFill="0" applyBorder="0" applyAlignment="0" applyProtection="0"/>
    <xf numFmtId="38" fontId="9" fillId="5" borderId="0" applyNumberFormat="0" applyFont="0" applyBorder="0" applyAlignment="0" applyProtection="0"/>
    <xf numFmtId="43" fontId="18" fillId="0" borderId="7"/>
    <xf numFmtId="38" fontId="19" fillId="0" borderId="0" applyFill="0" applyBorder="0" applyAlignment="0" applyProtection="0"/>
    <xf numFmtId="0" fontId="2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" fontId="10" fillId="0" borderId="0" applyFont="0" applyFill="0" applyBorder="0" applyAlignment="0" applyProtection="0">
      <alignment horizontal="left"/>
    </xf>
    <xf numFmtId="38" fontId="9" fillId="0" borderId="8" applyNumberFormat="0" applyFont="0" applyFill="0" applyAlignment="0" applyProtection="0"/>
    <xf numFmtId="10" fontId="20" fillId="0" borderId="9" applyNumberFormat="0" applyFont="0" applyFill="0" applyAlignment="0" applyProtection="0"/>
    <xf numFmtId="0" fontId="2" fillId="0" borderId="3" applyFont="0" applyFill="0" applyBorder="0" applyAlignment="0" applyProtection="0"/>
  </cellStyleXfs>
  <cellXfs count="403">
    <xf numFmtId="0" fontId="0" fillId="0" borderId="0" xfId="0"/>
    <xf numFmtId="0" fontId="0" fillId="0" borderId="0" xfId="0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justify" vertical="center"/>
    </xf>
    <xf numFmtId="4" fontId="30" fillId="0" borderId="0" xfId="0" applyNumberFormat="1" applyFont="1"/>
    <xf numFmtId="10" fontId="30" fillId="0" borderId="0" xfId="0" applyNumberFormat="1" applyFont="1"/>
    <xf numFmtId="0" fontId="22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2" fillId="0" borderId="0" xfId="0" applyFont="1"/>
    <xf numFmtId="0" fontId="22" fillId="0" borderId="0" xfId="15" applyFont="1" applyAlignment="1">
      <alignment horizontal="left" vertical="center"/>
    </xf>
    <xf numFmtId="0" fontId="24" fillId="0" borderId="0" xfId="15" applyFont="1"/>
    <xf numFmtId="0" fontId="33" fillId="0" borderId="0" xfId="0" applyFont="1" applyAlignment="1">
      <alignment horizontal="left" vertical="center"/>
    </xf>
    <xf numFmtId="0" fontId="22" fillId="0" borderId="0" xfId="35" applyFont="1" applyFill="1" applyBorder="1" applyAlignment="1">
      <alignment horizontal="left" vertical="center" wrapText="1"/>
    </xf>
    <xf numFmtId="0" fontId="23" fillId="0" borderId="0" xfId="35" applyFont="1"/>
    <xf numFmtId="0" fontId="23" fillId="0" borderId="5" xfId="35" applyFont="1" applyFill="1" applyBorder="1" applyAlignment="1">
      <alignment vertical="center" wrapText="1"/>
    </xf>
    <xf numFmtId="0" fontId="23" fillId="0" borderId="15" xfId="35" applyFont="1" applyFill="1" applyBorder="1" applyAlignment="1">
      <alignment horizontal="center" vertical="center" wrapText="1"/>
    </xf>
    <xf numFmtId="4" fontId="23" fillId="0" borderId="5" xfId="35" applyNumberFormat="1" applyFont="1" applyFill="1" applyBorder="1" applyAlignment="1">
      <alignment horizontal="center" vertical="center" wrapText="1"/>
    </xf>
    <xf numFmtId="0" fontId="23" fillId="0" borderId="5" xfId="35" applyFont="1" applyFill="1" applyBorder="1" applyAlignment="1">
      <alignment horizontal="center" vertical="center" wrapText="1"/>
    </xf>
    <xf numFmtId="0" fontId="23" fillId="0" borderId="0" xfId="35" applyFont="1" applyBorder="1"/>
    <xf numFmtId="0" fontId="30" fillId="0" borderId="5" xfId="0" applyFont="1" applyBorder="1"/>
    <xf numFmtId="0" fontId="30" fillId="0" borderId="0" xfId="0" applyFont="1" applyFill="1"/>
    <xf numFmtId="0" fontId="23" fillId="0" borderId="10" xfId="35" applyFont="1" applyFill="1" applyBorder="1" applyAlignment="1">
      <alignment vertical="center" wrapText="1"/>
    </xf>
    <xf numFmtId="178" fontId="34" fillId="0" borderId="5" xfId="35" applyNumberFormat="1" applyFont="1" applyFill="1" applyBorder="1" applyAlignment="1">
      <alignment horizontal="center" vertical="center" wrapText="1"/>
    </xf>
    <xf numFmtId="1" fontId="23" fillId="0" borderId="5" xfId="35" applyNumberFormat="1" applyFont="1" applyFill="1" applyBorder="1" applyAlignment="1">
      <alignment horizontal="center" vertical="center" wrapText="1"/>
    </xf>
    <xf numFmtId="178" fontId="23" fillId="0" borderId="5" xfId="35" applyNumberFormat="1" applyFont="1" applyFill="1" applyBorder="1" applyAlignment="1">
      <alignment horizontal="center" vertical="center" wrapText="1"/>
    </xf>
    <xf numFmtId="0" fontId="34" fillId="0" borderId="5" xfId="35" applyFont="1" applyFill="1" applyBorder="1" applyAlignment="1">
      <alignment horizontal="center" vertical="center" wrapText="1"/>
    </xf>
    <xf numFmtId="0" fontId="23" fillId="0" borderId="0" xfId="35" applyFont="1" applyFill="1" applyBorder="1" applyAlignment="1">
      <alignment vertical="center" wrapText="1"/>
    </xf>
    <xf numFmtId="4" fontId="23" fillId="0" borderId="0" xfId="35" applyNumberFormat="1" applyFont="1" applyFill="1" applyBorder="1" applyAlignment="1">
      <alignment vertical="center" wrapText="1"/>
    </xf>
    <xf numFmtId="10" fontId="23" fillId="0" borderId="0" xfId="35" applyNumberFormat="1" applyFont="1" applyFill="1" applyBorder="1" applyAlignment="1">
      <alignment vertical="center" wrapText="1"/>
    </xf>
    <xf numFmtId="0" fontId="23" fillId="0" borderId="11" xfId="35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23" fillId="0" borderId="5" xfId="36" applyFont="1" applyFill="1" applyBorder="1" applyAlignment="1">
      <alignment vertical="center" wrapText="1"/>
    </xf>
    <xf numFmtId="0" fontId="23" fillId="0" borderId="5" xfId="0" applyFont="1" applyBorder="1"/>
    <xf numFmtId="0" fontId="23" fillId="0" borderId="0" xfId="0" applyFont="1" applyBorder="1" applyAlignment="1">
      <alignment vertical="center"/>
    </xf>
    <xf numFmtId="0" fontId="22" fillId="0" borderId="0" xfId="0" applyFont="1" applyAlignment="1"/>
    <xf numFmtId="0" fontId="23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>
      <alignment horizontal="left"/>
    </xf>
    <xf numFmtId="10" fontId="30" fillId="0" borderId="0" xfId="0" applyNumberFormat="1" applyFont="1" applyAlignment="1">
      <alignment horizontal="left"/>
    </xf>
    <xf numFmtId="0" fontId="22" fillId="0" borderId="0" xfId="35" applyFont="1" applyFill="1" applyBorder="1" applyAlignment="1">
      <alignment vertical="center" wrapText="1"/>
    </xf>
    <xf numFmtId="0" fontId="30" fillId="0" borderId="1" xfId="0" applyFont="1" applyBorder="1"/>
    <xf numFmtId="0" fontId="30" fillId="0" borderId="28" xfId="0" applyFont="1" applyBorder="1" applyAlignment="1">
      <alignment horizontal="justify" vertical="center" wrapText="1"/>
    </xf>
    <xf numFmtId="0" fontId="22" fillId="0" borderId="0" xfId="0" applyFont="1" applyAlignment="1">
      <alignment vertical="center"/>
    </xf>
    <xf numFmtId="4" fontId="23" fillId="0" borderId="0" xfId="35" applyNumberFormat="1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horizontal="justify" vertical="center" wrapText="1"/>
    </xf>
    <xf numFmtId="0" fontId="30" fillId="0" borderId="13" xfId="0" applyFont="1" applyBorder="1" applyAlignment="1">
      <alignment horizontal="justify" vertical="center" wrapText="1"/>
    </xf>
    <xf numFmtId="0" fontId="30" fillId="0" borderId="42" xfId="0" applyFont="1" applyBorder="1" applyAlignment="1">
      <alignment horizontal="justify" vertical="center" wrapText="1"/>
    </xf>
    <xf numFmtId="0" fontId="30" fillId="0" borderId="33" xfId="0" applyFont="1" applyBorder="1" applyAlignment="1">
      <alignment horizontal="justify" vertical="center" wrapText="1"/>
    </xf>
    <xf numFmtId="0" fontId="30" fillId="0" borderId="36" xfId="0" applyFont="1" applyBorder="1" applyAlignment="1">
      <alignment horizontal="justify" vertical="center" wrapText="1"/>
    </xf>
    <xf numFmtId="0" fontId="32" fillId="0" borderId="33" xfId="0" applyFont="1" applyBorder="1" applyAlignment="1">
      <alignment horizontal="justify" vertical="center" wrapText="1"/>
    </xf>
    <xf numFmtId="0" fontId="32" fillId="0" borderId="0" xfId="0" applyFont="1" applyAlignment="1">
      <alignment horizontal="right"/>
    </xf>
    <xf numFmtId="1" fontId="23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78" fontId="23" fillId="0" borderId="5" xfId="0" applyNumberFormat="1" applyFont="1" applyBorder="1" applyAlignment="1">
      <alignment horizontal="center" vertical="center"/>
    </xf>
    <xf numFmtId="178" fontId="34" fillId="0" borderId="5" xfId="0" applyNumberFormat="1" applyFont="1" applyBorder="1" applyAlignment="1">
      <alignment horizontal="center" vertical="center"/>
    </xf>
    <xf numFmtId="4" fontId="23" fillId="0" borderId="5" xfId="0" applyNumberFormat="1" applyFont="1" applyFill="1" applyBorder="1" applyAlignment="1">
      <alignment horizontal="center" vertical="center"/>
    </xf>
    <xf numFmtId="1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" fontId="23" fillId="0" borderId="10" xfId="35" applyNumberFormat="1" applyFont="1" applyFill="1" applyBorder="1" applyAlignment="1">
      <alignment horizontal="center" vertical="center" wrapText="1"/>
    </xf>
    <xf numFmtId="1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0" xfId="35" applyFont="1" applyFill="1" applyBorder="1" applyAlignment="1">
      <alignment horizontal="center" vertical="center" wrapText="1"/>
    </xf>
    <xf numFmtId="0" fontId="26" fillId="6" borderId="11" xfId="35" applyFont="1" applyFill="1" applyBorder="1" applyAlignment="1">
      <alignment horizontal="center" vertical="center" wrapText="1"/>
    </xf>
    <xf numFmtId="4" fontId="26" fillId="6" borderId="11" xfId="35" applyNumberFormat="1" applyFont="1" applyFill="1" applyBorder="1" applyAlignment="1">
      <alignment horizontal="center" vertical="center" wrapText="1"/>
    </xf>
    <xf numFmtId="10" fontId="26" fillId="6" borderId="11" xfId="35" applyNumberFormat="1" applyFont="1" applyFill="1" applyBorder="1" applyAlignment="1">
      <alignment horizontal="center" vertical="center" wrapText="1"/>
    </xf>
    <xf numFmtId="0" fontId="35" fillId="8" borderId="42" xfId="0" applyFont="1" applyFill="1" applyBorder="1"/>
    <xf numFmtId="0" fontId="30" fillId="0" borderId="31" xfId="0" applyFont="1" applyFill="1" applyBorder="1"/>
    <xf numFmtId="0" fontId="30" fillId="0" borderId="28" xfId="0" applyFont="1" applyFill="1" applyBorder="1"/>
    <xf numFmtId="0" fontId="30" fillId="0" borderId="46" xfId="0" applyFont="1" applyFill="1" applyBorder="1"/>
    <xf numFmtId="0" fontId="35" fillId="8" borderId="13" xfId="0" applyFont="1" applyFill="1" applyBorder="1"/>
    <xf numFmtId="178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0" fontId="36" fillId="8" borderId="42" xfId="0" applyFont="1" applyFill="1" applyBorder="1"/>
    <xf numFmtId="0" fontId="30" fillId="0" borderId="31" xfId="0" applyFont="1" applyFill="1" applyBorder="1" applyAlignment="1">
      <alignment horizontal="right"/>
    </xf>
    <xf numFmtId="0" fontId="36" fillId="8" borderId="42" xfId="0" applyFont="1" applyFill="1" applyBorder="1" applyAlignment="1">
      <alignment horizontal="right"/>
    </xf>
    <xf numFmtId="0" fontId="35" fillId="8" borderId="42" xfId="0" applyFont="1" applyFill="1" applyBorder="1" applyAlignment="1">
      <alignment horizontal="right"/>
    </xf>
    <xf numFmtId="0" fontId="30" fillId="0" borderId="47" xfId="0" applyFont="1" applyFill="1" applyBorder="1"/>
    <xf numFmtId="0" fontId="30" fillId="0" borderId="23" xfId="0" applyFont="1" applyFill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178" fontId="23" fillId="0" borderId="10" xfId="0" applyNumberFormat="1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right"/>
    </xf>
    <xf numFmtId="0" fontId="23" fillId="0" borderId="19" xfId="35" applyFont="1" applyFill="1" applyBorder="1" applyAlignment="1">
      <alignment horizontal="center" vertical="center" wrapText="1"/>
    </xf>
    <xf numFmtId="0" fontId="23" fillId="0" borderId="17" xfId="35" applyFont="1" applyFill="1" applyBorder="1" applyAlignment="1">
      <alignment horizontal="center" vertical="center" wrapText="1"/>
    </xf>
    <xf numFmtId="0" fontId="23" fillId="0" borderId="21" xfId="35" applyFont="1" applyFill="1" applyBorder="1" applyAlignment="1">
      <alignment horizontal="center" vertical="center" wrapText="1"/>
    </xf>
    <xf numFmtId="2" fontId="23" fillId="0" borderId="10" xfId="35" applyNumberFormat="1" applyFont="1" applyFill="1" applyBorder="1" applyAlignment="1">
      <alignment horizontal="center" vertical="center" wrapText="1"/>
    </xf>
    <xf numFmtId="0" fontId="23" fillId="0" borderId="20" xfId="35" applyFont="1" applyFill="1" applyBorder="1" applyAlignment="1">
      <alignment horizontal="center" vertical="center" wrapText="1"/>
    </xf>
    <xf numFmtId="179" fontId="23" fillId="0" borderId="15" xfId="35" applyNumberFormat="1" applyFont="1" applyFill="1" applyBorder="1" applyAlignment="1">
      <alignment horizontal="center" vertical="center"/>
    </xf>
    <xf numFmtId="0" fontId="23" fillId="0" borderId="5" xfId="35" applyNumberFormat="1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center" vertical="center"/>
    </xf>
    <xf numFmtId="0" fontId="23" fillId="0" borderId="17" xfId="35" applyFont="1" applyFill="1" applyBorder="1" applyAlignment="1">
      <alignment horizontal="center" vertical="center"/>
    </xf>
    <xf numFmtId="0" fontId="34" fillId="0" borderId="5" xfId="35" applyFont="1" applyFill="1" applyBorder="1" applyAlignment="1">
      <alignment horizontal="center" vertical="center"/>
    </xf>
    <xf numFmtId="0" fontId="28" fillId="0" borderId="15" xfId="35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37" fillId="0" borderId="5" xfId="35" applyFont="1" applyFill="1" applyBorder="1" applyAlignment="1">
      <alignment vertical="center" wrapText="1"/>
    </xf>
    <xf numFmtId="0" fontId="37" fillId="0" borderId="17" xfId="35" applyFont="1" applyFill="1" applyBorder="1" applyAlignment="1">
      <alignment horizontal="center" vertical="center" wrapText="1"/>
    </xf>
    <xf numFmtId="0" fontId="37" fillId="0" borderId="11" xfId="35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vertical="center" wrapText="1"/>
    </xf>
    <xf numFmtId="0" fontId="37" fillId="0" borderId="5" xfId="0" applyFont="1" applyFill="1" applyBorder="1" applyAlignment="1">
      <alignment horizontal="center" vertical="center"/>
    </xf>
    <xf numFmtId="4" fontId="37" fillId="0" borderId="11" xfId="35" applyNumberFormat="1" applyFont="1" applyFill="1" applyBorder="1" applyAlignment="1">
      <alignment horizontal="center" vertical="center" wrapText="1"/>
    </xf>
    <xf numFmtId="0" fontId="37" fillId="0" borderId="21" xfId="35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/>
    </xf>
    <xf numFmtId="0" fontId="38" fillId="0" borderId="10" xfId="35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vertical="center" wrapText="1"/>
    </xf>
    <xf numFmtId="0" fontId="38" fillId="0" borderId="10" xfId="35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1" fontId="38" fillId="0" borderId="10" xfId="0" applyNumberFormat="1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178" fontId="38" fillId="0" borderId="10" xfId="0" applyNumberFormat="1" applyFont="1" applyBorder="1" applyAlignment="1">
      <alignment horizontal="center" vertical="center"/>
    </xf>
    <xf numFmtId="0" fontId="38" fillId="0" borderId="19" xfId="35" applyFont="1" applyFill="1" applyBorder="1" applyAlignment="1">
      <alignment horizontal="center" vertical="center" wrapText="1"/>
    </xf>
    <xf numFmtId="0" fontId="37" fillId="0" borderId="38" xfId="0" applyFont="1" applyFill="1" applyBorder="1" applyAlignment="1">
      <alignment horizontal="center" vertical="center"/>
    </xf>
    <xf numFmtId="0" fontId="37" fillId="0" borderId="11" xfId="35" applyFont="1" applyFill="1" applyBorder="1" applyAlignment="1">
      <alignment vertical="center" wrapText="1"/>
    </xf>
    <xf numFmtId="0" fontId="34" fillId="0" borderId="0" xfId="0" applyFont="1"/>
    <xf numFmtId="0" fontId="38" fillId="0" borderId="5" xfId="35" applyFont="1" applyFill="1" applyBorder="1" applyAlignment="1">
      <alignment vertical="center" wrapText="1"/>
    </xf>
    <xf numFmtId="0" fontId="38" fillId="0" borderId="5" xfId="35" applyFont="1" applyFill="1" applyBorder="1" applyAlignment="1">
      <alignment horizontal="center" vertical="center"/>
    </xf>
    <xf numFmtId="2" fontId="38" fillId="0" borderId="23" xfId="0" applyNumberFormat="1" applyFont="1" applyFill="1" applyBorder="1" applyAlignment="1">
      <alignment horizontal="center" vertical="center"/>
    </xf>
    <xf numFmtId="0" fontId="38" fillId="0" borderId="23" xfId="0" applyFont="1" applyFill="1" applyBorder="1" applyAlignment="1">
      <alignment horizontal="center" vertical="center"/>
    </xf>
    <xf numFmtId="4" fontId="38" fillId="0" borderId="5" xfId="35" applyNumberFormat="1" applyFont="1" applyFill="1" applyBorder="1" applyAlignment="1">
      <alignment horizontal="center" vertical="center" wrapText="1"/>
    </xf>
    <xf numFmtId="1" fontId="38" fillId="0" borderId="5" xfId="0" applyNumberFormat="1" applyFont="1" applyFill="1" applyBorder="1" applyAlignment="1">
      <alignment horizontal="center" vertical="center"/>
    </xf>
    <xf numFmtId="178" fontId="38" fillId="0" borderId="5" xfId="0" applyNumberFormat="1" applyFont="1" applyFill="1" applyBorder="1" applyAlignment="1">
      <alignment horizontal="center" vertical="center"/>
    </xf>
    <xf numFmtId="0" fontId="38" fillId="0" borderId="17" xfId="35" applyFont="1" applyFill="1" applyBorder="1" applyAlignment="1">
      <alignment horizontal="center" vertical="center" wrapText="1"/>
    </xf>
    <xf numFmtId="1" fontId="38" fillId="0" borderId="5" xfId="35" applyNumberFormat="1" applyFont="1" applyFill="1" applyBorder="1" applyAlignment="1">
      <alignment horizontal="center" vertical="center" wrapText="1"/>
    </xf>
    <xf numFmtId="178" fontId="38" fillId="0" borderId="5" xfId="35" applyNumberFormat="1" applyFont="1" applyFill="1" applyBorder="1" applyAlignment="1">
      <alignment horizontal="center" vertical="center" wrapText="1"/>
    </xf>
    <xf numFmtId="4" fontId="34" fillId="0" borderId="5" xfId="35" applyNumberFormat="1" applyFont="1" applyFill="1" applyBorder="1" applyAlignment="1">
      <alignment horizontal="center" vertical="center" wrapText="1"/>
    </xf>
    <xf numFmtId="0" fontId="37" fillId="0" borderId="10" xfId="35" applyFont="1" applyFill="1" applyBorder="1" applyAlignment="1">
      <alignment horizontal="center" vertical="center" wrapText="1"/>
    </xf>
    <xf numFmtId="4" fontId="34" fillId="0" borderId="5" xfId="0" applyNumberFormat="1" applyFont="1" applyFill="1" applyBorder="1" applyAlignment="1">
      <alignment horizontal="center" vertical="center"/>
    </xf>
    <xf numFmtId="178" fontId="34" fillId="0" borderId="5" xfId="0" applyNumberFormat="1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5" xfId="35" applyFont="1" applyFill="1" applyBorder="1" applyAlignment="1">
      <alignment vertical="center" wrapText="1"/>
    </xf>
    <xf numFmtId="0" fontId="34" fillId="0" borderId="17" xfId="35" applyFont="1" applyFill="1" applyBorder="1" applyAlignment="1">
      <alignment horizontal="center" vertical="center" wrapText="1"/>
    </xf>
    <xf numFmtId="4" fontId="38" fillId="0" borderId="5" xfId="0" applyNumberFormat="1" applyFont="1" applyFill="1" applyBorder="1" applyAlignment="1">
      <alignment horizontal="center" vertical="center"/>
    </xf>
    <xf numFmtId="1" fontId="38" fillId="0" borderId="5" xfId="0" applyNumberFormat="1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178" fontId="38" fillId="0" borderId="5" xfId="0" applyNumberFormat="1" applyFont="1" applyBorder="1" applyAlignment="1">
      <alignment horizontal="center" vertical="center"/>
    </xf>
    <xf numFmtId="2" fontId="23" fillId="0" borderId="5" xfId="35" applyNumberFormat="1" applyFont="1" applyFill="1" applyBorder="1" applyAlignment="1">
      <alignment horizontal="center" vertical="center"/>
    </xf>
    <xf numFmtId="179" fontId="23" fillId="0" borderId="5" xfId="35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7" fontId="23" fillId="0" borderId="5" xfId="35" applyNumberFormat="1" applyFont="1" applyFill="1" applyBorder="1" applyAlignment="1">
      <alignment horizontal="center" vertical="center" wrapText="1"/>
    </xf>
    <xf numFmtId="0" fontId="38" fillId="0" borderId="5" xfId="35" applyFont="1" applyFill="1" applyBorder="1" applyAlignment="1">
      <alignment horizontal="left" vertical="center" wrapText="1"/>
    </xf>
    <xf numFmtId="0" fontId="38" fillId="0" borderId="43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4" fillId="0" borderId="43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0" fontId="34" fillId="7" borderId="10" xfId="35" applyFont="1" applyFill="1" applyBorder="1" applyAlignment="1">
      <alignment horizontal="center" vertical="center" wrapText="1"/>
    </xf>
    <xf numFmtId="0" fontId="28" fillId="0" borderId="10" xfId="35" applyFont="1" applyFill="1" applyBorder="1" applyAlignment="1">
      <alignment horizontal="center" vertical="center" wrapText="1"/>
    </xf>
    <xf numFmtId="0" fontId="23" fillId="0" borderId="5" xfId="35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0" fillId="0" borderId="0" xfId="0" applyFont="1" applyBorder="1"/>
    <xf numFmtId="0" fontId="23" fillId="0" borderId="10" xfId="35" applyFont="1" applyFill="1" applyBorder="1" applyAlignment="1">
      <alignment horizontal="left" vertical="center" wrapText="1"/>
    </xf>
    <xf numFmtId="0" fontId="23" fillId="0" borderId="15" xfId="35" applyFont="1" applyFill="1" applyBorder="1" applyAlignment="1">
      <alignment horizontal="left" vertical="center" wrapText="1"/>
    </xf>
    <xf numFmtId="0" fontId="38" fillId="0" borderId="10" xfId="0" applyFont="1" applyFill="1" applyBorder="1" applyAlignment="1">
      <alignment vertical="center" wrapText="1"/>
    </xf>
    <xf numFmtId="178" fontId="23" fillId="7" borderId="5" xfId="0" applyNumberFormat="1" applyFont="1" applyFill="1" applyBorder="1" applyAlignment="1">
      <alignment horizontal="center" vertical="center"/>
    </xf>
    <xf numFmtId="0" fontId="38" fillId="0" borderId="5" xfId="0" applyFont="1" applyBorder="1" applyAlignment="1">
      <alignment vertical="center" wrapText="1"/>
    </xf>
    <xf numFmtId="0" fontId="23" fillId="0" borderId="11" xfId="35" applyFont="1" applyFill="1" applyBorder="1" applyAlignment="1">
      <alignment horizontal="left" vertical="center" wrapText="1"/>
    </xf>
    <xf numFmtId="0" fontId="23" fillId="0" borderId="10" xfId="35" applyFont="1" applyFill="1" applyBorder="1" applyAlignment="1">
      <alignment horizontal="center" vertical="center"/>
    </xf>
    <xf numFmtId="0" fontId="23" fillId="0" borderId="19" xfId="35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right" vertical="center"/>
    </xf>
    <xf numFmtId="0" fontId="38" fillId="0" borderId="5" xfId="35" applyFont="1" applyFill="1" applyBorder="1" applyAlignment="1">
      <alignment horizontal="right" vertical="center"/>
    </xf>
    <xf numFmtId="17" fontId="23" fillId="7" borderId="5" xfId="35" applyNumberFormat="1" applyFont="1" applyFill="1" applyBorder="1" applyAlignment="1">
      <alignment horizontal="center" vertical="center"/>
    </xf>
    <xf numFmtId="180" fontId="38" fillId="0" borderId="5" xfId="35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/>
    </xf>
    <xf numFmtId="2" fontId="23" fillId="0" borderId="23" xfId="0" applyNumberFormat="1" applyFont="1" applyFill="1" applyBorder="1" applyAlignment="1">
      <alignment horizontal="center" vertical="center"/>
    </xf>
    <xf numFmtId="17" fontId="23" fillId="0" borderId="5" xfId="35" applyNumberFormat="1" applyFont="1" applyFill="1" applyBorder="1" applyAlignment="1">
      <alignment horizontal="center" vertical="center"/>
    </xf>
    <xf numFmtId="0" fontId="22" fillId="0" borderId="0" xfId="15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17" fontId="23" fillId="0" borderId="10" xfId="35" applyNumberFormat="1" applyFont="1" applyFill="1" applyBorder="1" applyAlignment="1">
      <alignment horizontal="center" vertical="center"/>
    </xf>
    <xf numFmtId="0" fontId="38" fillId="0" borderId="46" xfId="0" applyFont="1" applyFill="1" applyBorder="1" applyAlignment="1">
      <alignment horizontal="center" vertical="center"/>
    </xf>
    <xf numFmtId="0" fontId="38" fillId="0" borderId="48" xfId="35" applyFont="1" applyFill="1" applyBorder="1" applyAlignment="1">
      <alignment horizontal="center" vertical="center" wrapText="1"/>
    </xf>
    <xf numFmtId="0" fontId="38" fillId="0" borderId="48" xfId="35" applyFont="1" applyFill="1" applyBorder="1" applyAlignment="1">
      <alignment vertical="center" wrapText="1"/>
    </xf>
    <xf numFmtId="0" fontId="38" fillId="0" borderId="5" xfId="35" applyNumberFormat="1" applyFont="1" applyFill="1" applyBorder="1" applyAlignment="1">
      <alignment horizontal="center" vertical="center" wrapText="1"/>
    </xf>
    <xf numFmtId="0" fontId="38" fillId="0" borderId="49" xfId="35" applyFont="1" applyFill="1" applyBorder="1" applyAlignment="1">
      <alignment horizontal="center" vertical="center" wrapText="1"/>
    </xf>
    <xf numFmtId="0" fontId="38" fillId="0" borderId="0" xfId="35" applyFont="1"/>
    <xf numFmtId="0" fontId="38" fillId="0" borderId="0" xfId="0" applyFont="1"/>
    <xf numFmtId="17" fontId="38" fillId="0" borderId="5" xfId="35" applyNumberFormat="1" applyFont="1" applyFill="1" applyBorder="1" applyAlignment="1">
      <alignment horizontal="center" vertical="center" wrapText="1"/>
    </xf>
    <xf numFmtId="4" fontId="38" fillId="0" borderId="11" xfId="0" applyNumberFormat="1" applyFont="1" applyFill="1" applyBorder="1" applyAlignment="1">
      <alignment horizontal="center" vertical="center"/>
    </xf>
    <xf numFmtId="1" fontId="38" fillId="0" borderId="48" xfId="0" applyNumberFormat="1" applyFont="1" applyBorder="1" applyAlignment="1">
      <alignment horizontal="center" vertical="center"/>
    </xf>
    <xf numFmtId="0" fontId="38" fillId="0" borderId="48" xfId="35" applyNumberFormat="1" applyFont="1" applyFill="1" applyBorder="1" applyAlignment="1">
      <alignment horizontal="center" vertical="center" wrapText="1"/>
    </xf>
    <xf numFmtId="178" fontId="38" fillId="0" borderId="48" xfId="0" applyNumberFormat="1" applyFont="1" applyBorder="1" applyAlignment="1">
      <alignment horizontal="center" vertical="center"/>
    </xf>
    <xf numFmtId="17" fontId="38" fillId="0" borderId="48" xfId="35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/>
    </xf>
    <xf numFmtId="4" fontId="37" fillId="7" borderId="10" xfId="0" applyNumberFormat="1" applyFont="1" applyFill="1" applyBorder="1" applyAlignment="1">
      <alignment horizontal="center" vertical="center"/>
    </xf>
    <xf numFmtId="4" fontId="22" fillId="7" borderId="0" xfId="35" applyNumberFormat="1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178" fontId="37" fillId="7" borderId="11" xfId="0" applyNumberFormat="1" applyFont="1" applyFill="1" applyBorder="1" applyAlignment="1">
      <alignment horizontal="center" vertical="center"/>
    </xf>
    <xf numFmtId="0" fontId="37" fillId="0" borderId="15" xfId="35" applyFont="1" applyFill="1" applyBorder="1" applyAlignment="1">
      <alignment horizontal="center" vertical="center" wrapText="1"/>
    </xf>
    <xf numFmtId="2" fontId="37" fillId="0" borderId="38" xfId="0" applyNumberFormat="1" applyFont="1" applyFill="1" applyBorder="1" applyAlignment="1">
      <alignment horizontal="center" vertical="center"/>
    </xf>
    <xf numFmtId="2" fontId="38" fillId="0" borderId="5" xfId="0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justify" vertical="center" wrapText="1"/>
    </xf>
    <xf numFmtId="0" fontId="34" fillId="0" borderId="10" xfId="0" applyFont="1" applyFill="1" applyBorder="1" applyAlignment="1">
      <alignment vertical="center" wrapText="1"/>
    </xf>
    <xf numFmtId="0" fontId="38" fillId="0" borderId="11" xfId="35" applyFont="1" applyFill="1" applyBorder="1" applyAlignment="1">
      <alignment horizontal="center" vertical="center" wrapText="1"/>
    </xf>
    <xf numFmtId="4" fontId="26" fillId="6" borderId="15" xfId="35" applyNumberFormat="1" applyFont="1" applyFill="1" applyBorder="1" applyAlignment="1">
      <alignment horizontal="center" vertical="center" wrapText="1"/>
    </xf>
    <xf numFmtId="10" fontId="26" fillId="6" borderId="15" xfId="35" applyNumberFormat="1" applyFont="1" applyFill="1" applyBorder="1" applyAlignment="1">
      <alignment horizontal="center" vertical="center" wrapText="1"/>
    </xf>
    <xf numFmtId="0" fontId="38" fillId="0" borderId="21" xfId="35" applyFont="1" applyFill="1" applyBorder="1" applyAlignment="1">
      <alignment horizontal="center" vertical="center" wrapText="1"/>
    </xf>
    <xf numFmtId="0" fontId="38" fillId="0" borderId="38" xfId="0" applyFont="1" applyBorder="1" applyAlignment="1">
      <alignment horizontal="center" vertical="center"/>
    </xf>
    <xf numFmtId="0" fontId="38" fillId="0" borderId="11" xfId="35" applyFont="1" applyFill="1" applyBorder="1" applyAlignment="1">
      <alignment vertical="center" wrapText="1"/>
    </xf>
    <xf numFmtId="4" fontId="38" fillId="0" borderId="11" xfId="35" applyNumberFormat="1" applyFont="1" applyFill="1" applyBorder="1" applyAlignment="1">
      <alignment horizontal="center" vertical="center" wrapText="1"/>
    </xf>
    <xf numFmtId="1" fontId="38" fillId="0" borderId="11" xfId="0" applyNumberFormat="1" applyFont="1" applyFill="1" applyBorder="1" applyAlignment="1">
      <alignment horizontal="center" vertical="center"/>
    </xf>
    <xf numFmtId="17" fontId="38" fillId="0" borderId="11" xfId="35" applyNumberFormat="1" applyFont="1" applyFill="1" applyBorder="1" applyAlignment="1">
      <alignment horizontal="center" vertical="center" wrapText="1"/>
    </xf>
    <xf numFmtId="4" fontId="37" fillId="7" borderId="11" xfId="0" applyNumberFormat="1" applyFont="1" applyFill="1" applyBorder="1" applyAlignment="1">
      <alignment horizontal="center" vertical="center"/>
    </xf>
    <xf numFmtId="1" fontId="37" fillId="7" borderId="11" xfId="0" applyNumberFormat="1" applyFont="1" applyFill="1" applyBorder="1" applyAlignment="1">
      <alignment horizontal="center" vertical="center"/>
    </xf>
    <xf numFmtId="0" fontId="37" fillId="0" borderId="10" xfId="0" applyFont="1" applyBorder="1" applyAlignment="1">
      <alignment vertical="center" wrapText="1"/>
    </xf>
    <xf numFmtId="0" fontId="37" fillId="0" borderId="10" xfId="35" applyFont="1" applyFill="1" applyBorder="1" applyAlignment="1">
      <alignment vertical="center" wrapText="1"/>
    </xf>
    <xf numFmtId="1" fontId="37" fillId="7" borderId="10" xfId="0" applyNumberFormat="1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178" fontId="37" fillId="7" borderId="10" xfId="0" applyNumberFormat="1" applyFont="1" applyFill="1" applyBorder="1" applyAlignment="1">
      <alignment horizontal="center" vertical="center"/>
    </xf>
    <xf numFmtId="0" fontId="37" fillId="0" borderId="19" xfId="35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justify" vertical="center" wrapText="1"/>
    </xf>
    <xf numFmtId="0" fontId="30" fillId="0" borderId="33" xfId="0" applyFont="1" applyFill="1" applyBorder="1" applyAlignment="1">
      <alignment horizontal="justify" vertical="center" wrapText="1"/>
    </xf>
    <xf numFmtId="2" fontId="30" fillId="0" borderId="0" xfId="0" applyNumberFormat="1" applyFont="1"/>
    <xf numFmtId="0" fontId="38" fillId="0" borderId="10" xfId="35" applyFont="1" applyFill="1" applyBorder="1" applyAlignment="1">
      <alignment horizontal="right" vertical="center"/>
    </xf>
    <xf numFmtId="0" fontId="38" fillId="0" borderId="10" xfId="35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horizontal="center" vertical="center"/>
    </xf>
    <xf numFmtId="178" fontId="38" fillId="0" borderId="10" xfId="0" applyNumberFormat="1" applyFont="1" applyFill="1" applyBorder="1" applyAlignment="1">
      <alignment horizontal="center" vertical="center"/>
    </xf>
    <xf numFmtId="17" fontId="38" fillId="0" borderId="10" xfId="35" applyNumberFormat="1" applyFont="1" applyFill="1" applyBorder="1" applyAlignment="1">
      <alignment horizontal="center" vertical="center"/>
    </xf>
    <xf numFmtId="1" fontId="38" fillId="0" borderId="10" xfId="0" applyNumberFormat="1" applyFont="1" applyFill="1" applyBorder="1" applyAlignment="1">
      <alignment horizontal="center" vertical="center"/>
    </xf>
    <xf numFmtId="0" fontId="38" fillId="0" borderId="11" xfId="0" applyFont="1" applyBorder="1" applyAlignment="1">
      <alignment vertical="center" wrapText="1"/>
    </xf>
    <xf numFmtId="0" fontId="38" fillId="0" borderId="11" xfId="0" applyFont="1" applyBorder="1" applyAlignment="1">
      <alignment horizontal="center" vertical="center"/>
    </xf>
    <xf numFmtId="17" fontId="23" fillId="0" borderId="14" xfId="35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24" xfId="0" applyFont="1" applyFill="1" applyBorder="1" applyAlignment="1">
      <alignment horizontal="center" vertical="center"/>
    </xf>
    <xf numFmtId="178" fontId="38" fillId="0" borderId="11" xfId="0" applyNumberFormat="1" applyFont="1" applyFill="1" applyBorder="1" applyAlignment="1">
      <alignment horizontal="center" vertical="center"/>
    </xf>
    <xf numFmtId="2" fontId="38" fillId="0" borderId="10" xfId="35" applyNumberFormat="1" applyFont="1" applyFill="1" applyBorder="1" applyAlignment="1">
      <alignment horizontal="center" vertical="center"/>
    </xf>
    <xf numFmtId="179" fontId="38" fillId="0" borderId="10" xfId="35" applyNumberFormat="1" applyFont="1" applyFill="1" applyBorder="1" applyAlignment="1">
      <alignment horizontal="center" vertical="center"/>
    </xf>
    <xf numFmtId="2" fontId="38" fillId="0" borderId="18" xfId="0" applyNumberFormat="1" applyFont="1" applyFill="1" applyBorder="1" applyAlignment="1">
      <alignment horizontal="center" vertical="center"/>
    </xf>
    <xf numFmtId="2" fontId="23" fillId="0" borderId="10" xfId="35" applyNumberFormat="1" applyFont="1" applyFill="1" applyBorder="1" applyAlignment="1">
      <alignment horizontal="center" vertical="center"/>
    </xf>
    <xf numFmtId="179" fontId="23" fillId="0" borderId="10" xfId="35" applyNumberFormat="1" applyFont="1" applyFill="1" applyBorder="1" applyAlignment="1">
      <alignment horizontal="center" vertical="center"/>
    </xf>
    <xf numFmtId="0" fontId="23" fillId="0" borderId="37" xfId="35" applyFont="1" applyFill="1" applyBorder="1" applyAlignment="1">
      <alignment horizontal="right" vertical="center"/>
    </xf>
    <xf numFmtId="0" fontId="38" fillId="0" borderId="18" xfId="0" applyFont="1" applyBorder="1" applyAlignment="1">
      <alignment horizontal="center" vertical="center"/>
    </xf>
    <xf numFmtId="2" fontId="23" fillId="0" borderId="38" xfId="0" applyNumberFormat="1" applyFont="1" applyFill="1" applyBorder="1" applyAlignment="1">
      <alignment horizontal="center" vertical="center"/>
    </xf>
    <xf numFmtId="2" fontId="37" fillId="0" borderId="5" xfId="0" applyNumberFormat="1" applyFont="1" applyFill="1" applyBorder="1" applyAlignment="1">
      <alignment horizontal="center" vertical="center"/>
    </xf>
    <xf numFmtId="2" fontId="23" fillId="0" borderId="11" xfId="35" applyNumberFormat="1" applyFont="1" applyFill="1" applyBorder="1" applyAlignment="1">
      <alignment horizontal="center" vertical="center" wrapText="1"/>
    </xf>
    <xf numFmtId="179" fontId="23" fillId="0" borderId="11" xfId="35" applyNumberFormat="1" applyFont="1" applyFill="1" applyBorder="1" applyAlignment="1">
      <alignment horizontal="center" vertical="center"/>
    </xf>
    <xf numFmtId="0" fontId="23" fillId="0" borderId="11" xfId="35" applyNumberFormat="1" applyFont="1" applyFill="1" applyBorder="1" applyAlignment="1">
      <alignment horizontal="center" vertical="center"/>
    </xf>
    <xf numFmtId="0" fontId="28" fillId="0" borderId="11" xfId="35" applyFont="1" applyFill="1" applyBorder="1" applyAlignment="1">
      <alignment horizontal="center" vertical="center" wrapText="1"/>
    </xf>
    <xf numFmtId="179" fontId="38" fillId="0" borderId="18" xfId="0" applyNumberFormat="1" applyFont="1" applyFill="1" applyBorder="1" applyAlignment="1">
      <alignment horizontal="center" vertical="center"/>
    </xf>
    <xf numFmtId="1" fontId="37" fillId="0" borderId="5" xfId="35" applyNumberFormat="1" applyFont="1" applyFill="1" applyBorder="1" applyAlignment="1">
      <alignment horizontal="center" vertical="center" wrapText="1"/>
    </xf>
    <xf numFmtId="0" fontId="30" fillId="0" borderId="36" xfId="0" applyFont="1" applyFill="1" applyBorder="1" applyAlignment="1">
      <alignment horizontal="justify" vertical="center" wrapText="1"/>
    </xf>
    <xf numFmtId="0" fontId="30" fillId="0" borderId="13" xfId="0" applyFont="1" applyFill="1" applyBorder="1" applyAlignment="1">
      <alignment horizontal="justify" vertical="center" wrapText="1"/>
    </xf>
    <xf numFmtId="0" fontId="30" fillId="0" borderId="28" xfId="0" applyFont="1" applyFill="1" applyBorder="1" applyAlignment="1">
      <alignment horizontal="justify" vertical="center" wrapText="1"/>
    </xf>
    <xf numFmtId="0" fontId="30" fillId="0" borderId="40" xfId="0" applyFont="1" applyFill="1" applyBorder="1" applyAlignment="1">
      <alignment horizontal="justify" vertical="center" wrapText="1"/>
    </xf>
    <xf numFmtId="0" fontId="30" fillId="0" borderId="34" xfId="0" applyFont="1" applyFill="1" applyBorder="1" applyAlignment="1">
      <alignment horizontal="justify" vertical="center" wrapText="1"/>
    </xf>
    <xf numFmtId="0" fontId="30" fillId="0" borderId="41" xfId="0" applyFont="1" applyFill="1" applyBorder="1" applyAlignment="1">
      <alignment horizontal="justify" vertical="center" wrapText="1"/>
    </xf>
    <xf numFmtId="0" fontId="39" fillId="0" borderId="0" xfId="0" applyFont="1" applyFill="1" applyAlignment="1">
      <alignment horizontal="left"/>
    </xf>
    <xf numFmtId="0" fontId="37" fillId="0" borderId="11" xfId="0" applyFont="1" applyFill="1" applyBorder="1" applyAlignment="1">
      <alignment vertical="center" wrapText="1"/>
    </xf>
    <xf numFmtId="1" fontId="37" fillId="0" borderId="11" xfId="35" applyNumberFormat="1" applyFont="1" applyFill="1" applyBorder="1" applyAlignment="1">
      <alignment horizontal="center" vertical="center" wrapText="1"/>
    </xf>
    <xf numFmtId="2" fontId="37" fillId="0" borderId="24" xfId="0" applyNumberFormat="1" applyFont="1" applyFill="1" applyBorder="1" applyAlignment="1">
      <alignment horizontal="center" vertical="center"/>
    </xf>
    <xf numFmtId="0" fontId="37" fillId="0" borderId="15" xfId="35" applyFont="1" applyFill="1" applyBorder="1" applyAlignment="1">
      <alignment vertical="center" wrapText="1"/>
    </xf>
    <xf numFmtId="1" fontId="37" fillId="0" borderId="15" xfId="35" applyNumberFormat="1" applyFont="1" applyFill="1" applyBorder="1" applyAlignment="1">
      <alignment horizontal="center" vertical="center" wrapText="1"/>
    </xf>
    <xf numFmtId="0" fontId="38" fillId="0" borderId="5" xfId="35" applyFont="1" applyFill="1" applyBorder="1" applyAlignment="1">
      <alignment horizontal="center" vertical="center" wrapText="1"/>
    </xf>
    <xf numFmtId="2" fontId="34" fillId="0" borderId="10" xfId="35" applyNumberFormat="1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4" fillId="0" borderId="20" xfId="35" applyFont="1" applyFill="1" applyBorder="1" applyAlignment="1">
      <alignment horizontal="center" vertical="center" wrapText="1"/>
    </xf>
    <xf numFmtId="0" fontId="37" fillId="0" borderId="5" xfId="35" applyFont="1" applyFill="1" applyBorder="1" applyAlignment="1">
      <alignment horizontal="center" vertical="center" wrapText="1"/>
    </xf>
    <xf numFmtId="0" fontId="34" fillId="0" borderId="10" xfId="35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78" fontId="37" fillId="0" borderId="5" xfId="35" applyNumberFormat="1" applyFont="1" applyFill="1" applyBorder="1" applyAlignment="1">
      <alignment horizontal="center" vertical="center" wrapText="1"/>
    </xf>
    <xf numFmtId="0" fontId="37" fillId="0" borderId="0" xfId="35" applyFont="1"/>
    <xf numFmtId="0" fontId="37" fillId="0" borderId="0" xfId="0" applyFont="1"/>
    <xf numFmtId="0" fontId="23" fillId="0" borderId="5" xfId="0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justify" vertical="center" wrapText="1"/>
    </xf>
    <xf numFmtId="0" fontId="37" fillId="0" borderId="5" xfId="35" applyFont="1" applyFill="1" applyBorder="1" applyAlignment="1">
      <alignment horizontal="center" vertical="center" wrapText="1"/>
    </xf>
    <xf numFmtId="178" fontId="37" fillId="0" borderId="11" xfId="35" applyNumberFormat="1" applyFont="1" applyFill="1" applyBorder="1" applyAlignment="1">
      <alignment horizontal="center" vertical="center" wrapText="1"/>
    </xf>
    <xf numFmtId="4" fontId="37" fillId="0" borderId="15" xfId="35" applyNumberFormat="1" applyFont="1" applyFill="1" applyBorder="1" applyAlignment="1">
      <alignment horizontal="center" vertical="center" wrapText="1"/>
    </xf>
    <xf numFmtId="178" fontId="37" fillId="0" borderId="15" xfId="35" applyNumberFormat="1" applyFont="1" applyFill="1" applyBorder="1" applyAlignment="1">
      <alignment horizontal="center" vertical="center" wrapText="1"/>
    </xf>
    <xf numFmtId="0" fontId="37" fillId="0" borderId="5" xfId="35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 wrapText="1"/>
    </xf>
    <xf numFmtId="0" fontId="34" fillId="0" borderId="10" xfId="35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/>
    </xf>
    <xf numFmtId="0" fontId="23" fillId="0" borderId="43" xfId="35" applyFont="1" applyFill="1" applyBorder="1" applyAlignment="1">
      <alignment horizontal="center" vertical="center"/>
    </xf>
    <xf numFmtId="0" fontId="32" fillId="0" borderId="0" xfId="0" applyFont="1" applyFill="1"/>
    <xf numFmtId="0" fontId="30" fillId="0" borderId="32" xfId="0" applyFont="1" applyBorder="1" applyAlignment="1">
      <alignment horizontal="justify" vertical="center" wrapText="1"/>
    </xf>
    <xf numFmtId="0" fontId="30" fillId="0" borderId="29" xfId="0" applyFont="1" applyBorder="1"/>
    <xf numFmtId="0" fontId="30" fillId="0" borderId="66" xfId="0" applyFont="1" applyBorder="1" applyAlignment="1">
      <alignment horizontal="justify" vertical="center"/>
    </xf>
    <xf numFmtId="0" fontId="30" fillId="0" borderId="47" xfId="0" applyFont="1" applyBorder="1"/>
    <xf numFmtId="0" fontId="30" fillId="0" borderId="27" xfId="0" applyFont="1" applyBorder="1"/>
    <xf numFmtId="0" fontId="30" fillId="0" borderId="27" xfId="0" applyFont="1" applyBorder="1" applyAlignment="1">
      <alignment horizontal="justify" vertical="center"/>
    </xf>
    <xf numFmtId="0" fontId="32" fillId="0" borderId="47" xfId="0" applyFont="1" applyBorder="1"/>
    <xf numFmtId="0" fontId="22" fillId="0" borderId="27" xfId="15" applyFont="1" applyBorder="1" applyAlignment="1">
      <alignment horizontal="left" vertical="center"/>
    </xf>
    <xf numFmtId="0" fontId="24" fillId="0" borderId="27" xfId="15" applyFont="1" applyBorder="1"/>
    <xf numFmtId="0" fontId="33" fillId="0" borderId="27" xfId="0" applyFont="1" applyBorder="1" applyAlignment="1">
      <alignment horizontal="left" vertical="center"/>
    </xf>
    <xf numFmtId="0" fontId="22" fillId="0" borderId="27" xfId="35" applyFont="1" applyFill="1" applyBorder="1" applyAlignment="1">
      <alignment horizontal="left" vertical="center" wrapText="1"/>
    </xf>
    <xf numFmtId="0" fontId="33" fillId="0" borderId="47" xfId="0" applyFont="1" applyBorder="1" applyAlignment="1">
      <alignment horizontal="left" vertical="center"/>
    </xf>
    <xf numFmtId="0" fontId="23" fillId="0" borderId="27" xfId="35" applyFont="1" applyBorder="1"/>
    <xf numFmtId="0" fontId="23" fillId="0" borderId="47" xfId="35" applyFont="1" applyBorder="1"/>
    <xf numFmtId="0" fontId="23" fillId="0" borderId="67" xfId="35" applyFont="1" applyBorder="1"/>
    <xf numFmtId="0" fontId="23" fillId="0" borderId="40" xfId="35" applyFont="1" applyBorder="1"/>
    <xf numFmtId="1" fontId="34" fillId="0" borderId="5" xfId="35" applyNumberFormat="1" applyFont="1" applyFill="1" applyBorder="1" applyAlignment="1">
      <alignment horizontal="center" vertical="center" wrapText="1"/>
    </xf>
    <xf numFmtId="0" fontId="23" fillId="0" borderId="16" xfId="35" applyFont="1" applyFill="1" applyBorder="1" applyAlignment="1">
      <alignment horizontal="center" vertical="center" wrapText="1"/>
    </xf>
    <xf numFmtId="0" fontId="23" fillId="0" borderId="4" xfId="35" applyFont="1" applyFill="1" applyBorder="1" applyAlignment="1">
      <alignment horizontal="center" vertical="center" wrapText="1"/>
    </xf>
    <xf numFmtId="0" fontId="23" fillId="0" borderId="12" xfId="35" applyFont="1" applyFill="1" applyBorder="1" applyAlignment="1">
      <alignment horizontal="center" vertical="center" wrapText="1"/>
    </xf>
    <xf numFmtId="1" fontId="23" fillId="0" borderId="15" xfId="0" applyNumberFormat="1" applyFont="1" applyBorder="1" applyAlignment="1">
      <alignment horizontal="center" vertical="center"/>
    </xf>
    <xf numFmtId="1" fontId="23" fillId="0" borderId="22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center" vertical="center"/>
    </xf>
    <xf numFmtId="0" fontId="23" fillId="0" borderId="15" xfId="35" applyFont="1" applyFill="1" applyBorder="1" applyAlignment="1">
      <alignment horizontal="center" vertical="center" wrapText="1"/>
    </xf>
    <xf numFmtId="0" fontId="23" fillId="0" borderId="22" xfId="35" applyFont="1" applyFill="1" applyBorder="1" applyAlignment="1">
      <alignment horizontal="center" vertical="center" wrapText="1"/>
    </xf>
    <xf numFmtId="0" fontId="23" fillId="0" borderId="10" xfId="35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0" fontId="30" fillId="0" borderId="18" xfId="0" applyFont="1" applyFill="1" applyBorder="1" applyAlignment="1">
      <alignment horizontal="center" vertical="center"/>
    </xf>
    <xf numFmtId="178" fontId="23" fillId="0" borderId="15" xfId="0" applyNumberFormat="1" applyFont="1" applyFill="1" applyBorder="1" applyAlignment="1">
      <alignment horizontal="center" vertical="center"/>
    </xf>
    <xf numFmtId="178" fontId="23" fillId="0" borderId="22" xfId="0" applyNumberFormat="1" applyFont="1" applyFill="1" applyBorder="1" applyAlignment="1">
      <alignment horizontal="center" vertical="center"/>
    </xf>
    <xf numFmtId="178" fontId="23" fillId="0" borderId="10" xfId="0" applyNumberFormat="1" applyFont="1" applyFill="1" applyBorder="1" applyAlignment="1">
      <alignment horizontal="center" vertical="center"/>
    </xf>
    <xf numFmtId="178" fontId="23" fillId="0" borderId="15" xfId="0" applyNumberFormat="1" applyFont="1" applyBorder="1" applyAlignment="1">
      <alignment horizontal="center" vertical="center"/>
    </xf>
    <xf numFmtId="178" fontId="23" fillId="0" borderId="22" xfId="0" applyNumberFormat="1" applyFont="1" applyBorder="1" applyAlignment="1">
      <alignment horizontal="center" vertical="center"/>
    </xf>
    <xf numFmtId="178" fontId="23" fillId="0" borderId="10" xfId="0" applyNumberFormat="1" applyFont="1" applyBorder="1" applyAlignment="1">
      <alignment horizontal="center" vertical="center"/>
    </xf>
    <xf numFmtId="0" fontId="35" fillId="9" borderId="0" xfId="0" applyFont="1" applyFill="1" applyBorder="1" applyAlignment="1">
      <alignment horizontal="center" vertical="center" wrapText="1"/>
    </xf>
    <xf numFmtId="0" fontId="35" fillId="9" borderId="50" xfId="0" applyFont="1" applyFill="1" applyBorder="1" applyAlignment="1">
      <alignment horizontal="center" vertical="center" wrapText="1"/>
    </xf>
    <xf numFmtId="0" fontId="35" fillId="9" borderId="0" xfId="0" applyFont="1" applyFill="1" applyBorder="1" applyAlignment="1">
      <alignment horizontal="center" vertical="center"/>
    </xf>
    <xf numFmtId="0" fontId="35" fillId="9" borderId="50" xfId="0" applyFont="1" applyFill="1" applyBorder="1" applyAlignment="1">
      <alignment horizontal="center" vertical="center"/>
    </xf>
    <xf numFmtId="0" fontId="23" fillId="0" borderId="5" xfId="36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37" xfId="35" applyFont="1" applyFill="1" applyBorder="1" applyAlignment="1">
      <alignment horizontal="center" vertical="center" wrapText="1"/>
    </xf>
    <xf numFmtId="0" fontId="23" fillId="0" borderId="43" xfId="35" applyFont="1" applyFill="1" applyBorder="1" applyAlignment="1">
      <alignment horizontal="center" vertical="center" wrapText="1"/>
    </xf>
    <xf numFmtId="0" fontId="23" fillId="0" borderId="5" xfId="35" applyFont="1" applyFill="1" applyBorder="1" applyAlignment="1">
      <alignment horizontal="center" vertical="center" wrapText="1"/>
    </xf>
    <xf numFmtId="0" fontId="23" fillId="0" borderId="39" xfId="35" applyFont="1" applyFill="1" applyBorder="1" applyAlignment="1">
      <alignment horizontal="center" vertical="center" wrapText="1"/>
    </xf>
    <xf numFmtId="0" fontId="23" fillId="0" borderId="51" xfId="35" applyFont="1" applyFill="1" applyBorder="1" applyAlignment="1">
      <alignment horizontal="center" vertical="center" wrapText="1"/>
    </xf>
    <xf numFmtId="0" fontId="34" fillId="0" borderId="20" xfId="35" applyFont="1" applyFill="1" applyBorder="1" applyAlignment="1">
      <alignment horizontal="center" vertical="center" wrapText="1"/>
    </xf>
    <xf numFmtId="0" fontId="34" fillId="0" borderId="19" xfId="35" applyFont="1" applyFill="1" applyBorder="1" applyAlignment="1">
      <alignment horizontal="center" vertical="center" wrapText="1"/>
    </xf>
    <xf numFmtId="0" fontId="38" fillId="0" borderId="37" xfId="35" applyFont="1" applyFill="1" applyBorder="1" applyAlignment="1">
      <alignment horizontal="center" vertical="center"/>
    </xf>
    <xf numFmtId="0" fontId="38" fillId="0" borderId="43" xfId="35" applyFont="1" applyFill="1" applyBorder="1" applyAlignment="1">
      <alignment horizontal="center" vertical="center"/>
    </xf>
    <xf numFmtId="0" fontId="23" fillId="0" borderId="45" xfId="35" applyFont="1" applyFill="1" applyBorder="1" applyAlignment="1">
      <alignment horizontal="center" vertical="center" wrapText="1"/>
    </xf>
    <xf numFmtId="0" fontId="23" fillId="0" borderId="6" xfId="35" applyFont="1" applyFill="1" applyBorder="1" applyAlignment="1">
      <alignment horizontal="center" vertical="center" wrapText="1"/>
    </xf>
    <xf numFmtId="2" fontId="34" fillId="0" borderId="15" xfId="35" applyNumberFormat="1" applyFont="1" applyFill="1" applyBorder="1" applyAlignment="1">
      <alignment horizontal="center" vertical="center" wrapText="1"/>
    </xf>
    <xf numFmtId="2" fontId="34" fillId="0" borderId="10" xfId="35" applyNumberFormat="1" applyFont="1" applyFill="1" applyBorder="1" applyAlignment="1">
      <alignment horizontal="center" vertical="center" wrapText="1"/>
    </xf>
    <xf numFmtId="10" fontId="26" fillId="6" borderId="5" xfId="35" applyNumberFormat="1" applyFont="1" applyFill="1" applyBorder="1" applyAlignment="1">
      <alignment horizontal="center" vertical="center" wrapText="1"/>
    </xf>
    <xf numFmtId="10" fontId="26" fillId="6" borderId="11" xfId="35" applyNumberFormat="1" applyFont="1" applyFill="1" applyBorder="1" applyAlignment="1">
      <alignment horizontal="center" vertical="center" wrapText="1"/>
    </xf>
    <xf numFmtId="0" fontId="26" fillId="6" borderId="5" xfId="35" applyFont="1" applyFill="1" applyBorder="1" applyAlignment="1">
      <alignment horizontal="center" vertical="center" wrapText="1"/>
    </xf>
    <xf numFmtId="0" fontId="26" fillId="6" borderId="16" xfId="35" applyFont="1" applyFill="1" applyBorder="1" applyAlignment="1">
      <alignment horizontal="center" vertical="center" wrapText="1"/>
    </xf>
    <xf numFmtId="0" fontId="26" fillId="6" borderId="52" xfId="35" applyFont="1" applyFill="1" applyBorder="1" applyAlignment="1">
      <alignment horizontal="center" vertical="center" wrapText="1"/>
    </xf>
    <xf numFmtId="0" fontId="26" fillId="6" borderId="11" xfId="35" applyFont="1" applyFill="1" applyBorder="1" applyAlignment="1">
      <alignment horizontal="center" vertical="center" wrapText="1"/>
    </xf>
    <xf numFmtId="0" fontId="26" fillId="6" borderId="17" xfId="35" applyFont="1" applyFill="1" applyBorder="1" applyAlignment="1">
      <alignment horizontal="center" vertical="center" wrapText="1"/>
    </xf>
    <xf numFmtId="0" fontId="26" fillId="6" borderId="21" xfId="35" applyFont="1" applyFill="1" applyBorder="1" applyAlignment="1">
      <alignment horizontal="center" vertical="center" wrapText="1"/>
    </xf>
    <xf numFmtId="0" fontId="23" fillId="0" borderId="53" xfId="35" applyFont="1" applyFill="1" applyBorder="1" applyAlignment="1">
      <alignment horizontal="center" vertical="center" wrapText="1"/>
    </xf>
    <xf numFmtId="0" fontId="23" fillId="0" borderId="54" xfId="35" applyFont="1" applyFill="1" applyBorder="1" applyAlignment="1">
      <alignment horizontal="center" vertical="center" wrapText="1"/>
    </xf>
    <xf numFmtId="0" fontId="26" fillId="6" borderId="37" xfId="35" applyFont="1" applyFill="1" applyBorder="1" applyAlignment="1">
      <alignment horizontal="center" vertical="center" wrapText="1"/>
    </xf>
    <xf numFmtId="0" fontId="26" fillId="6" borderId="39" xfId="35" applyFont="1" applyFill="1" applyBorder="1" applyAlignment="1">
      <alignment horizontal="center" vertical="center" wrapText="1"/>
    </xf>
    <xf numFmtId="0" fontId="25" fillId="6" borderId="55" xfId="35" applyFont="1" applyFill="1" applyBorder="1" applyAlignment="1">
      <alignment horizontal="left" vertical="center" wrapText="1"/>
    </xf>
    <xf numFmtId="0" fontId="25" fillId="6" borderId="56" xfId="35" applyFont="1" applyFill="1" applyBorder="1" applyAlignment="1">
      <alignment horizontal="left" vertical="center" wrapText="1"/>
    </xf>
    <xf numFmtId="0" fontId="25" fillId="6" borderId="44" xfId="35" applyFont="1" applyFill="1" applyBorder="1" applyAlignment="1">
      <alignment horizontal="left" vertical="center" wrapText="1"/>
    </xf>
    <xf numFmtId="0" fontId="26" fillId="6" borderId="23" xfId="35" applyFont="1" applyFill="1" applyBorder="1" applyAlignment="1">
      <alignment horizontal="center" vertical="center" wrapText="1"/>
    </xf>
    <xf numFmtId="0" fontId="26" fillId="6" borderId="38" xfId="35" applyFont="1" applyFill="1" applyBorder="1" applyAlignment="1">
      <alignment horizontal="center" vertical="center" wrapText="1"/>
    </xf>
    <xf numFmtId="0" fontId="26" fillId="6" borderId="5" xfId="35" applyFont="1" applyFill="1" applyBorder="1" applyAlignment="1">
      <alignment horizontal="center" vertical="center"/>
    </xf>
    <xf numFmtId="0" fontId="26" fillId="6" borderId="45" xfId="35" applyFont="1" applyFill="1" applyBorder="1" applyAlignment="1">
      <alignment horizontal="center" vertical="center" wrapText="1"/>
    </xf>
    <xf numFmtId="0" fontId="26" fillId="6" borderId="57" xfId="35" applyFont="1" applyFill="1" applyBorder="1" applyAlignment="1">
      <alignment horizontal="center" vertical="center" wrapText="1"/>
    </xf>
    <xf numFmtId="0" fontId="38" fillId="0" borderId="37" xfId="35" applyFont="1" applyFill="1" applyBorder="1" applyAlignment="1">
      <alignment horizontal="center" vertical="center" wrapText="1"/>
    </xf>
    <xf numFmtId="0" fontId="38" fillId="0" borderId="43" xfId="35" applyFont="1" applyFill="1" applyBorder="1" applyAlignment="1">
      <alignment horizontal="center" vertical="center" wrapText="1"/>
    </xf>
    <xf numFmtId="0" fontId="38" fillId="0" borderId="52" xfId="35" applyFont="1" applyFill="1" applyBorder="1" applyAlignment="1">
      <alignment horizontal="center" vertical="center" wrapText="1"/>
    </xf>
    <xf numFmtId="0" fontId="38" fillId="0" borderId="57" xfId="35" applyFont="1" applyFill="1" applyBorder="1" applyAlignment="1">
      <alignment horizontal="center" vertical="center" wrapText="1"/>
    </xf>
    <xf numFmtId="0" fontId="38" fillId="0" borderId="12" xfId="35" applyFont="1" applyFill="1" applyBorder="1" applyAlignment="1">
      <alignment horizontal="center" vertical="center" wrapText="1"/>
    </xf>
    <xf numFmtId="0" fontId="38" fillId="0" borderId="6" xfId="35" applyFont="1" applyFill="1" applyBorder="1" applyAlignment="1">
      <alignment horizontal="center" vertical="center" wrapText="1"/>
    </xf>
    <xf numFmtId="0" fontId="38" fillId="0" borderId="5" xfId="35" applyFont="1" applyFill="1" applyBorder="1" applyAlignment="1">
      <alignment horizontal="center" vertical="center" wrapText="1"/>
    </xf>
    <xf numFmtId="0" fontId="26" fillId="6" borderId="15" xfId="35" applyFont="1" applyFill="1" applyBorder="1" applyAlignment="1">
      <alignment horizontal="center" vertical="center" wrapText="1"/>
    </xf>
    <xf numFmtId="0" fontId="26" fillId="6" borderId="48" xfId="35" applyFont="1" applyFill="1" applyBorder="1" applyAlignment="1">
      <alignment horizontal="center" vertical="center" wrapText="1"/>
    </xf>
    <xf numFmtId="0" fontId="25" fillId="6" borderId="5" xfId="35" applyFont="1" applyFill="1" applyBorder="1" applyAlignment="1">
      <alignment horizontal="left" vertical="center" wrapText="1"/>
    </xf>
    <xf numFmtId="0" fontId="26" fillId="6" borderId="3" xfId="35" applyFont="1" applyFill="1" applyBorder="1" applyAlignment="1">
      <alignment horizontal="center" vertical="center" wrapText="1"/>
    </xf>
    <xf numFmtId="0" fontId="26" fillId="6" borderId="43" xfId="35" applyFont="1" applyFill="1" applyBorder="1" applyAlignment="1">
      <alignment horizontal="center" vertical="center" wrapText="1"/>
    </xf>
    <xf numFmtId="0" fontId="25" fillId="6" borderId="26" xfId="35" applyFont="1" applyFill="1" applyBorder="1" applyAlignment="1">
      <alignment horizontal="left" vertical="center" wrapText="1"/>
    </xf>
    <xf numFmtId="0" fontId="25" fillId="6" borderId="2" xfId="35" applyFont="1" applyFill="1" applyBorder="1" applyAlignment="1">
      <alignment horizontal="left" vertical="center" wrapText="1"/>
    </xf>
    <xf numFmtId="0" fontId="25" fillId="6" borderId="58" xfId="35" applyFont="1" applyFill="1" applyBorder="1" applyAlignment="1">
      <alignment horizontal="left" vertical="center" wrapText="1"/>
    </xf>
    <xf numFmtId="0" fontId="26" fillId="6" borderId="18" xfId="35" applyFont="1" applyFill="1" applyBorder="1" applyAlignment="1">
      <alignment horizontal="center" vertical="center" wrapText="1"/>
    </xf>
    <xf numFmtId="0" fontId="26" fillId="6" borderId="10" xfId="35" applyFont="1" applyFill="1" applyBorder="1" applyAlignment="1">
      <alignment horizontal="center" vertical="center" wrapText="1"/>
    </xf>
    <xf numFmtId="0" fontId="26" fillId="6" borderId="22" xfId="35" applyFont="1" applyFill="1" applyBorder="1" applyAlignment="1">
      <alignment horizontal="center" vertical="center" wrapText="1"/>
    </xf>
    <xf numFmtId="0" fontId="26" fillId="6" borderId="10" xfId="35" applyFont="1" applyFill="1" applyBorder="1" applyAlignment="1">
      <alignment horizontal="center" vertical="center"/>
    </xf>
    <xf numFmtId="0" fontId="26" fillId="6" borderId="12" xfId="35" applyFont="1" applyFill="1" applyBorder="1" applyAlignment="1">
      <alignment horizontal="center" vertical="center" wrapText="1"/>
    </xf>
    <xf numFmtId="0" fontId="26" fillId="6" borderId="19" xfId="35" applyFont="1" applyFill="1" applyBorder="1" applyAlignment="1">
      <alignment horizontal="center" vertical="center" wrapText="1"/>
    </xf>
    <xf numFmtId="0" fontId="30" fillId="0" borderId="61" xfId="0" applyFont="1" applyFill="1" applyBorder="1" applyAlignment="1">
      <alignment horizontal="center" vertical="center"/>
    </xf>
    <xf numFmtId="0" fontId="23" fillId="0" borderId="62" xfId="35" applyFont="1" applyFill="1" applyBorder="1" applyAlignment="1">
      <alignment horizontal="center" vertical="center" wrapText="1"/>
    </xf>
    <xf numFmtId="1" fontId="23" fillId="0" borderId="62" xfId="0" applyNumberFormat="1" applyFont="1" applyBorder="1" applyAlignment="1">
      <alignment horizontal="center" vertical="center"/>
    </xf>
    <xf numFmtId="0" fontId="23" fillId="0" borderId="62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8" fontId="23" fillId="0" borderId="62" xfId="0" applyNumberFormat="1" applyFont="1" applyFill="1" applyBorder="1" applyAlignment="1">
      <alignment horizontal="center" vertical="center"/>
    </xf>
    <xf numFmtId="0" fontId="22" fillId="0" borderId="0" xfId="35" applyFont="1" applyFill="1" applyBorder="1" applyAlignment="1">
      <alignment horizontal="left" vertical="center" wrapText="1"/>
    </xf>
    <xf numFmtId="0" fontId="25" fillId="6" borderId="63" xfId="35" applyFont="1" applyFill="1" applyBorder="1" applyAlignment="1">
      <alignment horizontal="left" vertical="center" wrapText="1"/>
    </xf>
    <xf numFmtId="0" fontId="25" fillId="6" borderId="64" xfId="35" applyFont="1" applyFill="1" applyBorder="1" applyAlignment="1">
      <alignment horizontal="left" vertical="center" wrapText="1"/>
    </xf>
    <xf numFmtId="0" fontId="25" fillId="6" borderId="65" xfId="35" applyFont="1" applyFill="1" applyBorder="1" applyAlignment="1">
      <alignment horizontal="left" vertical="center" wrapText="1"/>
    </xf>
    <xf numFmtId="0" fontId="26" fillId="6" borderId="6" xfId="35" applyFont="1" applyFill="1" applyBorder="1" applyAlignment="1">
      <alignment horizontal="center" vertical="center" wrapText="1"/>
    </xf>
    <xf numFmtId="0" fontId="23" fillId="0" borderId="60" xfId="35" applyFont="1" applyFill="1" applyBorder="1" applyAlignment="1">
      <alignment horizontal="center" vertical="center" wrapText="1"/>
    </xf>
    <xf numFmtId="0" fontId="23" fillId="0" borderId="59" xfId="35" applyFont="1" applyFill="1" applyBorder="1" applyAlignment="1">
      <alignment horizontal="center" vertical="center" wrapText="1"/>
    </xf>
    <xf numFmtId="0" fontId="23" fillId="0" borderId="19" xfId="35" applyFont="1" applyFill="1" applyBorder="1" applyAlignment="1">
      <alignment horizontal="center" vertical="center" wrapText="1"/>
    </xf>
    <xf numFmtId="0" fontId="35" fillId="6" borderId="10" xfId="35" applyFont="1" applyFill="1" applyBorder="1" applyAlignment="1">
      <alignment horizontal="center" vertical="center" wrapText="1"/>
    </xf>
    <xf numFmtId="0" fontId="35" fillId="6" borderId="11" xfId="35" applyFont="1" applyFill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47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31" fillId="0" borderId="47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22" fillId="0" borderId="47" xfId="35" applyFont="1" applyFill="1" applyBorder="1" applyAlignment="1">
      <alignment horizontal="center" vertical="center" wrapText="1"/>
    </xf>
    <xf numFmtId="0" fontId="22" fillId="0" borderId="27" xfId="35" applyFont="1" applyFill="1" applyBorder="1" applyAlignment="1">
      <alignment horizontal="center" vertical="center" wrapText="1"/>
    </xf>
  </cellXfs>
  <cellStyles count="58">
    <cellStyle name="0.0" xfId="1" xr:uid="{00000000-0005-0000-0000-000000000000}"/>
    <cellStyle name="ac" xfId="2" xr:uid="{00000000-0005-0000-0000-000001000000}"/>
    <cellStyle name="arial12" xfId="3" xr:uid="{00000000-0005-0000-0000-000002000000}"/>
    <cellStyle name="arial14" xfId="4" xr:uid="{00000000-0005-0000-0000-000003000000}"/>
    <cellStyle name="Bold 11" xfId="5" xr:uid="{00000000-0005-0000-0000-000004000000}"/>
    <cellStyle name="Comma0" xfId="6" xr:uid="{00000000-0005-0000-0000-000005000000}"/>
    <cellStyle name="Currency (0)" xfId="7" xr:uid="{00000000-0005-0000-0000-000006000000}"/>
    <cellStyle name="Currency (2)" xfId="8" xr:uid="{00000000-0005-0000-0000-000007000000}"/>
    <cellStyle name="Date" xfId="9" xr:uid="{00000000-0005-0000-0000-000008000000}"/>
    <cellStyle name="Date-Time" xfId="10" xr:uid="{00000000-0005-0000-0000-000009000000}"/>
    <cellStyle name="Decimal 1" xfId="11" xr:uid="{00000000-0005-0000-0000-00000A000000}"/>
    <cellStyle name="Decimal 2" xfId="12" xr:uid="{00000000-0005-0000-0000-00000B000000}"/>
    <cellStyle name="Decimal 3" xfId="13" xr:uid="{00000000-0005-0000-0000-00000C000000}"/>
    <cellStyle name="Euro" xfId="14" xr:uid="{00000000-0005-0000-0000-00000D000000}"/>
    <cellStyle name="Excel Built-in Normal" xfId="15" xr:uid="{00000000-0005-0000-0000-00000E000000}"/>
    <cellStyle name="Grey" xfId="16" xr:uid="{00000000-0005-0000-0000-00000F000000}"/>
    <cellStyle name="Header1" xfId="17" xr:uid="{00000000-0005-0000-0000-000010000000}"/>
    <cellStyle name="Header2" xfId="18" xr:uid="{00000000-0005-0000-0000-000011000000}"/>
    <cellStyle name="Input %" xfId="19" xr:uid="{00000000-0005-0000-0000-000012000000}"/>
    <cellStyle name="Input [yellow]" xfId="20" xr:uid="{00000000-0005-0000-0000-000013000000}"/>
    <cellStyle name="Input 1" xfId="21" xr:uid="{00000000-0005-0000-0000-000014000000}"/>
    <cellStyle name="Input 3" xfId="22" xr:uid="{00000000-0005-0000-0000-000015000000}"/>
    <cellStyle name="Millares [0]_RESULTS" xfId="23" xr:uid="{00000000-0005-0000-0000-000016000000}"/>
    <cellStyle name="Millares_RESULTS" xfId="24" xr:uid="{00000000-0005-0000-0000-000017000000}"/>
    <cellStyle name="Milliers [0]_EDYAN" xfId="25" xr:uid="{00000000-0005-0000-0000-000018000000}"/>
    <cellStyle name="Milliers_EDYAN" xfId="26" xr:uid="{00000000-0005-0000-0000-000019000000}"/>
    <cellStyle name="Moneda [0]_RESULTS" xfId="27" xr:uid="{00000000-0005-0000-0000-00001A000000}"/>
    <cellStyle name="Moneda_RESULTS" xfId="28" xr:uid="{00000000-0005-0000-0000-00001B000000}"/>
    <cellStyle name="Monétaire [0]_EDYAN" xfId="29" xr:uid="{00000000-0005-0000-0000-00001C000000}"/>
    <cellStyle name="Monétaire_EDYAN" xfId="30" xr:uid="{00000000-0005-0000-0000-00001D000000}"/>
    <cellStyle name="Month" xfId="31" xr:uid="{00000000-0005-0000-0000-00001E000000}"/>
    <cellStyle name="no dec" xfId="32" xr:uid="{00000000-0005-0000-0000-00001F000000}"/>
    <cellStyle name="Normal" xfId="0" builtinId="0"/>
    <cellStyle name="Normal - Style1" xfId="33" xr:uid="{00000000-0005-0000-0000-000021000000}"/>
    <cellStyle name="Normal 11" xfId="34" xr:uid="{00000000-0005-0000-0000-000022000000}"/>
    <cellStyle name="Normal 2" xfId="35" xr:uid="{00000000-0005-0000-0000-000023000000}"/>
    <cellStyle name="Normal 3" xfId="36" xr:uid="{00000000-0005-0000-0000-000024000000}"/>
    <cellStyle name="Numero" xfId="37" xr:uid="{00000000-0005-0000-0000-000025000000}"/>
    <cellStyle name="padroes" xfId="38" xr:uid="{00000000-0005-0000-0000-000026000000}"/>
    <cellStyle name="Percent ()" xfId="39" xr:uid="{00000000-0005-0000-0000-000027000000}"/>
    <cellStyle name="Percent (0)" xfId="40" xr:uid="{00000000-0005-0000-0000-000028000000}"/>
    <cellStyle name="Percent (1)" xfId="41" xr:uid="{00000000-0005-0000-0000-000029000000}"/>
    <cellStyle name="Percent [2]" xfId="42" xr:uid="{00000000-0005-0000-0000-00002A000000}"/>
    <cellStyle name="Percent 1" xfId="43" xr:uid="{00000000-0005-0000-0000-00002B000000}"/>
    <cellStyle name="Percent 2" xfId="44" xr:uid="{00000000-0005-0000-0000-00002C000000}"/>
    <cellStyle name="RAMEY" xfId="45" xr:uid="{00000000-0005-0000-0000-00002D000000}"/>
    <cellStyle name="Ramey $k" xfId="46" xr:uid="{00000000-0005-0000-0000-00002E000000}"/>
    <cellStyle name="RAMEY_P&amp;O BKUP" xfId="47" xr:uid="{00000000-0005-0000-0000-00002F000000}"/>
    <cellStyle name="Shaded" xfId="48" xr:uid="{00000000-0005-0000-0000-000030000000}"/>
    <cellStyle name="sub-total" xfId="49" xr:uid="{00000000-0005-0000-0000-000031000000}"/>
    <cellStyle name="Sum" xfId="50" xr:uid="{00000000-0005-0000-0000-000032000000}"/>
    <cellStyle name="Sum %of HV" xfId="51" xr:uid="{00000000-0005-0000-0000-000033000000}"/>
    <cellStyle name="Thousands (0)" xfId="52" xr:uid="{00000000-0005-0000-0000-000034000000}"/>
    <cellStyle name="Thousands (1)" xfId="53" xr:uid="{00000000-0005-0000-0000-000035000000}"/>
    <cellStyle name="time" xfId="54" xr:uid="{00000000-0005-0000-0000-000036000000}"/>
    <cellStyle name="Total" xfId="55" builtinId="25" customBuiltin="1"/>
    <cellStyle name="Underline 2" xfId="56" xr:uid="{00000000-0005-0000-0000-000038000000}"/>
    <cellStyle name="Year" xfId="57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314325</xdr:colOff>
      <xdr:row>2</xdr:row>
      <xdr:rowOff>200025</xdr:rowOff>
    </xdr:to>
    <xdr:pic>
      <xdr:nvPicPr>
        <xdr:cNvPr id="35923" name="Imagem 2" descr="Município de Cascavel">
          <a:extLst>
            <a:ext uri="{FF2B5EF4-FFF2-40B4-BE49-F238E27FC236}">
              <a16:creationId xmlns:a16="http://schemas.microsoft.com/office/drawing/2014/main" id="{00000000-0008-0000-0000-000053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763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57150</xdr:rowOff>
    </xdr:from>
    <xdr:to>
      <xdr:col>0</xdr:col>
      <xdr:colOff>1143000</xdr:colOff>
      <xdr:row>4</xdr:row>
      <xdr:rowOff>85725</xdr:rowOff>
    </xdr:to>
    <xdr:pic>
      <xdr:nvPicPr>
        <xdr:cNvPr id="33966" name="Imagem 2" descr="Município de Cascavel">
          <a:extLst>
            <a:ext uri="{FF2B5EF4-FFF2-40B4-BE49-F238E27FC236}">
              <a16:creationId xmlns:a16="http://schemas.microsoft.com/office/drawing/2014/main" id="{00000000-0008-0000-0100-0000AE8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7150"/>
          <a:ext cx="10287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elianea/AppData/Local/Microsoft/Windows/Temporary%20Internet%20Files/Content.Outlook/2XWPQ3GJ/NOVO%20PA-BID%20AGO-2015/PA%20%20PROCIDADES%20Cascavel%20Rev.%20MTA%2014-07-15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cesso%20tps\EXCEL\Orcamentos\Aeroporto-Infraero-Navegan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120">
          <cell r="E120" t="str">
            <v>Seleção Baseada na Qualidade e Custo (SBQC)</v>
          </cell>
        </row>
        <row r="121">
          <cell r="E121" t="str">
            <v>Seleção Baseada na Qualidade (SBQ)</v>
          </cell>
        </row>
        <row r="122">
          <cell r="E122" t="str">
            <v>Seleção Baseada nas Qualificações do Consultor (SQC)</v>
          </cell>
        </row>
        <row r="123">
          <cell r="E123" t="str">
            <v>Contratação Direta (CD)</v>
          </cell>
        </row>
        <row r="124">
          <cell r="E124" t="str">
            <v>Sistema Nacional (SN)</v>
          </cell>
        </row>
        <row r="125">
          <cell r="E125" t="str">
            <v>Seleção Baseada no Menor Custo (SBMC) </v>
          </cell>
        </row>
        <row r="126">
          <cell r="E126" t="str">
            <v>Seleção Baseada em Orçamento Fixo (SBOF)</v>
          </cell>
        </row>
        <row r="127">
          <cell r="E127" t="str">
            <v>Licitação Pública Nacional (LPN)</v>
          </cell>
        </row>
        <row r="128">
          <cell r="E128" t="str">
            <v>Comparação de Preços (CP)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E217"/>
  <sheetViews>
    <sheetView tabSelected="1" view="pageBreakPreview" topLeftCell="D70" zoomScale="80" zoomScaleNormal="70" zoomScaleSheetLayoutView="80" workbookViewId="0">
      <selection activeCell="D70" sqref="D70"/>
    </sheetView>
  </sheetViews>
  <sheetFormatPr defaultColWidth="8.7265625" defaultRowHeight="15.5"/>
  <cols>
    <col min="1" max="1" width="8.453125" style="2" customWidth="1"/>
    <col min="2" max="2" width="6.81640625" style="2" customWidth="1"/>
    <col min="3" max="3" width="64.81640625" style="2" customWidth="1"/>
    <col min="4" max="4" width="44.7265625" style="2" customWidth="1"/>
    <col min="5" max="5" width="38.1796875" style="2" customWidth="1"/>
    <col min="6" max="6" width="15.81640625" style="2" customWidth="1"/>
    <col min="7" max="7" width="12.81640625" style="2" customWidth="1"/>
    <col min="8" max="8" width="15.7265625" style="4" customWidth="1"/>
    <col min="9" max="9" width="15.7265625" style="5" customWidth="1"/>
    <col min="10" max="10" width="18" style="5" customWidth="1"/>
    <col min="11" max="11" width="12.7265625" style="2" customWidth="1"/>
    <col min="12" max="12" width="19.54296875" style="2" customWidth="1"/>
    <col min="13" max="13" width="15.54296875" style="2" customWidth="1"/>
    <col min="14" max="14" width="16.26953125" style="2" customWidth="1"/>
    <col min="15" max="17" width="18.81640625" style="2" customWidth="1"/>
    <col min="18" max="18" width="13" style="2" bestFit="1" customWidth="1"/>
    <col min="19" max="16384" width="8.7265625" style="2"/>
  </cols>
  <sheetData>
    <row r="1" spans="1:20">
      <c r="B1" s="3"/>
    </row>
    <row r="2" spans="1:20" ht="25.5" customHeight="1">
      <c r="B2" s="96"/>
      <c r="C2" s="262"/>
      <c r="D2" s="262" t="s">
        <v>15</v>
      </c>
      <c r="E2" s="262"/>
      <c r="F2" s="262"/>
      <c r="G2" s="262"/>
      <c r="H2" s="262"/>
      <c r="I2" s="262"/>
      <c r="J2" s="262"/>
      <c r="K2" s="262"/>
      <c r="L2" s="262"/>
      <c r="M2" s="262"/>
      <c r="N2" s="262"/>
      <c r="O2"/>
    </row>
    <row r="3" spans="1:20">
      <c r="B3" s="34"/>
      <c r="C3"/>
      <c r="D3" s="262" t="s">
        <v>160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0">
      <c r="B4" s="42"/>
      <c r="C4"/>
      <c r="D4" s="262" t="s">
        <v>21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20">
      <c r="B5" s="7"/>
      <c r="C5" s="262"/>
      <c r="D5" s="262" t="s">
        <v>159</v>
      </c>
      <c r="E5" s="1"/>
      <c r="F5" s="1"/>
      <c r="G5" s="1"/>
      <c r="H5" s="1"/>
      <c r="I5" s="1"/>
      <c r="J5" s="1"/>
      <c r="K5" s="1"/>
      <c r="L5" s="1"/>
      <c r="M5" s="1"/>
      <c r="N5" s="1"/>
      <c r="O5"/>
    </row>
    <row r="6" spans="1:20">
      <c r="B6" s="3"/>
    </row>
    <row r="7" spans="1:20">
      <c r="A7" s="277" t="s">
        <v>409</v>
      </c>
      <c r="B7" s="170"/>
      <c r="C7" s="170"/>
      <c r="D7" s="171" t="s">
        <v>146</v>
      </c>
      <c r="E7" s="249">
        <v>3.6749999999999998</v>
      </c>
    </row>
    <row r="8" spans="1:20">
      <c r="A8" s="8" t="s">
        <v>390</v>
      </c>
      <c r="B8" s="10"/>
      <c r="C8" s="10"/>
      <c r="G8" s="215"/>
    </row>
    <row r="9" spans="1:20">
      <c r="A9" s="8" t="s">
        <v>36</v>
      </c>
      <c r="B9" s="10"/>
      <c r="C9" s="10"/>
      <c r="D9" s="50"/>
      <c r="E9" s="8"/>
      <c r="G9" s="215"/>
    </row>
    <row r="11" spans="1:20" hidden="1">
      <c r="B11" s="11"/>
    </row>
    <row r="12" spans="1:20" ht="15.75" hidden="1" customHeight="1">
      <c r="B12" s="383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13"/>
      <c r="S12" s="13"/>
      <c r="T12" s="13"/>
    </row>
    <row r="13" spans="1:20" ht="15.75" customHeight="1" thickBot="1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  <c r="T13" s="13"/>
    </row>
    <row r="14" spans="1:20" ht="16" thickBot="1">
      <c r="A14" s="69">
        <v>1</v>
      </c>
      <c r="B14" s="384" t="s">
        <v>38</v>
      </c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6"/>
      <c r="R14" s="13"/>
      <c r="S14" s="13"/>
      <c r="T14" s="13"/>
    </row>
    <row r="15" spans="1:20" ht="14.5" customHeight="1">
      <c r="A15" s="30"/>
      <c r="B15" s="387" t="s">
        <v>39</v>
      </c>
      <c r="C15" s="371" t="s">
        <v>40</v>
      </c>
      <c r="D15" s="371" t="s">
        <v>41</v>
      </c>
      <c r="E15" s="371" t="s">
        <v>42</v>
      </c>
      <c r="F15" s="371" t="s">
        <v>43</v>
      </c>
      <c r="G15" s="371" t="s">
        <v>44</v>
      </c>
      <c r="H15" s="373" t="s">
        <v>45</v>
      </c>
      <c r="I15" s="373"/>
      <c r="J15" s="373"/>
      <c r="K15" s="391" t="s">
        <v>46</v>
      </c>
      <c r="L15" s="371" t="s">
        <v>47</v>
      </c>
      <c r="M15" s="371" t="s">
        <v>48</v>
      </c>
      <c r="N15" s="371"/>
      <c r="O15" s="371" t="s">
        <v>49</v>
      </c>
      <c r="P15" s="371" t="s">
        <v>50</v>
      </c>
      <c r="Q15" s="375" t="s">
        <v>17</v>
      </c>
      <c r="R15" s="13"/>
      <c r="S15" s="13"/>
      <c r="T15" s="13"/>
    </row>
    <row r="16" spans="1:20" ht="73.5" customHeight="1" thickBot="1">
      <c r="A16" s="68"/>
      <c r="B16" s="340"/>
      <c r="C16" s="340"/>
      <c r="D16" s="340"/>
      <c r="E16" s="340"/>
      <c r="F16" s="340"/>
      <c r="G16" s="340"/>
      <c r="H16" s="63" t="s">
        <v>51</v>
      </c>
      <c r="I16" s="64" t="s">
        <v>52</v>
      </c>
      <c r="J16" s="64" t="s">
        <v>53</v>
      </c>
      <c r="K16" s="392"/>
      <c r="L16" s="340"/>
      <c r="M16" s="62" t="s">
        <v>54</v>
      </c>
      <c r="N16" s="62" t="s">
        <v>55</v>
      </c>
      <c r="O16" s="340"/>
      <c r="P16" s="340"/>
      <c r="Q16" s="342"/>
      <c r="R16" s="13"/>
      <c r="S16" s="13"/>
      <c r="T16" s="13"/>
    </row>
    <row r="17" spans="1:20" ht="31.5" customHeight="1">
      <c r="A17" s="376">
        <v>1.1000000000000001</v>
      </c>
      <c r="B17" s="377" t="s">
        <v>5</v>
      </c>
      <c r="C17" s="377" t="s">
        <v>56</v>
      </c>
      <c r="D17" s="21" t="s">
        <v>149</v>
      </c>
      <c r="E17" s="377" t="s">
        <v>57</v>
      </c>
      <c r="F17" s="61">
        <v>1</v>
      </c>
      <c r="G17" s="377" t="s">
        <v>149</v>
      </c>
      <c r="H17" s="58">
        <f>SUM(41252899.49/E$7)/1000</f>
        <v>11225.278772789117</v>
      </c>
      <c r="I17" s="378">
        <v>60.76</v>
      </c>
      <c r="J17" s="378">
        <f>100-I17</f>
        <v>39.24</v>
      </c>
      <c r="K17" s="379" t="s">
        <v>22</v>
      </c>
      <c r="L17" s="377" t="s">
        <v>59</v>
      </c>
      <c r="M17" s="382" t="s">
        <v>60</v>
      </c>
      <c r="N17" s="53">
        <v>42082</v>
      </c>
      <c r="O17" s="61" t="s">
        <v>147</v>
      </c>
      <c r="P17" s="377" t="s">
        <v>148</v>
      </c>
      <c r="Q17" s="388" t="s">
        <v>124</v>
      </c>
      <c r="R17" s="13"/>
      <c r="S17" s="13"/>
      <c r="T17" s="13"/>
    </row>
    <row r="18" spans="1:20" ht="84" customHeight="1">
      <c r="A18" s="305"/>
      <c r="B18" s="302"/>
      <c r="C18" s="302"/>
      <c r="D18" s="21" t="s">
        <v>194</v>
      </c>
      <c r="E18" s="302"/>
      <c r="F18" s="61" t="s">
        <v>210</v>
      </c>
      <c r="G18" s="302"/>
      <c r="H18" s="58">
        <f>SUM(6469014.41/E$7)/1000</f>
        <v>1760.276029931973</v>
      </c>
      <c r="I18" s="299"/>
      <c r="J18" s="299"/>
      <c r="K18" s="380"/>
      <c r="L18" s="302"/>
      <c r="M18" s="308"/>
      <c r="N18" s="53">
        <v>42342</v>
      </c>
      <c r="O18" s="61"/>
      <c r="P18" s="302"/>
      <c r="Q18" s="389"/>
      <c r="R18" s="13"/>
      <c r="S18" s="13"/>
      <c r="T18" s="13"/>
    </row>
    <row r="19" spans="1:20" ht="31.5" customHeight="1">
      <c r="A19" s="305"/>
      <c r="B19" s="302"/>
      <c r="C19" s="302"/>
      <c r="D19" s="21" t="s">
        <v>207</v>
      </c>
      <c r="E19" s="302"/>
      <c r="F19" s="61" t="s">
        <v>212</v>
      </c>
      <c r="G19" s="302"/>
      <c r="H19" s="58">
        <f>SUM(3111268.58/E$7)/1000</f>
        <v>846.60369523809527</v>
      </c>
      <c r="I19" s="299"/>
      <c r="J19" s="299"/>
      <c r="K19" s="380"/>
      <c r="L19" s="302"/>
      <c r="M19" s="308"/>
      <c r="N19" s="53">
        <v>42429</v>
      </c>
      <c r="O19" s="61"/>
      <c r="P19" s="302"/>
      <c r="Q19" s="389"/>
      <c r="R19" s="13"/>
      <c r="S19" s="13"/>
      <c r="T19" s="13"/>
    </row>
    <row r="20" spans="1:20" ht="88.9" customHeight="1">
      <c r="A20" s="305"/>
      <c r="B20" s="302"/>
      <c r="C20" s="302"/>
      <c r="D20" s="21" t="s">
        <v>208</v>
      </c>
      <c r="E20" s="302"/>
      <c r="F20" s="61" t="s">
        <v>211</v>
      </c>
      <c r="G20" s="302"/>
      <c r="H20" s="58">
        <f>SUM(10356155.32/E$7)/1000</f>
        <v>2818.0014476190481</v>
      </c>
      <c r="I20" s="299"/>
      <c r="J20" s="299"/>
      <c r="K20" s="380"/>
      <c r="L20" s="302"/>
      <c r="M20" s="308"/>
      <c r="N20" s="53">
        <v>42473</v>
      </c>
      <c r="O20" s="61"/>
      <c r="P20" s="302"/>
      <c r="Q20" s="389"/>
      <c r="R20" s="13"/>
      <c r="S20" s="13"/>
      <c r="T20" s="13"/>
    </row>
    <row r="21" spans="1:20" ht="46.5">
      <c r="A21" s="305"/>
      <c r="B21" s="302"/>
      <c r="C21" s="302"/>
      <c r="D21" s="21" t="s">
        <v>209</v>
      </c>
      <c r="E21" s="302"/>
      <c r="F21" s="61" t="s">
        <v>213</v>
      </c>
      <c r="G21" s="302"/>
      <c r="H21" s="58">
        <f>SUM(772569.19/E$7)/1000</f>
        <v>210.22290884353743</v>
      </c>
      <c r="I21" s="299"/>
      <c r="J21" s="299"/>
      <c r="K21" s="380"/>
      <c r="L21" s="302"/>
      <c r="M21" s="308"/>
      <c r="N21" s="53">
        <v>42521</v>
      </c>
      <c r="O21" s="61"/>
      <c r="P21" s="302"/>
      <c r="Q21" s="389"/>
      <c r="R21" s="13"/>
      <c r="S21" s="13"/>
      <c r="T21" s="13"/>
    </row>
    <row r="22" spans="1:20" ht="105" customHeight="1">
      <c r="A22" s="305"/>
      <c r="B22" s="302"/>
      <c r="C22" s="302"/>
      <c r="D22" s="21" t="s">
        <v>256</v>
      </c>
      <c r="E22" s="302"/>
      <c r="F22" s="61" t="s">
        <v>256</v>
      </c>
      <c r="G22" s="302"/>
      <c r="H22" s="58">
        <v>0</v>
      </c>
      <c r="I22" s="299"/>
      <c r="J22" s="299"/>
      <c r="K22" s="380"/>
      <c r="L22" s="302"/>
      <c r="M22" s="308"/>
      <c r="N22" s="53">
        <v>42657</v>
      </c>
      <c r="O22" s="61"/>
      <c r="P22" s="302"/>
      <c r="Q22" s="389"/>
      <c r="R22" s="13"/>
      <c r="S22" s="13"/>
      <c r="T22" s="13"/>
    </row>
    <row r="23" spans="1:20" ht="108.5">
      <c r="A23" s="305"/>
      <c r="B23" s="302"/>
      <c r="C23" s="302"/>
      <c r="D23" s="21" t="s">
        <v>257</v>
      </c>
      <c r="E23" s="302"/>
      <c r="F23" s="61" t="s">
        <v>257</v>
      </c>
      <c r="G23" s="302"/>
      <c r="H23" s="58">
        <f>SUM(1010515.33/E$7)/1000</f>
        <v>274.97015782312928</v>
      </c>
      <c r="I23" s="299"/>
      <c r="J23" s="299"/>
      <c r="K23" s="380"/>
      <c r="L23" s="302"/>
      <c r="M23" s="308"/>
      <c r="N23" s="70">
        <v>42704</v>
      </c>
      <c r="O23" s="61"/>
      <c r="P23" s="302"/>
      <c r="Q23" s="389"/>
      <c r="R23" s="13"/>
      <c r="S23" s="13"/>
      <c r="T23" s="13"/>
    </row>
    <row r="24" spans="1:20" ht="69" customHeight="1">
      <c r="A24" s="305"/>
      <c r="B24" s="302"/>
      <c r="C24" s="302"/>
      <c r="D24" s="21" t="s">
        <v>260</v>
      </c>
      <c r="E24" s="302"/>
      <c r="F24" s="61" t="s">
        <v>259</v>
      </c>
      <c r="G24" s="302"/>
      <c r="H24" s="58">
        <f>SUM(1125017.56/E$7)/1000</f>
        <v>306.12722721088437</v>
      </c>
      <c r="I24" s="299"/>
      <c r="J24" s="299"/>
      <c r="K24" s="380"/>
      <c r="L24" s="302"/>
      <c r="M24" s="308"/>
      <c r="N24" s="70">
        <v>42817</v>
      </c>
      <c r="O24" s="61"/>
      <c r="P24" s="302"/>
      <c r="Q24" s="389"/>
      <c r="R24" s="13"/>
      <c r="S24" s="13"/>
      <c r="T24" s="13"/>
    </row>
    <row r="25" spans="1:20" ht="144.75" customHeight="1">
      <c r="A25" s="305"/>
      <c r="B25" s="302"/>
      <c r="C25" s="302"/>
      <c r="D25" s="21" t="s">
        <v>272</v>
      </c>
      <c r="E25" s="302"/>
      <c r="F25" s="61" t="s">
        <v>273</v>
      </c>
      <c r="G25" s="302"/>
      <c r="H25" s="58">
        <v>0</v>
      </c>
      <c r="I25" s="299"/>
      <c r="J25" s="299"/>
      <c r="K25" s="380"/>
      <c r="L25" s="302"/>
      <c r="M25" s="308"/>
      <c r="N25" s="70">
        <v>42829</v>
      </c>
      <c r="O25" s="61"/>
      <c r="P25" s="302"/>
      <c r="Q25" s="389"/>
      <c r="R25" s="13"/>
      <c r="S25" s="13"/>
      <c r="T25" s="13"/>
    </row>
    <row r="26" spans="1:20" ht="144.75" customHeight="1">
      <c r="A26" s="305"/>
      <c r="B26" s="302"/>
      <c r="C26" s="302"/>
      <c r="D26" s="21" t="s">
        <v>283</v>
      </c>
      <c r="E26" s="302"/>
      <c r="F26" s="61" t="s">
        <v>284</v>
      </c>
      <c r="G26" s="302"/>
      <c r="H26" s="58">
        <f>SUM(-2520891.38/E$7)/1000</f>
        <v>-685.95683809523803</v>
      </c>
      <c r="I26" s="299"/>
      <c r="J26" s="299"/>
      <c r="K26" s="380"/>
      <c r="L26" s="302"/>
      <c r="M26" s="308"/>
      <c r="N26" s="70">
        <v>42949</v>
      </c>
      <c r="O26" s="61"/>
      <c r="P26" s="302"/>
      <c r="Q26" s="389"/>
      <c r="R26" s="13"/>
      <c r="S26" s="13"/>
      <c r="T26" s="13"/>
    </row>
    <row r="27" spans="1:20" ht="192.75" customHeight="1">
      <c r="A27" s="305"/>
      <c r="B27" s="302"/>
      <c r="C27" s="302"/>
      <c r="D27" s="21" t="s">
        <v>285</v>
      </c>
      <c r="E27" s="302"/>
      <c r="F27" s="61" t="s">
        <v>286</v>
      </c>
      <c r="G27" s="302"/>
      <c r="H27" s="58">
        <f>SUM(-3315042.18/E$7)/1000</f>
        <v>-902.05229387755105</v>
      </c>
      <c r="I27" s="299"/>
      <c r="J27" s="299"/>
      <c r="K27" s="381"/>
      <c r="L27" s="303"/>
      <c r="M27" s="309"/>
      <c r="N27" s="70">
        <v>43011</v>
      </c>
      <c r="O27" s="61"/>
      <c r="P27" s="303"/>
      <c r="Q27" s="389"/>
      <c r="R27" s="13"/>
      <c r="S27" s="13"/>
      <c r="T27" s="13"/>
    </row>
    <row r="28" spans="1:20" ht="192.75" customHeight="1">
      <c r="A28" s="306"/>
      <c r="B28" s="303"/>
      <c r="C28" s="303"/>
      <c r="D28" s="21" t="s">
        <v>288</v>
      </c>
      <c r="E28" s="303"/>
      <c r="F28" s="61" t="s">
        <v>289</v>
      </c>
      <c r="G28" s="303"/>
      <c r="H28" s="58">
        <f>SUM(-803228.52/E$7)/1000</f>
        <v>-218.5655836734694</v>
      </c>
      <c r="I28" s="300"/>
      <c r="J28" s="300"/>
      <c r="K28" s="60"/>
      <c r="L28" s="61"/>
      <c r="M28" s="83"/>
      <c r="N28" s="70">
        <v>43025</v>
      </c>
      <c r="O28" s="61"/>
      <c r="P28" s="61"/>
      <c r="Q28" s="390"/>
      <c r="R28" s="13"/>
      <c r="S28" s="13"/>
      <c r="T28" s="13"/>
    </row>
    <row r="29" spans="1:20" ht="409.5">
      <c r="A29" s="78">
        <v>1.2</v>
      </c>
      <c r="B29" s="17" t="s">
        <v>5</v>
      </c>
      <c r="C29" s="14" t="s">
        <v>62</v>
      </c>
      <c r="D29" s="14" t="s">
        <v>407</v>
      </c>
      <c r="E29" s="17" t="s">
        <v>57</v>
      </c>
      <c r="F29" s="17">
        <v>1</v>
      </c>
      <c r="G29" s="17" t="s">
        <v>291</v>
      </c>
      <c r="H29" s="128">
        <f>SUM(13481878.15/E$7)/1000</f>
        <v>3668.538272108844</v>
      </c>
      <c r="I29" s="56">
        <v>62.59</v>
      </c>
      <c r="J29" s="56">
        <v>37.409999999999997</v>
      </c>
      <c r="K29" s="52" t="s">
        <v>23</v>
      </c>
      <c r="L29" s="17" t="s">
        <v>67</v>
      </c>
      <c r="M29" s="70">
        <v>43014</v>
      </c>
      <c r="N29" s="70">
        <v>43091</v>
      </c>
      <c r="O29" s="17" t="s">
        <v>195</v>
      </c>
      <c r="P29" s="17" t="s">
        <v>58</v>
      </c>
      <c r="Q29" s="86" t="s">
        <v>61</v>
      </c>
      <c r="R29" s="13"/>
      <c r="S29" s="13"/>
      <c r="T29" s="13"/>
    </row>
    <row r="30" spans="1:20">
      <c r="A30" s="78">
        <v>1.3</v>
      </c>
      <c r="B30" s="17" t="s">
        <v>5</v>
      </c>
      <c r="C30" s="130" t="s">
        <v>406</v>
      </c>
      <c r="D30" s="14" t="s">
        <v>248</v>
      </c>
      <c r="E30" s="17" t="s">
        <v>57</v>
      </c>
      <c r="F30" s="17">
        <v>1</v>
      </c>
      <c r="G30" s="17" t="s">
        <v>248</v>
      </c>
      <c r="H30" s="55">
        <f>SUM((6398170.42)/E$7)/1000</f>
        <v>1740.9987537414968</v>
      </c>
      <c r="I30" s="56">
        <v>43</v>
      </c>
      <c r="J30" s="56">
        <v>57</v>
      </c>
      <c r="K30" s="57" t="s">
        <v>24</v>
      </c>
      <c r="L30" s="17" t="s">
        <v>67</v>
      </c>
      <c r="M30" s="70">
        <v>42579</v>
      </c>
      <c r="N30" s="53">
        <v>42678</v>
      </c>
      <c r="O30" s="17"/>
      <c r="P30" s="17" t="s">
        <v>261</v>
      </c>
      <c r="Q30" s="86" t="s">
        <v>124</v>
      </c>
      <c r="R30" s="13"/>
      <c r="S30" s="13"/>
      <c r="T30" s="13"/>
    </row>
    <row r="31" spans="1:20" ht="218.25" customHeight="1">
      <c r="A31" s="141">
        <v>1.4</v>
      </c>
      <c r="B31" s="17" t="s">
        <v>5</v>
      </c>
      <c r="C31" s="14" t="s">
        <v>196</v>
      </c>
      <c r="D31" s="14" t="s">
        <v>287</v>
      </c>
      <c r="E31" s="17" t="s">
        <v>57</v>
      </c>
      <c r="F31" s="17">
        <v>1</v>
      </c>
      <c r="G31" s="17" t="s">
        <v>249</v>
      </c>
      <c r="H31" s="55">
        <f>SUM((3970322.8)/E$7)/1000</f>
        <v>1080.3599455782312</v>
      </c>
      <c r="I31" s="51">
        <v>100</v>
      </c>
      <c r="J31" s="51">
        <v>0</v>
      </c>
      <c r="K31" s="52" t="s">
        <v>25</v>
      </c>
      <c r="L31" s="17" t="s">
        <v>67</v>
      </c>
      <c r="M31" s="70">
        <v>42572</v>
      </c>
      <c r="N31" s="53">
        <v>42713</v>
      </c>
      <c r="O31" s="17"/>
      <c r="P31" s="17" t="s">
        <v>262</v>
      </c>
      <c r="Q31" s="86" t="s">
        <v>124</v>
      </c>
      <c r="R31" s="13"/>
      <c r="S31" s="13"/>
      <c r="T31" s="13"/>
    </row>
    <row r="32" spans="1:20" ht="24.75" hidden="1" customHeight="1">
      <c r="A32" s="119">
        <v>1.4</v>
      </c>
      <c r="B32" s="255" t="s">
        <v>5</v>
      </c>
      <c r="C32" s="144" t="s">
        <v>200</v>
      </c>
      <c r="D32" s="14"/>
      <c r="E32" s="255" t="s">
        <v>68</v>
      </c>
      <c r="F32" s="255">
        <v>4</v>
      </c>
      <c r="G32" s="255" t="s">
        <v>58</v>
      </c>
      <c r="H32" s="166">
        <f>SUM(14455000/E$7)/1000</f>
        <v>3933.3333333333335</v>
      </c>
      <c r="I32" s="255">
        <v>100</v>
      </c>
      <c r="J32" s="255">
        <v>0</v>
      </c>
      <c r="K32" s="255" t="s">
        <v>25</v>
      </c>
      <c r="L32" s="255" t="s">
        <v>67</v>
      </c>
      <c r="M32" s="255">
        <v>42685</v>
      </c>
      <c r="N32" s="255">
        <v>42712</v>
      </c>
      <c r="O32" s="255"/>
      <c r="P32" s="255" t="s">
        <v>58</v>
      </c>
      <c r="Q32" s="255" t="s">
        <v>66</v>
      </c>
      <c r="R32" s="13"/>
      <c r="S32" s="13"/>
      <c r="T32" s="13"/>
    </row>
    <row r="33" spans="1:213" ht="45" customHeight="1">
      <c r="A33" s="78">
        <v>1.5</v>
      </c>
      <c r="B33" s="17" t="s">
        <v>5</v>
      </c>
      <c r="C33" s="14" t="s">
        <v>205</v>
      </c>
      <c r="D33" s="14"/>
      <c r="E33" s="17" t="s">
        <v>57</v>
      </c>
      <c r="F33" s="17">
        <v>1</v>
      </c>
      <c r="G33" s="17" t="s">
        <v>312</v>
      </c>
      <c r="H33" s="126">
        <f>SUM((5834802.27)/E$7)/1000</f>
        <v>1587.7012979591836</v>
      </c>
      <c r="I33" s="23">
        <v>59</v>
      </c>
      <c r="J33" s="23">
        <v>41</v>
      </c>
      <c r="K33" s="17" t="s">
        <v>69</v>
      </c>
      <c r="L33" s="17" t="s">
        <v>67</v>
      </c>
      <c r="M33" s="70">
        <v>43404</v>
      </c>
      <c r="N33" s="129">
        <v>43560</v>
      </c>
      <c r="O33" s="17"/>
      <c r="P33" s="17" t="s">
        <v>58</v>
      </c>
      <c r="Q33" s="86" t="s">
        <v>94</v>
      </c>
      <c r="R33" s="13"/>
      <c r="S33" s="13"/>
      <c r="T33" s="13"/>
    </row>
    <row r="34" spans="1:213" s="19" customFormat="1" ht="30" customHeight="1">
      <c r="A34" s="304">
        <v>1.6</v>
      </c>
      <c r="B34" s="301" t="s">
        <v>5</v>
      </c>
      <c r="C34" s="301" t="s">
        <v>70</v>
      </c>
      <c r="D34" s="14" t="s">
        <v>214</v>
      </c>
      <c r="E34" s="301" t="s">
        <v>57</v>
      </c>
      <c r="F34" s="301">
        <v>1</v>
      </c>
      <c r="G34" s="301" t="s">
        <v>214</v>
      </c>
      <c r="H34" s="16">
        <f>SUM(5995428/E$7)/1000</f>
        <v>1631.4089795918369</v>
      </c>
      <c r="I34" s="298">
        <f>94.18</f>
        <v>94.18</v>
      </c>
      <c r="J34" s="298">
        <f>5.82</f>
        <v>5.82</v>
      </c>
      <c r="K34" s="301" t="s">
        <v>26</v>
      </c>
      <c r="L34" s="301" t="s">
        <v>67</v>
      </c>
      <c r="M34" s="307">
        <v>42384</v>
      </c>
      <c r="N34" s="310">
        <v>42419</v>
      </c>
      <c r="O34" s="301"/>
      <c r="P34" s="301" t="s">
        <v>215</v>
      </c>
      <c r="Q34" s="295" t="s">
        <v>124</v>
      </c>
      <c r="R34" s="18"/>
      <c r="S34" s="18"/>
      <c r="T34" s="18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</row>
    <row r="35" spans="1:213" s="154" customFormat="1" ht="33" customHeight="1">
      <c r="A35" s="305"/>
      <c r="B35" s="302"/>
      <c r="C35" s="302"/>
      <c r="D35" s="21" t="s">
        <v>230</v>
      </c>
      <c r="E35" s="302"/>
      <c r="F35" s="302"/>
      <c r="G35" s="302"/>
      <c r="H35" s="16">
        <f>SUM(437248.59/E$7)/1000</f>
        <v>118.97920816326531</v>
      </c>
      <c r="I35" s="299"/>
      <c r="J35" s="299"/>
      <c r="K35" s="302"/>
      <c r="L35" s="302"/>
      <c r="M35" s="308"/>
      <c r="N35" s="311"/>
      <c r="O35" s="302"/>
      <c r="P35" s="302"/>
      <c r="Q35" s="296"/>
      <c r="R35" s="18"/>
      <c r="S35" s="18"/>
      <c r="T35" s="18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</row>
    <row r="36" spans="1:213" s="154" customFormat="1" ht="46.5" customHeight="1">
      <c r="A36" s="305"/>
      <c r="B36" s="302"/>
      <c r="C36" s="302"/>
      <c r="D36" s="14" t="s">
        <v>265</v>
      </c>
      <c r="E36" s="302"/>
      <c r="F36" s="302"/>
      <c r="G36" s="302"/>
      <c r="H36" s="16">
        <v>0</v>
      </c>
      <c r="I36" s="299"/>
      <c r="J36" s="299"/>
      <c r="K36" s="302"/>
      <c r="L36" s="302"/>
      <c r="M36" s="308"/>
      <c r="N36" s="311"/>
      <c r="O36" s="302"/>
      <c r="P36" s="302"/>
      <c r="Q36" s="296"/>
      <c r="R36" s="18"/>
      <c r="S36" s="18"/>
      <c r="T36" s="18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</row>
    <row r="37" spans="1:213" s="154" customFormat="1" ht="52.5" customHeight="1">
      <c r="A37" s="305"/>
      <c r="B37" s="302"/>
      <c r="C37" s="302"/>
      <c r="D37" s="14" t="s">
        <v>266</v>
      </c>
      <c r="E37" s="302"/>
      <c r="F37" s="302"/>
      <c r="G37" s="302"/>
      <c r="H37" s="16">
        <v>0</v>
      </c>
      <c r="I37" s="299"/>
      <c r="J37" s="299"/>
      <c r="K37" s="302"/>
      <c r="L37" s="302"/>
      <c r="M37" s="308"/>
      <c r="N37" s="311"/>
      <c r="O37" s="302"/>
      <c r="P37" s="302"/>
      <c r="Q37" s="296"/>
      <c r="R37" s="18"/>
      <c r="S37" s="18"/>
      <c r="T37" s="18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</row>
    <row r="38" spans="1:213" s="154" customFormat="1" ht="73.5" customHeight="1">
      <c r="A38" s="305"/>
      <c r="B38" s="302"/>
      <c r="C38" s="302"/>
      <c r="D38" s="14" t="s">
        <v>274</v>
      </c>
      <c r="E38" s="302"/>
      <c r="F38" s="302"/>
      <c r="G38" s="302"/>
      <c r="H38" s="16">
        <v>0</v>
      </c>
      <c r="I38" s="299"/>
      <c r="J38" s="299"/>
      <c r="K38" s="302"/>
      <c r="L38" s="302"/>
      <c r="M38" s="308"/>
      <c r="N38" s="311"/>
      <c r="O38" s="302"/>
      <c r="P38" s="302"/>
      <c r="Q38" s="296"/>
      <c r="R38" s="18"/>
      <c r="S38" s="18"/>
      <c r="T38" s="18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</row>
    <row r="39" spans="1:213" s="154" customFormat="1" ht="37.5" customHeight="1">
      <c r="A39" s="305"/>
      <c r="B39" s="302"/>
      <c r="C39" s="302"/>
      <c r="D39" s="14" t="s">
        <v>278</v>
      </c>
      <c r="E39" s="302"/>
      <c r="F39" s="302"/>
      <c r="G39" s="302"/>
      <c r="H39" s="16">
        <f>SUM(536655.4/E$7)/1000</f>
        <v>146.02868027210886</v>
      </c>
      <c r="I39" s="299"/>
      <c r="J39" s="299"/>
      <c r="K39" s="302"/>
      <c r="L39" s="302"/>
      <c r="M39" s="308"/>
      <c r="N39" s="311"/>
      <c r="O39" s="302"/>
      <c r="P39" s="302"/>
      <c r="Q39" s="296"/>
      <c r="R39" s="18"/>
      <c r="S39" s="18"/>
      <c r="T39" s="18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</row>
    <row r="40" spans="1:213" s="154" customFormat="1" ht="100.5" hidden="1" customHeight="1">
      <c r="A40" s="305"/>
      <c r="B40" s="302"/>
      <c r="C40" s="302"/>
      <c r="D40" s="116"/>
      <c r="E40" s="302"/>
      <c r="F40" s="302"/>
      <c r="G40" s="302"/>
      <c r="H40" s="193">
        <f>SUM((1500000+1000000+500000)/E$7)/1000</f>
        <v>816.32653061224494</v>
      </c>
      <c r="I40" s="299"/>
      <c r="J40" s="299"/>
      <c r="K40" s="302"/>
      <c r="L40" s="302"/>
      <c r="M40" s="308"/>
      <c r="N40" s="311"/>
      <c r="O40" s="302"/>
      <c r="P40" s="302"/>
      <c r="Q40" s="296"/>
      <c r="R40" s="18"/>
      <c r="S40" s="18"/>
      <c r="T40" s="18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</row>
    <row r="41" spans="1:213" s="154" customFormat="1" ht="55.5" customHeight="1">
      <c r="A41" s="306"/>
      <c r="B41" s="303"/>
      <c r="C41" s="303"/>
      <c r="D41" s="14" t="s">
        <v>410</v>
      </c>
      <c r="E41" s="303"/>
      <c r="F41" s="303"/>
      <c r="G41" s="303"/>
      <c r="H41" s="16">
        <f>SUM(-33383.6/E$7)/1000</f>
        <v>-9.0839727891156468</v>
      </c>
      <c r="I41" s="300"/>
      <c r="J41" s="300"/>
      <c r="K41" s="303"/>
      <c r="L41" s="303"/>
      <c r="M41" s="309"/>
      <c r="N41" s="312"/>
      <c r="O41" s="303"/>
      <c r="P41" s="303"/>
      <c r="Q41" s="297"/>
      <c r="R41" s="18"/>
      <c r="S41" s="18"/>
      <c r="T41" s="18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</row>
    <row r="42" spans="1:213" ht="36.75" customHeight="1">
      <c r="A42" s="141">
        <v>1.7</v>
      </c>
      <c r="B42" s="17" t="s">
        <v>5</v>
      </c>
      <c r="C42" s="71" t="s">
        <v>395</v>
      </c>
      <c r="D42" s="14"/>
      <c r="E42" s="17" t="s">
        <v>57</v>
      </c>
      <c r="F42" s="57">
        <v>1</v>
      </c>
      <c r="G42" s="17" t="s">
        <v>311</v>
      </c>
      <c r="H42" s="126">
        <f>SUM((3750001.11)/E$7)/1000</f>
        <v>1020.4084653061225</v>
      </c>
      <c r="I42" s="51">
        <v>57.56</v>
      </c>
      <c r="J42" s="51">
        <v>42.44</v>
      </c>
      <c r="K42" s="266" t="s">
        <v>281</v>
      </c>
      <c r="L42" s="17" t="s">
        <v>67</v>
      </c>
      <c r="M42" s="70">
        <v>43347</v>
      </c>
      <c r="N42" s="129">
        <v>43516</v>
      </c>
      <c r="O42" s="260"/>
      <c r="P42" s="57" t="s">
        <v>58</v>
      </c>
      <c r="Q42" s="86" t="s">
        <v>94</v>
      </c>
      <c r="R42" s="13"/>
      <c r="S42" s="13"/>
      <c r="T42" s="13"/>
    </row>
    <row r="43" spans="1:213" ht="31" hidden="1">
      <c r="A43" s="119">
        <v>1.8</v>
      </c>
      <c r="B43" s="255" t="s">
        <v>5</v>
      </c>
      <c r="C43" s="116" t="s">
        <v>71</v>
      </c>
      <c r="D43" s="116"/>
      <c r="E43" s="255" t="s">
        <v>63</v>
      </c>
      <c r="F43" s="255">
        <v>4</v>
      </c>
      <c r="G43" s="255" t="s">
        <v>58</v>
      </c>
      <c r="H43" s="120">
        <f>SUM(3000000/E$7)/1000</f>
        <v>816.32653061224494</v>
      </c>
      <c r="I43" s="135">
        <v>0</v>
      </c>
      <c r="J43" s="135">
        <v>100</v>
      </c>
      <c r="K43" s="255">
        <v>1.3</v>
      </c>
      <c r="L43" s="255" t="s">
        <v>64</v>
      </c>
      <c r="M43" s="122">
        <v>42200</v>
      </c>
      <c r="N43" s="125" t="s">
        <v>58</v>
      </c>
      <c r="O43" s="255" t="s">
        <v>65</v>
      </c>
      <c r="P43" s="255" t="s">
        <v>58</v>
      </c>
      <c r="Q43" s="123" t="s">
        <v>66</v>
      </c>
      <c r="R43" s="13"/>
      <c r="S43" s="13"/>
      <c r="T43" s="13"/>
    </row>
    <row r="44" spans="1:213" ht="62">
      <c r="A44" s="141">
        <v>1.8</v>
      </c>
      <c r="B44" s="17" t="s">
        <v>5</v>
      </c>
      <c r="C44" s="14" t="s">
        <v>201</v>
      </c>
      <c r="D44" s="14"/>
      <c r="E44" s="17" t="s">
        <v>63</v>
      </c>
      <c r="F44" s="17">
        <v>4</v>
      </c>
      <c r="G44" s="17" t="s">
        <v>216</v>
      </c>
      <c r="H44" s="16">
        <f>SUM((986489+154954.49-48908.64)/E$7)/1000</f>
        <v>297.28839455782321</v>
      </c>
      <c r="I44" s="51">
        <v>0</v>
      </c>
      <c r="J44" s="51">
        <v>100</v>
      </c>
      <c r="K44" s="17">
        <v>1.3</v>
      </c>
      <c r="L44" s="17" t="s">
        <v>64</v>
      </c>
      <c r="M44" s="70">
        <v>42434</v>
      </c>
      <c r="N44" s="24">
        <v>42529</v>
      </c>
      <c r="O44" s="17" t="s">
        <v>216</v>
      </c>
      <c r="P44" s="17" t="s">
        <v>250</v>
      </c>
      <c r="Q44" s="86" t="s">
        <v>124</v>
      </c>
      <c r="R44" s="13"/>
      <c r="S44" s="13"/>
      <c r="T44" s="13"/>
    </row>
    <row r="45" spans="1:213" ht="409.5" customHeight="1">
      <c r="A45" s="78">
        <v>1.9</v>
      </c>
      <c r="B45" s="17" t="s">
        <v>5</v>
      </c>
      <c r="C45" s="14" t="s">
        <v>253</v>
      </c>
      <c r="D45" s="14" t="s">
        <v>411</v>
      </c>
      <c r="E45" s="17" t="s">
        <v>57</v>
      </c>
      <c r="F45" s="17">
        <v>2</v>
      </c>
      <c r="G45" s="17" t="s">
        <v>294</v>
      </c>
      <c r="H45" s="16">
        <f>SUM((16950000+57422.9+465119.21-78537.25-21462.75)/E$7)/1000</f>
        <v>4727.2223428571433</v>
      </c>
      <c r="I45" s="23">
        <v>87.53</v>
      </c>
      <c r="J45" s="23">
        <v>12.47</v>
      </c>
      <c r="K45" s="17" t="s">
        <v>20</v>
      </c>
      <c r="L45" s="17" t="s">
        <v>67</v>
      </c>
      <c r="M45" s="24">
        <v>42762</v>
      </c>
      <c r="N45" s="24">
        <v>42818</v>
      </c>
      <c r="O45" s="17"/>
      <c r="P45" s="17" t="s">
        <v>58</v>
      </c>
      <c r="Q45" s="86" t="s">
        <v>61</v>
      </c>
      <c r="R45" s="13"/>
      <c r="S45" s="13"/>
      <c r="T45" s="13"/>
    </row>
    <row r="46" spans="1:213" s="179" customFormat="1" ht="42.65" hidden="1" customHeight="1">
      <c r="A46" s="118">
        <v>1.1000000000000001</v>
      </c>
      <c r="B46" s="255" t="s">
        <v>5</v>
      </c>
      <c r="C46" s="116" t="s">
        <v>254</v>
      </c>
      <c r="D46" s="116"/>
      <c r="E46" s="255" t="s">
        <v>57</v>
      </c>
      <c r="F46" s="255">
        <v>2</v>
      </c>
      <c r="G46" s="255" t="s">
        <v>58</v>
      </c>
      <c r="H46" s="120">
        <f>SUM((8078011)/E$7)/1000</f>
        <v>2198.0982312925171</v>
      </c>
      <c r="I46" s="135">
        <v>5</v>
      </c>
      <c r="J46" s="135">
        <v>95</v>
      </c>
      <c r="K46" s="255" t="s">
        <v>239</v>
      </c>
      <c r="L46" s="255" t="s">
        <v>67</v>
      </c>
      <c r="M46" s="125">
        <v>42957</v>
      </c>
      <c r="N46" s="125">
        <v>43012</v>
      </c>
      <c r="O46" s="255"/>
      <c r="P46" s="255" t="s">
        <v>58</v>
      </c>
      <c r="Q46" s="123" t="s">
        <v>66</v>
      </c>
      <c r="R46" s="178"/>
      <c r="S46" s="178"/>
      <c r="T46" s="178"/>
    </row>
    <row r="47" spans="1:213" s="179" customFormat="1" ht="42" hidden="1" customHeight="1">
      <c r="A47" s="119">
        <v>1.1100000000000001</v>
      </c>
      <c r="B47" s="255" t="s">
        <v>5</v>
      </c>
      <c r="C47" s="116" t="s">
        <v>255</v>
      </c>
      <c r="D47" s="116"/>
      <c r="E47" s="255" t="s">
        <v>57</v>
      </c>
      <c r="F47" s="255">
        <v>2</v>
      </c>
      <c r="G47" s="255" t="s">
        <v>58</v>
      </c>
      <c r="H47" s="120">
        <f>SUM((6087940.57)/E$7)/1000</f>
        <v>1656.582468027211</v>
      </c>
      <c r="I47" s="124">
        <v>13</v>
      </c>
      <c r="J47" s="124">
        <v>87</v>
      </c>
      <c r="K47" s="255" t="s">
        <v>237</v>
      </c>
      <c r="L47" s="255" t="s">
        <v>67</v>
      </c>
      <c r="M47" s="125">
        <v>42933</v>
      </c>
      <c r="N47" s="125">
        <v>42979</v>
      </c>
      <c r="O47" s="255"/>
      <c r="P47" s="255" t="s">
        <v>58</v>
      </c>
      <c r="Q47" s="123" t="s">
        <v>66</v>
      </c>
      <c r="R47" s="178"/>
      <c r="S47" s="178"/>
      <c r="T47" s="178"/>
    </row>
    <row r="48" spans="1:213" s="179" customFormat="1" ht="31.5" hidden="1" customHeight="1">
      <c r="A48" s="119">
        <v>1.1200000000000001</v>
      </c>
      <c r="B48" s="255" t="s">
        <v>5</v>
      </c>
      <c r="C48" s="116" t="s">
        <v>252</v>
      </c>
      <c r="D48" s="116"/>
      <c r="E48" s="255" t="s">
        <v>57</v>
      </c>
      <c r="F48" s="255">
        <v>1</v>
      </c>
      <c r="G48" s="255" t="s">
        <v>58</v>
      </c>
      <c r="H48" s="120">
        <f>SUM(9020000/E$7)/1000</f>
        <v>2454.4217687074829</v>
      </c>
      <c r="I48" s="135">
        <v>10</v>
      </c>
      <c r="J48" s="135">
        <v>90</v>
      </c>
      <c r="K48" s="255" t="s">
        <v>238</v>
      </c>
      <c r="L48" s="255" t="s">
        <v>67</v>
      </c>
      <c r="M48" s="125">
        <v>42987</v>
      </c>
      <c r="N48" s="125">
        <v>43042</v>
      </c>
      <c r="O48" s="255"/>
      <c r="P48" s="255" t="s">
        <v>58</v>
      </c>
      <c r="Q48" s="123" t="s">
        <v>66</v>
      </c>
      <c r="R48" s="178"/>
      <c r="S48" s="178"/>
      <c r="T48" s="178"/>
    </row>
    <row r="49" spans="1:20" s="265" customFormat="1" ht="88.5" customHeight="1">
      <c r="A49" s="141">
        <v>1.1200000000000001</v>
      </c>
      <c r="B49" s="17" t="s">
        <v>5</v>
      </c>
      <c r="C49" s="14" t="s">
        <v>308</v>
      </c>
      <c r="D49" s="14"/>
      <c r="E49" s="17" t="s">
        <v>63</v>
      </c>
      <c r="F49" s="17">
        <v>1</v>
      </c>
      <c r="G49" s="17" t="s">
        <v>307</v>
      </c>
      <c r="H49" s="16">
        <f>SUM(13285014.8/E$7)/1000</f>
        <v>3614.9700136054425</v>
      </c>
      <c r="I49" s="51">
        <v>0</v>
      </c>
      <c r="J49" s="51">
        <v>100</v>
      </c>
      <c r="K49" s="17" t="s">
        <v>238</v>
      </c>
      <c r="L49" s="17" t="s">
        <v>67</v>
      </c>
      <c r="M49" s="24">
        <v>43344</v>
      </c>
      <c r="N49" s="24">
        <v>43411</v>
      </c>
      <c r="O49" s="17" t="s">
        <v>307</v>
      </c>
      <c r="P49" s="17" t="s">
        <v>58</v>
      </c>
      <c r="Q49" s="86" t="s">
        <v>61</v>
      </c>
      <c r="R49" s="264"/>
      <c r="S49" s="264"/>
      <c r="T49" s="264"/>
    </row>
    <row r="50" spans="1:20" ht="319.5" customHeight="1">
      <c r="A50" s="78">
        <v>1.1299999999999999</v>
      </c>
      <c r="B50" s="17" t="s">
        <v>5</v>
      </c>
      <c r="C50" s="14" t="s">
        <v>72</v>
      </c>
      <c r="D50" s="14" t="s">
        <v>412</v>
      </c>
      <c r="E50" s="17" t="s">
        <v>57</v>
      </c>
      <c r="F50" s="17">
        <v>1</v>
      </c>
      <c r="G50" s="17" t="s">
        <v>296</v>
      </c>
      <c r="H50" s="126">
        <f>SUM((1765108.19)/E$7)/1000</f>
        <v>480.30154829931973</v>
      </c>
      <c r="I50" s="294">
        <v>82.4</v>
      </c>
      <c r="J50" s="294">
        <v>17.600000000000001</v>
      </c>
      <c r="K50" s="17" t="s">
        <v>20</v>
      </c>
      <c r="L50" s="17" t="s">
        <v>67</v>
      </c>
      <c r="M50" s="24">
        <v>43006</v>
      </c>
      <c r="N50" s="24">
        <v>43082</v>
      </c>
      <c r="O50" s="17"/>
      <c r="P50" s="17" t="s">
        <v>58</v>
      </c>
      <c r="Q50" s="133" t="s">
        <v>124</v>
      </c>
      <c r="R50" s="13"/>
      <c r="S50" s="13"/>
      <c r="T50" s="13"/>
    </row>
    <row r="51" spans="1:20" ht="210.75" customHeight="1">
      <c r="A51" s="78">
        <v>1.1399999999999999</v>
      </c>
      <c r="B51" s="17" t="s">
        <v>5</v>
      </c>
      <c r="C51" s="14" t="s">
        <v>73</v>
      </c>
      <c r="D51" s="14" t="s">
        <v>413</v>
      </c>
      <c r="E51" s="17" t="s">
        <v>63</v>
      </c>
      <c r="F51" s="17">
        <v>1</v>
      </c>
      <c r="G51" s="17" t="s">
        <v>217</v>
      </c>
      <c r="H51" s="126">
        <f>SUM((4878584.82+40804.74+146275.34-11305.7)/E$7)/1000</f>
        <v>1375.3358367346939</v>
      </c>
      <c r="I51" s="51">
        <v>0</v>
      </c>
      <c r="J51" s="51">
        <v>100</v>
      </c>
      <c r="K51" s="17" t="s">
        <v>27</v>
      </c>
      <c r="L51" s="17" t="s">
        <v>64</v>
      </c>
      <c r="M51" s="24">
        <v>42389</v>
      </c>
      <c r="N51" s="24">
        <v>42431</v>
      </c>
      <c r="O51" s="17" t="s">
        <v>218</v>
      </c>
      <c r="P51" s="17" t="s">
        <v>58</v>
      </c>
      <c r="Q51" s="86" t="s">
        <v>124</v>
      </c>
      <c r="R51" s="13"/>
      <c r="S51" s="13"/>
      <c r="T51" s="13"/>
    </row>
    <row r="52" spans="1:20" ht="264.75" customHeight="1">
      <c r="A52" s="141">
        <v>1.1499999999999999</v>
      </c>
      <c r="B52" s="17" t="s">
        <v>5</v>
      </c>
      <c r="C52" s="14" t="s">
        <v>197</v>
      </c>
      <c r="D52" s="14" t="s">
        <v>414</v>
      </c>
      <c r="E52" s="17" t="s">
        <v>57</v>
      </c>
      <c r="F52" s="17">
        <v>1</v>
      </c>
      <c r="G52" s="17" t="s">
        <v>292</v>
      </c>
      <c r="H52" s="128">
        <f>SUM((5009816.3-25506.48)/E$7)/1000</f>
        <v>1356.2747809523808</v>
      </c>
      <c r="I52" s="51">
        <v>100</v>
      </c>
      <c r="J52" s="51">
        <v>0</v>
      </c>
      <c r="K52" s="52" t="s">
        <v>25</v>
      </c>
      <c r="L52" s="17" t="s">
        <v>67</v>
      </c>
      <c r="M52" s="70">
        <v>42957</v>
      </c>
      <c r="N52" s="70">
        <v>42996</v>
      </c>
      <c r="O52" s="17"/>
      <c r="P52" s="17" t="s">
        <v>58</v>
      </c>
      <c r="Q52" s="133" t="s">
        <v>124</v>
      </c>
      <c r="R52" s="13"/>
      <c r="S52" s="13"/>
      <c r="T52" s="13"/>
    </row>
    <row r="53" spans="1:20" ht="235.5" customHeight="1">
      <c r="A53" s="141">
        <v>1.1599999999999999</v>
      </c>
      <c r="B53" s="17" t="s">
        <v>5</v>
      </c>
      <c r="C53" s="14" t="s">
        <v>198</v>
      </c>
      <c r="D53" s="14" t="s">
        <v>415</v>
      </c>
      <c r="E53" s="17" t="s">
        <v>57</v>
      </c>
      <c r="F53" s="17">
        <v>1</v>
      </c>
      <c r="G53" s="17" t="s">
        <v>293</v>
      </c>
      <c r="H53" s="55">
        <f>SUM((5241381.51+45745.28-0.01) /E$7)/1000</f>
        <v>1438.6739537414967</v>
      </c>
      <c r="I53" s="51">
        <v>80.149000000000001</v>
      </c>
      <c r="J53" s="51">
        <v>19.850999999999999</v>
      </c>
      <c r="K53" s="52" t="s">
        <v>25</v>
      </c>
      <c r="L53" s="17" t="s">
        <v>67</v>
      </c>
      <c r="M53" s="70">
        <v>42877</v>
      </c>
      <c r="N53" s="70">
        <v>42915</v>
      </c>
      <c r="O53" s="17"/>
      <c r="P53" s="17" t="s">
        <v>58</v>
      </c>
      <c r="Q53" s="86" t="s">
        <v>124</v>
      </c>
      <c r="R53" s="13"/>
      <c r="S53" s="13"/>
      <c r="T53" s="13"/>
    </row>
    <row r="54" spans="1:20" ht="366.75" customHeight="1">
      <c r="A54" s="141">
        <v>1.17</v>
      </c>
      <c r="B54" s="17" t="s">
        <v>5</v>
      </c>
      <c r="C54" s="14" t="s">
        <v>199</v>
      </c>
      <c r="D54" s="14" t="s">
        <v>416</v>
      </c>
      <c r="E54" s="17" t="s">
        <v>57</v>
      </c>
      <c r="F54" s="17">
        <v>1</v>
      </c>
      <c r="G54" s="17" t="s">
        <v>295</v>
      </c>
      <c r="H54" s="128">
        <f>SUM((4258710.74-123378.43)/E$7)/1000</f>
        <v>1125.2604925170069</v>
      </c>
      <c r="I54" s="51">
        <v>80</v>
      </c>
      <c r="J54" s="51">
        <v>20</v>
      </c>
      <c r="K54" s="52" t="s">
        <v>25</v>
      </c>
      <c r="L54" s="17" t="s">
        <v>67</v>
      </c>
      <c r="M54" s="70">
        <v>43007</v>
      </c>
      <c r="N54" s="70">
        <v>43091</v>
      </c>
      <c r="O54" s="17"/>
      <c r="P54" s="17" t="s">
        <v>58</v>
      </c>
      <c r="Q54" s="133" t="s">
        <v>124</v>
      </c>
      <c r="R54" s="13"/>
      <c r="S54" s="13"/>
      <c r="T54" s="13"/>
    </row>
    <row r="55" spans="1:20" ht="408.75" customHeight="1">
      <c r="A55" s="141">
        <v>1.18</v>
      </c>
      <c r="B55" s="17" t="s">
        <v>5</v>
      </c>
      <c r="C55" s="14" t="s">
        <v>202</v>
      </c>
      <c r="D55" s="14" t="s">
        <v>417</v>
      </c>
      <c r="E55" s="17" t="s">
        <v>63</v>
      </c>
      <c r="F55" s="17">
        <v>1</v>
      </c>
      <c r="G55" s="17" t="s">
        <v>306</v>
      </c>
      <c r="H55" s="16">
        <f>SUM((1490432.53)/E$7)/1000</f>
        <v>405.55987210884359</v>
      </c>
      <c r="I55" s="51">
        <v>0</v>
      </c>
      <c r="J55" s="51">
        <v>100</v>
      </c>
      <c r="K55" s="17">
        <v>1.3</v>
      </c>
      <c r="L55" s="17" t="s">
        <v>64</v>
      </c>
      <c r="M55" s="70">
        <v>43255</v>
      </c>
      <c r="N55" s="70">
        <v>43296</v>
      </c>
      <c r="O55" s="17" t="s">
        <v>305</v>
      </c>
      <c r="P55" s="17" t="s">
        <v>58</v>
      </c>
      <c r="Q55" s="86" t="s">
        <v>61</v>
      </c>
      <c r="R55" s="13"/>
      <c r="S55" s="13"/>
      <c r="T55" s="13"/>
    </row>
    <row r="56" spans="1:20" ht="31" hidden="1">
      <c r="A56" s="119">
        <v>1.19</v>
      </c>
      <c r="B56" s="255" t="s">
        <v>5</v>
      </c>
      <c r="C56" s="116" t="s">
        <v>228</v>
      </c>
      <c r="D56" s="116"/>
      <c r="E56" s="255" t="s">
        <v>57</v>
      </c>
      <c r="F56" s="255">
        <v>1</v>
      </c>
      <c r="G56" s="255" t="s">
        <v>58</v>
      </c>
      <c r="H56" s="120">
        <f>SUM((15000+130000+200000)/E$7)/1000</f>
        <v>93.877551020408163</v>
      </c>
      <c r="I56" s="124">
        <v>5</v>
      </c>
      <c r="J56" s="124">
        <v>95</v>
      </c>
      <c r="K56" s="255" t="s">
        <v>20</v>
      </c>
      <c r="L56" s="255" t="s">
        <v>67</v>
      </c>
      <c r="M56" s="176" t="s">
        <v>147</v>
      </c>
      <c r="N56" s="176" t="s">
        <v>147</v>
      </c>
      <c r="O56" s="255"/>
      <c r="P56" s="255" t="s">
        <v>58</v>
      </c>
      <c r="Q56" s="123" t="s">
        <v>66</v>
      </c>
      <c r="R56" s="13"/>
      <c r="S56" s="13"/>
      <c r="T56" s="13"/>
    </row>
    <row r="57" spans="1:20" ht="49.5" customHeight="1">
      <c r="A57" s="141" t="s">
        <v>280</v>
      </c>
      <c r="B57" s="17" t="s">
        <v>5</v>
      </c>
      <c r="C57" s="71" t="s">
        <v>279</v>
      </c>
      <c r="D57" s="14" t="s">
        <v>300</v>
      </c>
      <c r="E57" s="17" t="s">
        <v>57</v>
      </c>
      <c r="F57" s="101">
        <v>1</v>
      </c>
      <c r="G57" s="17" t="s">
        <v>301</v>
      </c>
      <c r="H57" s="273">
        <f>SUM((3538525.38)/E$7)/1000</f>
        <v>962.86404897959176</v>
      </c>
      <c r="I57" s="17">
        <v>80</v>
      </c>
      <c r="J57" s="17">
        <v>20</v>
      </c>
      <c r="K57" s="266" t="s">
        <v>282</v>
      </c>
      <c r="L57" s="17" t="s">
        <v>67</v>
      </c>
      <c r="M57" s="70">
        <v>43232</v>
      </c>
      <c r="N57" s="70">
        <v>43312</v>
      </c>
      <c r="O57" s="17"/>
      <c r="P57" s="57" t="s">
        <v>58</v>
      </c>
      <c r="Q57" s="17" t="s">
        <v>61</v>
      </c>
      <c r="R57" s="13"/>
      <c r="S57" s="13"/>
      <c r="T57" s="13"/>
    </row>
    <row r="58" spans="1:20" ht="47.25" customHeight="1">
      <c r="A58" s="168">
        <v>1.21</v>
      </c>
      <c r="B58" s="17" t="s">
        <v>5</v>
      </c>
      <c r="C58" s="14" t="s">
        <v>304</v>
      </c>
      <c r="D58" s="14"/>
      <c r="E58" s="17" t="s">
        <v>57</v>
      </c>
      <c r="F58" s="260">
        <v>1</v>
      </c>
      <c r="G58" s="17" t="s">
        <v>309</v>
      </c>
      <c r="H58" s="16">
        <f>SUM((1666360.4)/E$7)/1000</f>
        <v>453.43140136054421</v>
      </c>
      <c r="I58" s="23">
        <v>95</v>
      </c>
      <c r="J58" s="23">
        <v>5</v>
      </c>
      <c r="K58" s="17" t="s">
        <v>22</v>
      </c>
      <c r="L58" s="17" t="s">
        <v>290</v>
      </c>
      <c r="M58" s="24">
        <v>43330</v>
      </c>
      <c r="N58" s="24">
        <v>43420</v>
      </c>
      <c r="O58" s="17"/>
      <c r="P58" s="17" t="s">
        <v>58</v>
      </c>
      <c r="Q58" s="17" t="s">
        <v>61</v>
      </c>
      <c r="R58" s="13"/>
      <c r="S58" s="13"/>
      <c r="T58" s="13"/>
    </row>
    <row r="59" spans="1:20" ht="47.25" customHeight="1">
      <c r="A59" s="168">
        <v>1.22</v>
      </c>
      <c r="B59" s="17" t="s">
        <v>5</v>
      </c>
      <c r="C59" s="14" t="s">
        <v>303</v>
      </c>
      <c r="D59" s="14"/>
      <c r="E59" s="17" t="s">
        <v>57</v>
      </c>
      <c r="F59" s="260">
        <v>1</v>
      </c>
      <c r="G59" s="17" t="s">
        <v>310</v>
      </c>
      <c r="H59" s="16">
        <f>SUM((628077.64)/E$7)/1000</f>
        <v>170.90548027210886</v>
      </c>
      <c r="I59" s="23">
        <v>50</v>
      </c>
      <c r="J59" s="23">
        <v>50</v>
      </c>
      <c r="K59" s="17" t="s">
        <v>22</v>
      </c>
      <c r="L59" s="17" t="s">
        <v>59</v>
      </c>
      <c r="M59" s="24">
        <v>43372</v>
      </c>
      <c r="N59" s="24">
        <v>43434</v>
      </c>
      <c r="O59" s="17"/>
      <c r="P59" s="17" t="s">
        <v>58</v>
      </c>
      <c r="Q59" s="86" t="s">
        <v>61</v>
      </c>
      <c r="R59" s="13"/>
      <c r="S59" s="13"/>
      <c r="T59" s="13"/>
    </row>
    <row r="60" spans="1:20" ht="45.75" customHeight="1">
      <c r="A60" s="168">
        <v>1.23</v>
      </c>
      <c r="B60" s="17" t="s">
        <v>5</v>
      </c>
      <c r="C60" s="14" t="s">
        <v>302</v>
      </c>
      <c r="D60" s="14"/>
      <c r="E60" s="17" t="s">
        <v>57</v>
      </c>
      <c r="F60" s="268">
        <v>1</v>
      </c>
      <c r="G60" s="25" t="s">
        <v>408</v>
      </c>
      <c r="H60" s="16">
        <f>SUM((4636995.14)/E$7)/1000</f>
        <v>1261.7673850340136</v>
      </c>
      <c r="I60" s="23">
        <v>70</v>
      </c>
      <c r="J60" s="23">
        <v>30</v>
      </c>
      <c r="K60" s="17" t="s">
        <v>166</v>
      </c>
      <c r="L60" s="17" t="s">
        <v>67</v>
      </c>
      <c r="M60" s="24">
        <v>43391</v>
      </c>
      <c r="N60" s="22">
        <v>43515</v>
      </c>
      <c r="O60" s="17"/>
      <c r="P60" s="17" t="s">
        <v>58</v>
      </c>
      <c r="Q60" s="86" t="s">
        <v>94</v>
      </c>
      <c r="R60" s="13"/>
      <c r="S60" s="13"/>
      <c r="T60" s="13"/>
    </row>
    <row r="61" spans="1:20" ht="47.25" customHeight="1">
      <c r="A61" s="252">
        <v>1.24</v>
      </c>
      <c r="B61" s="191" t="s">
        <v>5</v>
      </c>
      <c r="C61" s="253" t="s">
        <v>396</v>
      </c>
      <c r="D61" s="253"/>
      <c r="E61" s="191" t="s">
        <v>57</v>
      </c>
      <c r="F61" s="191">
        <v>3</v>
      </c>
      <c r="G61" s="191"/>
      <c r="H61" s="270">
        <f>SUM(((1459020+4608780))/E$7)/1000</f>
        <v>1651.1020408163267</v>
      </c>
      <c r="I61" s="254">
        <v>100</v>
      </c>
      <c r="J61" s="254"/>
      <c r="K61" s="191" t="s">
        <v>398</v>
      </c>
      <c r="L61" s="191" t="s">
        <v>67</v>
      </c>
      <c r="M61" s="271">
        <v>43502</v>
      </c>
      <c r="N61" s="271">
        <v>43571</v>
      </c>
      <c r="O61" s="191"/>
      <c r="P61" s="268" t="s">
        <v>58</v>
      </c>
      <c r="Q61" s="98" t="s">
        <v>66</v>
      </c>
      <c r="R61" s="13"/>
      <c r="S61" s="13"/>
      <c r="T61" s="13"/>
    </row>
    <row r="62" spans="1:20" ht="47.25" customHeight="1">
      <c r="A62" s="252">
        <v>1.25</v>
      </c>
      <c r="B62" s="191" t="s">
        <v>5</v>
      </c>
      <c r="C62" s="253" t="s">
        <v>397</v>
      </c>
      <c r="D62" s="253"/>
      <c r="E62" s="191" t="s">
        <v>57</v>
      </c>
      <c r="F62" s="191">
        <v>1</v>
      </c>
      <c r="G62" s="191"/>
      <c r="H62" s="270">
        <f>SUM((2486255)/E$7)/1000</f>
        <v>676.53197278911557</v>
      </c>
      <c r="I62" s="254">
        <v>100</v>
      </c>
      <c r="J62" s="254"/>
      <c r="K62" s="191" t="s">
        <v>398</v>
      </c>
      <c r="L62" s="191" t="s">
        <v>67</v>
      </c>
      <c r="M62" s="271">
        <v>43517</v>
      </c>
      <c r="N62" s="271">
        <v>43586</v>
      </c>
      <c r="O62" s="191"/>
      <c r="P62" s="268" t="s">
        <v>58</v>
      </c>
      <c r="Q62" s="98" t="s">
        <v>66</v>
      </c>
      <c r="R62" s="13"/>
      <c r="S62" s="13"/>
      <c r="T62" s="13"/>
    </row>
    <row r="63" spans="1:20" ht="47.25" customHeight="1">
      <c r="A63" s="236">
        <v>1.26</v>
      </c>
      <c r="B63" s="272"/>
      <c r="C63" s="97" t="s">
        <v>399</v>
      </c>
      <c r="D63" s="97"/>
      <c r="E63" s="272" t="s">
        <v>57</v>
      </c>
      <c r="F63" s="272">
        <v>1</v>
      </c>
      <c r="G63" s="272"/>
      <c r="H63" s="270">
        <f>SUM((1007340.55)/E$7)/1000</f>
        <v>274.10627210884354</v>
      </c>
      <c r="I63" s="242">
        <v>100</v>
      </c>
      <c r="J63" s="242"/>
      <c r="K63" s="272" t="s">
        <v>400</v>
      </c>
      <c r="L63" s="272" t="s">
        <v>67</v>
      </c>
      <c r="M63" s="263">
        <v>43516</v>
      </c>
      <c r="N63" s="263">
        <v>43580</v>
      </c>
      <c r="O63" s="272"/>
      <c r="P63" s="272" t="s">
        <v>58</v>
      </c>
      <c r="Q63" s="98" t="s">
        <v>66</v>
      </c>
      <c r="R63" s="13"/>
      <c r="S63" s="13"/>
      <c r="T63" s="13"/>
    </row>
    <row r="64" spans="1:20" ht="45.75" hidden="1" customHeight="1" thickBot="1">
      <c r="A64" s="192">
        <v>1.27</v>
      </c>
      <c r="B64" s="99" t="s">
        <v>5</v>
      </c>
      <c r="C64" s="250"/>
      <c r="D64" s="114"/>
      <c r="E64" s="99"/>
      <c r="F64" s="99"/>
      <c r="G64" s="99"/>
      <c r="H64" s="102"/>
      <c r="I64" s="251"/>
      <c r="J64" s="251"/>
      <c r="K64" s="99"/>
      <c r="L64" s="99"/>
      <c r="M64" s="269"/>
      <c r="N64" s="269"/>
      <c r="O64" s="99"/>
      <c r="P64" s="99"/>
      <c r="Q64" s="103"/>
      <c r="R64" s="13"/>
      <c r="S64" s="13"/>
      <c r="T64" s="13"/>
    </row>
    <row r="65" spans="1:20">
      <c r="D65" s="26"/>
      <c r="E65" s="26"/>
      <c r="F65" s="26"/>
      <c r="G65" s="39" t="s">
        <v>74</v>
      </c>
      <c r="H65" s="188">
        <f>SUM(H17:H64)-H32-H40-H43-H46-H47-H48-H56</f>
        <v>46891.840990476201</v>
      </c>
      <c r="I65" s="28"/>
      <c r="J65" s="28"/>
      <c r="K65" s="26"/>
      <c r="L65" s="26"/>
      <c r="M65" s="26"/>
      <c r="N65" s="26"/>
      <c r="O65" s="26"/>
      <c r="P65" s="26"/>
      <c r="Q65" s="26"/>
      <c r="R65" s="13"/>
      <c r="S65" s="13"/>
      <c r="T65" s="13"/>
    </row>
    <row r="66" spans="1:20" ht="16" thickBot="1">
      <c r="D66" s="26"/>
      <c r="E66" s="26"/>
      <c r="F66" s="26"/>
      <c r="G66" s="26"/>
      <c r="H66" s="43"/>
      <c r="I66" s="28"/>
      <c r="J66" s="28"/>
      <c r="K66" s="26"/>
      <c r="L66" s="26"/>
      <c r="M66" s="26"/>
      <c r="N66" s="26"/>
      <c r="O66" s="26"/>
      <c r="P66" s="26"/>
      <c r="Q66" s="26"/>
      <c r="R66" s="13"/>
      <c r="S66" s="13"/>
      <c r="T66" s="13"/>
    </row>
    <row r="67" spans="1:20" ht="40" customHeight="1" thickBot="1">
      <c r="A67" s="65">
        <v>2</v>
      </c>
      <c r="B67" s="367" t="s">
        <v>75</v>
      </c>
      <c r="C67" s="368"/>
      <c r="D67" s="368"/>
      <c r="E67" s="368"/>
      <c r="F67" s="368"/>
      <c r="G67" s="368"/>
      <c r="H67" s="368"/>
      <c r="I67" s="368"/>
      <c r="J67" s="368"/>
      <c r="K67" s="368"/>
      <c r="L67" s="368"/>
      <c r="M67" s="368"/>
      <c r="N67" s="368"/>
      <c r="O67" s="368"/>
      <c r="P67" s="368"/>
      <c r="Q67" s="369"/>
      <c r="R67" s="13"/>
      <c r="S67" s="13"/>
      <c r="T67" s="13"/>
    </row>
    <row r="68" spans="1:20" ht="15" customHeight="1">
      <c r="A68" s="66"/>
      <c r="B68" s="370" t="s">
        <v>76</v>
      </c>
      <c r="C68" s="371" t="s">
        <v>3</v>
      </c>
      <c r="D68" s="372" t="s">
        <v>41</v>
      </c>
      <c r="E68" s="371" t="s">
        <v>42</v>
      </c>
      <c r="F68" s="371" t="s">
        <v>43</v>
      </c>
      <c r="G68" s="371" t="s">
        <v>44</v>
      </c>
      <c r="H68" s="373" t="s">
        <v>77</v>
      </c>
      <c r="I68" s="373"/>
      <c r="J68" s="373"/>
      <c r="K68" s="371" t="s">
        <v>46</v>
      </c>
      <c r="L68" s="371" t="s">
        <v>78</v>
      </c>
      <c r="M68" s="371" t="s">
        <v>0</v>
      </c>
      <c r="N68" s="371"/>
      <c r="O68" s="374" t="s">
        <v>79</v>
      </c>
      <c r="P68" s="371" t="s">
        <v>50</v>
      </c>
      <c r="Q68" s="375" t="s">
        <v>17</v>
      </c>
      <c r="R68" s="13"/>
      <c r="S68" s="13"/>
      <c r="T68" s="13"/>
    </row>
    <row r="69" spans="1:20" ht="63.65" customHeight="1" thickBot="1">
      <c r="A69" s="67"/>
      <c r="B69" s="351"/>
      <c r="C69" s="340"/>
      <c r="D69" s="363"/>
      <c r="E69" s="340"/>
      <c r="F69" s="340"/>
      <c r="G69" s="340"/>
      <c r="H69" s="63" t="s">
        <v>80</v>
      </c>
      <c r="I69" s="64" t="s">
        <v>52</v>
      </c>
      <c r="J69" s="64" t="s">
        <v>53</v>
      </c>
      <c r="K69" s="340"/>
      <c r="L69" s="340"/>
      <c r="M69" s="62" t="s">
        <v>54</v>
      </c>
      <c r="N69" s="62" t="s">
        <v>55</v>
      </c>
      <c r="O69" s="346"/>
      <c r="P69" s="340"/>
      <c r="Q69" s="342"/>
      <c r="R69" s="13"/>
      <c r="S69" s="13"/>
      <c r="T69" s="13"/>
    </row>
    <row r="70" spans="1:20" s="225" customFormat="1" ht="395.25" customHeight="1">
      <c r="A70" s="167">
        <v>2.1</v>
      </c>
      <c r="B70" s="61" t="s">
        <v>5</v>
      </c>
      <c r="C70" s="21" t="s">
        <v>7</v>
      </c>
      <c r="D70" s="21" t="s">
        <v>418</v>
      </c>
      <c r="E70" s="61" t="s">
        <v>68</v>
      </c>
      <c r="F70" s="61">
        <v>1</v>
      </c>
      <c r="G70" s="224" t="s">
        <v>299</v>
      </c>
      <c r="H70" s="140">
        <f>SUM((16387470)/E$7)/1000</f>
        <v>4459.1755102040815</v>
      </c>
      <c r="I70" s="81">
        <v>30</v>
      </c>
      <c r="J70" s="81" t="s">
        <v>419</v>
      </c>
      <c r="K70" s="82" t="s">
        <v>28</v>
      </c>
      <c r="L70" s="61" t="s">
        <v>59</v>
      </c>
      <c r="M70" s="83">
        <v>42461</v>
      </c>
      <c r="N70" s="24">
        <v>42593</v>
      </c>
      <c r="O70" s="61"/>
      <c r="P70" s="61" t="s">
        <v>251</v>
      </c>
      <c r="Q70" s="85" t="s">
        <v>61</v>
      </c>
      <c r="R70" s="13"/>
      <c r="S70" s="13"/>
      <c r="T70" s="13"/>
    </row>
    <row r="71" spans="1:20" ht="32.5" hidden="1" customHeight="1">
      <c r="A71" s="255">
        <v>2.2000000000000002</v>
      </c>
      <c r="B71" s="255" t="s">
        <v>5</v>
      </c>
      <c r="C71" s="144" t="s">
        <v>4</v>
      </c>
      <c r="D71" s="255"/>
      <c r="E71" s="255" t="s">
        <v>63</v>
      </c>
      <c r="F71" s="255">
        <v>1</v>
      </c>
      <c r="G71" s="105" t="s">
        <v>58</v>
      </c>
      <c r="H71" s="120">
        <f>SUM(100000/E$7)/1000</f>
        <v>27.210884353741498</v>
      </c>
      <c r="I71" s="255">
        <v>0</v>
      </c>
      <c r="J71" s="255">
        <v>100</v>
      </c>
      <c r="K71" s="255">
        <v>3.4</v>
      </c>
      <c r="L71" s="255" t="s">
        <v>64</v>
      </c>
      <c r="M71" s="54">
        <v>42583</v>
      </c>
      <c r="N71" s="255">
        <v>42658</v>
      </c>
      <c r="O71" s="255" t="s">
        <v>9</v>
      </c>
      <c r="P71" s="255" t="s">
        <v>58</v>
      </c>
      <c r="Q71" s="255" t="s">
        <v>66</v>
      </c>
      <c r="R71" s="13"/>
      <c r="S71" s="13"/>
      <c r="T71" s="13"/>
    </row>
    <row r="72" spans="1:20" s="179" customFormat="1" ht="32.5" hidden="1" customHeight="1">
      <c r="A72" s="255">
        <v>2.2000000000000002</v>
      </c>
      <c r="B72" s="255" t="s">
        <v>5</v>
      </c>
      <c r="C72" s="144" t="s">
        <v>229</v>
      </c>
      <c r="D72" s="255"/>
      <c r="E72" s="255" t="s">
        <v>63</v>
      </c>
      <c r="F72" s="255">
        <v>1</v>
      </c>
      <c r="G72" s="255" t="s">
        <v>58</v>
      </c>
      <c r="H72" s="120">
        <f>SUM((80000+200000)/E$7)/1000</f>
        <v>76.190476190476204</v>
      </c>
      <c r="I72" s="255">
        <v>0</v>
      </c>
      <c r="J72" s="255">
        <v>100</v>
      </c>
      <c r="K72" s="255">
        <v>3.4</v>
      </c>
      <c r="L72" s="255" t="s">
        <v>64</v>
      </c>
      <c r="M72" s="122">
        <v>42912</v>
      </c>
      <c r="N72" s="125">
        <v>42968</v>
      </c>
      <c r="O72" s="255" t="s">
        <v>9</v>
      </c>
      <c r="P72" s="255" t="s">
        <v>58</v>
      </c>
      <c r="Q72" s="255" t="s">
        <v>66</v>
      </c>
      <c r="R72" s="178"/>
      <c r="S72" s="178"/>
      <c r="T72" s="178"/>
    </row>
    <row r="73" spans="1:20" ht="54.75" customHeight="1">
      <c r="A73" s="78">
        <v>2.2999999999999998</v>
      </c>
      <c r="B73" s="17" t="s">
        <v>5</v>
      </c>
      <c r="C73" s="14" t="s">
        <v>206</v>
      </c>
      <c r="D73" s="14"/>
      <c r="E73" s="17" t="s">
        <v>81</v>
      </c>
      <c r="F73" s="17">
        <v>1</v>
      </c>
      <c r="G73" s="17" t="s">
        <v>267</v>
      </c>
      <c r="H73" s="58">
        <f>SUM(47203.94/E$7)/1000</f>
        <v>12.844609523809526</v>
      </c>
      <c r="I73" s="23">
        <v>50</v>
      </c>
      <c r="J73" s="23">
        <v>50</v>
      </c>
      <c r="K73" s="17">
        <v>3.2</v>
      </c>
      <c r="L73" s="17" t="s">
        <v>59</v>
      </c>
      <c r="M73" s="24">
        <v>42522</v>
      </c>
      <c r="N73" s="24">
        <v>42669</v>
      </c>
      <c r="O73" s="17"/>
      <c r="P73" s="17" t="s">
        <v>258</v>
      </c>
      <c r="Q73" s="86" t="s">
        <v>124</v>
      </c>
      <c r="R73" s="13"/>
      <c r="S73" s="13"/>
      <c r="T73" s="13"/>
    </row>
    <row r="74" spans="1:20" s="179" customFormat="1" ht="36" hidden="1" customHeight="1">
      <c r="A74" s="119">
        <v>2.4</v>
      </c>
      <c r="B74" s="255" t="s">
        <v>5</v>
      </c>
      <c r="C74" s="116" t="s">
        <v>12</v>
      </c>
      <c r="D74" s="116"/>
      <c r="E74" s="255" t="s">
        <v>63</v>
      </c>
      <c r="F74" s="255">
        <v>1</v>
      </c>
      <c r="G74" s="255" t="s">
        <v>58</v>
      </c>
      <c r="H74" s="120">
        <f>SUM(450000/E$7)/1000</f>
        <v>122.44897959183675</v>
      </c>
      <c r="I74" s="124">
        <v>0</v>
      </c>
      <c r="J74" s="124">
        <v>100</v>
      </c>
      <c r="K74" s="255" t="s">
        <v>29</v>
      </c>
      <c r="L74" s="255" t="s">
        <v>64</v>
      </c>
      <c r="M74" s="137">
        <v>43165</v>
      </c>
      <c r="N74" s="125">
        <v>43220</v>
      </c>
      <c r="O74" s="255" t="s">
        <v>9</v>
      </c>
      <c r="P74" s="255" t="s">
        <v>58</v>
      </c>
      <c r="Q74" s="123" t="s">
        <v>66</v>
      </c>
      <c r="R74" s="178"/>
      <c r="S74" s="178"/>
      <c r="T74" s="178"/>
    </row>
    <row r="75" spans="1:20" ht="41.25" hidden="1" customHeight="1">
      <c r="A75" s="119">
        <v>2.5</v>
      </c>
      <c r="B75" s="255" t="s">
        <v>5</v>
      </c>
      <c r="C75" s="116" t="s">
        <v>6</v>
      </c>
      <c r="D75" s="116"/>
      <c r="E75" s="105" t="s">
        <v>57</v>
      </c>
      <c r="F75" s="255">
        <v>1</v>
      </c>
      <c r="G75" s="255" t="s">
        <v>58</v>
      </c>
      <c r="H75" s="120">
        <f>SUM(1200000/E$7)/1000</f>
        <v>326.53061224489801</v>
      </c>
      <c r="I75" s="124">
        <v>95</v>
      </c>
      <c r="J75" s="124">
        <v>5</v>
      </c>
      <c r="K75" s="255">
        <v>3.1</v>
      </c>
      <c r="L75" s="255" t="s">
        <v>67</v>
      </c>
      <c r="M75" s="125">
        <v>43175</v>
      </c>
      <c r="N75" s="125">
        <v>43202</v>
      </c>
      <c r="O75" s="255"/>
      <c r="P75" s="255" t="s">
        <v>58</v>
      </c>
      <c r="Q75" s="123" t="s">
        <v>66</v>
      </c>
      <c r="R75" s="13"/>
      <c r="S75" s="13"/>
      <c r="T75" s="13"/>
    </row>
    <row r="76" spans="1:20" ht="41.25" hidden="1" customHeight="1">
      <c r="A76" s="119">
        <v>2.6</v>
      </c>
      <c r="B76" s="255" t="s">
        <v>5</v>
      </c>
      <c r="C76" s="116" t="s">
        <v>82</v>
      </c>
      <c r="D76" s="116"/>
      <c r="E76" s="105" t="s">
        <v>57</v>
      </c>
      <c r="F76" s="255">
        <v>1</v>
      </c>
      <c r="G76" s="255" t="s">
        <v>58</v>
      </c>
      <c r="H76" s="120">
        <f>SUM((980000)/E$7)/1000</f>
        <v>266.66666666666669</v>
      </c>
      <c r="I76" s="124">
        <v>0</v>
      </c>
      <c r="J76" s="124">
        <v>100</v>
      </c>
      <c r="K76" s="255" t="s">
        <v>30</v>
      </c>
      <c r="L76" s="255" t="s">
        <v>64</v>
      </c>
      <c r="M76" s="125">
        <v>43287</v>
      </c>
      <c r="N76" s="125">
        <v>43341</v>
      </c>
      <c r="O76" s="255"/>
      <c r="P76" s="255" t="s">
        <v>58</v>
      </c>
      <c r="Q76" s="123" t="s">
        <v>66</v>
      </c>
      <c r="R76" s="13"/>
      <c r="S76" s="13"/>
      <c r="T76" s="13"/>
    </row>
    <row r="77" spans="1:20" s="265" customFormat="1" ht="52.5" customHeight="1">
      <c r="A77" s="141">
        <v>2.6</v>
      </c>
      <c r="B77" s="17" t="s">
        <v>5</v>
      </c>
      <c r="C77" s="14" t="s">
        <v>313</v>
      </c>
      <c r="D77" s="17" t="s">
        <v>326</v>
      </c>
      <c r="E77" s="17" t="s">
        <v>63</v>
      </c>
      <c r="F77" s="17">
        <v>2</v>
      </c>
      <c r="G77" s="17" t="s">
        <v>314</v>
      </c>
      <c r="H77" s="16">
        <f>SUM((152742.84)/E$7)/1000</f>
        <v>41.562677551020407</v>
      </c>
      <c r="I77" s="23">
        <v>0</v>
      </c>
      <c r="J77" s="23">
        <v>100</v>
      </c>
      <c r="K77" s="17" t="s">
        <v>30</v>
      </c>
      <c r="L77" s="17" t="s">
        <v>64</v>
      </c>
      <c r="M77" s="24">
        <v>43420</v>
      </c>
      <c r="N77" s="263">
        <v>43437</v>
      </c>
      <c r="O77" s="260"/>
      <c r="P77" s="260" t="s">
        <v>58</v>
      </c>
      <c r="Q77" s="98" t="s">
        <v>66</v>
      </c>
      <c r="R77" s="264"/>
      <c r="S77" s="264"/>
      <c r="T77" s="264"/>
    </row>
    <row r="78" spans="1:20" s="265" customFormat="1" ht="52.5" customHeight="1">
      <c r="A78" s="141" t="s">
        <v>315</v>
      </c>
      <c r="B78" s="17" t="s">
        <v>5</v>
      </c>
      <c r="C78" s="14" t="s">
        <v>343</v>
      </c>
      <c r="D78" s="17" t="s">
        <v>327</v>
      </c>
      <c r="E78" s="17" t="s">
        <v>63</v>
      </c>
      <c r="F78" s="17">
        <v>4</v>
      </c>
      <c r="G78" s="17" t="s">
        <v>321</v>
      </c>
      <c r="H78" s="16">
        <f>SUM((17815.56)/E$7)/1000</f>
        <v>4.8477714285714288</v>
      </c>
      <c r="I78" s="23">
        <v>0</v>
      </c>
      <c r="J78" s="23">
        <v>100</v>
      </c>
      <c r="K78" s="17" t="s">
        <v>30</v>
      </c>
      <c r="L78" s="17" t="s">
        <v>64</v>
      </c>
      <c r="M78" s="24">
        <v>43420</v>
      </c>
      <c r="N78" s="263">
        <v>43437</v>
      </c>
      <c r="O78" s="260"/>
      <c r="P78" s="260" t="s">
        <v>58</v>
      </c>
      <c r="Q78" s="98" t="s">
        <v>66</v>
      </c>
      <c r="R78" s="264"/>
      <c r="S78" s="264"/>
      <c r="T78" s="264"/>
    </row>
    <row r="79" spans="1:20" s="265" customFormat="1" ht="52.5" customHeight="1">
      <c r="A79" s="141" t="s">
        <v>316</v>
      </c>
      <c r="B79" s="17" t="s">
        <v>5</v>
      </c>
      <c r="C79" s="14" t="s">
        <v>344</v>
      </c>
      <c r="D79" s="17" t="s">
        <v>327</v>
      </c>
      <c r="E79" s="17" t="s">
        <v>63</v>
      </c>
      <c r="F79" s="17">
        <v>2</v>
      </c>
      <c r="G79" s="17" t="s">
        <v>324</v>
      </c>
      <c r="H79" s="16">
        <f>SUM((177068.15)/E$7)/1000</f>
        <v>48.181809523809527</v>
      </c>
      <c r="I79" s="23">
        <v>0</v>
      </c>
      <c r="J79" s="23">
        <v>100</v>
      </c>
      <c r="K79" s="17" t="s">
        <v>30</v>
      </c>
      <c r="L79" s="17" t="s">
        <v>64</v>
      </c>
      <c r="M79" s="24">
        <v>43357</v>
      </c>
      <c r="N79" s="263">
        <v>43420</v>
      </c>
      <c r="O79" s="260" t="s">
        <v>9</v>
      </c>
      <c r="P79" s="260" t="s">
        <v>58</v>
      </c>
      <c r="Q79" s="98" t="s">
        <v>94</v>
      </c>
      <c r="R79" s="264"/>
      <c r="S79" s="264"/>
      <c r="T79" s="264"/>
    </row>
    <row r="80" spans="1:20" s="265" customFormat="1" ht="87" customHeight="1">
      <c r="A80" s="141" t="s">
        <v>317</v>
      </c>
      <c r="B80" s="17" t="s">
        <v>5</v>
      </c>
      <c r="C80" s="14" t="s">
        <v>328</v>
      </c>
      <c r="D80" s="17" t="s">
        <v>326</v>
      </c>
      <c r="E80" s="17" t="s">
        <v>63</v>
      </c>
      <c r="F80" s="17">
        <v>1</v>
      </c>
      <c r="G80" s="17" t="s">
        <v>325</v>
      </c>
      <c r="H80" s="16">
        <f>SUM((6840)/E$7)/1000</f>
        <v>1.8612244897959185</v>
      </c>
      <c r="I80" s="23">
        <v>0</v>
      </c>
      <c r="J80" s="23">
        <v>100</v>
      </c>
      <c r="K80" s="17" t="s">
        <v>30</v>
      </c>
      <c r="L80" s="17" t="s">
        <v>64</v>
      </c>
      <c r="M80" s="24">
        <v>43318</v>
      </c>
      <c r="N80" s="263">
        <v>43360</v>
      </c>
      <c r="O80" s="260" t="s">
        <v>331</v>
      </c>
      <c r="P80" s="260" t="s">
        <v>58</v>
      </c>
      <c r="Q80" s="98" t="s">
        <v>94</v>
      </c>
      <c r="R80" s="264"/>
      <c r="S80" s="264"/>
      <c r="T80" s="264"/>
    </row>
    <row r="81" spans="1:20" s="265" customFormat="1" ht="86.25" customHeight="1">
      <c r="A81" s="141" t="s">
        <v>318</v>
      </c>
      <c r="B81" s="17" t="s">
        <v>5</v>
      </c>
      <c r="C81" s="14" t="s">
        <v>345</v>
      </c>
      <c r="D81" s="17" t="s">
        <v>322</v>
      </c>
      <c r="E81" s="17" t="s">
        <v>63</v>
      </c>
      <c r="F81" s="17">
        <v>2</v>
      </c>
      <c r="G81" s="17" t="s">
        <v>329</v>
      </c>
      <c r="H81" s="16">
        <f>SUM((212999.99)/E$7)/1000</f>
        <v>57.959180952380947</v>
      </c>
      <c r="I81" s="23">
        <v>0</v>
      </c>
      <c r="J81" s="23">
        <v>100</v>
      </c>
      <c r="K81" s="17" t="s">
        <v>30</v>
      </c>
      <c r="L81" s="17" t="s">
        <v>64</v>
      </c>
      <c r="M81" s="24">
        <v>43174</v>
      </c>
      <c r="N81" s="263">
        <v>43215</v>
      </c>
      <c r="O81" s="260" t="s">
        <v>330</v>
      </c>
      <c r="P81" s="260" t="s">
        <v>58</v>
      </c>
      <c r="Q81" s="98" t="s">
        <v>94</v>
      </c>
      <c r="R81" s="264"/>
      <c r="S81" s="264"/>
      <c r="T81" s="264"/>
    </row>
    <row r="82" spans="1:20" s="265" customFormat="1" ht="165.75" customHeight="1">
      <c r="A82" s="141" t="s">
        <v>319</v>
      </c>
      <c r="B82" s="17" t="s">
        <v>5</v>
      </c>
      <c r="C82" s="14" t="s">
        <v>346</v>
      </c>
      <c r="D82" s="14"/>
      <c r="E82" s="17" t="s">
        <v>63</v>
      </c>
      <c r="F82" s="17">
        <v>31</v>
      </c>
      <c r="G82" s="17" t="s">
        <v>332</v>
      </c>
      <c r="H82" s="16">
        <f>SUM((195976.17)/E$7)/1000</f>
        <v>53.326848979591844</v>
      </c>
      <c r="I82" s="23">
        <v>0</v>
      </c>
      <c r="J82" s="23">
        <v>100</v>
      </c>
      <c r="K82" s="17" t="s">
        <v>30</v>
      </c>
      <c r="L82" s="17" t="s">
        <v>64</v>
      </c>
      <c r="M82" s="24">
        <v>43348</v>
      </c>
      <c r="N82" s="263">
        <v>43383</v>
      </c>
      <c r="O82" s="260" t="s">
        <v>333</v>
      </c>
      <c r="P82" s="260" t="s">
        <v>58</v>
      </c>
      <c r="Q82" s="98" t="s">
        <v>94</v>
      </c>
      <c r="R82" s="264"/>
      <c r="S82" s="264"/>
      <c r="T82" s="264"/>
    </row>
    <row r="83" spans="1:20" s="265" customFormat="1" ht="82.5" customHeight="1">
      <c r="A83" s="141" t="s">
        <v>320</v>
      </c>
      <c r="B83" s="17" t="s">
        <v>5</v>
      </c>
      <c r="C83" s="14" t="s">
        <v>347</v>
      </c>
      <c r="D83" s="17" t="s">
        <v>334</v>
      </c>
      <c r="E83" s="17" t="s">
        <v>63</v>
      </c>
      <c r="F83" s="17">
        <v>1</v>
      </c>
      <c r="G83" s="17" t="s">
        <v>335</v>
      </c>
      <c r="H83" s="16">
        <f>SUM((940)/E$7)/1000</f>
        <v>0.25578231292517006</v>
      </c>
      <c r="I83" s="23">
        <v>0</v>
      </c>
      <c r="J83" s="23">
        <v>100</v>
      </c>
      <c r="K83" s="17" t="s">
        <v>30</v>
      </c>
      <c r="L83" s="17" t="s">
        <v>64</v>
      </c>
      <c r="M83" s="24">
        <v>43038</v>
      </c>
      <c r="N83" s="263">
        <v>43117</v>
      </c>
      <c r="O83" s="260" t="s">
        <v>336</v>
      </c>
      <c r="P83" s="260" t="s">
        <v>58</v>
      </c>
      <c r="Q83" s="98" t="s">
        <v>94</v>
      </c>
      <c r="R83" s="264"/>
      <c r="S83" s="264"/>
      <c r="T83" s="264"/>
    </row>
    <row r="84" spans="1:20" s="265" customFormat="1" ht="177.75" customHeight="1">
      <c r="A84" s="141" t="s">
        <v>323</v>
      </c>
      <c r="B84" s="17" t="s">
        <v>5</v>
      </c>
      <c r="C84" s="14" t="s">
        <v>348</v>
      </c>
      <c r="D84" s="14"/>
      <c r="E84" s="17" t="s">
        <v>63</v>
      </c>
      <c r="F84" s="17">
        <v>25</v>
      </c>
      <c r="G84" s="17" t="s">
        <v>349</v>
      </c>
      <c r="H84" s="16">
        <f>SUM((51011.95)/E$7)/1000</f>
        <v>13.880802721088436</v>
      </c>
      <c r="I84" s="23">
        <v>0</v>
      </c>
      <c r="J84" s="23">
        <v>100</v>
      </c>
      <c r="K84" s="17" t="s">
        <v>30</v>
      </c>
      <c r="L84" s="17" t="s">
        <v>64</v>
      </c>
      <c r="M84" s="24">
        <v>43059</v>
      </c>
      <c r="N84" s="263">
        <v>43152</v>
      </c>
      <c r="O84" s="260" t="s">
        <v>350</v>
      </c>
      <c r="P84" s="260" t="s">
        <v>58</v>
      </c>
      <c r="Q84" s="98" t="s">
        <v>94</v>
      </c>
      <c r="R84" s="264"/>
      <c r="S84" s="264"/>
      <c r="T84" s="264"/>
    </row>
    <row r="85" spans="1:20" s="265" customFormat="1" ht="52.5" customHeight="1">
      <c r="A85" s="141" t="s">
        <v>337</v>
      </c>
      <c r="B85" s="17" t="s">
        <v>5</v>
      </c>
      <c r="C85" s="14" t="s">
        <v>351</v>
      </c>
      <c r="D85" s="14" t="s">
        <v>354</v>
      </c>
      <c r="E85" s="17" t="s">
        <v>63</v>
      </c>
      <c r="F85" s="17">
        <v>1</v>
      </c>
      <c r="G85" s="17" t="s">
        <v>353</v>
      </c>
      <c r="H85" s="16">
        <f>SUM((8455)/E$7)/1000</f>
        <v>2.3006802721088437</v>
      </c>
      <c r="I85" s="23">
        <v>0</v>
      </c>
      <c r="J85" s="23">
        <v>100</v>
      </c>
      <c r="K85" s="17" t="s">
        <v>30</v>
      </c>
      <c r="L85" s="17" t="s">
        <v>64</v>
      </c>
      <c r="M85" s="24">
        <v>43089</v>
      </c>
      <c r="N85" s="263">
        <v>43158</v>
      </c>
      <c r="O85" s="260" t="s">
        <v>355</v>
      </c>
      <c r="P85" s="260" t="s">
        <v>58</v>
      </c>
      <c r="Q85" s="98" t="s">
        <v>94</v>
      </c>
      <c r="R85" s="264"/>
      <c r="S85" s="264"/>
      <c r="T85" s="264"/>
    </row>
    <row r="86" spans="1:20" s="265" customFormat="1" ht="52.5" customHeight="1">
      <c r="A86" s="141" t="s">
        <v>338</v>
      </c>
      <c r="B86" s="17" t="s">
        <v>5</v>
      </c>
      <c r="C86" s="14" t="s">
        <v>356</v>
      </c>
      <c r="D86" s="14"/>
      <c r="E86" s="17" t="s">
        <v>63</v>
      </c>
      <c r="F86" s="17">
        <v>1</v>
      </c>
      <c r="G86" s="17" t="s">
        <v>352</v>
      </c>
      <c r="H86" s="16">
        <f>SUM((688)/E$7)/1000</f>
        <v>0.1872108843537415</v>
      </c>
      <c r="I86" s="23">
        <v>0</v>
      </c>
      <c r="J86" s="23">
        <v>100</v>
      </c>
      <c r="K86" s="17" t="s">
        <v>30</v>
      </c>
      <c r="L86" s="17" t="s">
        <v>64</v>
      </c>
      <c r="M86" s="24">
        <v>43420</v>
      </c>
      <c r="N86" s="263">
        <v>43437</v>
      </c>
      <c r="O86" s="260"/>
      <c r="P86" s="260" t="s">
        <v>58</v>
      </c>
      <c r="Q86" s="98" t="s">
        <v>66</v>
      </c>
      <c r="R86" s="264"/>
      <c r="S86" s="264"/>
      <c r="T86" s="264"/>
    </row>
    <row r="87" spans="1:20" s="265" customFormat="1" ht="69" customHeight="1">
      <c r="A87" s="141" t="s">
        <v>339</v>
      </c>
      <c r="B87" s="17" t="s">
        <v>5</v>
      </c>
      <c r="C87" s="14" t="s">
        <v>357</v>
      </c>
      <c r="D87" s="14"/>
      <c r="E87" s="17" t="s">
        <v>63</v>
      </c>
      <c r="F87" s="17">
        <v>1</v>
      </c>
      <c r="G87" s="17" t="s">
        <v>358</v>
      </c>
      <c r="H87" s="16">
        <f>SUM((25893.33)/E$7)/1000</f>
        <v>7.0458040816326539</v>
      </c>
      <c r="I87" s="23">
        <v>0</v>
      </c>
      <c r="J87" s="23">
        <v>100</v>
      </c>
      <c r="K87" s="17" t="s">
        <v>30</v>
      </c>
      <c r="L87" s="17" t="s">
        <v>64</v>
      </c>
      <c r="M87" s="24">
        <v>43392</v>
      </c>
      <c r="N87" s="263">
        <v>43420</v>
      </c>
      <c r="O87" s="260"/>
      <c r="P87" s="260" t="s">
        <v>58</v>
      </c>
      <c r="Q87" s="98" t="s">
        <v>94</v>
      </c>
      <c r="R87" s="264"/>
      <c r="S87" s="264"/>
      <c r="T87" s="264"/>
    </row>
    <row r="88" spans="1:20" s="265" customFormat="1" ht="52.5" customHeight="1">
      <c r="A88" s="141" t="s">
        <v>340</v>
      </c>
      <c r="B88" s="17" t="s">
        <v>5</v>
      </c>
      <c r="C88" s="14" t="s">
        <v>359</v>
      </c>
      <c r="D88" s="14"/>
      <c r="E88" s="17" t="s">
        <v>63</v>
      </c>
      <c r="F88" s="17">
        <v>8</v>
      </c>
      <c r="G88" s="17" t="s">
        <v>360</v>
      </c>
      <c r="H88" s="16">
        <f>SUM((63812.24)/E$7)/1000</f>
        <v>17.363874829931973</v>
      </c>
      <c r="I88" s="23">
        <v>0</v>
      </c>
      <c r="J88" s="23">
        <v>100</v>
      </c>
      <c r="K88" s="17" t="s">
        <v>30</v>
      </c>
      <c r="L88" s="17" t="s">
        <v>64</v>
      </c>
      <c r="M88" s="24">
        <v>43420</v>
      </c>
      <c r="N88" s="263">
        <v>43437</v>
      </c>
      <c r="O88" s="260"/>
      <c r="P88" s="260" t="s">
        <v>58</v>
      </c>
      <c r="Q88" s="98" t="s">
        <v>66</v>
      </c>
      <c r="R88" s="264"/>
      <c r="S88" s="264"/>
      <c r="T88" s="264"/>
    </row>
    <row r="89" spans="1:20" s="265" customFormat="1" ht="52.5" customHeight="1">
      <c r="A89" s="141" t="s">
        <v>341</v>
      </c>
      <c r="B89" s="17" t="s">
        <v>5</v>
      </c>
      <c r="C89" s="14" t="s">
        <v>361</v>
      </c>
      <c r="D89" s="14"/>
      <c r="E89" s="17" t="s">
        <v>63</v>
      </c>
      <c r="F89" s="17">
        <v>2</v>
      </c>
      <c r="G89" s="17" t="s">
        <v>362</v>
      </c>
      <c r="H89" s="16">
        <f>SUM((51871.65)/E$7)/1000</f>
        <v>14.114734693877551</v>
      </c>
      <c r="I89" s="23">
        <v>0</v>
      </c>
      <c r="J89" s="23">
        <v>100</v>
      </c>
      <c r="K89" s="17" t="s">
        <v>30</v>
      </c>
      <c r="L89" s="17" t="s">
        <v>64</v>
      </c>
      <c r="M89" s="24">
        <v>43420</v>
      </c>
      <c r="N89" s="263">
        <v>43437</v>
      </c>
      <c r="O89" s="260"/>
      <c r="P89" s="260" t="s">
        <v>58</v>
      </c>
      <c r="Q89" s="98" t="s">
        <v>66</v>
      </c>
      <c r="R89" s="264"/>
      <c r="S89" s="264"/>
      <c r="T89" s="264"/>
    </row>
    <row r="90" spans="1:20" s="179" customFormat="1" ht="33" hidden="1" customHeight="1">
      <c r="A90" s="142">
        <v>2.7</v>
      </c>
      <c r="B90" s="17" t="s">
        <v>5</v>
      </c>
      <c r="C90" s="14" t="s">
        <v>13</v>
      </c>
      <c r="D90" s="14"/>
      <c r="E90" s="17" t="s">
        <v>63</v>
      </c>
      <c r="F90" s="17">
        <v>1</v>
      </c>
      <c r="G90" s="17" t="s">
        <v>58</v>
      </c>
      <c r="H90" s="16">
        <f>SUM(450000/E$7)/1000</f>
        <v>122.44897959183675</v>
      </c>
      <c r="I90" s="23">
        <v>0</v>
      </c>
      <c r="J90" s="23">
        <v>100</v>
      </c>
      <c r="K90" s="17" t="s">
        <v>31</v>
      </c>
      <c r="L90" s="17" t="s">
        <v>64</v>
      </c>
      <c r="M90" s="70">
        <v>43202</v>
      </c>
      <c r="N90" s="125">
        <v>43257</v>
      </c>
      <c r="O90" s="255" t="s">
        <v>9</v>
      </c>
      <c r="P90" s="255" t="s">
        <v>58</v>
      </c>
      <c r="Q90" s="123" t="s">
        <v>66</v>
      </c>
      <c r="R90" s="178"/>
      <c r="S90" s="178"/>
      <c r="T90" s="178"/>
    </row>
    <row r="91" spans="1:20" s="179" customFormat="1" ht="33" hidden="1" customHeight="1">
      <c r="A91" s="142">
        <v>2.8</v>
      </c>
      <c r="B91" s="17" t="s">
        <v>5</v>
      </c>
      <c r="C91" s="14" t="s">
        <v>14</v>
      </c>
      <c r="D91" s="14"/>
      <c r="E91" s="17" t="s">
        <v>57</v>
      </c>
      <c r="F91" s="17">
        <v>1</v>
      </c>
      <c r="G91" s="17" t="s">
        <v>58</v>
      </c>
      <c r="H91" s="16">
        <f>SUM(620000/E$7)/1000</f>
        <v>168.70748299319729</v>
      </c>
      <c r="I91" s="23">
        <v>0</v>
      </c>
      <c r="J91" s="23">
        <v>100</v>
      </c>
      <c r="K91" s="17" t="s">
        <v>32</v>
      </c>
      <c r="L91" s="17" t="s">
        <v>64</v>
      </c>
      <c r="M91" s="70">
        <v>43287</v>
      </c>
      <c r="N91" s="125">
        <v>43341</v>
      </c>
      <c r="O91" s="255"/>
      <c r="P91" s="255" t="s">
        <v>58</v>
      </c>
      <c r="Q91" s="123" t="s">
        <v>66</v>
      </c>
      <c r="R91" s="178"/>
      <c r="S91" s="178"/>
      <c r="T91" s="178"/>
    </row>
    <row r="92" spans="1:20" s="265" customFormat="1" ht="52.5" customHeight="1">
      <c r="A92" s="141">
        <v>2.8</v>
      </c>
      <c r="B92" s="17" t="s">
        <v>5</v>
      </c>
      <c r="C92" s="14" t="s">
        <v>374</v>
      </c>
      <c r="D92" s="17" t="s">
        <v>326</v>
      </c>
      <c r="E92" s="17" t="s">
        <v>9</v>
      </c>
      <c r="F92" s="17">
        <v>4</v>
      </c>
      <c r="G92" s="17" t="s">
        <v>375</v>
      </c>
      <c r="H92" s="16">
        <f>SUM((93142.06)/E$7)/1000</f>
        <v>25.344778231292519</v>
      </c>
      <c r="I92" s="23">
        <v>0</v>
      </c>
      <c r="J92" s="23">
        <v>100</v>
      </c>
      <c r="K92" s="17" t="s">
        <v>32</v>
      </c>
      <c r="L92" s="17" t="s">
        <v>64</v>
      </c>
      <c r="M92" s="24">
        <v>43420</v>
      </c>
      <c r="N92" s="263">
        <v>43437</v>
      </c>
      <c r="O92" s="260"/>
      <c r="P92" s="260" t="s">
        <v>58</v>
      </c>
      <c r="Q92" s="98" t="s">
        <v>66</v>
      </c>
      <c r="R92" s="264"/>
      <c r="S92" s="264"/>
      <c r="T92" s="264"/>
    </row>
    <row r="93" spans="1:20" s="265" customFormat="1" ht="52.5" customHeight="1">
      <c r="A93" s="141" t="s">
        <v>342</v>
      </c>
      <c r="B93" s="17" t="s">
        <v>5</v>
      </c>
      <c r="C93" s="14" t="s">
        <v>376</v>
      </c>
      <c r="D93" s="17" t="s">
        <v>327</v>
      </c>
      <c r="E93" s="17" t="s">
        <v>63</v>
      </c>
      <c r="F93" s="17">
        <v>3</v>
      </c>
      <c r="G93" s="17" t="s">
        <v>321</v>
      </c>
      <c r="H93" s="16">
        <f>SUM((13389)/E$7)/1000</f>
        <v>3.6432653061224491</v>
      </c>
      <c r="I93" s="23">
        <v>0</v>
      </c>
      <c r="J93" s="23">
        <v>100</v>
      </c>
      <c r="K93" s="17" t="s">
        <v>32</v>
      </c>
      <c r="L93" s="17" t="s">
        <v>64</v>
      </c>
      <c r="M93" s="24">
        <v>43420</v>
      </c>
      <c r="N93" s="263">
        <v>43437</v>
      </c>
      <c r="O93" s="260"/>
      <c r="P93" s="260" t="s">
        <v>58</v>
      </c>
      <c r="Q93" s="98" t="s">
        <v>66</v>
      </c>
      <c r="R93" s="264"/>
      <c r="S93" s="264"/>
      <c r="T93" s="264"/>
    </row>
    <row r="94" spans="1:20" s="265" customFormat="1" ht="52.5" customHeight="1">
      <c r="A94" s="141" t="s">
        <v>364</v>
      </c>
      <c r="B94" s="17" t="s">
        <v>5</v>
      </c>
      <c r="C94" s="14" t="s">
        <v>377</v>
      </c>
      <c r="D94" s="17" t="s">
        <v>327</v>
      </c>
      <c r="E94" s="17" t="s">
        <v>63</v>
      </c>
      <c r="F94" s="17">
        <v>2</v>
      </c>
      <c r="G94" s="17" t="s">
        <v>324</v>
      </c>
      <c r="H94" s="16">
        <f>SUM((116994.82)/E$7)/1000</f>
        <v>31.835325170068032</v>
      </c>
      <c r="I94" s="23">
        <v>0</v>
      </c>
      <c r="J94" s="23">
        <v>100</v>
      </c>
      <c r="K94" s="17" t="s">
        <v>32</v>
      </c>
      <c r="L94" s="17" t="s">
        <v>64</v>
      </c>
      <c r="M94" s="24">
        <v>43357</v>
      </c>
      <c r="N94" s="263">
        <v>43420</v>
      </c>
      <c r="O94" s="260"/>
      <c r="P94" s="260" t="s">
        <v>58</v>
      </c>
      <c r="Q94" s="98" t="s">
        <v>94</v>
      </c>
      <c r="R94" s="264"/>
      <c r="S94" s="264"/>
      <c r="T94" s="264"/>
    </row>
    <row r="95" spans="1:20" s="265" customFormat="1" ht="63.75" customHeight="1">
      <c r="A95" s="141" t="s">
        <v>365</v>
      </c>
      <c r="B95" s="17" t="s">
        <v>5</v>
      </c>
      <c r="C95" s="14" t="s">
        <v>378</v>
      </c>
      <c r="D95" s="17" t="s">
        <v>326</v>
      </c>
      <c r="E95" s="17" t="s">
        <v>63</v>
      </c>
      <c r="F95" s="17">
        <v>1</v>
      </c>
      <c r="G95" s="17" t="s">
        <v>325</v>
      </c>
      <c r="H95" s="16">
        <f>SUM((3880)/E$7)/1000</f>
        <v>1.0557823129251702</v>
      </c>
      <c r="I95" s="23">
        <v>0</v>
      </c>
      <c r="J95" s="23">
        <v>100</v>
      </c>
      <c r="K95" s="17" t="s">
        <v>32</v>
      </c>
      <c r="L95" s="17" t="s">
        <v>64</v>
      </c>
      <c r="M95" s="24">
        <v>43318</v>
      </c>
      <c r="N95" s="263">
        <v>43360</v>
      </c>
      <c r="O95" s="260" t="s">
        <v>331</v>
      </c>
      <c r="P95" s="260" t="s">
        <v>58</v>
      </c>
      <c r="Q95" s="98" t="s">
        <v>94</v>
      </c>
      <c r="R95" s="264"/>
      <c r="S95" s="264"/>
      <c r="T95" s="264"/>
    </row>
    <row r="96" spans="1:20" s="265" customFormat="1" ht="52.5" customHeight="1">
      <c r="A96" s="141" t="s">
        <v>366</v>
      </c>
      <c r="B96" s="17" t="s">
        <v>5</v>
      </c>
      <c r="C96" s="14" t="s">
        <v>380</v>
      </c>
      <c r="D96" s="17" t="s">
        <v>322</v>
      </c>
      <c r="E96" s="17" t="s">
        <v>63</v>
      </c>
      <c r="F96" s="17">
        <v>1</v>
      </c>
      <c r="G96" s="17" t="s">
        <v>329</v>
      </c>
      <c r="H96" s="16">
        <f>SUM((163000)/E$7)/1000</f>
        <v>44.353741496598637</v>
      </c>
      <c r="I96" s="23">
        <v>0</v>
      </c>
      <c r="J96" s="23">
        <v>100</v>
      </c>
      <c r="K96" s="17" t="s">
        <v>32</v>
      </c>
      <c r="L96" s="17" t="s">
        <v>64</v>
      </c>
      <c r="M96" s="24">
        <v>43174</v>
      </c>
      <c r="N96" s="263">
        <v>43215</v>
      </c>
      <c r="O96" s="260" t="s">
        <v>379</v>
      </c>
      <c r="P96" s="260" t="s">
        <v>58</v>
      </c>
      <c r="Q96" s="98" t="s">
        <v>94</v>
      </c>
      <c r="R96" s="264"/>
      <c r="S96" s="264"/>
      <c r="T96" s="264"/>
    </row>
    <row r="97" spans="1:20" s="265" customFormat="1" ht="195" customHeight="1">
      <c r="A97" s="141" t="s">
        <v>367</v>
      </c>
      <c r="B97" s="17" t="s">
        <v>5</v>
      </c>
      <c r="C97" s="14" t="s">
        <v>382</v>
      </c>
      <c r="D97" s="14"/>
      <c r="E97" s="17" t="s">
        <v>63</v>
      </c>
      <c r="F97" s="17">
        <v>18</v>
      </c>
      <c r="G97" s="17" t="s">
        <v>332</v>
      </c>
      <c r="H97" s="16">
        <f>SUM((65351.97)/E$7)/1000</f>
        <v>17.78284897959184</v>
      </c>
      <c r="I97" s="23">
        <v>0</v>
      </c>
      <c r="J97" s="23">
        <v>100</v>
      </c>
      <c r="K97" s="17" t="s">
        <v>32</v>
      </c>
      <c r="L97" s="17" t="s">
        <v>64</v>
      </c>
      <c r="M97" s="24">
        <v>43348</v>
      </c>
      <c r="N97" s="263">
        <v>43383</v>
      </c>
      <c r="O97" s="260" t="s">
        <v>381</v>
      </c>
      <c r="P97" s="260" t="s">
        <v>58</v>
      </c>
      <c r="Q97" s="98" t="s">
        <v>94</v>
      </c>
      <c r="R97" s="264"/>
      <c r="S97" s="264"/>
      <c r="T97" s="264"/>
    </row>
    <row r="98" spans="1:20" s="265" customFormat="1" ht="52.5" customHeight="1">
      <c r="A98" s="141" t="s">
        <v>368</v>
      </c>
      <c r="B98" s="17" t="s">
        <v>5</v>
      </c>
      <c r="C98" s="14" t="s">
        <v>385</v>
      </c>
      <c r="D98" s="17" t="s">
        <v>326</v>
      </c>
      <c r="E98" s="17" t="s">
        <v>63</v>
      </c>
      <c r="F98" s="17">
        <v>1</v>
      </c>
      <c r="G98" s="17" t="s">
        <v>383</v>
      </c>
      <c r="H98" s="16">
        <f>SUM((2108)/E$7)/1000</f>
        <v>0.57360544217687071</v>
      </c>
      <c r="I98" s="23">
        <v>0</v>
      </c>
      <c r="J98" s="23">
        <v>100</v>
      </c>
      <c r="K98" s="17" t="s">
        <v>32</v>
      </c>
      <c r="L98" s="17" t="s">
        <v>64</v>
      </c>
      <c r="M98" s="24">
        <v>43024</v>
      </c>
      <c r="N98" s="263">
        <v>43084</v>
      </c>
      <c r="O98" s="260" t="s">
        <v>384</v>
      </c>
      <c r="P98" s="260" t="s">
        <v>58</v>
      </c>
      <c r="Q98" s="98" t="s">
        <v>94</v>
      </c>
      <c r="R98" s="264"/>
      <c r="S98" s="264"/>
      <c r="T98" s="264"/>
    </row>
    <row r="99" spans="1:20" s="265" customFormat="1" ht="66.75" customHeight="1">
      <c r="A99" s="141" t="s">
        <v>369</v>
      </c>
      <c r="B99" s="17" t="s">
        <v>5</v>
      </c>
      <c r="C99" s="14" t="s">
        <v>386</v>
      </c>
      <c r="D99" s="17" t="s">
        <v>334</v>
      </c>
      <c r="E99" s="17" t="s">
        <v>63</v>
      </c>
      <c r="F99" s="17">
        <v>1</v>
      </c>
      <c r="G99" s="17" t="s">
        <v>335</v>
      </c>
      <c r="H99" s="16">
        <f>SUM((470)/E$7)/1000</f>
        <v>0.12789115646258503</v>
      </c>
      <c r="I99" s="23">
        <v>0</v>
      </c>
      <c r="J99" s="23">
        <v>100</v>
      </c>
      <c r="K99" s="17" t="s">
        <v>32</v>
      </c>
      <c r="L99" s="17" t="s">
        <v>64</v>
      </c>
      <c r="M99" s="24">
        <v>43038</v>
      </c>
      <c r="N99" s="263">
        <v>43117</v>
      </c>
      <c r="O99" s="260" t="s">
        <v>336</v>
      </c>
      <c r="P99" s="260" t="s">
        <v>58</v>
      </c>
      <c r="Q99" s="98" t="s">
        <v>94</v>
      </c>
      <c r="R99" s="264"/>
      <c r="S99" s="264"/>
      <c r="T99" s="264"/>
    </row>
    <row r="100" spans="1:20" s="265" customFormat="1" ht="52.5" customHeight="1">
      <c r="A100" s="141" t="s">
        <v>370</v>
      </c>
      <c r="B100" s="17" t="s">
        <v>5</v>
      </c>
      <c r="C100" s="14" t="s">
        <v>387</v>
      </c>
      <c r="D100" s="14"/>
      <c r="E100" s="17" t="s">
        <v>63</v>
      </c>
      <c r="F100" s="17">
        <v>22</v>
      </c>
      <c r="G100" s="17" t="s">
        <v>349</v>
      </c>
      <c r="H100" s="16">
        <f>SUM((29873.34)/E$7)/1000</f>
        <v>8.1288</v>
      </c>
      <c r="I100" s="23">
        <v>0</v>
      </c>
      <c r="J100" s="23">
        <v>100</v>
      </c>
      <c r="K100" s="17" t="s">
        <v>32</v>
      </c>
      <c r="L100" s="17" t="s">
        <v>64</v>
      </c>
      <c r="M100" s="24">
        <v>43059</v>
      </c>
      <c r="N100" s="263">
        <v>43152</v>
      </c>
      <c r="O100" s="260" t="s">
        <v>388</v>
      </c>
      <c r="P100" s="260" t="s">
        <v>58</v>
      </c>
      <c r="Q100" s="98" t="s">
        <v>94</v>
      </c>
      <c r="R100" s="264"/>
      <c r="S100" s="264"/>
      <c r="T100" s="264"/>
    </row>
    <row r="101" spans="1:20" s="265" customFormat="1" ht="52.5" customHeight="1">
      <c r="A101" s="141" t="s">
        <v>371</v>
      </c>
      <c r="B101" s="17" t="s">
        <v>5</v>
      </c>
      <c r="C101" s="14" t="s">
        <v>389</v>
      </c>
      <c r="D101" s="14" t="s">
        <v>354</v>
      </c>
      <c r="E101" s="17" t="s">
        <v>63</v>
      </c>
      <c r="F101" s="17">
        <v>1</v>
      </c>
      <c r="G101" s="17" t="s">
        <v>353</v>
      </c>
      <c r="H101" s="16">
        <f>SUM((6230)/E$7)/1000</f>
        <v>1.6952380952380954</v>
      </c>
      <c r="I101" s="23">
        <v>0</v>
      </c>
      <c r="J101" s="23">
        <v>100</v>
      </c>
      <c r="K101" s="17" t="s">
        <v>32</v>
      </c>
      <c r="L101" s="17" t="s">
        <v>64</v>
      </c>
      <c r="M101" s="24">
        <v>43089</v>
      </c>
      <c r="N101" s="263">
        <v>43158</v>
      </c>
      <c r="O101" s="260" t="s">
        <v>355</v>
      </c>
      <c r="P101" s="260" t="s">
        <v>58</v>
      </c>
      <c r="Q101" s="98" t="s">
        <v>94</v>
      </c>
      <c r="R101" s="264"/>
      <c r="S101" s="264"/>
      <c r="T101" s="264"/>
    </row>
    <row r="102" spans="1:20" s="265" customFormat="1" ht="52.5" customHeight="1">
      <c r="A102" s="141" t="s">
        <v>372</v>
      </c>
      <c r="B102" s="17" t="s">
        <v>5</v>
      </c>
      <c r="C102" s="14" t="s">
        <v>363</v>
      </c>
      <c r="D102" s="14"/>
      <c r="E102" s="17" t="s">
        <v>63</v>
      </c>
      <c r="F102" s="17">
        <v>8</v>
      </c>
      <c r="G102" s="17" t="s">
        <v>360</v>
      </c>
      <c r="H102" s="16">
        <f>SUM((43528.33)/E$7)/1000</f>
        <v>11.844443537414968</v>
      </c>
      <c r="I102" s="23">
        <v>0</v>
      </c>
      <c r="J102" s="23">
        <v>100</v>
      </c>
      <c r="K102" s="17" t="s">
        <v>32</v>
      </c>
      <c r="L102" s="17" t="s">
        <v>64</v>
      </c>
      <c r="M102" s="24">
        <v>43420</v>
      </c>
      <c r="N102" s="263">
        <v>43437</v>
      </c>
      <c r="O102" s="260"/>
      <c r="P102" s="260" t="s">
        <v>58</v>
      </c>
      <c r="Q102" s="98" t="s">
        <v>66</v>
      </c>
      <c r="R102" s="264"/>
      <c r="S102" s="264"/>
      <c r="T102" s="264"/>
    </row>
    <row r="103" spans="1:20" s="265" customFormat="1" ht="52.5" customHeight="1">
      <c r="A103" s="141" t="s">
        <v>373</v>
      </c>
      <c r="B103" s="17" t="s">
        <v>5</v>
      </c>
      <c r="C103" s="14" t="s">
        <v>363</v>
      </c>
      <c r="D103" s="14"/>
      <c r="E103" s="17" t="s">
        <v>63</v>
      </c>
      <c r="F103" s="17">
        <v>1</v>
      </c>
      <c r="G103" s="17" t="s">
        <v>362</v>
      </c>
      <c r="H103" s="16">
        <f>SUM((52623.22)/E$7)/1000</f>
        <v>14.319243537414966</v>
      </c>
      <c r="I103" s="23">
        <v>0</v>
      </c>
      <c r="J103" s="23">
        <v>100</v>
      </c>
      <c r="K103" s="17" t="s">
        <v>32</v>
      </c>
      <c r="L103" s="17" t="s">
        <v>64</v>
      </c>
      <c r="M103" s="24">
        <v>43420</v>
      </c>
      <c r="N103" s="263">
        <v>43437</v>
      </c>
      <c r="O103" s="260"/>
      <c r="P103" s="260" t="s">
        <v>58</v>
      </c>
      <c r="Q103" s="98" t="s">
        <v>66</v>
      </c>
      <c r="R103" s="264"/>
      <c r="S103" s="264"/>
      <c r="T103" s="264"/>
    </row>
    <row r="104" spans="1:20" ht="31">
      <c r="A104" s="142">
        <v>2.9</v>
      </c>
      <c r="B104" s="17" t="s">
        <v>5</v>
      </c>
      <c r="C104" s="14" t="s">
        <v>204</v>
      </c>
      <c r="D104" s="14"/>
      <c r="E104" s="17" t="s">
        <v>63</v>
      </c>
      <c r="F104" s="17">
        <v>1</v>
      </c>
      <c r="G104" s="17" t="s">
        <v>243</v>
      </c>
      <c r="H104" s="16">
        <f>SUM(32999/E$7)/1000</f>
        <v>8.9793197278911574</v>
      </c>
      <c r="I104" s="56">
        <v>0</v>
      </c>
      <c r="J104" s="56">
        <v>100</v>
      </c>
      <c r="K104" s="17">
        <v>3.2</v>
      </c>
      <c r="L104" s="17" t="s">
        <v>64</v>
      </c>
      <c r="M104" s="24">
        <v>42656</v>
      </c>
      <c r="N104" s="24">
        <v>42711</v>
      </c>
      <c r="O104" s="17" t="s">
        <v>242</v>
      </c>
      <c r="P104" s="17"/>
      <c r="Q104" s="86" t="s">
        <v>124</v>
      </c>
      <c r="R104" s="13"/>
      <c r="S104" s="13"/>
      <c r="T104" s="13"/>
    </row>
    <row r="105" spans="1:20">
      <c r="A105" s="20"/>
      <c r="B105" s="26"/>
      <c r="C105" s="26"/>
      <c r="D105" s="26"/>
      <c r="E105" s="26"/>
      <c r="F105" s="26"/>
      <c r="G105" s="39" t="s">
        <v>74</v>
      </c>
      <c r="H105" s="188">
        <f>SUM(H70:H104)-H71-H72-H74-H75-H90-H76</f>
        <v>5073.3002884353746</v>
      </c>
      <c r="I105" s="28"/>
      <c r="J105" s="28"/>
      <c r="K105" s="26"/>
      <c r="L105" s="26"/>
      <c r="M105" s="26"/>
      <c r="N105" s="26"/>
      <c r="O105" s="26"/>
      <c r="P105" s="26"/>
      <c r="Q105" s="26"/>
      <c r="R105" s="13"/>
      <c r="S105" s="13"/>
      <c r="T105" s="13"/>
    </row>
    <row r="106" spans="1:20" ht="16" thickBot="1">
      <c r="A106" s="20"/>
    </row>
    <row r="107" spans="1:20" ht="15.75" customHeight="1">
      <c r="A107" s="73">
        <v>3</v>
      </c>
      <c r="B107" s="347" t="s">
        <v>83</v>
      </c>
      <c r="C107" s="348"/>
      <c r="D107" s="348"/>
      <c r="E107" s="348"/>
      <c r="F107" s="348"/>
      <c r="G107" s="348"/>
      <c r="H107" s="348"/>
      <c r="I107" s="348"/>
      <c r="J107" s="348"/>
      <c r="K107" s="348"/>
      <c r="L107" s="348"/>
      <c r="M107" s="348"/>
      <c r="N107" s="348"/>
      <c r="O107" s="348"/>
      <c r="P107" s="348"/>
      <c r="Q107" s="349"/>
    </row>
    <row r="108" spans="1:20" ht="15" customHeight="1">
      <c r="A108" s="74"/>
      <c r="B108" s="350" t="s">
        <v>76</v>
      </c>
      <c r="C108" s="337" t="s">
        <v>3</v>
      </c>
      <c r="D108" s="362" t="s">
        <v>41</v>
      </c>
      <c r="E108" s="337" t="s">
        <v>42</v>
      </c>
      <c r="F108" s="337" t="s">
        <v>43</v>
      </c>
      <c r="G108" s="337" t="s">
        <v>44</v>
      </c>
      <c r="H108" s="352" t="s">
        <v>77</v>
      </c>
      <c r="I108" s="352"/>
      <c r="J108" s="352"/>
      <c r="K108" s="337" t="s">
        <v>46</v>
      </c>
      <c r="L108" s="337" t="s">
        <v>78</v>
      </c>
      <c r="M108" s="337" t="s">
        <v>0</v>
      </c>
      <c r="N108" s="337"/>
      <c r="O108" s="345" t="s">
        <v>79</v>
      </c>
      <c r="P108" s="337" t="s">
        <v>50</v>
      </c>
      <c r="Q108" s="341" t="s">
        <v>17</v>
      </c>
    </row>
    <row r="109" spans="1:20" ht="47.5" customHeight="1" thickBot="1">
      <c r="A109" s="84"/>
      <c r="B109" s="351"/>
      <c r="C109" s="340"/>
      <c r="D109" s="363"/>
      <c r="E109" s="340"/>
      <c r="F109" s="340"/>
      <c r="G109" s="340"/>
      <c r="H109" s="63" t="s">
        <v>80</v>
      </c>
      <c r="I109" s="64" t="s">
        <v>52</v>
      </c>
      <c r="J109" s="64" t="s">
        <v>53</v>
      </c>
      <c r="K109" s="340"/>
      <c r="L109" s="340"/>
      <c r="M109" s="62" t="s">
        <v>54</v>
      </c>
      <c r="N109" s="62" t="s">
        <v>55</v>
      </c>
      <c r="O109" s="346"/>
      <c r="P109" s="340"/>
      <c r="Q109" s="342"/>
    </row>
    <row r="110" spans="1:20" ht="34.5" hidden="1" customHeight="1">
      <c r="A110" s="104">
        <v>3.1</v>
      </c>
      <c r="B110" s="105" t="s">
        <v>5</v>
      </c>
      <c r="C110" s="107" t="s">
        <v>84</v>
      </c>
      <c r="D110" s="107"/>
      <c r="E110" s="105" t="s">
        <v>57</v>
      </c>
      <c r="F110" s="105">
        <v>1</v>
      </c>
      <c r="G110" s="105" t="s">
        <v>58</v>
      </c>
      <c r="H110" s="108">
        <f>SUM(4868779.83/E$7)/1000</f>
        <v>1324.8380489795918</v>
      </c>
      <c r="I110" s="221">
        <v>60</v>
      </c>
      <c r="J110" s="221">
        <v>40</v>
      </c>
      <c r="K110" s="218">
        <v>3.1</v>
      </c>
      <c r="L110" s="105" t="s">
        <v>67</v>
      </c>
      <c r="M110" s="219">
        <v>43161</v>
      </c>
      <c r="N110" s="219">
        <v>43217</v>
      </c>
      <c r="O110" s="105"/>
      <c r="P110" s="105" t="s">
        <v>58</v>
      </c>
      <c r="Q110" s="112" t="s">
        <v>66</v>
      </c>
    </row>
    <row r="111" spans="1:20" ht="32.5" customHeight="1">
      <c r="A111" s="152">
        <v>3.2</v>
      </c>
      <c r="B111" s="17" t="s">
        <v>5</v>
      </c>
      <c r="C111" s="14" t="s">
        <v>203</v>
      </c>
      <c r="D111" s="14"/>
      <c r="E111" s="17" t="s">
        <v>57</v>
      </c>
      <c r="F111" s="17">
        <v>1</v>
      </c>
      <c r="G111" s="17" t="s">
        <v>150</v>
      </c>
      <c r="H111" s="55">
        <f>SUM(198875/E$7)/1000</f>
        <v>54.115646258503403</v>
      </c>
      <c r="I111" s="56">
        <v>50</v>
      </c>
      <c r="J111" s="56">
        <v>50</v>
      </c>
      <c r="K111" s="57">
        <v>3.2</v>
      </c>
      <c r="L111" s="17" t="s">
        <v>67</v>
      </c>
      <c r="M111" s="70">
        <v>41789</v>
      </c>
      <c r="N111" s="83">
        <v>41857</v>
      </c>
      <c r="O111" s="17" t="s">
        <v>147</v>
      </c>
      <c r="P111" s="17" t="s">
        <v>151</v>
      </c>
      <c r="Q111" s="17" t="s">
        <v>124</v>
      </c>
    </row>
    <row r="112" spans="1:20" ht="37.9" hidden="1" customHeight="1">
      <c r="A112" s="153">
        <v>3.3</v>
      </c>
      <c r="B112" s="153" t="s">
        <v>5</v>
      </c>
      <c r="C112" s="116" t="s">
        <v>85</v>
      </c>
      <c r="D112" s="153"/>
      <c r="E112" s="153" t="s">
        <v>63</v>
      </c>
      <c r="F112" s="153">
        <v>1</v>
      </c>
      <c r="G112" s="153" t="s">
        <v>58</v>
      </c>
      <c r="H112" s="120">
        <f>SUM(100000/$E$7)/1000</f>
        <v>27.210884353741498</v>
      </c>
      <c r="I112" s="153">
        <v>0</v>
      </c>
      <c r="J112" s="153">
        <v>100</v>
      </c>
      <c r="K112" s="153">
        <v>3.4</v>
      </c>
      <c r="L112" s="153" t="s">
        <v>67</v>
      </c>
      <c r="M112" s="125">
        <v>42583</v>
      </c>
      <c r="N112" s="125">
        <v>42644</v>
      </c>
      <c r="O112" s="153"/>
      <c r="P112" s="153" t="s">
        <v>58</v>
      </c>
      <c r="Q112" s="153" t="s">
        <v>66</v>
      </c>
      <c r="S112" s="115"/>
    </row>
    <row r="113" spans="1:19" ht="42" hidden="1" customHeight="1">
      <c r="A113" s="131">
        <v>3.3</v>
      </c>
      <c r="B113" s="147" t="s">
        <v>5</v>
      </c>
      <c r="C113" s="132" t="s">
        <v>219</v>
      </c>
      <c r="D113" s="145"/>
      <c r="E113" s="145"/>
      <c r="F113" s="145"/>
      <c r="G113" s="145"/>
      <c r="H113" s="145"/>
      <c r="I113" s="145"/>
      <c r="J113" s="145"/>
      <c r="K113" s="145"/>
      <c r="L113" s="145"/>
      <c r="M113" s="145"/>
      <c r="N113" s="145"/>
      <c r="O113" s="145"/>
      <c r="P113" s="145"/>
      <c r="Q113" s="146"/>
      <c r="S113" s="115"/>
    </row>
    <row r="114" spans="1:19" ht="33" hidden="1" customHeight="1">
      <c r="A114" s="119">
        <v>3.4</v>
      </c>
      <c r="B114" s="255" t="s">
        <v>5</v>
      </c>
      <c r="C114" s="116" t="s">
        <v>87</v>
      </c>
      <c r="D114" s="116"/>
      <c r="E114" s="255" t="s">
        <v>57</v>
      </c>
      <c r="F114" s="255">
        <v>1</v>
      </c>
      <c r="G114" s="255" t="s">
        <v>58</v>
      </c>
      <c r="H114" s="120">
        <f>SUM(1420000/E$7)/1000</f>
        <v>386.39455782312928</v>
      </c>
      <c r="I114" s="121">
        <v>50</v>
      </c>
      <c r="J114" s="121">
        <v>50</v>
      </c>
      <c r="K114" s="255">
        <v>3.2</v>
      </c>
      <c r="L114" s="255" t="s">
        <v>67</v>
      </c>
      <c r="M114" s="122" t="s">
        <v>86</v>
      </c>
      <c r="N114" s="255" t="s">
        <v>58</v>
      </c>
      <c r="O114" s="255"/>
      <c r="P114" s="255" t="s">
        <v>58</v>
      </c>
      <c r="Q114" s="123" t="s">
        <v>121</v>
      </c>
    </row>
    <row r="115" spans="1:19" ht="49.5" hidden="1" customHeight="1">
      <c r="A115" s="119">
        <v>3.5</v>
      </c>
      <c r="B115" s="255" t="s">
        <v>5</v>
      </c>
      <c r="C115" s="116" t="s">
        <v>88</v>
      </c>
      <c r="D115" s="116"/>
      <c r="E115" s="255" t="s">
        <v>63</v>
      </c>
      <c r="F115" s="255">
        <v>1</v>
      </c>
      <c r="G115" s="255" t="s">
        <v>58</v>
      </c>
      <c r="H115" s="120">
        <f>SUM(200000/E$7)/1000</f>
        <v>54.421768707482997</v>
      </c>
      <c r="I115" s="124">
        <v>0</v>
      </c>
      <c r="J115" s="124">
        <v>100</v>
      </c>
      <c r="K115" s="255">
        <v>3.2</v>
      </c>
      <c r="L115" s="255" t="s">
        <v>64</v>
      </c>
      <c r="M115" s="125" t="s">
        <v>89</v>
      </c>
      <c r="N115" s="255" t="s">
        <v>58</v>
      </c>
      <c r="O115" s="255" t="s">
        <v>65</v>
      </c>
      <c r="P115" s="255" t="s">
        <v>58</v>
      </c>
      <c r="Q115" s="123" t="s">
        <v>66</v>
      </c>
      <c r="S115" s="115"/>
    </row>
    <row r="116" spans="1:19" s="179" customFormat="1" ht="69" hidden="1" customHeight="1">
      <c r="A116" s="119">
        <v>3.6</v>
      </c>
      <c r="B116" s="255" t="s">
        <v>5</v>
      </c>
      <c r="C116" s="116" t="s">
        <v>184</v>
      </c>
      <c r="D116" s="116"/>
      <c r="E116" s="255" t="s">
        <v>57</v>
      </c>
      <c r="F116" s="255">
        <v>1</v>
      </c>
      <c r="G116" s="255" t="s">
        <v>58</v>
      </c>
      <c r="H116" s="120">
        <f>SUM(1420000/E$7)/1000</f>
        <v>386.39455782312928</v>
      </c>
      <c r="I116" s="121">
        <v>62</v>
      </c>
      <c r="J116" s="121">
        <v>38</v>
      </c>
      <c r="K116" s="255">
        <v>3.2</v>
      </c>
      <c r="L116" s="255" t="s">
        <v>67</v>
      </c>
      <c r="M116" s="180">
        <v>43081</v>
      </c>
      <c r="N116" s="180">
        <v>43137</v>
      </c>
      <c r="O116" s="255"/>
      <c r="P116" s="255" t="s">
        <v>58</v>
      </c>
      <c r="Q116" s="123" t="s">
        <v>66</v>
      </c>
    </row>
    <row r="117" spans="1:19" s="179" customFormat="1" ht="33.75" hidden="1" customHeight="1" thickBot="1">
      <c r="A117" s="200">
        <v>3.7</v>
      </c>
      <c r="B117" s="196" t="s">
        <v>5</v>
      </c>
      <c r="C117" s="201" t="s">
        <v>185</v>
      </c>
      <c r="D117" s="201"/>
      <c r="E117" s="196" t="s">
        <v>63</v>
      </c>
      <c r="F117" s="196">
        <v>1</v>
      </c>
      <c r="G117" s="196" t="s">
        <v>58</v>
      </c>
      <c r="H117" s="202">
        <f>SUM(130000/E$7)/1000</f>
        <v>35.374149659863953</v>
      </c>
      <c r="I117" s="203">
        <v>0</v>
      </c>
      <c r="J117" s="203">
        <v>100</v>
      </c>
      <c r="K117" s="196">
        <v>3.2</v>
      </c>
      <c r="L117" s="196" t="s">
        <v>64</v>
      </c>
      <c r="M117" s="204">
        <v>43081</v>
      </c>
      <c r="N117" s="204">
        <v>43137</v>
      </c>
      <c r="O117" s="196" t="s">
        <v>65</v>
      </c>
      <c r="P117" s="196"/>
      <c r="Q117" s="199" t="s">
        <v>66</v>
      </c>
    </row>
    <row r="118" spans="1:19">
      <c r="A118" s="20"/>
      <c r="B118" s="26"/>
      <c r="C118" s="26"/>
      <c r="D118" s="26"/>
      <c r="E118" s="26"/>
      <c r="F118" s="26"/>
      <c r="G118" s="39" t="s">
        <v>74</v>
      </c>
      <c r="H118" s="188">
        <f>SUM(H110:H117)-H110-H112-H114-H115-H116-H117</f>
        <v>54.115646258503169</v>
      </c>
      <c r="I118" s="28"/>
      <c r="J118" s="28"/>
      <c r="K118" s="26"/>
      <c r="L118" s="26"/>
      <c r="M118" s="26"/>
      <c r="N118" s="26"/>
      <c r="O118" s="26"/>
      <c r="P118" s="26"/>
      <c r="Q118" s="26"/>
    </row>
    <row r="119" spans="1:19" ht="16" thickBot="1">
      <c r="A119" s="20"/>
    </row>
    <row r="120" spans="1:19" ht="15.75" customHeight="1">
      <c r="A120" s="75">
        <v>4</v>
      </c>
      <c r="B120" s="347" t="s">
        <v>90</v>
      </c>
      <c r="C120" s="348"/>
      <c r="D120" s="348"/>
      <c r="E120" s="348"/>
      <c r="F120" s="348"/>
      <c r="G120" s="348"/>
      <c r="H120" s="348"/>
      <c r="I120" s="348"/>
      <c r="J120" s="348"/>
      <c r="K120" s="348"/>
      <c r="L120" s="348"/>
      <c r="M120" s="348"/>
      <c r="N120" s="348"/>
      <c r="O120" s="348"/>
      <c r="P120" s="348"/>
      <c r="Q120" s="349"/>
    </row>
    <row r="121" spans="1:19" ht="35.25" customHeight="1">
      <c r="A121" s="66"/>
      <c r="B121" s="350" t="s">
        <v>76</v>
      </c>
      <c r="C121" s="337" t="s">
        <v>3</v>
      </c>
      <c r="D121" s="337" t="s">
        <v>41</v>
      </c>
      <c r="E121" s="337" t="s">
        <v>42</v>
      </c>
      <c r="F121" s="364"/>
      <c r="G121" s="364"/>
      <c r="H121" s="345" t="s">
        <v>77</v>
      </c>
      <c r="I121" s="365"/>
      <c r="J121" s="366"/>
      <c r="K121" s="337" t="s">
        <v>46</v>
      </c>
      <c r="L121" s="337" t="s">
        <v>78</v>
      </c>
      <c r="M121" s="337" t="s">
        <v>0</v>
      </c>
      <c r="N121" s="337"/>
      <c r="O121" s="345" t="s">
        <v>79</v>
      </c>
      <c r="P121" s="337" t="s">
        <v>50</v>
      </c>
      <c r="Q121" s="341" t="s">
        <v>17</v>
      </c>
    </row>
    <row r="122" spans="1:19" ht="75.75" customHeight="1" thickBot="1">
      <c r="A122" s="67"/>
      <c r="B122" s="351"/>
      <c r="C122" s="340"/>
      <c r="D122" s="340"/>
      <c r="E122" s="340"/>
      <c r="F122" s="340" t="s">
        <v>44</v>
      </c>
      <c r="G122" s="340"/>
      <c r="H122" s="62" t="s">
        <v>80</v>
      </c>
      <c r="I122" s="63" t="s">
        <v>52</v>
      </c>
      <c r="J122" s="64" t="s">
        <v>53</v>
      </c>
      <c r="K122" s="340"/>
      <c r="L122" s="340"/>
      <c r="M122" s="62" t="s">
        <v>91</v>
      </c>
      <c r="N122" s="62" t="s">
        <v>55</v>
      </c>
      <c r="O122" s="346"/>
      <c r="P122" s="340"/>
      <c r="Q122" s="342"/>
    </row>
    <row r="123" spans="1:19" ht="48.75" hidden="1" customHeight="1">
      <c r="A123" s="104">
        <v>4.0999999999999996</v>
      </c>
      <c r="B123" s="105" t="s">
        <v>5</v>
      </c>
      <c r="C123" s="106" t="s">
        <v>92</v>
      </c>
      <c r="D123" s="107"/>
      <c r="E123" s="105" t="s">
        <v>93</v>
      </c>
      <c r="F123" s="359" t="s">
        <v>152</v>
      </c>
      <c r="G123" s="360"/>
      <c r="H123" s="108">
        <f>SUM(9290368.77/E$7)/1000</f>
        <v>2527.9915020408166</v>
      </c>
      <c r="I123" s="109">
        <v>12</v>
      </c>
      <c r="J123" s="109">
        <v>88</v>
      </c>
      <c r="K123" s="110">
        <v>4.2</v>
      </c>
      <c r="L123" s="105" t="s">
        <v>59</v>
      </c>
      <c r="M123" s="111" t="s">
        <v>60</v>
      </c>
      <c r="N123" s="105" t="s">
        <v>147</v>
      </c>
      <c r="O123" s="105" t="s">
        <v>147</v>
      </c>
      <c r="P123" s="105" t="s">
        <v>147</v>
      </c>
      <c r="Q123" s="112" t="s">
        <v>121</v>
      </c>
    </row>
    <row r="124" spans="1:19" ht="36" customHeight="1">
      <c r="A124" s="78">
        <v>4.2</v>
      </c>
      <c r="B124" s="17" t="s">
        <v>5</v>
      </c>
      <c r="C124" s="71" t="s">
        <v>95</v>
      </c>
      <c r="D124" s="14"/>
      <c r="E124" s="17" t="s">
        <v>63</v>
      </c>
      <c r="F124" s="322" t="s">
        <v>153</v>
      </c>
      <c r="G124" s="323"/>
      <c r="H124" s="55">
        <f>SUM(169000/E$7)/1000</f>
        <v>45.986394557823125</v>
      </c>
      <c r="I124" s="51">
        <v>0</v>
      </c>
      <c r="J124" s="51">
        <v>100</v>
      </c>
      <c r="K124" s="52">
        <v>3.1</v>
      </c>
      <c r="L124" s="17" t="s">
        <v>64</v>
      </c>
      <c r="M124" s="53">
        <v>41957</v>
      </c>
      <c r="N124" s="70">
        <v>42011</v>
      </c>
      <c r="O124" s="17" t="s">
        <v>10</v>
      </c>
      <c r="P124" s="17" t="s">
        <v>58</v>
      </c>
      <c r="Q124" s="86" t="s">
        <v>124</v>
      </c>
    </row>
    <row r="125" spans="1:19" ht="31">
      <c r="A125" s="141">
        <v>4.3</v>
      </c>
      <c r="B125" s="17" t="s">
        <v>5</v>
      </c>
      <c r="C125" s="71" t="s">
        <v>297</v>
      </c>
      <c r="D125" s="14"/>
      <c r="E125" s="17" t="s">
        <v>63</v>
      </c>
      <c r="F125" s="322" t="s">
        <v>154</v>
      </c>
      <c r="G125" s="323"/>
      <c r="H125" s="55">
        <f>SUM((257800-177710)/E$7)/1000</f>
        <v>21.793197278911563</v>
      </c>
      <c r="I125" s="51">
        <v>0</v>
      </c>
      <c r="J125" s="51">
        <v>100</v>
      </c>
      <c r="K125" s="52">
        <v>4.0999999999999996</v>
      </c>
      <c r="L125" s="17" t="s">
        <v>64</v>
      </c>
      <c r="M125" s="53">
        <v>41225</v>
      </c>
      <c r="N125" s="70">
        <v>41227</v>
      </c>
      <c r="O125" s="17" t="s">
        <v>11</v>
      </c>
      <c r="P125" s="17" t="s">
        <v>58</v>
      </c>
      <c r="Q125" s="86" t="s">
        <v>124</v>
      </c>
    </row>
    <row r="126" spans="1:19" ht="24.75" customHeight="1">
      <c r="A126" s="52">
        <v>4.4000000000000004</v>
      </c>
      <c r="B126" s="17" t="s">
        <v>5</v>
      </c>
      <c r="C126" s="14" t="s">
        <v>298</v>
      </c>
      <c r="D126" s="14"/>
      <c r="E126" s="17"/>
      <c r="F126" s="324"/>
      <c r="G126" s="324"/>
      <c r="H126" s="16">
        <f>SUM(200000/E$7)/1000</f>
        <v>54.421768707482997</v>
      </c>
      <c r="I126" s="56">
        <v>0</v>
      </c>
      <c r="J126" s="56">
        <v>100</v>
      </c>
      <c r="K126" s="17">
        <v>4.0999999999999996</v>
      </c>
      <c r="L126" s="17" t="s">
        <v>64</v>
      </c>
      <c r="M126" s="143">
        <v>43631</v>
      </c>
      <c r="N126" s="143">
        <v>43678</v>
      </c>
      <c r="O126" s="17"/>
      <c r="P126" s="17"/>
      <c r="Q126" s="17" t="s">
        <v>66</v>
      </c>
    </row>
    <row r="127" spans="1:19" s="179" customFormat="1" ht="31" hidden="1">
      <c r="A127" s="153">
        <v>4.4000000000000004</v>
      </c>
      <c r="B127" s="255" t="s">
        <v>5</v>
      </c>
      <c r="C127" s="116" t="s">
        <v>186</v>
      </c>
      <c r="D127" s="116"/>
      <c r="E127" s="255" t="s">
        <v>93</v>
      </c>
      <c r="F127" s="361" t="s">
        <v>220</v>
      </c>
      <c r="G127" s="361"/>
      <c r="H127" s="134">
        <f>SUM(5128850.07/E$7)/1000</f>
        <v>1395.6054612244898</v>
      </c>
      <c r="I127" s="135">
        <v>18</v>
      </c>
      <c r="J127" s="135">
        <v>82</v>
      </c>
      <c r="K127" s="176">
        <v>4.2</v>
      </c>
      <c r="L127" s="255" t="s">
        <v>59</v>
      </c>
      <c r="M127" s="122">
        <v>42360</v>
      </c>
      <c r="N127" s="180">
        <v>42909</v>
      </c>
      <c r="O127" s="255"/>
      <c r="P127" s="255"/>
      <c r="Q127" s="255" t="s">
        <v>94</v>
      </c>
    </row>
    <row r="128" spans="1:19" s="179" customFormat="1" ht="40.5" hidden="1" customHeight="1">
      <c r="A128" s="119">
        <v>4.5</v>
      </c>
      <c r="B128" s="255" t="s">
        <v>5</v>
      </c>
      <c r="C128" s="116" t="s">
        <v>231</v>
      </c>
      <c r="D128" s="116"/>
      <c r="E128" s="255" t="s">
        <v>96</v>
      </c>
      <c r="F128" s="355" t="s">
        <v>268</v>
      </c>
      <c r="G128" s="356"/>
      <c r="H128" s="134">
        <f>SUM(344883.34/E$7)/1000</f>
        <v>93.8458068027211</v>
      </c>
      <c r="I128" s="135">
        <v>24.3</v>
      </c>
      <c r="J128" s="135">
        <v>75.7</v>
      </c>
      <c r="K128" s="176" t="s">
        <v>234</v>
      </c>
      <c r="L128" s="255" t="s">
        <v>59</v>
      </c>
      <c r="M128" s="137">
        <v>42653</v>
      </c>
      <c r="N128" s="180">
        <v>42892</v>
      </c>
      <c r="O128" s="255"/>
      <c r="P128" s="255" t="s">
        <v>58</v>
      </c>
      <c r="Q128" s="123" t="s">
        <v>94</v>
      </c>
    </row>
    <row r="129" spans="1:19" s="179" customFormat="1" ht="42" hidden="1" customHeight="1">
      <c r="A129" s="119">
        <v>4.5999999999999996</v>
      </c>
      <c r="B129" s="255" t="s">
        <v>5</v>
      </c>
      <c r="C129" s="116" t="s">
        <v>232</v>
      </c>
      <c r="D129" s="116"/>
      <c r="E129" s="255" t="s">
        <v>96</v>
      </c>
      <c r="F129" s="355" t="s">
        <v>269</v>
      </c>
      <c r="G129" s="356"/>
      <c r="H129" s="134">
        <f>SUM(280066.03/E$7)/1000</f>
        <v>76.208443537414979</v>
      </c>
      <c r="I129" s="135">
        <v>100</v>
      </c>
      <c r="J129" s="135">
        <v>0</v>
      </c>
      <c r="K129" s="176" t="s">
        <v>235</v>
      </c>
      <c r="L129" s="255" t="s">
        <v>59</v>
      </c>
      <c r="M129" s="137">
        <v>42653</v>
      </c>
      <c r="N129" s="180">
        <v>42892</v>
      </c>
      <c r="O129" s="255"/>
      <c r="P129" s="255" t="s">
        <v>58</v>
      </c>
      <c r="Q129" s="123" t="s">
        <v>94</v>
      </c>
    </row>
    <row r="130" spans="1:19" s="179" customFormat="1" ht="42" hidden="1" customHeight="1" thickBot="1">
      <c r="A130" s="173">
        <v>4.7</v>
      </c>
      <c r="B130" s="174" t="s">
        <v>5</v>
      </c>
      <c r="C130" s="175" t="s">
        <v>233</v>
      </c>
      <c r="D130" s="175"/>
      <c r="E130" s="174" t="s">
        <v>96</v>
      </c>
      <c r="F130" s="357" t="s">
        <v>8</v>
      </c>
      <c r="G130" s="358"/>
      <c r="H130" s="181">
        <f>SUM(120000/E$7)/1000</f>
        <v>32.653061224489797</v>
      </c>
      <c r="I130" s="182">
        <v>100</v>
      </c>
      <c r="J130" s="182">
        <v>0</v>
      </c>
      <c r="K130" s="183" t="s">
        <v>236</v>
      </c>
      <c r="L130" s="174" t="s">
        <v>59</v>
      </c>
      <c r="M130" s="184">
        <v>42653</v>
      </c>
      <c r="N130" s="185">
        <v>42893</v>
      </c>
      <c r="O130" s="174"/>
      <c r="P130" s="196" t="s">
        <v>58</v>
      </c>
      <c r="Q130" s="177" t="s">
        <v>66</v>
      </c>
    </row>
    <row r="131" spans="1:19">
      <c r="A131" s="20"/>
      <c r="B131" s="26"/>
      <c r="C131" s="26"/>
      <c r="D131" s="26"/>
      <c r="E131" s="26"/>
      <c r="F131" s="26"/>
      <c r="G131" s="39" t="s">
        <v>74</v>
      </c>
      <c r="H131" s="188">
        <f>SUM(H123:H126)-H123</f>
        <v>122.20136054421755</v>
      </c>
      <c r="I131" s="27"/>
      <c r="J131" s="28"/>
      <c r="K131" s="28"/>
      <c r="L131" s="26"/>
      <c r="M131" s="26"/>
      <c r="N131" s="26"/>
      <c r="O131" s="26"/>
      <c r="P131" s="26"/>
      <c r="Q131" s="26"/>
    </row>
    <row r="132" spans="1:19" ht="15.75" customHeight="1" thickBot="1">
      <c r="A132" s="20"/>
    </row>
    <row r="133" spans="1:19" ht="15" customHeight="1">
      <c r="A133" s="75">
        <v>5</v>
      </c>
      <c r="B133" s="347" t="s">
        <v>97</v>
      </c>
      <c r="C133" s="348"/>
      <c r="D133" s="348"/>
      <c r="E133" s="348"/>
      <c r="F133" s="348"/>
      <c r="G133" s="348"/>
      <c r="H133" s="348"/>
      <c r="I133" s="348"/>
      <c r="J133" s="348"/>
      <c r="K133" s="348"/>
      <c r="L133" s="348"/>
      <c r="M133" s="348"/>
      <c r="N133" s="348"/>
      <c r="O133" s="348"/>
      <c r="P133" s="348"/>
      <c r="Q133" s="349"/>
    </row>
    <row r="134" spans="1:19">
      <c r="A134" s="66"/>
      <c r="B134" s="350" t="s">
        <v>76</v>
      </c>
      <c r="C134" s="337" t="s">
        <v>3</v>
      </c>
      <c r="D134" s="337" t="s">
        <v>41</v>
      </c>
      <c r="E134" s="337" t="s">
        <v>42</v>
      </c>
      <c r="F134" s="337" t="s">
        <v>44</v>
      </c>
      <c r="G134" s="352" t="s">
        <v>77</v>
      </c>
      <c r="H134" s="352"/>
      <c r="I134" s="352"/>
      <c r="J134" s="335" t="s">
        <v>98</v>
      </c>
      <c r="K134" s="337" t="s">
        <v>46</v>
      </c>
      <c r="L134" s="337" t="s">
        <v>78</v>
      </c>
      <c r="M134" s="337" t="s">
        <v>0</v>
      </c>
      <c r="N134" s="337"/>
      <c r="O134" s="345" t="s">
        <v>79</v>
      </c>
      <c r="P134" s="337" t="s">
        <v>50</v>
      </c>
      <c r="Q134" s="341" t="s">
        <v>17</v>
      </c>
    </row>
    <row r="135" spans="1:19" ht="75.75" customHeight="1" thickBot="1">
      <c r="A135" s="67"/>
      <c r="B135" s="351"/>
      <c r="C135" s="340"/>
      <c r="D135" s="340"/>
      <c r="E135" s="340"/>
      <c r="F135" s="340"/>
      <c r="G135" s="62" t="s">
        <v>80</v>
      </c>
      <c r="H135" s="197" t="s">
        <v>52</v>
      </c>
      <c r="I135" s="198" t="s">
        <v>53</v>
      </c>
      <c r="J135" s="336"/>
      <c r="K135" s="340"/>
      <c r="L135" s="340"/>
      <c r="M135" s="62" t="s">
        <v>99</v>
      </c>
      <c r="N135" s="62" t="s">
        <v>100</v>
      </c>
      <c r="O135" s="346"/>
      <c r="P135" s="340"/>
      <c r="Q135" s="342"/>
    </row>
    <row r="136" spans="1:19" ht="63.65" hidden="1" customHeight="1">
      <c r="A136" s="119">
        <v>5.0999999999999996</v>
      </c>
      <c r="B136" s="255" t="s">
        <v>5</v>
      </c>
      <c r="C136" s="159" t="s">
        <v>101</v>
      </c>
      <c r="D136" s="116"/>
      <c r="E136" s="255" t="s">
        <v>102</v>
      </c>
      <c r="F136" s="255" t="s">
        <v>240</v>
      </c>
      <c r="G136" s="108">
        <f>SUM((SUM(88000)/E$7)/1000)</f>
        <v>23.945578231292519</v>
      </c>
      <c r="H136" s="121" t="s">
        <v>18</v>
      </c>
      <c r="I136" s="153" t="s">
        <v>19</v>
      </c>
      <c r="J136" s="255">
        <v>1</v>
      </c>
      <c r="K136" s="159">
        <v>3.3</v>
      </c>
      <c r="L136" s="116" t="s">
        <v>67</v>
      </c>
      <c r="M136" s="255">
        <v>0</v>
      </c>
      <c r="N136" s="255">
        <v>0</v>
      </c>
      <c r="O136" s="108" t="s">
        <v>147</v>
      </c>
      <c r="P136" s="121" t="s">
        <v>58</v>
      </c>
      <c r="Q136" s="119" t="s">
        <v>121</v>
      </c>
    </row>
    <row r="137" spans="1:19" ht="153.65" customHeight="1">
      <c r="A137" s="141">
        <v>5.2</v>
      </c>
      <c r="B137" s="17" t="s">
        <v>5</v>
      </c>
      <c r="C137" s="71" t="s">
        <v>181</v>
      </c>
      <c r="D137" s="14" t="s">
        <v>190</v>
      </c>
      <c r="E137" s="17" t="s">
        <v>102</v>
      </c>
      <c r="F137" s="17" t="s">
        <v>270</v>
      </c>
      <c r="G137" s="80">
        <f>SUM((53600+10720)/$E$7)/1000</f>
        <v>17.502040816326531</v>
      </c>
      <c r="H137" s="51">
        <v>83.34</v>
      </c>
      <c r="I137" s="51">
        <v>16.66</v>
      </c>
      <c r="J137" s="17">
        <v>1</v>
      </c>
      <c r="K137" s="52">
        <v>4.2</v>
      </c>
      <c r="L137" s="17" t="s">
        <v>59</v>
      </c>
      <c r="M137" s="53">
        <v>42251</v>
      </c>
      <c r="N137" s="70">
        <v>42314</v>
      </c>
      <c r="O137" s="17"/>
      <c r="P137" s="17" t="s">
        <v>191</v>
      </c>
      <c r="Q137" s="86" t="s">
        <v>124</v>
      </c>
    </row>
    <row r="138" spans="1:19" ht="57" hidden="1" customHeight="1">
      <c r="A138" s="119">
        <v>5.3</v>
      </c>
      <c r="B138" s="255" t="s">
        <v>5</v>
      </c>
      <c r="C138" s="159" t="s">
        <v>182</v>
      </c>
      <c r="D138" s="116"/>
      <c r="E138" s="255" t="s">
        <v>102</v>
      </c>
      <c r="F138" s="255">
        <v>2</v>
      </c>
      <c r="G138" s="108">
        <f>SUM(61640/$E$7)/1000</f>
        <v>16.772789115646262</v>
      </c>
      <c r="H138" s="121">
        <v>100</v>
      </c>
      <c r="I138" s="121"/>
      <c r="J138" s="255"/>
      <c r="K138" s="153">
        <v>4.2</v>
      </c>
      <c r="L138" s="255" t="s">
        <v>59</v>
      </c>
      <c r="M138" s="53">
        <v>42237</v>
      </c>
      <c r="N138" s="70">
        <v>42430</v>
      </c>
      <c r="O138" s="255"/>
      <c r="P138" s="105"/>
      <c r="Q138" s="123" t="s">
        <v>121</v>
      </c>
    </row>
    <row r="139" spans="1:19" ht="93.75" customHeight="1">
      <c r="A139" s="141">
        <v>5.4</v>
      </c>
      <c r="B139" s="17" t="s">
        <v>5</v>
      </c>
      <c r="C139" s="71" t="s">
        <v>183</v>
      </c>
      <c r="D139" s="14" t="s">
        <v>241</v>
      </c>
      <c r="E139" s="17" t="s">
        <v>102</v>
      </c>
      <c r="F139" s="17" t="s">
        <v>271</v>
      </c>
      <c r="G139" s="55">
        <f>SUM((58960+121272-7037.02+34638.98)/$E$7)/1000</f>
        <v>56.553458503401373</v>
      </c>
      <c r="H139" s="51">
        <v>34.04</v>
      </c>
      <c r="I139" s="51">
        <v>65.959999999999994</v>
      </c>
      <c r="J139" s="17">
        <v>1</v>
      </c>
      <c r="K139" s="151">
        <v>4.2</v>
      </c>
      <c r="L139" s="17" t="s">
        <v>59</v>
      </c>
      <c r="M139" s="53">
        <v>42251</v>
      </c>
      <c r="N139" s="53">
        <v>42320</v>
      </c>
      <c r="O139" s="17"/>
      <c r="P139" s="17" t="s">
        <v>189</v>
      </c>
      <c r="Q139" s="86" t="s">
        <v>124</v>
      </c>
    </row>
    <row r="140" spans="1:19" ht="27" hidden="1" customHeight="1" thickBot="1">
      <c r="A140" s="113">
        <v>5.5</v>
      </c>
      <c r="B140" s="196" t="s">
        <v>5</v>
      </c>
      <c r="C140" s="222" t="s">
        <v>181</v>
      </c>
      <c r="D140" s="201"/>
      <c r="E140" s="196" t="s">
        <v>102</v>
      </c>
      <c r="F140" s="196"/>
      <c r="G140" s="181">
        <f>(SUM((500000/3)/$E$7)/1000)*3</f>
        <v>136.05442176870747</v>
      </c>
      <c r="H140" s="203">
        <v>12.987</v>
      </c>
      <c r="I140" s="203">
        <v>87.013000000000005</v>
      </c>
      <c r="J140" s="196">
        <v>3</v>
      </c>
      <c r="K140" s="223">
        <v>4.2</v>
      </c>
      <c r="L140" s="196" t="s">
        <v>67</v>
      </c>
      <c r="M140" s="227">
        <v>42948</v>
      </c>
      <c r="N140" s="227">
        <v>43009</v>
      </c>
      <c r="O140" s="196"/>
      <c r="P140" s="196" t="s">
        <v>58</v>
      </c>
      <c r="Q140" s="199" t="s">
        <v>66</v>
      </c>
    </row>
    <row r="141" spans="1:19" ht="24.75" hidden="1" customHeight="1">
      <c r="A141" s="186">
        <v>5.6</v>
      </c>
      <c r="B141" s="127" t="s">
        <v>5</v>
      </c>
      <c r="C141" s="207" t="s">
        <v>181</v>
      </c>
      <c r="D141" s="208"/>
      <c r="E141" s="127" t="s">
        <v>102</v>
      </c>
      <c r="F141" s="127"/>
      <c r="G141" s="187">
        <f>SUM((500000/3)/$E$7)/1000</f>
        <v>45.351473922902493</v>
      </c>
      <c r="H141" s="209">
        <v>12.987</v>
      </c>
      <c r="I141" s="209">
        <v>87.013000000000005</v>
      </c>
      <c r="J141" s="127">
        <v>1</v>
      </c>
      <c r="K141" s="210">
        <v>4.2</v>
      </c>
      <c r="L141" s="127" t="s">
        <v>67</v>
      </c>
      <c r="M141" s="211">
        <v>42948</v>
      </c>
      <c r="N141" s="211">
        <v>43009</v>
      </c>
      <c r="O141" s="127"/>
      <c r="P141" s="127" t="s">
        <v>58</v>
      </c>
      <c r="Q141" s="212" t="s">
        <v>66</v>
      </c>
      <c r="R141" s="40"/>
      <c r="S141" s="40"/>
    </row>
    <row r="142" spans="1:19" ht="5.25" hidden="1" customHeight="1" thickBot="1">
      <c r="A142" s="113">
        <v>5.7</v>
      </c>
      <c r="B142" s="99" t="s">
        <v>5</v>
      </c>
      <c r="C142" s="100" t="s">
        <v>181</v>
      </c>
      <c r="D142" s="114"/>
      <c r="E142" s="99" t="s">
        <v>102</v>
      </c>
      <c r="F142" s="99"/>
      <c r="G142" s="205">
        <f>SUM((500000/3)/$E$7)/1000</f>
        <v>45.351473922902493</v>
      </c>
      <c r="H142" s="206">
        <v>12.987</v>
      </c>
      <c r="I142" s="206">
        <v>87.013000000000005</v>
      </c>
      <c r="J142" s="99">
        <v>1</v>
      </c>
      <c r="K142" s="189">
        <v>4.2</v>
      </c>
      <c r="L142" s="99" t="s">
        <v>67</v>
      </c>
      <c r="M142" s="190">
        <v>42948</v>
      </c>
      <c r="N142" s="190">
        <v>43009</v>
      </c>
      <c r="O142" s="99"/>
      <c r="P142" s="99" t="s">
        <v>58</v>
      </c>
      <c r="Q142" s="103" t="s">
        <v>66</v>
      </c>
    </row>
    <row r="143" spans="1:19">
      <c r="A143" s="20"/>
      <c r="B143" s="26"/>
      <c r="C143" s="26"/>
      <c r="D143" s="26"/>
      <c r="E143" s="26"/>
      <c r="F143" s="39" t="s">
        <v>74</v>
      </c>
      <c r="G143" s="188">
        <f>SUM(G136:G140)-G136-G138-G140</f>
        <v>74.055499319727915</v>
      </c>
      <c r="I143" s="28"/>
      <c r="J143" s="28"/>
      <c r="K143" s="26"/>
      <c r="L143" s="26"/>
      <c r="M143" s="26"/>
      <c r="N143" s="26"/>
      <c r="O143" s="26"/>
      <c r="P143" s="26"/>
      <c r="Q143" s="26"/>
    </row>
    <row r="144" spans="1:19" ht="15.75" customHeight="1" thickBot="1">
      <c r="A144" s="20"/>
      <c r="G144" s="4"/>
    </row>
    <row r="145" spans="1:17" ht="15" customHeight="1">
      <c r="A145" s="76">
        <v>6</v>
      </c>
      <c r="B145" s="347" t="s">
        <v>103</v>
      </c>
      <c r="C145" s="348"/>
      <c r="D145" s="348"/>
      <c r="E145" s="348"/>
      <c r="F145" s="348"/>
      <c r="G145" s="348"/>
      <c r="H145" s="348"/>
      <c r="I145" s="348"/>
      <c r="J145" s="348"/>
      <c r="K145" s="348"/>
      <c r="L145" s="348"/>
      <c r="M145" s="348"/>
      <c r="N145" s="348"/>
      <c r="O145" s="348"/>
      <c r="P145" s="348"/>
      <c r="Q145" s="349"/>
    </row>
    <row r="146" spans="1:17" ht="86.25" customHeight="1">
      <c r="A146" s="77"/>
      <c r="B146" s="350" t="s">
        <v>76</v>
      </c>
      <c r="C146" s="337" t="s">
        <v>3</v>
      </c>
      <c r="D146" s="337" t="s">
        <v>41</v>
      </c>
      <c r="E146" s="337" t="s">
        <v>42</v>
      </c>
      <c r="F146" s="338" t="s">
        <v>44</v>
      </c>
      <c r="G146" s="353"/>
      <c r="H146" s="352" t="s">
        <v>77</v>
      </c>
      <c r="I146" s="352"/>
      <c r="J146" s="352"/>
      <c r="K146" s="337" t="s">
        <v>46</v>
      </c>
      <c r="L146" s="337" t="s">
        <v>78</v>
      </c>
      <c r="M146" s="337" t="s">
        <v>0</v>
      </c>
      <c r="N146" s="337"/>
      <c r="O146" s="345" t="s">
        <v>79</v>
      </c>
      <c r="P146" s="337" t="s">
        <v>50</v>
      </c>
      <c r="Q146" s="341" t="s">
        <v>17</v>
      </c>
    </row>
    <row r="147" spans="1:17" ht="21" customHeight="1" thickBot="1">
      <c r="A147" s="67"/>
      <c r="B147" s="351"/>
      <c r="C147" s="340"/>
      <c r="D147" s="340"/>
      <c r="E147" s="340"/>
      <c r="F147" s="339"/>
      <c r="G147" s="354"/>
      <c r="H147" s="62" t="s">
        <v>80</v>
      </c>
      <c r="I147" s="63" t="s">
        <v>52</v>
      </c>
      <c r="J147" s="64" t="s">
        <v>53</v>
      </c>
      <c r="K147" s="340"/>
      <c r="L147" s="340"/>
      <c r="M147" s="62" t="s">
        <v>104</v>
      </c>
      <c r="N147" s="62" t="s">
        <v>55</v>
      </c>
      <c r="O147" s="346"/>
      <c r="P147" s="340"/>
      <c r="Q147" s="342"/>
    </row>
    <row r="148" spans="1:17" ht="91.9" hidden="1" customHeight="1">
      <c r="A148" s="104">
        <v>6.1</v>
      </c>
      <c r="B148" s="105" t="s">
        <v>5</v>
      </c>
      <c r="C148" s="157" t="s">
        <v>158</v>
      </c>
      <c r="D148" s="216"/>
      <c r="E148" s="105" t="s">
        <v>105</v>
      </c>
      <c r="F148" s="117" t="s">
        <v>244</v>
      </c>
      <c r="G148" s="217"/>
      <c r="H148" s="108">
        <f>SUM(20000/E$7)/1000</f>
        <v>5.4421768707483</v>
      </c>
      <c r="I148" s="109">
        <v>100</v>
      </c>
      <c r="J148" s="109">
        <v>0</v>
      </c>
      <c r="K148" s="218">
        <v>3.3</v>
      </c>
      <c r="L148" s="217" t="s">
        <v>67</v>
      </c>
      <c r="M148" s="219">
        <v>42621</v>
      </c>
      <c r="N148" s="220">
        <v>42890</v>
      </c>
      <c r="O148" s="217"/>
      <c r="P148" s="217"/>
      <c r="Q148" s="112" t="s">
        <v>121</v>
      </c>
    </row>
    <row r="149" spans="1:17" ht="91.9" customHeight="1">
      <c r="A149" s="141">
        <v>6.1</v>
      </c>
      <c r="B149" s="17" t="s">
        <v>5</v>
      </c>
      <c r="C149" s="71" t="s">
        <v>158</v>
      </c>
      <c r="D149" s="14"/>
      <c r="E149" s="17" t="s">
        <v>105</v>
      </c>
      <c r="F149" s="17"/>
      <c r="G149" s="55"/>
      <c r="H149" s="275">
        <f>SUM(22950/E$7)/1000</f>
        <v>6.2448979591836737</v>
      </c>
      <c r="I149" s="56">
        <v>100</v>
      </c>
      <c r="J149" s="17">
        <v>0</v>
      </c>
      <c r="K149" s="52">
        <v>3.3</v>
      </c>
      <c r="L149" s="17" t="s">
        <v>67</v>
      </c>
      <c r="M149" s="70">
        <v>43354</v>
      </c>
      <c r="N149" s="70">
        <v>43437</v>
      </c>
      <c r="O149" s="17"/>
      <c r="P149" s="17"/>
      <c r="Q149" s="86" t="s">
        <v>94</v>
      </c>
    </row>
    <row r="150" spans="1:17" ht="177" customHeight="1">
      <c r="A150" s="257">
        <v>6.2</v>
      </c>
      <c r="B150" s="61" t="s">
        <v>5</v>
      </c>
      <c r="C150" s="21" t="s">
        <v>157</v>
      </c>
      <c r="D150" s="61" t="s">
        <v>192</v>
      </c>
      <c r="E150" s="61" t="s">
        <v>105</v>
      </c>
      <c r="F150" s="161" t="s">
        <v>155</v>
      </c>
      <c r="G150" s="231"/>
      <c r="H150" s="231">
        <f>SUM(61067.78/E$7)/1000</f>
        <v>16.617082993197279</v>
      </c>
      <c r="I150" s="59">
        <v>100</v>
      </c>
      <c r="J150" s="59">
        <v>0</v>
      </c>
      <c r="K150" s="232">
        <v>3.3</v>
      </c>
      <c r="L150" s="161" t="s">
        <v>59</v>
      </c>
      <c r="M150" s="83">
        <v>42231</v>
      </c>
      <c r="N150" s="83">
        <v>42342</v>
      </c>
      <c r="O150" s="161"/>
      <c r="P150" s="161" t="s">
        <v>193</v>
      </c>
      <c r="Q150" s="85" t="s">
        <v>124</v>
      </c>
    </row>
    <row r="151" spans="1:17" ht="54" customHeight="1">
      <c r="A151" s="78">
        <v>6.3</v>
      </c>
      <c r="B151" s="17" t="s">
        <v>5</v>
      </c>
      <c r="C151" s="14" t="s">
        <v>156</v>
      </c>
      <c r="D151" s="233"/>
      <c r="E151" s="17" t="s">
        <v>105</v>
      </c>
      <c r="F151" s="276" t="s">
        <v>58</v>
      </c>
      <c r="G151" s="92"/>
      <c r="H151" s="138">
        <f>SUM(45700/E$7)/1000</f>
        <v>12.435374149659864</v>
      </c>
      <c r="I151" s="51">
        <v>100</v>
      </c>
      <c r="J151" s="51">
        <v>0</v>
      </c>
      <c r="K151" s="139">
        <v>3.3</v>
      </c>
      <c r="L151" s="92" t="s">
        <v>59</v>
      </c>
      <c r="M151" s="70">
        <v>43354</v>
      </c>
      <c r="N151" s="70">
        <v>43437</v>
      </c>
      <c r="O151" s="92"/>
      <c r="P151" s="92"/>
      <c r="Q151" s="86" t="s">
        <v>94</v>
      </c>
    </row>
    <row r="152" spans="1:17" ht="32.25" hidden="1" customHeight="1">
      <c r="A152" s="104">
        <v>6.4</v>
      </c>
      <c r="B152" s="105" t="s">
        <v>5</v>
      </c>
      <c r="C152" s="157" t="s">
        <v>106</v>
      </c>
      <c r="D152" s="164"/>
      <c r="E152" s="105" t="s">
        <v>105</v>
      </c>
      <c r="F152" s="117" t="s">
        <v>58</v>
      </c>
      <c r="G152" s="117"/>
      <c r="H152" s="138">
        <f>SUM(10000/E$7)/1000</f>
        <v>2.72108843537415</v>
      </c>
      <c r="I152" s="56">
        <v>100</v>
      </c>
      <c r="J152" s="56">
        <v>0</v>
      </c>
      <c r="K152" s="139">
        <v>3.3</v>
      </c>
      <c r="L152" s="92" t="s">
        <v>67</v>
      </c>
      <c r="M152" s="70">
        <v>42658</v>
      </c>
      <c r="N152" s="169">
        <v>42705</v>
      </c>
      <c r="O152" s="92"/>
      <c r="P152" s="92"/>
      <c r="Q152" s="93" t="s">
        <v>66</v>
      </c>
    </row>
    <row r="153" spans="1:17" ht="84.75" hidden="1" customHeight="1">
      <c r="A153" s="148">
        <v>6.4</v>
      </c>
      <c r="B153" s="261" t="s">
        <v>5</v>
      </c>
      <c r="C153" s="195" t="s">
        <v>221</v>
      </c>
      <c r="D153" s="163"/>
      <c r="E153" s="17"/>
      <c r="F153" s="94"/>
      <c r="G153" s="92"/>
      <c r="H153" s="138"/>
      <c r="I153" s="51"/>
      <c r="J153" s="51"/>
      <c r="K153" s="139"/>
      <c r="L153" s="92"/>
      <c r="M153" s="158"/>
      <c r="N153" s="165"/>
      <c r="O153" s="92"/>
      <c r="P153" s="92"/>
      <c r="Q153" s="93"/>
    </row>
    <row r="154" spans="1:17" ht="56.25" hidden="1" customHeight="1">
      <c r="A154" s="119">
        <v>6.5</v>
      </c>
      <c r="B154" s="255" t="s">
        <v>5</v>
      </c>
      <c r="C154" s="116" t="s">
        <v>33</v>
      </c>
      <c r="D154" s="164"/>
      <c r="E154" s="255" t="s">
        <v>105</v>
      </c>
      <c r="F154" s="117" t="s">
        <v>245</v>
      </c>
      <c r="G154" s="117"/>
      <c r="H154" s="138">
        <f>SUM(110000/E$7)/1000</f>
        <v>29.931972789115648</v>
      </c>
      <c r="I154" s="51">
        <v>100</v>
      </c>
      <c r="J154" s="51">
        <v>0</v>
      </c>
      <c r="K154" s="139">
        <v>3.3</v>
      </c>
      <c r="L154" s="92" t="s">
        <v>67</v>
      </c>
      <c r="M154" s="169">
        <v>42612</v>
      </c>
      <c r="N154" s="172">
        <v>42953</v>
      </c>
      <c r="O154" s="92"/>
      <c r="P154" s="92"/>
      <c r="Q154" s="85" t="s">
        <v>121</v>
      </c>
    </row>
    <row r="155" spans="1:17" ht="56.25" customHeight="1">
      <c r="A155" s="141">
        <v>6.5</v>
      </c>
      <c r="B155" s="17" t="s">
        <v>5</v>
      </c>
      <c r="C155" s="72" t="s">
        <v>33</v>
      </c>
      <c r="D155" s="14"/>
      <c r="E155" s="17" t="s">
        <v>105</v>
      </c>
      <c r="F155" s="17"/>
      <c r="G155" s="55"/>
      <c r="H155" s="275">
        <f>SUM((29650+24600)/E$7)/1000</f>
        <v>14.761904761904763</v>
      </c>
      <c r="I155" s="56">
        <v>100</v>
      </c>
      <c r="J155" s="17">
        <v>0</v>
      </c>
      <c r="K155" s="52">
        <v>3.3</v>
      </c>
      <c r="L155" s="17" t="s">
        <v>67</v>
      </c>
      <c r="M155" s="70">
        <v>43354</v>
      </c>
      <c r="N155" s="70">
        <v>43437</v>
      </c>
      <c r="O155" s="17"/>
      <c r="P155" s="17"/>
      <c r="Q155" s="86" t="s">
        <v>94</v>
      </c>
    </row>
    <row r="156" spans="1:17" ht="35.25" hidden="1" customHeight="1">
      <c r="A156" s="234">
        <v>6.7</v>
      </c>
      <c r="B156" s="105" t="s">
        <v>5</v>
      </c>
      <c r="C156" s="157" t="s">
        <v>107</v>
      </c>
      <c r="D156" s="216"/>
      <c r="E156" s="105" t="s">
        <v>105</v>
      </c>
      <c r="F156" s="217" t="s">
        <v>58</v>
      </c>
      <c r="G156" s="217"/>
      <c r="H156" s="138">
        <f>SUM(15000/E$7)/1000</f>
        <v>4.0816326530612246</v>
      </c>
      <c r="I156" s="59">
        <v>100</v>
      </c>
      <c r="J156" s="59">
        <v>0</v>
      </c>
      <c r="K156" s="232">
        <v>3.3</v>
      </c>
      <c r="L156" s="161" t="s">
        <v>67</v>
      </c>
      <c r="M156" s="172">
        <v>42522</v>
      </c>
      <c r="N156" s="172">
        <v>42583</v>
      </c>
      <c r="O156" s="161"/>
      <c r="P156" s="161"/>
      <c r="Q156" s="162" t="s">
        <v>66</v>
      </c>
    </row>
    <row r="157" spans="1:17" ht="57.75" hidden="1" customHeight="1">
      <c r="A157" s="79"/>
      <c r="B157" s="149" t="s">
        <v>5</v>
      </c>
      <c r="C157" s="274" t="s">
        <v>222</v>
      </c>
      <c r="D157" s="163"/>
      <c r="E157" s="17"/>
      <c r="F157" s="94"/>
      <c r="G157" s="92"/>
      <c r="H157" s="138"/>
      <c r="I157" s="51"/>
      <c r="J157" s="51"/>
      <c r="K157" s="139"/>
      <c r="L157" s="92"/>
      <c r="M157" s="165"/>
      <c r="N157" s="165"/>
      <c r="O157" s="92"/>
      <c r="P157" s="92"/>
      <c r="Q157" s="93"/>
    </row>
    <row r="158" spans="1:17" ht="57.75" hidden="1" customHeight="1">
      <c r="A158" s="119">
        <v>6.8</v>
      </c>
      <c r="B158" s="255" t="s">
        <v>5</v>
      </c>
      <c r="C158" s="116" t="s">
        <v>108</v>
      </c>
      <c r="D158" s="164"/>
      <c r="E158" s="255" t="s">
        <v>105</v>
      </c>
      <c r="F158" s="117" t="s">
        <v>58</v>
      </c>
      <c r="G158" s="117"/>
      <c r="H158" s="138">
        <f>SUM(150000/E$7)/1000</f>
        <v>40.816326530612251</v>
      </c>
      <c r="I158" s="51">
        <v>100</v>
      </c>
      <c r="J158" s="51">
        <v>0</v>
      </c>
      <c r="K158" s="139">
        <v>3.3</v>
      </c>
      <c r="L158" s="92" t="s">
        <v>67</v>
      </c>
      <c r="M158" s="24">
        <v>43188</v>
      </c>
      <c r="N158" s="24">
        <v>43210</v>
      </c>
      <c r="O158" s="92"/>
      <c r="P158" s="92"/>
      <c r="Q158" s="93" t="s">
        <v>66</v>
      </c>
    </row>
    <row r="159" spans="1:17" ht="80.25" hidden="1" customHeight="1">
      <c r="A159" s="119">
        <v>6.9</v>
      </c>
      <c r="B159" s="255" t="s">
        <v>5</v>
      </c>
      <c r="C159" s="116" t="s">
        <v>109</v>
      </c>
      <c r="D159" s="164"/>
      <c r="E159" s="255" t="s">
        <v>105</v>
      </c>
      <c r="F159" s="117" t="s">
        <v>58</v>
      </c>
      <c r="G159" s="117"/>
      <c r="H159" s="138">
        <f>SUM(100000/E$7)/1000</f>
        <v>27.210884353741498</v>
      </c>
      <c r="I159" s="51">
        <v>100</v>
      </c>
      <c r="J159" s="51">
        <v>0</v>
      </c>
      <c r="K159" s="139">
        <v>3.3</v>
      </c>
      <c r="L159" s="92" t="s">
        <v>67</v>
      </c>
      <c r="M159" s="169">
        <v>43138</v>
      </c>
      <c r="N159" s="169">
        <v>43168</v>
      </c>
      <c r="O159" s="92"/>
      <c r="P159" s="92"/>
      <c r="Q159" s="93" t="s">
        <v>66</v>
      </c>
    </row>
    <row r="160" spans="1:17" ht="68.25" customHeight="1">
      <c r="A160" s="168">
        <v>6.1</v>
      </c>
      <c r="B160" s="17" t="s">
        <v>5</v>
      </c>
      <c r="C160" s="14" t="s">
        <v>110</v>
      </c>
      <c r="D160" s="163"/>
      <c r="E160" s="17" t="s">
        <v>105</v>
      </c>
      <c r="F160" s="92" t="s">
        <v>247</v>
      </c>
      <c r="G160" s="169"/>
      <c r="H160" s="138">
        <f>SUM(55936/E$7)/1000</f>
        <v>15.220680272108844</v>
      </c>
      <c r="I160" s="51">
        <v>100</v>
      </c>
      <c r="J160" s="51">
        <v>0</v>
      </c>
      <c r="K160" s="139">
        <v>3.3</v>
      </c>
      <c r="L160" s="92" t="s">
        <v>67</v>
      </c>
      <c r="M160" s="169">
        <v>42661</v>
      </c>
      <c r="N160" s="172">
        <v>43199</v>
      </c>
      <c r="O160" s="92"/>
      <c r="P160" s="92"/>
      <c r="Q160" s="85" t="s">
        <v>124</v>
      </c>
    </row>
    <row r="161" spans="1:17" ht="40.5" hidden="1" customHeight="1">
      <c r="A161" s="104">
        <v>6.11</v>
      </c>
      <c r="B161" s="105" t="s">
        <v>5</v>
      </c>
      <c r="C161" s="107" t="s">
        <v>111</v>
      </c>
      <c r="D161" s="216"/>
      <c r="E161" s="105" t="s">
        <v>105</v>
      </c>
      <c r="F161" s="217" t="s">
        <v>246</v>
      </c>
      <c r="G161" s="217"/>
      <c r="H161" s="228">
        <f>SUM(60000/E$7)/1000</f>
        <v>16.326530612244898</v>
      </c>
      <c r="I161" s="109">
        <v>100</v>
      </c>
      <c r="J161" s="109">
        <v>0</v>
      </c>
      <c r="K161" s="229">
        <v>3.3</v>
      </c>
      <c r="L161" s="217" t="s">
        <v>67</v>
      </c>
      <c r="M161" s="220">
        <v>42632</v>
      </c>
      <c r="N161" s="220">
        <v>42951</v>
      </c>
      <c r="O161" s="217"/>
      <c r="P161" s="217"/>
      <c r="Q161" s="112" t="s">
        <v>121</v>
      </c>
    </row>
    <row r="162" spans="1:17" ht="40.5" hidden="1" customHeight="1">
      <c r="A162" s="119">
        <v>6.11</v>
      </c>
      <c r="B162" s="255" t="s">
        <v>5</v>
      </c>
      <c r="C162" s="159" t="s">
        <v>111</v>
      </c>
      <c r="D162" s="116"/>
      <c r="E162" s="255" t="s">
        <v>105</v>
      </c>
      <c r="F162" s="255"/>
      <c r="G162" s="134"/>
      <c r="H162" s="193">
        <f>SUM(60000/E$7)/1000</f>
        <v>16.326530612244898</v>
      </c>
      <c r="I162" s="121">
        <v>100</v>
      </c>
      <c r="J162" s="255">
        <v>0</v>
      </c>
      <c r="K162" s="136">
        <v>3.3</v>
      </c>
      <c r="L162" s="255" t="s">
        <v>67</v>
      </c>
      <c r="M162" s="122">
        <v>43146</v>
      </c>
      <c r="N162" s="122">
        <v>43189</v>
      </c>
      <c r="O162" s="255"/>
      <c r="P162" s="255"/>
      <c r="Q162" s="123" t="s">
        <v>66</v>
      </c>
    </row>
    <row r="163" spans="1:17" hidden="1">
      <c r="A163" s="230">
        <v>6.12</v>
      </c>
      <c r="B163" s="105" t="s">
        <v>5</v>
      </c>
      <c r="C163" s="107" t="s">
        <v>112</v>
      </c>
      <c r="D163" s="216"/>
      <c r="E163" s="105" t="s">
        <v>105</v>
      </c>
      <c r="F163" s="217" t="s">
        <v>58</v>
      </c>
      <c r="G163" s="217"/>
      <c r="H163" s="228">
        <f>SUM(40000/$E$7)/1000</f>
        <v>10.8843537414966</v>
      </c>
      <c r="I163" s="109">
        <v>100</v>
      </c>
      <c r="J163" s="109">
        <v>0</v>
      </c>
      <c r="K163" s="229">
        <v>3.3</v>
      </c>
      <c r="L163" s="217" t="s">
        <v>67</v>
      </c>
      <c r="M163" s="217" t="s">
        <v>113</v>
      </c>
      <c r="N163" s="217" t="s">
        <v>58</v>
      </c>
      <c r="O163" s="217"/>
      <c r="P163" s="217"/>
      <c r="Q163" s="105" t="s">
        <v>121</v>
      </c>
    </row>
    <row r="164" spans="1:17">
      <c r="A164" s="20"/>
      <c r="B164" s="26"/>
      <c r="C164" s="26"/>
      <c r="D164" s="26"/>
      <c r="E164" s="26"/>
      <c r="F164" s="26"/>
      <c r="G164" s="39" t="s">
        <v>74</v>
      </c>
      <c r="H164" s="188">
        <f>SUM(H148:H163)-H148-H152-H154-H158-H159-H161-H162-H163</f>
        <v>69.361572789115627</v>
      </c>
      <c r="I164" s="27"/>
      <c r="J164" s="28"/>
      <c r="K164" s="28"/>
      <c r="L164" s="26"/>
      <c r="M164" s="26"/>
      <c r="N164" s="26"/>
      <c r="O164" s="26"/>
      <c r="P164" s="26"/>
      <c r="Q164" s="26"/>
    </row>
    <row r="165" spans="1:17" ht="15.75" customHeight="1">
      <c r="A165" s="20"/>
      <c r="F165" s="26"/>
      <c r="G165" s="26"/>
      <c r="H165" s="26"/>
      <c r="I165" s="27"/>
      <c r="J165" s="28"/>
      <c r="K165" s="28"/>
      <c r="L165" s="26"/>
      <c r="M165" s="26"/>
      <c r="N165" s="26"/>
      <c r="O165" s="26"/>
      <c r="P165" s="26"/>
      <c r="Q165" s="26"/>
    </row>
    <row r="166" spans="1:17" ht="15" hidden="1" customHeight="1">
      <c r="A166" s="76">
        <v>7</v>
      </c>
      <c r="B166" s="347" t="s">
        <v>114</v>
      </c>
      <c r="C166" s="348"/>
      <c r="D166" s="348"/>
      <c r="E166" s="348"/>
      <c r="F166" s="348"/>
      <c r="G166" s="348"/>
      <c r="H166" s="348"/>
      <c r="I166" s="348"/>
      <c r="J166" s="348"/>
      <c r="K166" s="348"/>
      <c r="L166" s="348"/>
      <c r="M166" s="348"/>
      <c r="N166" s="348"/>
      <c r="O166" s="348"/>
      <c r="P166" s="348"/>
      <c r="Q166" s="349"/>
    </row>
    <row r="167" spans="1:17" ht="49.15" hidden="1" customHeight="1">
      <c r="A167" s="66"/>
      <c r="B167" s="350" t="s">
        <v>76</v>
      </c>
      <c r="C167" s="337" t="s">
        <v>115</v>
      </c>
      <c r="D167" s="337" t="s">
        <v>41</v>
      </c>
      <c r="E167" s="337"/>
      <c r="F167" s="337" t="s">
        <v>44</v>
      </c>
      <c r="G167" s="337"/>
      <c r="H167" s="352" t="s">
        <v>77</v>
      </c>
      <c r="I167" s="352"/>
      <c r="J167" s="352"/>
      <c r="K167" s="337" t="s">
        <v>46</v>
      </c>
      <c r="L167" s="335" t="s">
        <v>116</v>
      </c>
      <c r="M167" s="337" t="s">
        <v>0</v>
      </c>
      <c r="N167" s="337"/>
      <c r="O167" s="338" t="s">
        <v>1</v>
      </c>
      <c r="P167" s="337" t="s">
        <v>50</v>
      </c>
      <c r="Q167" s="341" t="s">
        <v>17</v>
      </c>
    </row>
    <row r="168" spans="1:17" ht="60" hidden="1" customHeight="1" thickBot="1">
      <c r="A168" s="67"/>
      <c r="B168" s="351"/>
      <c r="C168" s="340"/>
      <c r="D168" s="340"/>
      <c r="E168" s="340"/>
      <c r="F168" s="340"/>
      <c r="G168" s="340"/>
      <c r="H168" s="62" t="s">
        <v>80</v>
      </c>
      <c r="I168" s="62" t="s">
        <v>52</v>
      </c>
      <c r="J168" s="63" t="s">
        <v>53</v>
      </c>
      <c r="K168" s="340"/>
      <c r="L168" s="336"/>
      <c r="M168" s="62" t="s">
        <v>117</v>
      </c>
      <c r="N168" s="62" t="s">
        <v>118</v>
      </c>
      <c r="O168" s="339"/>
      <c r="P168" s="340"/>
      <c r="Q168" s="342"/>
    </row>
    <row r="169" spans="1:17" ht="56.25" hidden="1" customHeight="1">
      <c r="A169" s="257">
        <v>7.1</v>
      </c>
      <c r="B169" s="61" t="s">
        <v>5</v>
      </c>
      <c r="C169" s="155" t="s">
        <v>161</v>
      </c>
      <c r="D169" s="343" t="s">
        <v>223</v>
      </c>
      <c r="E169" s="344"/>
      <c r="F169" s="303" t="s">
        <v>225</v>
      </c>
      <c r="G169" s="303"/>
      <c r="H169" s="88">
        <f>SUM(1880000/E$7)/1000</f>
        <v>511.56462585034018</v>
      </c>
      <c r="I169" s="61"/>
      <c r="J169" s="59">
        <v>100</v>
      </c>
      <c r="K169" s="139" t="s">
        <v>162</v>
      </c>
      <c r="L169" s="91">
        <v>1</v>
      </c>
      <c r="M169" s="61"/>
      <c r="N169" s="61"/>
      <c r="O169" s="150" t="s">
        <v>226</v>
      </c>
      <c r="P169" s="61"/>
      <c r="Q169" s="85" t="s">
        <v>124</v>
      </c>
    </row>
    <row r="170" spans="1:17" ht="22.5" hidden="1" customHeight="1">
      <c r="A170" s="241">
        <v>7.2</v>
      </c>
      <c r="B170" s="105" t="s">
        <v>5</v>
      </c>
      <c r="C170" s="107" t="s">
        <v>163</v>
      </c>
      <c r="D170" s="329"/>
      <c r="E170" s="330"/>
      <c r="F170" s="329"/>
      <c r="G170" s="330"/>
      <c r="H170" s="228">
        <f>SUM(280343/E$7)/1000</f>
        <v>76.283809523809524</v>
      </c>
      <c r="I170" s="109">
        <v>100</v>
      </c>
      <c r="J170" s="109"/>
      <c r="K170" s="229" t="s">
        <v>164</v>
      </c>
      <c r="L170" s="217">
        <v>1</v>
      </c>
      <c r="M170" s="217"/>
      <c r="N170" s="217"/>
      <c r="O170" s="217"/>
      <c r="P170" s="217"/>
      <c r="Q170" s="105" t="s">
        <v>66</v>
      </c>
    </row>
    <row r="171" spans="1:17" ht="28.15" hidden="1" customHeight="1">
      <c r="A171" s="78">
        <v>7.3</v>
      </c>
      <c r="B171" s="17" t="s">
        <v>5</v>
      </c>
      <c r="C171" s="130" t="s">
        <v>165</v>
      </c>
      <c r="D171" s="295"/>
      <c r="E171" s="331"/>
      <c r="F171" s="295"/>
      <c r="G171" s="331"/>
      <c r="H171" s="333">
        <f>SUM(920000/E$7)/1000</f>
        <v>250.34013605442178</v>
      </c>
      <c r="I171" s="17"/>
      <c r="J171" s="17">
        <v>100</v>
      </c>
      <c r="K171" s="139" t="s">
        <v>166</v>
      </c>
      <c r="L171" s="91">
        <v>1</v>
      </c>
      <c r="M171" s="301"/>
      <c r="N171" s="301"/>
      <c r="O171" s="301"/>
      <c r="P171" s="301"/>
      <c r="Q171" s="327" t="s">
        <v>94</v>
      </c>
    </row>
    <row r="172" spans="1:17" ht="33.65" hidden="1" customHeight="1">
      <c r="A172" s="78">
        <v>7.4</v>
      </c>
      <c r="B172" s="17" t="s">
        <v>5</v>
      </c>
      <c r="C172" s="130" t="s">
        <v>167</v>
      </c>
      <c r="D172" s="297"/>
      <c r="E172" s="332"/>
      <c r="F172" s="297"/>
      <c r="G172" s="332"/>
      <c r="H172" s="334"/>
      <c r="I172" s="17"/>
      <c r="J172" s="17">
        <v>100</v>
      </c>
      <c r="K172" s="139" t="s">
        <v>168</v>
      </c>
      <c r="L172" s="91">
        <v>1</v>
      </c>
      <c r="M172" s="303"/>
      <c r="N172" s="303"/>
      <c r="O172" s="303"/>
      <c r="P172" s="303"/>
      <c r="Q172" s="328"/>
    </row>
    <row r="173" spans="1:17" ht="32.25" hidden="1" customHeight="1">
      <c r="A173" s="258">
        <v>7.5</v>
      </c>
      <c r="B173" s="17" t="s">
        <v>5</v>
      </c>
      <c r="C173" s="156" t="s">
        <v>169</v>
      </c>
      <c r="D173" s="322"/>
      <c r="E173" s="323"/>
      <c r="F173" s="324" t="s">
        <v>172</v>
      </c>
      <c r="G173" s="324"/>
      <c r="H173" s="88">
        <f>SUM(1445000/3.0653)/1000</f>
        <v>471.4057351645842</v>
      </c>
      <c r="I173" s="17"/>
      <c r="J173" s="17">
        <v>100</v>
      </c>
      <c r="K173" s="90" t="s">
        <v>170</v>
      </c>
      <c r="L173" s="91">
        <v>1</v>
      </c>
      <c r="M173" s="15"/>
      <c r="N173" s="15"/>
      <c r="O173" s="95" t="s">
        <v>171</v>
      </c>
      <c r="P173" s="15"/>
      <c r="Q173" s="89" t="s">
        <v>124</v>
      </c>
    </row>
    <row r="174" spans="1:17" ht="39.75" hidden="1" customHeight="1">
      <c r="A174" s="258">
        <v>7.6</v>
      </c>
      <c r="B174" s="17" t="s">
        <v>5</v>
      </c>
      <c r="C174" s="156" t="s">
        <v>173</v>
      </c>
      <c r="D174" s="322"/>
      <c r="E174" s="323"/>
      <c r="F174" s="324"/>
      <c r="G174" s="324"/>
      <c r="H174" s="256">
        <f>SUM(15000/E$7)/1000</f>
        <v>4.0816326530612246</v>
      </c>
      <c r="I174" s="17"/>
      <c r="J174" s="17">
        <v>100</v>
      </c>
      <c r="K174" s="15" t="s">
        <v>174</v>
      </c>
      <c r="L174" s="91">
        <v>1</v>
      </c>
      <c r="M174" s="15"/>
      <c r="N174" s="15"/>
      <c r="O174" s="15"/>
      <c r="P174" s="15"/>
      <c r="Q174" s="259" t="s">
        <v>124</v>
      </c>
    </row>
    <row r="175" spans="1:17" ht="36" hidden="1" customHeight="1">
      <c r="A175" s="258">
        <v>7.7</v>
      </c>
      <c r="B175" s="17" t="s">
        <v>5</v>
      </c>
      <c r="C175" s="156" t="s">
        <v>175</v>
      </c>
      <c r="D175" s="322"/>
      <c r="E175" s="323"/>
      <c r="F175" s="324"/>
      <c r="G175" s="324"/>
      <c r="H175" s="256">
        <f>SUM((846599.86+385000)/E$7)/1000</f>
        <v>335.12921360544215</v>
      </c>
      <c r="I175" s="17"/>
      <c r="J175" s="17">
        <v>100</v>
      </c>
      <c r="K175" s="15" t="s">
        <v>176</v>
      </c>
      <c r="L175" s="91">
        <v>1</v>
      </c>
      <c r="M175" s="15"/>
      <c r="N175" s="15"/>
      <c r="O175" s="15"/>
      <c r="P175" s="15"/>
      <c r="Q175" s="259" t="s">
        <v>94</v>
      </c>
    </row>
    <row r="176" spans="1:17" ht="208" hidden="1">
      <c r="A176" s="258">
        <v>7.8</v>
      </c>
      <c r="B176" s="17" t="s">
        <v>5</v>
      </c>
      <c r="C176" s="156" t="s">
        <v>177</v>
      </c>
      <c r="D176" s="322" t="s">
        <v>188</v>
      </c>
      <c r="E176" s="323"/>
      <c r="F176" s="324" t="s">
        <v>227</v>
      </c>
      <c r="G176" s="324"/>
      <c r="H176" s="88">
        <f>SUM((1462062.03)/E$7)/1000</f>
        <v>397.84000816326534</v>
      </c>
      <c r="I176" s="17"/>
      <c r="J176" s="17">
        <v>100</v>
      </c>
      <c r="K176" s="90" t="s">
        <v>178</v>
      </c>
      <c r="L176" s="91">
        <v>1</v>
      </c>
      <c r="M176" s="15"/>
      <c r="N176" s="15"/>
      <c r="O176" s="95" t="s">
        <v>187</v>
      </c>
      <c r="P176" s="15"/>
      <c r="Q176" s="89" t="s">
        <v>124</v>
      </c>
    </row>
    <row r="177" spans="1:17" ht="409.5" hidden="1" customHeight="1">
      <c r="A177" s="226">
        <v>7.9</v>
      </c>
      <c r="B177" s="17"/>
      <c r="C177" s="156" t="s">
        <v>177</v>
      </c>
      <c r="D177" s="322"/>
      <c r="E177" s="323"/>
      <c r="F177" s="322" t="s">
        <v>264</v>
      </c>
      <c r="G177" s="323"/>
      <c r="H177" s="88">
        <f>SUM((43606)/E$7)/1000</f>
        <v>11.865578231292519</v>
      </c>
      <c r="I177" s="17">
        <v>100</v>
      </c>
      <c r="J177" s="17">
        <v>0</v>
      </c>
      <c r="K177" s="90" t="s">
        <v>178</v>
      </c>
      <c r="L177" s="91">
        <v>1</v>
      </c>
      <c r="M177" s="15"/>
      <c r="N177" s="15"/>
      <c r="O177" s="95" t="s">
        <v>263</v>
      </c>
      <c r="P177" s="15"/>
      <c r="Q177" s="89" t="s">
        <v>124</v>
      </c>
    </row>
    <row r="178" spans="1:17" ht="169" hidden="1">
      <c r="A178" s="168">
        <v>7.1</v>
      </c>
      <c r="B178" s="17" t="s">
        <v>5</v>
      </c>
      <c r="C178" s="156" t="s">
        <v>179</v>
      </c>
      <c r="D178" s="322"/>
      <c r="E178" s="323"/>
      <c r="F178" s="324" t="s">
        <v>224</v>
      </c>
      <c r="G178" s="324"/>
      <c r="H178" s="88">
        <f>SUM(507000/E$7)/1000</f>
        <v>137.9591836734694</v>
      </c>
      <c r="I178" s="17"/>
      <c r="J178" s="17">
        <v>100</v>
      </c>
      <c r="K178" s="90" t="s">
        <v>180</v>
      </c>
      <c r="L178" s="91">
        <v>1</v>
      </c>
      <c r="M178" s="15"/>
      <c r="N178" s="15"/>
      <c r="O178" s="95" t="s">
        <v>277</v>
      </c>
      <c r="P178" s="15"/>
      <c r="Q178" s="89" t="s">
        <v>124</v>
      </c>
    </row>
    <row r="179" spans="1:17" ht="213.75" hidden="1" customHeight="1" thickBot="1">
      <c r="A179" s="235">
        <v>7.11</v>
      </c>
      <c r="B179" s="29" t="s">
        <v>5</v>
      </c>
      <c r="C179" s="160" t="s">
        <v>177</v>
      </c>
      <c r="D179" s="325"/>
      <c r="E179" s="326"/>
      <c r="F179" s="325" t="s">
        <v>276</v>
      </c>
      <c r="G179" s="326"/>
      <c r="H179" s="237">
        <f>SUM((80000)/E$7)/1000</f>
        <v>21.7687074829932</v>
      </c>
      <c r="I179" s="29"/>
      <c r="J179" s="29">
        <v>100</v>
      </c>
      <c r="K179" s="238" t="s">
        <v>178</v>
      </c>
      <c r="L179" s="239">
        <v>1</v>
      </c>
      <c r="M179" s="29"/>
      <c r="N179" s="29"/>
      <c r="O179" s="240" t="s">
        <v>275</v>
      </c>
      <c r="P179" s="29"/>
      <c r="Q179" s="87" t="s">
        <v>124</v>
      </c>
    </row>
    <row r="180" spans="1:17" ht="213.75" hidden="1" customHeight="1" thickBot="1">
      <c r="A180" s="235">
        <v>7.12</v>
      </c>
      <c r="B180" s="29" t="s">
        <v>5</v>
      </c>
      <c r="C180" s="160" t="s">
        <v>391</v>
      </c>
      <c r="D180" s="325"/>
      <c r="E180" s="326"/>
      <c r="F180" s="325" t="s">
        <v>392</v>
      </c>
      <c r="G180" s="326"/>
      <c r="H180" s="237">
        <f>SUM((1761000)/E$7)/1000</f>
        <v>479.18367346938777</v>
      </c>
      <c r="I180" s="29"/>
      <c r="J180" s="29">
        <v>100</v>
      </c>
      <c r="K180" s="238" t="s">
        <v>393</v>
      </c>
      <c r="L180" s="239">
        <v>1</v>
      </c>
      <c r="M180" s="29"/>
      <c r="N180" s="29"/>
      <c r="O180" s="240" t="s">
        <v>394</v>
      </c>
      <c r="P180" s="29"/>
      <c r="Q180" s="87" t="s">
        <v>124</v>
      </c>
    </row>
    <row r="181" spans="1:17" hidden="1">
      <c r="G181" s="8" t="s">
        <v>74</v>
      </c>
      <c r="H181" s="188">
        <f>H65+H105+H118+H131+G143+H164</f>
        <v>52284.875357823148</v>
      </c>
    </row>
    <row r="182" spans="1:17" hidden="1">
      <c r="B182" s="11" t="s">
        <v>37</v>
      </c>
    </row>
    <row r="183" spans="1:17" hidden="1"/>
    <row r="184" spans="1:17" ht="15.75" hidden="1" customHeight="1"/>
    <row r="185" spans="1:17" hidden="1">
      <c r="A185" s="313" t="s">
        <v>119</v>
      </c>
      <c r="B185" s="314"/>
      <c r="C185" s="31" t="s">
        <v>64</v>
      </c>
    </row>
    <row r="186" spans="1:17" hidden="1">
      <c r="A186" s="313"/>
      <c r="B186" s="314"/>
      <c r="C186" s="31" t="s">
        <v>67</v>
      </c>
    </row>
    <row r="187" spans="1:17" hidden="1">
      <c r="A187" s="313"/>
      <c r="B187" s="314"/>
      <c r="C187" s="32" t="s">
        <v>59</v>
      </c>
    </row>
    <row r="188" spans="1:17" ht="15.75" hidden="1" customHeight="1"/>
    <row r="189" spans="1:17" hidden="1">
      <c r="A189" s="313" t="s">
        <v>17</v>
      </c>
      <c r="B189" s="314"/>
      <c r="C189" s="31" t="s">
        <v>66</v>
      </c>
    </row>
    <row r="190" spans="1:17" hidden="1">
      <c r="A190" s="313"/>
      <c r="B190" s="314"/>
      <c r="C190" s="31" t="s">
        <v>94</v>
      </c>
    </row>
    <row r="191" spans="1:17" hidden="1">
      <c r="A191" s="313"/>
      <c r="B191" s="314"/>
      <c r="C191" s="31" t="s">
        <v>120</v>
      </c>
      <c r="H191" s="2"/>
      <c r="I191" s="2"/>
      <c r="J191" s="2"/>
    </row>
    <row r="192" spans="1:17" hidden="1">
      <c r="A192" s="313"/>
      <c r="B192" s="314"/>
      <c r="C192" s="31" t="s">
        <v>121</v>
      </c>
      <c r="H192" s="2"/>
      <c r="I192" s="2"/>
      <c r="J192" s="2"/>
    </row>
    <row r="193" spans="1:10" hidden="1">
      <c r="A193" s="313"/>
      <c r="B193" s="314"/>
      <c r="C193" s="31" t="s">
        <v>122</v>
      </c>
      <c r="H193" s="2"/>
      <c r="I193" s="2"/>
      <c r="J193" s="2"/>
    </row>
    <row r="194" spans="1:10" hidden="1">
      <c r="A194" s="313"/>
      <c r="B194" s="314"/>
      <c r="C194" s="31" t="s">
        <v>123</v>
      </c>
      <c r="H194" s="2"/>
      <c r="I194" s="2"/>
      <c r="J194" s="2"/>
    </row>
    <row r="195" spans="1:10" hidden="1">
      <c r="A195" s="313"/>
      <c r="B195" s="314"/>
      <c r="C195" s="31" t="s">
        <v>61</v>
      </c>
      <c r="H195" s="2"/>
      <c r="I195" s="2"/>
      <c r="J195" s="2"/>
    </row>
    <row r="196" spans="1:10" hidden="1">
      <c r="A196" s="313"/>
      <c r="B196" s="314"/>
      <c r="C196" s="31" t="s">
        <v>124</v>
      </c>
      <c r="H196" s="2"/>
      <c r="I196" s="2"/>
      <c r="J196" s="2"/>
    </row>
    <row r="197" spans="1:10" hidden="1"/>
    <row r="198" spans="1:10" ht="31" hidden="1">
      <c r="A198" s="315" t="s">
        <v>125</v>
      </c>
      <c r="B198" s="316"/>
      <c r="C198" s="317" t="s">
        <v>126</v>
      </c>
      <c r="D198" s="31" t="s">
        <v>93</v>
      </c>
      <c r="E198" s="31" t="s">
        <v>93</v>
      </c>
      <c r="H198" s="2"/>
      <c r="I198" s="2"/>
      <c r="J198" s="2"/>
    </row>
    <row r="199" spans="1:10" hidden="1">
      <c r="A199" s="315"/>
      <c r="B199" s="316"/>
      <c r="C199" s="317"/>
      <c r="D199" s="31" t="s">
        <v>127</v>
      </c>
      <c r="E199" s="31" t="s">
        <v>127</v>
      </c>
      <c r="H199" s="2"/>
      <c r="I199" s="2"/>
      <c r="J199" s="2"/>
    </row>
    <row r="200" spans="1:10" ht="31" hidden="1">
      <c r="A200" s="315"/>
      <c r="B200" s="316"/>
      <c r="C200" s="317"/>
      <c r="D200" s="31" t="s">
        <v>96</v>
      </c>
      <c r="E200" s="31" t="s">
        <v>96</v>
      </c>
      <c r="H200" s="2"/>
      <c r="I200" s="2"/>
      <c r="J200" s="2"/>
    </row>
    <row r="201" spans="1:10" hidden="1">
      <c r="A201" s="315"/>
      <c r="B201" s="316"/>
      <c r="C201" s="317"/>
      <c r="D201" s="31" t="s">
        <v>81</v>
      </c>
      <c r="E201" s="31" t="s">
        <v>81</v>
      </c>
      <c r="H201" s="2"/>
      <c r="I201" s="2"/>
      <c r="J201" s="2"/>
    </row>
    <row r="202" spans="1:10" hidden="1">
      <c r="A202" s="315"/>
      <c r="B202" s="316"/>
      <c r="C202" s="317"/>
      <c r="D202" s="31" t="s">
        <v>63</v>
      </c>
      <c r="E202" s="31" t="s">
        <v>63</v>
      </c>
      <c r="H202" s="2"/>
      <c r="I202" s="2"/>
      <c r="J202" s="2"/>
    </row>
    <row r="203" spans="1:10" ht="31" hidden="1">
      <c r="A203" s="315"/>
      <c r="B203" s="316"/>
      <c r="C203" s="317"/>
      <c r="D203" s="31" t="s">
        <v>128</v>
      </c>
      <c r="E203" s="31" t="s">
        <v>128</v>
      </c>
      <c r="H203" s="2"/>
      <c r="I203" s="2"/>
      <c r="J203" s="2"/>
    </row>
    <row r="204" spans="1:10" ht="31" hidden="1">
      <c r="A204" s="315"/>
      <c r="B204" s="316"/>
      <c r="C204" s="317"/>
      <c r="D204" s="31" t="s">
        <v>129</v>
      </c>
      <c r="E204" s="31" t="s">
        <v>129</v>
      </c>
      <c r="H204" s="2"/>
      <c r="I204" s="2"/>
      <c r="J204" s="2"/>
    </row>
    <row r="205" spans="1:10" hidden="1">
      <c r="A205" s="315"/>
      <c r="B205" s="316"/>
      <c r="C205" s="318" t="s">
        <v>130</v>
      </c>
      <c r="D205" s="31" t="s">
        <v>68</v>
      </c>
      <c r="E205" s="31" t="s">
        <v>57</v>
      </c>
      <c r="H205" s="2"/>
      <c r="I205" s="2"/>
      <c r="J205" s="2"/>
    </row>
    <row r="206" spans="1:10" hidden="1">
      <c r="A206" s="315"/>
      <c r="B206" s="316"/>
      <c r="C206" s="318"/>
      <c r="D206" s="31" t="s">
        <v>57</v>
      </c>
      <c r="E206" s="31" t="s">
        <v>105</v>
      </c>
      <c r="H206" s="2"/>
      <c r="I206" s="2"/>
      <c r="J206" s="2"/>
    </row>
    <row r="207" spans="1:10" hidden="1">
      <c r="A207" s="315"/>
      <c r="B207" s="316"/>
      <c r="C207" s="318"/>
      <c r="D207" s="31" t="s">
        <v>105</v>
      </c>
      <c r="H207" s="2"/>
      <c r="I207" s="2"/>
      <c r="J207" s="2"/>
    </row>
    <row r="208" spans="1:10" hidden="1">
      <c r="A208" s="315"/>
      <c r="B208" s="316"/>
      <c r="C208" s="318"/>
      <c r="D208" s="31" t="s">
        <v>81</v>
      </c>
      <c r="H208" s="2"/>
      <c r="I208" s="2"/>
      <c r="J208" s="2"/>
    </row>
    <row r="209" spans="1:10" hidden="1">
      <c r="A209" s="315"/>
      <c r="B209" s="316"/>
      <c r="C209" s="318"/>
      <c r="D209" s="31" t="s">
        <v>63</v>
      </c>
      <c r="H209" s="2"/>
      <c r="I209" s="2"/>
      <c r="J209" s="2"/>
    </row>
    <row r="210" spans="1:10" hidden="1">
      <c r="A210" s="315"/>
      <c r="B210" s="316"/>
      <c r="C210" s="318"/>
      <c r="D210" s="31" t="s">
        <v>131</v>
      </c>
      <c r="H210" s="2"/>
      <c r="I210" s="2"/>
      <c r="J210" s="2"/>
    </row>
    <row r="211" spans="1:10" ht="31" hidden="1">
      <c r="A211" s="315"/>
      <c r="B211" s="316"/>
      <c r="C211" s="318"/>
      <c r="D211" s="31" t="s">
        <v>132</v>
      </c>
      <c r="H211" s="2"/>
      <c r="I211" s="2"/>
      <c r="J211" s="2"/>
    </row>
    <row r="212" spans="1:10" hidden="1">
      <c r="A212" s="315"/>
      <c r="B212" s="316"/>
      <c r="C212" s="318"/>
      <c r="D212" s="31" t="s">
        <v>133</v>
      </c>
      <c r="H212" s="2"/>
      <c r="I212" s="2"/>
      <c r="J212" s="2"/>
    </row>
    <row r="213" spans="1:10" hidden="1">
      <c r="A213" s="315"/>
      <c r="B213" s="316"/>
      <c r="C213" s="318"/>
      <c r="D213" s="31" t="s">
        <v>134</v>
      </c>
      <c r="H213" s="2"/>
      <c r="I213" s="2"/>
      <c r="J213" s="2"/>
    </row>
    <row r="214" spans="1:10" ht="31" hidden="1">
      <c r="A214" s="315"/>
      <c r="B214" s="316"/>
      <c r="C214" s="318"/>
      <c r="D214" s="31" t="s">
        <v>135</v>
      </c>
      <c r="H214" s="2"/>
      <c r="I214" s="2"/>
      <c r="J214" s="2"/>
    </row>
    <row r="215" spans="1:10" hidden="1">
      <c r="A215" s="315"/>
      <c r="B215" s="316"/>
      <c r="C215" s="319" t="s">
        <v>136</v>
      </c>
      <c r="D215" s="31" t="s">
        <v>102</v>
      </c>
      <c r="H215" s="2"/>
      <c r="I215" s="2"/>
      <c r="J215" s="2"/>
    </row>
    <row r="216" spans="1:10" hidden="1">
      <c r="A216" s="315"/>
      <c r="B216" s="316"/>
      <c r="C216" s="320"/>
      <c r="D216" s="31" t="s">
        <v>81</v>
      </c>
      <c r="H216" s="2"/>
      <c r="I216" s="2"/>
      <c r="J216" s="2"/>
    </row>
    <row r="217" spans="1:10" hidden="1">
      <c r="A217" s="315"/>
      <c r="B217" s="316"/>
      <c r="C217" s="321"/>
      <c r="D217" s="31" t="s">
        <v>63</v>
      </c>
      <c r="H217" s="2"/>
      <c r="I217" s="2"/>
      <c r="J217" s="2"/>
    </row>
  </sheetData>
  <mergeCells count="165">
    <mergeCell ref="B12:Q12"/>
    <mergeCell ref="B14:Q14"/>
    <mergeCell ref="B15:B16"/>
    <mergeCell ref="C15:C16"/>
    <mergeCell ref="D15:D16"/>
    <mergeCell ref="E15:E16"/>
    <mergeCell ref="F15:F16"/>
    <mergeCell ref="G15:G16"/>
    <mergeCell ref="Q17:Q28"/>
    <mergeCell ref="Q15:Q16"/>
    <mergeCell ref="H15:J15"/>
    <mergeCell ref="K15:K16"/>
    <mergeCell ref="L15:L16"/>
    <mergeCell ref="M15:N15"/>
    <mergeCell ref="O15:O16"/>
    <mergeCell ref="P15:P16"/>
    <mergeCell ref="A17:A28"/>
    <mergeCell ref="B17:B28"/>
    <mergeCell ref="C17:C28"/>
    <mergeCell ref="I17:I28"/>
    <mergeCell ref="J17:J28"/>
    <mergeCell ref="K17:K27"/>
    <mergeCell ref="L17:L27"/>
    <mergeCell ref="M17:M27"/>
    <mergeCell ref="P17:P27"/>
    <mergeCell ref="E17:E28"/>
    <mergeCell ref="G17:G28"/>
    <mergeCell ref="B67:Q67"/>
    <mergeCell ref="B68:B69"/>
    <mergeCell ref="C68:C69"/>
    <mergeCell ref="D68:D69"/>
    <mergeCell ref="E68:E69"/>
    <mergeCell ref="F68:F69"/>
    <mergeCell ref="G68:G69"/>
    <mergeCell ref="H68:J68"/>
    <mergeCell ref="K68:K69"/>
    <mergeCell ref="L68:L69"/>
    <mergeCell ref="M68:N68"/>
    <mergeCell ref="O68:O69"/>
    <mergeCell ref="P68:P69"/>
    <mergeCell ref="Q68:Q69"/>
    <mergeCell ref="B107:Q107"/>
    <mergeCell ref="B108:B109"/>
    <mergeCell ref="C108:C109"/>
    <mergeCell ref="D108:D109"/>
    <mergeCell ref="E108:E109"/>
    <mergeCell ref="F108:F109"/>
    <mergeCell ref="P121:P122"/>
    <mergeCell ref="Q121:Q122"/>
    <mergeCell ref="F122:G122"/>
    <mergeCell ref="P108:P109"/>
    <mergeCell ref="Q108:Q109"/>
    <mergeCell ref="B120:Q120"/>
    <mergeCell ref="B121:B122"/>
    <mergeCell ref="C121:C122"/>
    <mergeCell ref="D121:D122"/>
    <mergeCell ref="E121:E122"/>
    <mergeCell ref="F121:G121"/>
    <mergeCell ref="H121:J121"/>
    <mergeCell ref="K121:K122"/>
    <mergeCell ref="G108:G109"/>
    <mergeCell ref="H108:J108"/>
    <mergeCell ref="K108:K109"/>
    <mergeCell ref="L108:L109"/>
    <mergeCell ref="M108:N108"/>
    <mergeCell ref="O108:O109"/>
    <mergeCell ref="F123:G123"/>
    <mergeCell ref="F124:G124"/>
    <mergeCell ref="F125:G125"/>
    <mergeCell ref="F126:G126"/>
    <mergeCell ref="F127:G127"/>
    <mergeCell ref="F128:G128"/>
    <mergeCell ref="L121:L122"/>
    <mergeCell ref="M121:N121"/>
    <mergeCell ref="O121:O122"/>
    <mergeCell ref="K134:K135"/>
    <mergeCell ref="L134:L135"/>
    <mergeCell ref="M134:N134"/>
    <mergeCell ref="O134:O135"/>
    <mergeCell ref="P134:P135"/>
    <mergeCell ref="Q134:Q135"/>
    <mergeCell ref="F129:G129"/>
    <mergeCell ref="F130:G130"/>
    <mergeCell ref="B133:Q133"/>
    <mergeCell ref="B134:B135"/>
    <mergeCell ref="C134:C135"/>
    <mergeCell ref="D134:D135"/>
    <mergeCell ref="E134:E135"/>
    <mergeCell ref="F134:F135"/>
    <mergeCell ref="G134:I134"/>
    <mergeCell ref="J134:J135"/>
    <mergeCell ref="B145:Q145"/>
    <mergeCell ref="B146:B147"/>
    <mergeCell ref="C146:C147"/>
    <mergeCell ref="D146:D147"/>
    <mergeCell ref="E146:E147"/>
    <mergeCell ref="F146:G147"/>
    <mergeCell ref="H146:J146"/>
    <mergeCell ref="K146:K147"/>
    <mergeCell ref="L146:L147"/>
    <mergeCell ref="M146:N146"/>
    <mergeCell ref="L167:L168"/>
    <mergeCell ref="M167:N167"/>
    <mergeCell ref="O167:O168"/>
    <mergeCell ref="P167:P168"/>
    <mergeCell ref="Q167:Q168"/>
    <mergeCell ref="D169:E169"/>
    <mergeCell ref="F169:G169"/>
    <mergeCell ref="O146:O147"/>
    <mergeCell ref="P146:P147"/>
    <mergeCell ref="Q146:Q147"/>
    <mergeCell ref="B166:Q166"/>
    <mergeCell ref="B167:B168"/>
    <mergeCell ref="C167:C168"/>
    <mergeCell ref="D167:E168"/>
    <mergeCell ref="F167:G168"/>
    <mergeCell ref="H167:J167"/>
    <mergeCell ref="K167:K168"/>
    <mergeCell ref="Q171:Q172"/>
    <mergeCell ref="D173:E173"/>
    <mergeCell ref="F173:G173"/>
    <mergeCell ref="D170:E170"/>
    <mergeCell ref="F170:G170"/>
    <mergeCell ref="D171:E172"/>
    <mergeCell ref="F171:G172"/>
    <mergeCell ref="H171:H172"/>
    <mergeCell ref="M171:M172"/>
    <mergeCell ref="D174:E174"/>
    <mergeCell ref="F174:G174"/>
    <mergeCell ref="D175:E175"/>
    <mergeCell ref="F175:G175"/>
    <mergeCell ref="D176:E176"/>
    <mergeCell ref="F176:G176"/>
    <mergeCell ref="N171:N172"/>
    <mergeCell ref="O171:O172"/>
    <mergeCell ref="P171:P172"/>
    <mergeCell ref="A185:B187"/>
    <mergeCell ref="A189:B196"/>
    <mergeCell ref="A198:B217"/>
    <mergeCell ref="C198:C204"/>
    <mergeCell ref="C205:C214"/>
    <mergeCell ref="C215:C217"/>
    <mergeCell ref="D177:E177"/>
    <mergeCell ref="F177:G177"/>
    <mergeCell ref="D178:E178"/>
    <mergeCell ref="F178:G178"/>
    <mergeCell ref="D180:E180"/>
    <mergeCell ref="F180:G180"/>
    <mergeCell ref="D179:E179"/>
    <mergeCell ref="F179:G179"/>
    <mergeCell ref="Q34:Q41"/>
    <mergeCell ref="I34:I41"/>
    <mergeCell ref="J34:J41"/>
    <mergeCell ref="K34:K41"/>
    <mergeCell ref="L34:L41"/>
    <mergeCell ref="E34:E41"/>
    <mergeCell ref="C34:C41"/>
    <mergeCell ref="B34:B41"/>
    <mergeCell ref="A34:A41"/>
    <mergeCell ref="F34:F41"/>
    <mergeCell ref="G34:G41"/>
    <mergeCell ref="M34:M41"/>
    <mergeCell ref="N34:N41"/>
    <mergeCell ref="O34:O41"/>
    <mergeCell ref="P34:P41"/>
  </mergeCells>
  <dataValidations count="9">
    <dataValidation type="list" allowBlank="1" showInputMessage="1" showErrorMessage="1" sqref="Q70" xr:uid="{00000000-0002-0000-0000-000000000000}">
      <formula1>$C$178:$C$186</formula1>
    </dataValidation>
    <dataValidation type="list" allowBlank="1" showInputMessage="1" showErrorMessage="1" sqref="E110:E118 E42:E45 E17 E93:E105 E49:E66 E70:E91 E29:E34" xr:uid="{00000000-0002-0000-0000-000001000000}">
      <formula1>$D$205:$D$214</formula1>
    </dataValidation>
    <dataValidation type="list" allowBlank="1" showInputMessage="1" showErrorMessage="1" sqref="E123:E131" xr:uid="{00000000-0002-0000-0000-000002000000}">
      <formula1>$D$198:$D$204</formula1>
    </dataValidation>
    <dataValidation type="list" allowBlank="1" showInputMessage="1" showErrorMessage="1" sqref="E136:E143" xr:uid="{00000000-0002-0000-0000-000003000000}">
      <formula1>$D$215:$D$217</formula1>
    </dataValidation>
    <dataValidation type="list" allowBlank="1" showInputMessage="1" showErrorMessage="1" sqref="L136:L143 L148:L163 L123:L131 L42:L45 L110:L118 L29:L37 L17 L70:L105 L50:L66" xr:uid="{00000000-0002-0000-0000-000004000000}">
      <formula1>$C$185:$C$187</formula1>
    </dataValidation>
    <dataValidation type="list" allowBlank="1" showInputMessage="1" showErrorMessage="1" sqref="Q148:Q163 Q173:Q180 Q110:Q118 Q136:Q143 Q29:Q37 Q123:Q131 Q17 Q49:Q55 Q42:Q45 Q169:Q171 Q71:Q105 Q57:Q66" xr:uid="{00000000-0002-0000-0000-000005000000}">
      <formula1>$C$189:$C$196</formula1>
    </dataValidation>
    <dataValidation type="list" allowBlank="1" showInputMessage="1" showErrorMessage="1" sqref="L46:L49" xr:uid="{00000000-0002-0000-0000-000006000000}">
      <formula1>$C$183:$C$185</formula1>
    </dataValidation>
    <dataValidation type="list" allowBlank="1" showInputMessage="1" showErrorMessage="1" sqref="E46:E48" xr:uid="{00000000-0002-0000-0000-000007000000}">
      <formula1>$D$203:$D$212</formula1>
    </dataValidation>
    <dataValidation type="list" allowBlank="1" showInputMessage="1" showErrorMessage="1" sqref="Q56 Q46:Q48" xr:uid="{00000000-0002-0000-0000-000008000000}">
      <formula1>$C$187:$C$194</formula1>
    </dataValidation>
  </dataValidations>
  <pageMargins left="0.51181102362204722" right="0.51181102362204722" top="0.78740157480314965" bottom="0.78740157480314965" header="0.31496062992125984" footer="0.31496062992125984"/>
  <pageSetup paperSize="8" scale="55" orientation="landscape" r:id="rId1"/>
  <rowBreaks count="2" manualBreakCount="2">
    <brk id="165" max="16" man="1"/>
    <brk id="18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3"/>
  <sheetViews>
    <sheetView view="pageBreakPreview" zoomScale="60" workbookViewId="0">
      <selection activeCell="A46" sqref="A46"/>
    </sheetView>
  </sheetViews>
  <sheetFormatPr defaultColWidth="8.7265625" defaultRowHeight="15.5"/>
  <cols>
    <col min="1" max="1" width="56.81640625" style="2" customWidth="1"/>
    <col min="2" max="2" width="90.1796875" style="2" customWidth="1"/>
    <col min="3" max="3" width="62.26953125" style="2" customWidth="1"/>
    <col min="4" max="4" width="41.453125" style="2" customWidth="1"/>
    <col min="5" max="5" width="36.7265625" style="2" customWidth="1"/>
    <col min="6" max="7" width="12.81640625" style="2" customWidth="1"/>
    <col min="8" max="8" width="15.7265625" style="4" customWidth="1"/>
    <col min="9" max="9" width="15.7265625" style="5" customWidth="1"/>
    <col min="10" max="10" width="18" style="5" customWidth="1"/>
    <col min="11" max="11" width="12.7265625" style="2" customWidth="1"/>
    <col min="12" max="12" width="19.54296875" style="2" customWidth="1"/>
    <col min="13" max="13" width="15.54296875" style="2" customWidth="1"/>
    <col min="14" max="14" width="15" style="2" customWidth="1"/>
    <col min="15" max="17" width="18.81640625" style="2" customWidth="1"/>
    <col min="18" max="16384" width="8.7265625" style="2"/>
  </cols>
  <sheetData>
    <row r="1" spans="1:19">
      <c r="A1" s="279"/>
      <c r="B1" s="280"/>
    </row>
    <row r="2" spans="1:19">
      <c r="A2" s="395" t="s">
        <v>15</v>
      </c>
      <c r="B2" s="396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9">
      <c r="A3" s="395" t="s">
        <v>34</v>
      </c>
      <c r="B3" s="39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9">
      <c r="A4" s="397" t="s">
        <v>35</v>
      </c>
      <c r="B4" s="398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9">
      <c r="A5" s="399" t="s">
        <v>16</v>
      </c>
      <c r="B5" s="400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9">
      <c r="A6" s="281"/>
      <c r="B6" s="282"/>
      <c r="C6" s="36"/>
      <c r="D6" s="36"/>
      <c r="E6" s="36"/>
      <c r="F6" s="36"/>
      <c r="G6" s="36"/>
      <c r="H6" s="37"/>
      <c r="I6" s="38"/>
      <c r="J6" s="38"/>
      <c r="K6" s="36"/>
      <c r="L6" s="36"/>
      <c r="M6" s="36"/>
    </row>
    <row r="7" spans="1:19">
      <c r="A7" s="281"/>
      <c r="B7" s="283"/>
    </row>
    <row r="8" spans="1:19">
      <c r="A8" s="284" t="str">
        <f>'PA FEV_19 '!A7</f>
        <v>Atualizado em: 04/02/2019</v>
      </c>
      <c r="B8" s="285"/>
      <c r="C8" s="9"/>
    </row>
    <row r="9" spans="1:19">
      <c r="A9" s="284" t="str">
        <f>'PA FEV_19 '!A8</f>
        <v>Atualização Nº: 10</v>
      </c>
      <c r="B9" s="286"/>
      <c r="C9" s="10"/>
    </row>
    <row r="10" spans="1:19">
      <c r="A10" s="284" t="s">
        <v>36</v>
      </c>
      <c r="B10" s="286"/>
      <c r="C10" s="10"/>
    </row>
    <row r="11" spans="1:19">
      <c r="A11" s="281"/>
      <c r="B11" s="287"/>
    </row>
    <row r="12" spans="1:19">
      <c r="A12" s="401" t="s">
        <v>137</v>
      </c>
      <c r="B12" s="402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3"/>
      <c r="S12" s="13"/>
    </row>
    <row r="13" spans="1:19" ht="15.75" customHeight="1">
      <c r="A13" s="281"/>
      <c r="B13" s="288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</row>
    <row r="14" spans="1:19">
      <c r="A14" s="289"/>
      <c r="B14" s="290"/>
      <c r="H14" s="2"/>
      <c r="I14" s="2"/>
      <c r="J14" s="2"/>
    </row>
    <row r="15" spans="1:19">
      <c r="A15" s="291"/>
      <c r="B15" s="290"/>
      <c r="H15" s="2"/>
      <c r="I15" s="2"/>
      <c r="J15" s="2"/>
    </row>
    <row r="16" spans="1:19" s="40" customFormat="1" ht="16" thickBot="1">
      <c r="A16" s="292"/>
      <c r="B16" s="293"/>
    </row>
    <row r="17" spans="1:10">
      <c r="A17" s="393" t="s">
        <v>138</v>
      </c>
      <c r="B17" s="393" t="s">
        <v>139</v>
      </c>
      <c r="H17" s="2"/>
      <c r="I17" s="2"/>
      <c r="J17" s="2"/>
    </row>
    <row r="18" spans="1:10" ht="16" thickBot="1">
      <c r="A18" s="394"/>
      <c r="B18" s="394"/>
      <c r="H18" s="2"/>
      <c r="I18" s="2"/>
      <c r="J18" s="2"/>
    </row>
    <row r="19" spans="1:10" ht="29.25" customHeight="1" thickBot="1">
      <c r="A19" s="44" t="s">
        <v>2</v>
      </c>
      <c r="B19" s="45"/>
      <c r="H19" s="2"/>
      <c r="I19" s="2"/>
      <c r="J19" s="2"/>
    </row>
    <row r="20" spans="1:10" ht="56.25" customHeight="1" thickBot="1">
      <c r="A20" s="46" t="s">
        <v>401</v>
      </c>
      <c r="B20" s="213" t="s">
        <v>404</v>
      </c>
      <c r="H20" s="2"/>
      <c r="I20" s="2"/>
      <c r="J20" s="2"/>
    </row>
    <row r="21" spans="1:10" ht="55.5" customHeight="1">
      <c r="A21" s="47" t="s">
        <v>402</v>
      </c>
      <c r="B21" s="213" t="s">
        <v>404</v>
      </c>
      <c r="H21" s="2"/>
      <c r="I21" s="2"/>
      <c r="J21" s="2"/>
    </row>
    <row r="22" spans="1:10" ht="84" customHeight="1">
      <c r="A22" s="47" t="s">
        <v>403</v>
      </c>
      <c r="B22" s="47" t="s">
        <v>405</v>
      </c>
      <c r="H22" s="2"/>
      <c r="I22" s="2"/>
      <c r="J22" s="2"/>
    </row>
    <row r="23" spans="1:10" ht="16" thickBot="1">
      <c r="A23" s="194"/>
      <c r="B23" s="41"/>
      <c r="H23" s="2"/>
      <c r="I23" s="2"/>
      <c r="J23" s="2"/>
    </row>
    <row r="24" spans="1:10" ht="29.25" customHeight="1" thickBot="1">
      <c r="A24" s="44" t="s">
        <v>140</v>
      </c>
      <c r="B24" s="45"/>
      <c r="H24" s="2"/>
      <c r="I24" s="2"/>
      <c r="J24" s="2"/>
    </row>
    <row r="25" spans="1:10">
      <c r="A25" s="46"/>
      <c r="B25" s="213"/>
      <c r="H25" s="2"/>
      <c r="I25" s="2"/>
      <c r="J25" s="2"/>
    </row>
    <row r="26" spans="1:10">
      <c r="A26" s="47"/>
      <c r="B26" s="214"/>
      <c r="H26" s="2"/>
      <c r="I26" s="2"/>
      <c r="J26" s="2"/>
    </row>
    <row r="27" spans="1:10">
      <c r="A27" s="47"/>
      <c r="B27" s="214"/>
      <c r="H27" s="2"/>
      <c r="I27" s="2"/>
      <c r="J27" s="2"/>
    </row>
    <row r="28" spans="1:10" ht="16" thickBot="1">
      <c r="A28" s="48"/>
      <c r="B28" s="243"/>
      <c r="H28" s="2"/>
      <c r="I28" s="2"/>
      <c r="J28" s="2"/>
    </row>
    <row r="29" spans="1:10" ht="26.25" customHeight="1" thickBot="1">
      <c r="A29" s="44" t="s">
        <v>141</v>
      </c>
      <c r="B29" s="244"/>
      <c r="H29" s="2"/>
      <c r="I29" s="2"/>
      <c r="J29" s="2"/>
    </row>
    <row r="30" spans="1:10">
      <c r="A30" s="213"/>
      <c r="B30" s="246"/>
      <c r="H30" s="2"/>
      <c r="I30" s="2"/>
      <c r="J30" s="2"/>
    </row>
    <row r="31" spans="1:10">
      <c r="A31" s="214"/>
      <c r="B31" s="247"/>
      <c r="H31" s="2"/>
      <c r="I31" s="2"/>
      <c r="J31" s="2"/>
    </row>
    <row r="32" spans="1:10">
      <c r="A32" s="47"/>
      <c r="B32" s="247"/>
      <c r="H32" s="2"/>
      <c r="I32" s="2"/>
      <c r="J32" s="2"/>
    </row>
    <row r="33" spans="1:10" ht="16" thickBot="1">
      <c r="A33" s="48"/>
      <c r="B33" s="243"/>
      <c r="H33" s="2"/>
      <c r="I33" s="2"/>
      <c r="J33" s="2"/>
    </row>
    <row r="34" spans="1:10" ht="39" customHeight="1" thickBot="1">
      <c r="A34" s="44" t="s">
        <v>142</v>
      </c>
      <c r="B34" s="244"/>
      <c r="H34" s="2"/>
      <c r="I34" s="2"/>
      <c r="J34" s="2"/>
    </row>
    <row r="35" spans="1:10">
      <c r="A35" s="46"/>
      <c r="B35" s="246"/>
      <c r="H35" s="2"/>
      <c r="I35" s="2"/>
      <c r="J35" s="2"/>
    </row>
    <row r="36" spans="1:10">
      <c r="A36" s="47"/>
      <c r="B36" s="247"/>
      <c r="H36" s="2"/>
      <c r="I36" s="2"/>
      <c r="J36" s="2"/>
    </row>
    <row r="37" spans="1:10">
      <c r="A37" s="47"/>
      <c r="B37" s="247"/>
      <c r="H37" s="2"/>
      <c r="I37" s="2"/>
      <c r="J37" s="2"/>
    </row>
    <row r="38" spans="1:10">
      <c r="A38" s="47"/>
      <c r="B38" s="246"/>
      <c r="H38" s="2"/>
      <c r="I38" s="2"/>
      <c r="J38" s="2"/>
    </row>
    <row r="39" spans="1:10">
      <c r="A39" s="47"/>
      <c r="B39" s="247"/>
      <c r="H39" s="2"/>
      <c r="I39" s="2"/>
      <c r="J39" s="2"/>
    </row>
    <row r="40" spans="1:10">
      <c r="A40" s="47"/>
      <c r="B40" s="247"/>
      <c r="H40" s="2"/>
      <c r="I40" s="2"/>
      <c r="J40" s="2"/>
    </row>
    <row r="41" spans="1:10" ht="16" thickBot="1">
      <c r="A41" s="41"/>
      <c r="B41" s="245"/>
      <c r="H41" s="2"/>
      <c r="I41" s="2"/>
      <c r="J41" s="2"/>
    </row>
    <row r="42" spans="1:10" ht="30" customHeight="1" thickBot="1">
      <c r="A42" s="44" t="s">
        <v>143</v>
      </c>
      <c r="B42" s="244"/>
      <c r="H42" s="2"/>
      <c r="I42" s="2"/>
      <c r="J42" s="2"/>
    </row>
    <row r="43" spans="1:10">
      <c r="A43" s="46"/>
      <c r="B43" s="246"/>
      <c r="H43" s="2"/>
      <c r="I43" s="2"/>
      <c r="J43" s="2"/>
    </row>
    <row r="44" spans="1:10">
      <c r="A44" s="49"/>
      <c r="B44" s="247"/>
      <c r="H44" s="2"/>
      <c r="I44" s="2"/>
      <c r="J44" s="2"/>
    </row>
    <row r="45" spans="1:10">
      <c r="A45" s="47"/>
      <c r="B45" s="247"/>
      <c r="H45" s="2"/>
      <c r="I45" s="2"/>
      <c r="J45" s="2"/>
    </row>
    <row r="46" spans="1:10" ht="16" thickBot="1">
      <c r="A46" s="48"/>
      <c r="B46" s="248"/>
      <c r="H46" s="2"/>
      <c r="I46" s="2"/>
      <c r="J46" s="2"/>
    </row>
    <row r="47" spans="1:10" ht="33" customHeight="1" thickBot="1">
      <c r="A47" s="44" t="s">
        <v>144</v>
      </c>
      <c r="B47" s="244"/>
      <c r="H47" s="2"/>
      <c r="I47" s="2"/>
      <c r="J47" s="2"/>
    </row>
    <row r="48" spans="1:10">
      <c r="A48" s="46"/>
      <c r="B48" s="214"/>
      <c r="H48" s="2"/>
      <c r="I48" s="2"/>
      <c r="J48" s="2"/>
    </row>
    <row r="49" spans="1:10" ht="22.5" customHeight="1" thickBot="1">
      <c r="A49" s="48"/>
      <c r="B49" s="267"/>
      <c r="H49" s="2"/>
      <c r="I49" s="2"/>
      <c r="J49" s="2"/>
    </row>
    <row r="50" spans="1:10" ht="61.5" hidden="1" customHeight="1">
      <c r="A50" s="278"/>
      <c r="B50" s="246"/>
      <c r="H50" s="2"/>
      <c r="I50" s="2"/>
      <c r="J50" s="2"/>
    </row>
    <row r="51" spans="1:10" ht="14.25" hidden="1" customHeight="1">
      <c r="A51" s="47"/>
      <c r="B51" s="247"/>
      <c r="H51" s="2"/>
      <c r="I51" s="2"/>
      <c r="J51" s="2"/>
    </row>
    <row r="52" spans="1:10" ht="16" hidden="1" thickBot="1">
      <c r="A52" s="48"/>
      <c r="B52" s="267"/>
      <c r="H52" s="2"/>
      <c r="I52" s="2"/>
      <c r="J52" s="2"/>
    </row>
    <row r="53" spans="1:10" ht="16" hidden="1" thickBot="1">
      <c r="A53" s="44" t="s">
        <v>145</v>
      </c>
      <c r="B53" s="244"/>
      <c r="H53" s="2"/>
      <c r="I53" s="2"/>
      <c r="J53" s="2"/>
    </row>
    <row r="54" spans="1:10" hidden="1">
      <c r="A54" s="46"/>
      <c r="B54" s="213"/>
      <c r="H54" s="2"/>
      <c r="I54" s="2"/>
      <c r="J54" s="2"/>
    </row>
    <row r="55" spans="1:10" hidden="1">
      <c r="A55" s="47"/>
      <c r="B55" s="214"/>
      <c r="H55" s="2"/>
      <c r="I55" s="2"/>
      <c r="J55" s="2"/>
    </row>
    <row r="56" spans="1:10" ht="16" hidden="1" thickBot="1">
      <c r="A56" s="48"/>
      <c r="B56" s="245"/>
      <c r="H56" s="2"/>
      <c r="I56" s="2"/>
      <c r="J56" s="2"/>
    </row>
    <row r="57" spans="1:10">
      <c r="B57" s="20"/>
      <c r="H57" s="2"/>
      <c r="I57" s="2"/>
      <c r="J57" s="2"/>
    </row>
    <row r="58" spans="1:10">
      <c r="B58" s="20"/>
      <c r="H58" s="2"/>
      <c r="I58" s="2"/>
      <c r="J58" s="2"/>
    </row>
    <row r="59" spans="1:10">
      <c r="B59" s="20"/>
      <c r="H59" s="2"/>
      <c r="I59" s="2"/>
      <c r="J59" s="2"/>
    </row>
    <row r="60" spans="1:10">
      <c r="B60" s="20"/>
      <c r="H60" s="2"/>
      <c r="I60" s="2"/>
      <c r="J60" s="2"/>
    </row>
    <row r="61" spans="1:10">
      <c r="B61" s="20"/>
      <c r="H61" s="2"/>
      <c r="I61" s="2"/>
      <c r="J61" s="2"/>
    </row>
    <row r="62" spans="1:10">
      <c r="B62" s="20"/>
      <c r="H62" s="2"/>
      <c r="I62" s="2"/>
      <c r="J62" s="2"/>
    </row>
    <row r="63" spans="1:10">
      <c r="B63" s="20"/>
      <c r="H63" s="2"/>
      <c r="I63" s="2"/>
      <c r="J63" s="2"/>
    </row>
    <row r="64" spans="1:10">
      <c r="B64" s="20"/>
      <c r="H64" s="2"/>
      <c r="I64" s="2"/>
      <c r="J64" s="2"/>
    </row>
    <row r="65" spans="2:10">
      <c r="B65" s="20"/>
      <c r="H65" s="2"/>
      <c r="I65" s="2"/>
      <c r="J65" s="2"/>
    </row>
    <row r="66" spans="2:10">
      <c r="B66" s="20"/>
      <c r="H66" s="2"/>
      <c r="I66" s="2"/>
      <c r="J66" s="2"/>
    </row>
    <row r="67" spans="2:10">
      <c r="B67" s="20"/>
      <c r="H67" s="2"/>
      <c r="I67" s="2"/>
      <c r="J67" s="2"/>
    </row>
    <row r="68" spans="2:10">
      <c r="B68" s="20"/>
      <c r="H68" s="2"/>
      <c r="I68" s="2"/>
      <c r="J68" s="2"/>
    </row>
    <row r="69" spans="2:10">
      <c r="B69" s="20"/>
      <c r="H69" s="2"/>
      <c r="I69" s="2"/>
      <c r="J69" s="2"/>
    </row>
    <row r="70" spans="2:10">
      <c r="B70" s="20"/>
      <c r="H70" s="2"/>
      <c r="I70" s="2"/>
      <c r="J70" s="2"/>
    </row>
    <row r="71" spans="2:10">
      <c r="B71" s="20"/>
      <c r="H71" s="2"/>
      <c r="I71" s="2"/>
      <c r="J71" s="2"/>
    </row>
    <row r="72" spans="2:10">
      <c r="B72" s="20"/>
      <c r="H72" s="2"/>
      <c r="I72" s="2"/>
      <c r="J72" s="2"/>
    </row>
    <row r="73" spans="2:10">
      <c r="B73" s="20"/>
      <c r="H73" s="2"/>
      <c r="I73" s="2"/>
      <c r="J73" s="2"/>
    </row>
    <row r="74" spans="2:10">
      <c r="B74" s="20"/>
      <c r="H74" s="2"/>
      <c r="I74" s="2"/>
      <c r="J74" s="2"/>
    </row>
    <row r="75" spans="2:10" ht="15.75" customHeight="1">
      <c r="B75" s="20"/>
      <c r="H75" s="2"/>
      <c r="I75" s="2"/>
      <c r="J75" s="2"/>
    </row>
    <row r="76" spans="2:10">
      <c r="B76" s="20"/>
      <c r="H76" s="2"/>
      <c r="I76" s="2"/>
      <c r="J76" s="2"/>
    </row>
    <row r="77" spans="2:10">
      <c r="B77" s="20"/>
      <c r="H77" s="2"/>
      <c r="I77" s="2"/>
      <c r="J77" s="2"/>
    </row>
    <row r="78" spans="2:10">
      <c r="B78" s="20"/>
      <c r="H78" s="2"/>
      <c r="I78" s="2"/>
      <c r="J78" s="2"/>
    </row>
    <row r="79" spans="2:10">
      <c r="B79" s="20"/>
      <c r="H79" s="2"/>
      <c r="I79" s="2"/>
      <c r="J79" s="2"/>
    </row>
    <row r="80" spans="2:10">
      <c r="B80" s="20"/>
      <c r="H80" s="2"/>
      <c r="I80" s="2"/>
      <c r="J80" s="2"/>
    </row>
    <row r="81" spans="2:10">
      <c r="B81" s="20"/>
      <c r="H81" s="2"/>
      <c r="I81" s="2"/>
      <c r="J81" s="2"/>
    </row>
    <row r="82" spans="2:10">
      <c r="B82" s="20"/>
      <c r="H82" s="2"/>
      <c r="I82" s="2"/>
      <c r="J82" s="2"/>
    </row>
    <row r="83" spans="2:10">
      <c r="B83" s="20"/>
      <c r="H83" s="2"/>
      <c r="I83" s="2"/>
      <c r="J83" s="2"/>
    </row>
    <row r="84" spans="2:10">
      <c r="B84" s="20"/>
      <c r="H84" s="2"/>
      <c r="I84" s="2"/>
      <c r="J84" s="2"/>
    </row>
    <row r="85" spans="2:10" ht="15.75" customHeight="1">
      <c r="B85" s="20"/>
      <c r="H85" s="2"/>
      <c r="I85" s="2"/>
      <c r="J85" s="2"/>
    </row>
    <row r="86" spans="2:10">
      <c r="B86" s="20"/>
      <c r="H86" s="2"/>
      <c r="I86" s="2"/>
      <c r="J86" s="2"/>
    </row>
    <row r="87" spans="2:10">
      <c r="B87" s="20"/>
      <c r="H87" s="2"/>
      <c r="I87" s="2"/>
      <c r="J87" s="2"/>
    </row>
    <row r="88" spans="2:10">
      <c r="B88" s="20"/>
      <c r="H88" s="2"/>
      <c r="I88" s="2"/>
      <c r="J88" s="2"/>
    </row>
    <row r="89" spans="2:10">
      <c r="B89" s="20"/>
      <c r="H89" s="2"/>
      <c r="I89" s="2"/>
      <c r="J89" s="2"/>
    </row>
    <row r="90" spans="2:10">
      <c r="B90" s="20"/>
      <c r="H90" s="2"/>
      <c r="I90" s="2"/>
      <c r="J90" s="2"/>
    </row>
    <row r="91" spans="2:10">
      <c r="B91" s="20"/>
      <c r="H91" s="2"/>
      <c r="I91" s="2"/>
      <c r="J91" s="2"/>
    </row>
    <row r="92" spans="2:10">
      <c r="B92" s="20"/>
      <c r="H92" s="2"/>
      <c r="I92" s="2"/>
      <c r="J92" s="2"/>
    </row>
    <row r="93" spans="2:10">
      <c r="B93" s="20"/>
      <c r="H93" s="2"/>
      <c r="I93" s="2"/>
      <c r="J93" s="2"/>
    </row>
    <row r="94" spans="2:10">
      <c r="B94" s="20"/>
      <c r="H94" s="2"/>
      <c r="I94" s="2"/>
      <c r="J94" s="2"/>
    </row>
    <row r="95" spans="2:10" ht="15.75" customHeight="1">
      <c r="B95" s="20"/>
      <c r="H95" s="2"/>
      <c r="I95" s="2"/>
      <c r="J95" s="2"/>
    </row>
    <row r="96" spans="2:10">
      <c r="B96" s="20"/>
      <c r="H96" s="2"/>
      <c r="I96" s="2"/>
      <c r="J96" s="2"/>
    </row>
    <row r="97" spans="8:10">
      <c r="H97" s="2"/>
      <c r="I97" s="2"/>
      <c r="J97" s="2"/>
    </row>
    <row r="98" spans="8:10">
      <c r="H98" s="2"/>
      <c r="I98" s="2"/>
      <c r="J98" s="2"/>
    </row>
    <row r="99" spans="8:10">
      <c r="H99" s="2"/>
      <c r="I99" s="2"/>
      <c r="J99" s="2"/>
    </row>
    <row r="100" spans="8:10">
      <c r="H100" s="2"/>
      <c r="I100" s="2"/>
      <c r="J100" s="2"/>
    </row>
    <row r="101" spans="8:10">
      <c r="H101" s="2"/>
      <c r="I101" s="2"/>
      <c r="J101" s="2"/>
    </row>
    <row r="102" spans="8:10">
      <c r="H102" s="2"/>
      <c r="I102" s="2"/>
      <c r="J102" s="2"/>
    </row>
    <row r="103" spans="8:10" ht="15.75" customHeight="1">
      <c r="H103" s="2"/>
      <c r="I103" s="2"/>
      <c r="J103" s="2"/>
    </row>
  </sheetData>
  <mergeCells count="7">
    <mergeCell ref="A17:A18"/>
    <mergeCell ref="B17:B18"/>
    <mergeCell ref="A2:B2"/>
    <mergeCell ref="A3:B3"/>
    <mergeCell ref="A4:B4"/>
    <mergeCell ref="A5:B5"/>
    <mergeCell ref="A12:B12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B632B64D5CBAC439697359415721089" ma:contentTypeVersion="3009" ma:contentTypeDescription="A content type to manage public (operations) IDB documents" ma:contentTypeScope="" ma:versionID="f9be55a2f55e6ce831b49f4d2abb4b0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20a58e413733019151ea3093a99af0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4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2999/OC-BR</Approval_x0020_Number>
    <Phase xmlns="cdc7663a-08f0-4737-9e8c-148ce897a09c">ACTIVE</Phase>
    <Document_x0020_Author xmlns="cdc7663a-08f0-4737-9e8c-148ce897a09c">do Nascimento, Daniela Rocha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LAND PLANNING AND MANAGEMENT</TermName>
          <TermId xmlns="http://schemas.microsoft.com/office/infopath/2007/PartnerControls">90ab6d72-620b-441b-acf3-280810ce8a73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33</Value>
      <Value>30</Value>
      <Value>40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BR-L1344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_dlc_DocId xmlns="cdc7663a-08f0-4737-9e8c-148ce897a09c">EZSHARE-139960205-49</_dlc_DocId>
    <_dlc_DocIdUrl xmlns="cdc7663a-08f0-4737-9e8c-148ce897a09c">
      <Url>https://idbg.sharepoint.com/teams/EZ-BR-LON/BR-L1344/_layouts/15/DocIdRedir.aspx?ID=EZSHARE-139960205-49</Url>
      <Description>EZSHARE-139960205-49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047993E-BE25-4A1A-B7DD-1BBB0ED5EE24}"/>
</file>

<file path=customXml/itemProps2.xml><?xml version="1.0" encoding="utf-8"?>
<ds:datastoreItem xmlns:ds="http://schemas.openxmlformats.org/officeDocument/2006/customXml" ds:itemID="{57B33D21-CE8A-4863-8E6E-92808094DCA1}"/>
</file>

<file path=customXml/itemProps3.xml><?xml version="1.0" encoding="utf-8"?>
<ds:datastoreItem xmlns:ds="http://schemas.openxmlformats.org/officeDocument/2006/customXml" ds:itemID="{82CCE9F1-288E-4943-9201-16D259ABE233}"/>
</file>

<file path=customXml/itemProps4.xml><?xml version="1.0" encoding="utf-8"?>
<ds:datastoreItem xmlns:ds="http://schemas.openxmlformats.org/officeDocument/2006/customXml" ds:itemID="{466D589A-6B60-4D20-BCF8-2F0450C4230A}"/>
</file>

<file path=customXml/itemProps5.xml><?xml version="1.0" encoding="utf-8"?>
<ds:datastoreItem xmlns:ds="http://schemas.openxmlformats.org/officeDocument/2006/customXml" ds:itemID="{29E38CBF-7A0D-4482-BB4C-461314F1A4B6}"/>
</file>

<file path=customXml/itemProps6.xml><?xml version="1.0" encoding="utf-8"?>
<ds:datastoreItem xmlns:ds="http://schemas.openxmlformats.org/officeDocument/2006/customXml" ds:itemID="{FFAB08AC-1EE1-4C9B-BBB4-269BD39CE4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 FEV_19 </vt:lpstr>
      <vt:lpstr>Fol Com PA FEV_19 </vt:lpstr>
      <vt:lpstr>'Fol Com PA FEV_19 '!Print_Area</vt:lpstr>
      <vt:lpstr>'PA FEV_19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Fildel L</dc:creator>
  <cp:keywords/>
  <cp:lastModifiedBy>do Nascimento, Daniela Rocha</cp:lastModifiedBy>
  <cp:lastPrinted>2019-02-13T11:46:58Z</cp:lastPrinted>
  <dcterms:created xsi:type="dcterms:W3CDTF">2006-06-09T19:34:36Z</dcterms:created>
  <dcterms:modified xsi:type="dcterms:W3CDTF">2019-02-19T14:31:26Z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50;#URBAN LAND PLANNING AND MANAGEMENT|90ab6d72-620b-441b-acf3-280810ce8a73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40;#URBAN DEVELOPMENT AND HOUSING|d14615ee-683d-4ec6-a5cf-ae743c6c4ac1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3e59da8a-7da5-47f8-b6ea-dea899416b84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0x0101001A458A224826124E8B45B1D613300CFC00BB632B64D5CBAC439697359415721089</vt:lpwstr>
  </property>
</Properties>
</file>