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xl/externalLinks/externalLink4.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5360" windowHeight="8685" tabRatio="791" activeTab="2"/>
  </bookViews>
  <sheets>
    <sheet name="Cuadro Costos" sheetId="6" r:id="rId1"/>
    <sheet name="Presupuesto Detallado" sheetId="4" r:id="rId2"/>
    <sheet name="PEP" sheetId="1" r:id="rId3"/>
    <sheet name="CFE" sheetId="2" r:id="rId4"/>
    <sheet name="HS aulas digitales" sheetId="3" r:id="rId5"/>
    <sheet name="RRHHCDir." sheetId="8" r:id="rId6"/>
  </sheets>
  <externalReferences>
    <externalReference r:id="rId7"/>
    <externalReference r:id="rId8"/>
    <externalReference r:id="rId9"/>
    <externalReference r:id="rId10"/>
  </externalReferences>
  <definedNames>
    <definedName name="_xlnm._FilterDatabase" localSheetId="2" hidden="1">PEP!$B$3:$AI$194</definedName>
    <definedName name="_ftn1" localSheetId="2">PEP!$J$46</definedName>
    <definedName name="_ftn2" localSheetId="2">PEP!#REF!</definedName>
    <definedName name="_ftn3" localSheetId="2">PEP!#REF!</definedName>
    <definedName name="_ftnref1" localSheetId="2">PEP!$K$4</definedName>
    <definedName name="_ipc2010">[1]Supuestos!$B$16</definedName>
    <definedName name="coef17" localSheetId="2">PEP!$R$204</definedName>
    <definedName name="coef17">[2]Usos_5años!$G$208</definedName>
    <definedName name="coef18" localSheetId="2">PEP!$S$204</definedName>
    <definedName name="coef18">[2]Usos_5años!$H$208</definedName>
    <definedName name="coef19" localSheetId="2">PEP!$T$204</definedName>
    <definedName name="coef19">[2]Usos_5años!$I$208</definedName>
    <definedName name="coef20" localSheetId="2">PEP!$U$204</definedName>
    <definedName name="coef20">[2]Usos_5años!$J$208</definedName>
    <definedName name="coef21" localSheetId="2">PEP!$V$204</definedName>
    <definedName name="coef21">[2]Usos_5años!$K$208</definedName>
    <definedName name="coef22" localSheetId="0">#REF!</definedName>
    <definedName name="coef22" localSheetId="2">#REF!</definedName>
    <definedName name="coef22" localSheetId="5">#REF!</definedName>
    <definedName name="coef22">#REF!</definedName>
    <definedName name="coefasesor" localSheetId="2">PEP!$R$214</definedName>
    <definedName name="coefasesor">[2]Usos_5años!$G$218</definedName>
    <definedName name="coefmobil" localSheetId="2">PEP!$R$213</definedName>
    <definedName name="coefmobil">[2]Usos_5años!$G$217</definedName>
    <definedName name="coefobras17" localSheetId="2">PEP!$R$212</definedName>
    <definedName name="coefobras17">[2]Usos_5años!$G$216</definedName>
    <definedName name="coefobras18" localSheetId="2">PEP!$S$212</definedName>
    <definedName name="coefobras18">[2]Usos_5años!$H$216</definedName>
    <definedName name="coefobras19" localSheetId="2">PEP!$T$212</definedName>
    <definedName name="coefobras19">[2]Usos_5años!$I$216</definedName>
    <definedName name="coefobras20" localSheetId="2">PEP!$U$212</definedName>
    <definedName name="coefobras20">[2]Usos_5años!$J$216</definedName>
    <definedName name="coefobras21" localSheetId="2">PEP!$V$212</definedName>
    <definedName name="coefobras21">[2]Usos_5años!$K$216</definedName>
    <definedName name="coefobras22" localSheetId="0">#REF!</definedName>
    <definedName name="coefobras22" localSheetId="2">#REF!</definedName>
    <definedName name="coefobras22" localSheetId="5">#REF!</definedName>
    <definedName name="coefobras22">#REF!</definedName>
    <definedName name="ipcacu1011">[1]Supuestos!$A$17</definedName>
    <definedName name="ipcacu1012">[1]Supuestos!$A$18</definedName>
    <definedName name="ipcacu1013">[1]Supuestos!$A$19</definedName>
    <definedName name="ipcacu1014">[1]Supuestos!$A$20</definedName>
    <definedName name="ipcacu1015">[1]Supuestos!$A$21</definedName>
    <definedName name="ivabidobras" localSheetId="2">PEP!$R$209</definedName>
    <definedName name="ivabidobras">[2]Usos_5años!$G$213</definedName>
    <definedName name="ivabidresto">[1]Supuestos!$D$27</definedName>
    <definedName name="pesobidobras" localSheetId="2">PEP!$R$210</definedName>
    <definedName name="pesobidobras">[2]Usos_5años!$G$214</definedName>
    <definedName name="prev2017">[3]Supuestos!$G$6</definedName>
    <definedName name="prev2018">[3]Supuestos!$G$7</definedName>
    <definedName name="prev2019">[3]Supuestos!$G$8</definedName>
    <definedName name="prev2020">[3]Supuestos!$G$9</definedName>
    <definedName name="prev2021">[3]Supuestos!$G$10</definedName>
    <definedName name="_xlnm.Print_Area" localSheetId="0">'Cuadro Costos'!$A$1:$Z$26</definedName>
    <definedName name="_xlnm.Print_Area" localSheetId="2">PEP!$I$2:$BB$195</definedName>
    <definedName name="_xlnm.Print_Area" localSheetId="5">RRHHCDir.!$B$1:$E$144</definedName>
    <definedName name="_xlnm.Print_Titles" localSheetId="2">PEP!$I:$K,PEP!$3:$3</definedName>
    <definedName name="tc" localSheetId="0">#REF!</definedName>
    <definedName name="tc" localSheetId="2">#REF!</definedName>
    <definedName name="tc" localSheetId="5">#REF!</definedName>
    <definedName name="tc">#REF!</definedName>
    <definedName name="tcpaemfe2">[2]Fuentes!$C$9</definedName>
    <definedName name="tcpoa2013" localSheetId="0">#REF!</definedName>
    <definedName name="tcpoa2013" localSheetId="2">#REF!</definedName>
    <definedName name="tcpoa2013" localSheetId="5">#REF!</definedName>
    <definedName name="tcpoa2013">#REF!</definedName>
    <definedName name="tcpoa2014" localSheetId="0">#REF!</definedName>
    <definedName name="tcpoa2014" localSheetId="2">#REF!</definedName>
    <definedName name="tcpoa2014" localSheetId="5">#REF!</definedName>
    <definedName name="tcpoa2014">#REF!</definedName>
    <definedName name="tcpoa2015">'[4]SÁBANA_US$15'!$Q$2</definedName>
    <definedName name="tipocambio2015">[4]MONITOR_cierre!$I$30</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6" i="4" l="1"/>
  <c r="L41" i="4"/>
  <c r="L37" i="4"/>
  <c r="L33" i="4"/>
  <c r="L29" i="4"/>
  <c r="E46" i="4"/>
  <c r="E41" i="4"/>
  <c r="E37" i="4"/>
  <c r="E33" i="4"/>
  <c r="E29" i="4"/>
  <c r="O7" i="6" l="1"/>
  <c r="N7" i="6"/>
  <c r="M7" i="6"/>
  <c r="L7" i="6"/>
  <c r="K7" i="6"/>
  <c r="O6" i="6"/>
  <c r="N6" i="6"/>
  <c r="M6" i="6"/>
  <c r="L6" i="6"/>
  <c r="K6" i="6"/>
  <c r="O5" i="6"/>
  <c r="N5" i="6"/>
  <c r="M5" i="6"/>
  <c r="L5" i="6"/>
  <c r="K5" i="6"/>
  <c r="O4" i="6"/>
  <c r="N4" i="6"/>
  <c r="M4" i="6"/>
  <c r="L4" i="6"/>
  <c r="K4" i="6"/>
  <c r="O3" i="6"/>
  <c r="N3" i="6"/>
  <c r="M3" i="6"/>
  <c r="L3" i="6"/>
  <c r="K3" i="6"/>
  <c r="E16" i="6"/>
  <c r="D16" i="6"/>
  <c r="E15" i="6"/>
  <c r="D15" i="6"/>
  <c r="E14" i="6"/>
  <c r="D14" i="6"/>
  <c r="E13" i="6"/>
  <c r="D13" i="6"/>
  <c r="E12" i="6"/>
  <c r="D12" i="6"/>
  <c r="E7" i="6"/>
  <c r="D7" i="6"/>
  <c r="E6" i="6"/>
  <c r="D6" i="6"/>
  <c r="E5" i="6"/>
  <c r="D5" i="6"/>
  <c r="E4" i="6"/>
  <c r="D4" i="6"/>
  <c r="E3" i="6"/>
  <c r="D3" i="6"/>
  <c r="R23" i="4"/>
  <c r="Q23" i="4"/>
  <c r="P23" i="4"/>
  <c r="O23" i="4"/>
  <c r="N23" i="4"/>
  <c r="R22" i="4"/>
  <c r="Q22" i="4"/>
  <c r="P22" i="4"/>
  <c r="O22" i="4"/>
  <c r="N22" i="4"/>
  <c r="R21" i="4"/>
  <c r="Q21" i="4"/>
  <c r="P21" i="4"/>
  <c r="O21" i="4"/>
  <c r="N21" i="4"/>
  <c r="R20" i="4"/>
  <c r="Q20" i="4"/>
  <c r="P20" i="4"/>
  <c r="O20" i="4"/>
  <c r="N20" i="4"/>
  <c r="R19" i="4"/>
  <c r="Q19" i="4"/>
  <c r="P19" i="4"/>
  <c r="O19" i="4"/>
  <c r="N19" i="4"/>
  <c r="R18" i="4"/>
  <c r="Q18" i="4"/>
  <c r="P18" i="4"/>
  <c r="O18" i="4"/>
  <c r="N18" i="4"/>
  <c r="R17" i="4"/>
  <c r="Q17" i="4"/>
  <c r="P17" i="4"/>
  <c r="O17" i="4"/>
  <c r="N17" i="4"/>
  <c r="R16" i="4"/>
  <c r="Q16" i="4"/>
  <c r="P16" i="4"/>
  <c r="O16" i="4"/>
  <c r="N16" i="4"/>
  <c r="R15" i="4"/>
  <c r="Q15" i="4"/>
  <c r="P15" i="4"/>
  <c r="O15" i="4"/>
  <c r="N15" i="4"/>
  <c r="R14" i="4"/>
  <c r="Q14" i="4"/>
  <c r="P14" i="4"/>
  <c r="O14" i="4"/>
  <c r="N14" i="4"/>
  <c r="R13" i="4"/>
  <c r="Q13" i="4"/>
  <c r="P13" i="4"/>
  <c r="O13" i="4"/>
  <c r="N13" i="4"/>
  <c r="R12" i="4"/>
  <c r="Q12" i="4"/>
  <c r="P12" i="4"/>
  <c r="O12" i="4"/>
  <c r="N12" i="4"/>
  <c r="R11" i="4"/>
  <c r="Q11" i="4"/>
  <c r="P11" i="4"/>
  <c r="O11" i="4"/>
  <c r="N11" i="4"/>
  <c r="R10" i="4"/>
  <c r="Q10" i="4"/>
  <c r="P10" i="4"/>
  <c r="O10" i="4"/>
  <c r="N10" i="4"/>
  <c r="R9" i="4"/>
  <c r="Q9" i="4"/>
  <c r="P9" i="4"/>
  <c r="O9" i="4"/>
  <c r="N9" i="4"/>
  <c r="R8" i="4"/>
  <c r="Q8" i="4"/>
  <c r="P8" i="4"/>
  <c r="O8" i="4"/>
  <c r="N8" i="4"/>
  <c r="R7" i="4"/>
  <c r="Q7" i="4"/>
  <c r="P7" i="4"/>
  <c r="O7" i="4"/>
  <c r="N7" i="4"/>
  <c r="R6" i="4"/>
  <c r="Q6" i="4"/>
  <c r="P6" i="4"/>
  <c r="O6" i="4"/>
  <c r="N6" i="4"/>
  <c r="R5" i="4"/>
  <c r="Q5" i="4"/>
  <c r="P5" i="4"/>
  <c r="O5" i="4"/>
  <c r="N5" i="4"/>
  <c r="R4" i="4"/>
  <c r="Q4" i="4"/>
  <c r="P4" i="4"/>
  <c r="O4" i="4"/>
  <c r="N4" i="4"/>
  <c r="I23" i="4"/>
  <c r="H23" i="4"/>
  <c r="G23" i="4"/>
  <c r="I22" i="4"/>
  <c r="H22" i="4"/>
  <c r="G22" i="4"/>
  <c r="I21" i="4"/>
  <c r="H21" i="4"/>
  <c r="G21" i="4"/>
  <c r="I20" i="4"/>
  <c r="H20" i="4"/>
  <c r="G20" i="4"/>
  <c r="I19" i="4"/>
  <c r="H19" i="4"/>
  <c r="G19" i="4"/>
  <c r="I18" i="4"/>
  <c r="H18" i="4"/>
  <c r="G18" i="4"/>
  <c r="I17" i="4"/>
  <c r="H17" i="4"/>
  <c r="G17" i="4"/>
  <c r="I16" i="4"/>
  <c r="H16" i="4"/>
  <c r="G16" i="4"/>
  <c r="I15" i="4"/>
  <c r="H15" i="4"/>
  <c r="G15" i="4"/>
  <c r="I14" i="4"/>
  <c r="H14" i="4"/>
  <c r="G14" i="4"/>
  <c r="I13" i="4"/>
  <c r="H13" i="4"/>
  <c r="G13" i="4"/>
  <c r="I12" i="4"/>
  <c r="H12" i="4"/>
  <c r="G12" i="4"/>
  <c r="I11" i="4"/>
  <c r="H11" i="4"/>
  <c r="G11" i="4"/>
  <c r="I10" i="4"/>
  <c r="H10" i="4"/>
  <c r="G10" i="4"/>
  <c r="I9" i="4"/>
  <c r="H9" i="4"/>
  <c r="G9" i="4"/>
  <c r="I8" i="4"/>
  <c r="H8" i="4"/>
  <c r="G8" i="4"/>
  <c r="I7" i="4"/>
  <c r="H7" i="4"/>
  <c r="G7" i="4"/>
  <c r="I6" i="4"/>
  <c r="H6" i="4"/>
  <c r="G6" i="4"/>
  <c r="I5" i="4"/>
  <c r="H5" i="4"/>
  <c r="G5" i="4"/>
  <c r="I4" i="4"/>
  <c r="H4" i="4"/>
  <c r="G4" i="4"/>
  <c r="E8" i="6" l="1"/>
  <c r="D8" i="6"/>
  <c r="I42" i="4"/>
  <c r="I39" i="4"/>
  <c r="I30" i="4"/>
  <c r="I31" i="4"/>
  <c r="F25" i="6"/>
  <c r="I44" i="4"/>
  <c r="AC18" i="1"/>
  <c r="AB18" i="1"/>
  <c r="AA18" i="1"/>
  <c r="Z18" i="1"/>
  <c r="Y18" i="1"/>
  <c r="X18" i="1"/>
  <c r="W18" i="1"/>
  <c r="Q18" i="1"/>
  <c r="I72" i="1"/>
  <c r="I73" i="1"/>
  <c r="I74" i="1"/>
  <c r="I75" i="1"/>
  <c r="I76" i="1"/>
  <c r="I77" i="1"/>
  <c r="I78" i="1"/>
  <c r="I79" i="1"/>
  <c r="I80" i="1"/>
  <c r="G29" i="4" l="1"/>
  <c r="Z142" i="1"/>
  <c r="Y142" i="1"/>
  <c r="X142" i="1"/>
  <c r="W142" i="1"/>
  <c r="Q142" i="1"/>
  <c r="H141" i="8"/>
  <c r="H140" i="8"/>
  <c r="E139" i="8"/>
  <c r="H139" i="8" s="1"/>
  <c r="H138" i="8"/>
  <c r="E136" i="8"/>
  <c r="H136" i="8" s="1"/>
  <c r="H135" i="8"/>
  <c r="H134" i="8"/>
  <c r="H131" i="8"/>
  <c r="H130" i="8"/>
  <c r="H129" i="8"/>
  <c r="H123" i="8"/>
  <c r="H122" i="8"/>
  <c r="H121" i="8"/>
  <c r="H120" i="8"/>
  <c r="H119" i="8"/>
  <c r="H118" i="8"/>
  <c r="H117" i="8"/>
  <c r="H116" i="8"/>
  <c r="H113" i="8"/>
  <c r="H112" i="8"/>
  <c r="H111" i="8"/>
  <c r="H110" i="8"/>
  <c r="H109" i="8"/>
  <c r="H108" i="8"/>
  <c r="H107" i="8"/>
  <c r="H106" i="8"/>
  <c r="H105" i="8"/>
  <c r="H104" i="8"/>
  <c r="H103" i="8"/>
  <c r="H102" i="8"/>
  <c r="H101" i="8"/>
  <c r="H100" i="8"/>
  <c r="H99" i="8"/>
  <c r="H98" i="8"/>
  <c r="H97" i="8"/>
  <c r="H94" i="8"/>
  <c r="E93" i="8"/>
  <c r="H93" i="8" s="1"/>
  <c r="H92" i="8"/>
  <c r="H91" i="8"/>
  <c r="H84" i="8"/>
  <c r="H83" i="8"/>
  <c r="H82" i="8"/>
  <c r="H81" i="8"/>
  <c r="H79" i="8"/>
  <c r="H78" i="8"/>
  <c r="H77" i="8"/>
  <c r="H76" i="8"/>
  <c r="H75" i="8"/>
  <c r="H74" i="8"/>
  <c r="H73" i="8"/>
  <c r="H72" i="8"/>
  <c r="H71" i="8"/>
  <c r="H70" i="8"/>
  <c r="H69" i="8"/>
  <c r="H68" i="8"/>
  <c r="H67" i="8"/>
  <c r="H66" i="8"/>
  <c r="H65" i="8"/>
  <c r="H64" i="8"/>
  <c r="H63" i="8"/>
  <c r="H62" i="8"/>
  <c r="H61" i="8"/>
  <c r="E58" i="8"/>
  <c r="H58" i="8" s="1"/>
  <c r="H57" i="8"/>
  <c r="E57" i="8"/>
  <c r="H56" i="8"/>
  <c r="H55" i="8"/>
  <c r="H54" i="8"/>
  <c r="H53" i="8"/>
  <c r="H52" i="8"/>
  <c r="H51" i="8"/>
  <c r="H50" i="8"/>
  <c r="H49" i="8"/>
  <c r="H48" i="8"/>
  <c r="H47" i="8"/>
  <c r="H39" i="8"/>
  <c r="H38" i="8"/>
  <c r="H37" i="8"/>
  <c r="H35" i="8"/>
  <c r="H34" i="8"/>
  <c r="H31" i="8"/>
  <c r="H28" i="8"/>
  <c r="H27" i="8"/>
  <c r="H24" i="8"/>
  <c r="H23" i="8"/>
  <c r="H20" i="8"/>
  <c r="H19" i="8"/>
  <c r="H18" i="8"/>
  <c r="H17" i="8"/>
  <c r="H16" i="8"/>
  <c r="H15" i="8"/>
  <c r="H14" i="8"/>
  <c r="H11" i="8"/>
  <c r="H10" i="8"/>
  <c r="H7" i="8"/>
  <c r="H6" i="8"/>
  <c r="H5" i="8"/>
  <c r="F4" i="8"/>
  <c r="R183" i="1" s="1"/>
  <c r="H137" i="8" l="1"/>
  <c r="H143" i="8" s="1"/>
  <c r="H142" i="8"/>
  <c r="F142" i="8"/>
  <c r="F8" i="8"/>
  <c r="R184" i="1" s="1"/>
  <c r="F137" i="8"/>
  <c r="F143" i="8" s="1"/>
  <c r="F21" i="8"/>
  <c r="R186" i="1" s="1"/>
  <c r="H3" i="8"/>
  <c r="H13" i="8"/>
  <c r="F32" i="8"/>
  <c r="R189" i="1" s="1"/>
  <c r="F29" i="8"/>
  <c r="R188" i="1" s="1"/>
  <c r="H30" i="8"/>
  <c r="F25" i="8"/>
  <c r="R187" i="1" s="1"/>
  <c r="H22" i="8"/>
  <c r="H26" i="8"/>
  <c r="F12" i="8"/>
  <c r="H9" i="8"/>
  <c r="F36" i="8"/>
  <c r="R143" i="1" s="1"/>
  <c r="H33" i="8"/>
  <c r="F40" i="8"/>
  <c r="R190" i="1" s="1"/>
  <c r="F85" i="8"/>
  <c r="H85" i="8" s="1"/>
  <c r="F41" i="8" l="1"/>
  <c r="R185" i="1"/>
  <c r="AC36" i="1" l="1"/>
  <c r="Z36" i="1"/>
  <c r="Y36" i="1"/>
  <c r="X36" i="1"/>
  <c r="W36" i="1"/>
  <c r="Q36" i="1"/>
  <c r="E12" i="4" l="1"/>
  <c r="L12" i="4" s="1"/>
  <c r="AJ148" i="1"/>
  <c r="W5" i="1"/>
  <c r="X5" i="1"/>
  <c r="Y5" i="1"/>
  <c r="Z5" i="1"/>
  <c r="AC5" i="1"/>
  <c r="BD5" i="1"/>
  <c r="AJ11" i="1"/>
  <c r="AQ11" i="1" s="1"/>
  <c r="AJ20" i="1"/>
  <c r="AQ20" i="1" s="1"/>
  <c r="AJ27" i="1"/>
  <c r="AQ27" i="1" s="1"/>
  <c r="AJ28" i="1"/>
  <c r="AQ28" i="1" s="1"/>
  <c r="AJ33" i="1"/>
  <c r="AQ33" i="1" s="1"/>
  <c r="AJ34" i="1"/>
  <c r="AQ34" i="1" s="1"/>
  <c r="AJ35" i="1"/>
  <c r="AQ35" i="1" s="1"/>
  <c r="AJ41" i="1"/>
  <c r="AQ41" i="1" s="1"/>
  <c r="AJ42" i="1"/>
  <c r="AQ42" i="1" s="1"/>
  <c r="AJ43" i="1"/>
  <c r="I16" i="6"/>
  <c r="I15" i="6"/>
  <c r="I14" i="6"/>
  <c r="I13" i="6"/>
  <c r="I12" i="6"/>
  <c r="J11" i="6"/>
  <c r="I11" i="6"/>
  <c r="I7" i="6"/>
  <c r="I6" i="6"/>
  <c r="I5" i="6"/>
  <c r="I4" i="6"/>
  <c r="I3" i="6"/>
  <c r="J2" i="6"/>
  <c r="I2" i="6"/>
  <c r="AJ194" i="1"/>
  <c r="AJ179" i="1"/>
  <c r="AJ150" i="1"/>
  <c r="AQ150" i="1" s="1"/>
  <c r="AJ149" i="1"/>
  <c r="AJ140" i="1"/>
  <c r="AJ126" i="1"/>
  <c r="AJ125" i="1"/>
  <c r="AQ125" i="1" s="1"/>
  <c r="AJ124" i="1"/>
  <c r="AJ120" i="1"/>
  <c r="AJ119" i="1"/>
  <c r="AQ119" i="1" s="1"/>
  <c r="AJ118" i="1"/>
  <c r="AJ117" i="1"/>
  <c r="AJ116" i="1"/>
  <c r="AJ115" i="1"/>
  <c r="AQ115" i="1" s="1"/>
  <c r="AJ113" i="1"/>
  <c r="AJ112" i="1"/>
  <c r="AJ111" i="1"/>
  <c r="AJ108" i="1"/>
  <c r="AJ107" i="1"/>
  <c r="AQ107" i="1" s="1"/>
  <c r="AJ106" i="1"/>
  <c r="AJ105" i="1"/>
  <c r="AQ105" i="1" s="1"/>
  <c r="AJ104" i="1"/>
  <c r="AJ103" i="1"/>
  <c r="AQ103" i="1" s="1"/>
  <c r="AJ102" i="1"/>
  <c r="AJ100" i="1"/>
  <c r="AQ100" i="1" s="1"/>
  <c r="AJ99" i="1"/>
  <c r="AJ98" i="1"/>
  <c r="AQ98" i="1" s="1"/>
  <c r="AJ97" i="1"/>
  <c r="AJ96" i="1"/>
  <c r="AQ96" i="1" s="1"/>
  <c r="AJ95" i="1"/>
  <c r="AJ94" i="1"/>
  <c r="AQ94" i="1" s="1"/>
  <c r="AJ93" i="1"/>
  <c r="AJ92" i="1"/>
  <c r="AQ92" i="1" s="1"/>
  <c r="AJ91" i="1"/>
  <c r="AJ90" i="1"/>
  <c r="AQ90" i="1" s="1"/>
  <c r="AJ89" i="1"/>
  <c r="AJ87" i="1"/>
  <c r="AJ86" i="1"/>
  <c r="AQ86" i="1" s="1"/>
  <c r="AJ79" i="1"/>
  <c r="AJ77" i="1"/>
  <c r="AJ76" i="1"/>
  <c r="AQ76" i="1" s="1"/>
  <c r="AJ72" i="1"/>
  <c r="AQ72" i="1" s="1"/>
  <c r="AJ69" i="1"/>
  <c r="AQ69" i="1" s="1"/>
  <c r="AJ67" i="1"/>
  <c r="AQ67" i="1" s="1"/>
  <c r="AJ65" i="1"/>
  <c r="AQ65" i="1" s="1"/>
  <c r="AJ64" i="1"/>
  <c r="AQ64" i="1" s="1"/>
  <c r="AJ62" i="1"/>
  <c r="AJ59" i="1"/>
  <c r="AJ47" i="1"/>
  <c r="AQ47" i="1" s="1"/>
  <c r="AJ46" i="1"/>
  <c r="AJ44" i="1"/>
  <c r="AQ44" i="1" s="1"/>
  <c r="AJ45" i="1" l="1"/>
  <c r="AQ46" i="1"/>
  <c r="AQ89" i="1"/>
  <c r="AQ97" i="1"/>
  <c r="AQ106" i="1"/>
  <c r="AQ117" i="1"/>
  <c r="AQ140" i="1"/>
  <c r="AQ43" i="1"/>
  <c r="AQ62" i="1"/>
  <c r="AQ79" i="1"/>
  <c r="AQ93" i="1"/>
  <c r="AQ102" i="1"/>
  <c r="AQ112" i="1"/>
  <c r="AQ179" i="1"/>
  <c r="AQ59" i="1"/>
  <c r="AQ77" i="1"/>
  <c r="AQ87" i="1"/>
  <c r="AQ111" i="1"/>
  <c r="AQ116" i="1"/>
  <c r="AQ120" i="1"/>
  <c r="AQ126" i="1"/>
  <c r="AQ148" i="1"/>
  <c r="AQ194" i="1"/>
  <c r="AQ91" i="1"/>
  <c r="AQ95" i="1"/>
  <c r="AQ99" i="1"/>
  <c r="AQ104" i="1"/>
  <c r="AQ108" i="1"/>
  <c r="AQ113" i="1"/>
  <c r="AQ118" i="1"/>
  <c r="AQ124" i="1"/>
  <c r="AQ149" i="1"/>
  <c r="AJ110" i="1"/>
  <c r="AJ40" i="1"/>
  <c r="AJ114" i="1"/>
  <c r="X202" i="1"/>
  <c r="Q202" i="1"/>
  <c r="Q191" i="1"/>
  <c r="Q182" i="1"/>
  <c r="Q178" i="1"/>
  <c r="Q176" i="1"/>
  <c r="Q162" i="1"/>
  <c r="Q147" i="1"/>
  <c r="Q146" i="1" s="1"/>
  <c r="Q138" i="1"/>
  <c r="Q123" i="1"/>
  <c r="Q114" i="1"/>
  <c r="Q110" i="1"/>
  <c r="Q101" i="1"/>
  <c r="Q85" i="1"/>
  <c r="Q82" i="1"/>
  <c r="Q70" i="1"/>
  <c r="Q49" i="1"/>
  <c r="Q45" i="1"/>
  <c r="Q40" i="1"/>
  <c r="Q31" i="1"/>
  <c r="Q24" i="1"/>
  <c r="Q22" i="1"/>
  <c r="Q13" i="1"/>
  <c r="Q8" i="1"/>
  <c r="Q6" i="1"/>
  <c r="L179" i="1"/>
  <c r="M179" i="1" s="1"/>
  <c r="L150" i="1"/>
  <c r="M150" i="1" s="1"/>
  <c r="L149" i="1"/>
  <c r="M149" i="1" s="1"/>
  <c r="L148" i="1"/>
  <c r="M148" i="1" s="1"/>
  <c r="L140" i="1"/>
  <c r="M140" i="1" s="1"/>
  <c r="L126" i="1"/>
  <c r="M126" i="1" s="1"/>
  <c r="L125" i="1"/>
  <c r="M125" i="1" s="1"/>
  <c r="L124" i="1"/>
  <c r="M124" i="1" s="1"/>
  <c r="L120" i="1"/>
  <c r="M120" i="1" s="1"/>
  <c r="L119" i="1"/>
  <c r="M119" i="1" s="1"/>
  <c r="L118" i="1"/>
  <c r="M118" i="1" s="1"/>
  <c r="L117" i="1"/>
  <c r="M117" i="1" s="1"/>
  <c r="L116" i="1"/>
  <c r="M116" i="1" s="1"/>
  <c r="L115" i="1"/>
  <c r="M115" i="1" s="1"/>
  <c r="L113" i="1"/>
  <c r="M113" i="1" s="1"/>
  <c r="L112" i="1"/>
  <c r="M112" i="1" s="1"/>
  <c r="L111" i="1"/>
  <c r="M111" i="1" s="1"/>
  <c r="L108" i="1"/>
  <c r="M108" i="1" s="1"/>
  <c r="L107" i="1"/>
  <c r="M107" i="1" s="1"/>
  <c r="L106" i="1"/>
  <c r="M106" i="1" s="1"/>
  <c r="L105" i="1"/>
  <c r="M105" i="1" s="1"/>
  <c r="L104" i="1"/>
  <c r="M104" i="1" s="1"/>
  <c r="L103" i="1"/>
  <c r="M103" i="1" s="1"/>
  <c r="L102" i="1"/>
  <c r="M102" i="1" s="1"/>
  <c r="L100" i="1"/>
  <c r="M100" i="1" s="1"/>
  <c r="L99" i="1"/>
  <c r="M99" i="1" s="1"/>
  <c r="L98" i="1"/>
  <c r="M98" i="1" s="1"/>
  <c r="L97" i="1"/>
  <c r="M97" i="1" s="1"/>
  <c r="L96" i="1"/>
  <c r="M96" i="1" s="1"/>
  <c r="L95" i="1"/>
  <c r="M95" i="1" s="1"/>
  <c r="L94" i="1"/>
  <c r="M94" i="1" s="1"/>
  <c r="L93" i="1"/>
  <c r="M93" i="1" s="1"/>
  <c r="L92" i="1"/>
  <c r="M92" i="1" s="1"/>
  <c r="L91" i="1"/>
  <c r="M91" i="1" s="1"/>
  <c r="L90" i="1"/>
  <c r="M90" i="1" s="1"/>
  <c r="L89" i="1"/>
  <c r="M89" i="1" s="1"/>
  <c r="L87" i="1"/>
  <c r="M87" i="1" s="1"/>
  <c r="L86" i="1"/>
  <c r="M86" i="1" s="1"/>
  <c r="L69" i="1"/>
  <c r="M69" i="1" s="1"/>
  <c r="L67" i="1"/>
  <c r="M67" i="1" s="1"/>
  <c r="L65" i="1"/>
  <c r="M65" i="1" s="1"/>
  <c r="L64" i="1"/>
  <c r="M64" i="1" s="1"/>
  <c r="L62" i="1"/>
  <c r="M62" i="1" s="1"/>
  <c r="L59" i="1"/>
  <c r="M59" i="1" s="1"/>
  <c r="L44" i="1"/>
  <c r="M44" i="1" s="1"/>
  <c r="L43" i="1"/>
  <c r="M43" i="1" s="1"/>
  <c r="L42" i="1"/>
  <c r="M42" i="1" s="1"/>
  <c r="L34" i="1"/>
  <c r="M34" i="1" s="1"/>
  <c r="L33" i="1"/>
  <c r="M33" i="1" s="1"/>
  <c r="L20" i="1"/>
  <c r="M20" i="1" s="1"/>
  <c r="P110" i="1"/>
  <c r="AQ110" i="1" l="1"/>
  <c r="AQ45" i="1"/>
  <c r="AQ114" i="1"/>
  <c r="Q181" i="1"/>
  <c r="M114" i="1"/>
  <c r="M110" i="1"/>
  <c r="Q161" i="1"/>
  <c r="Q30" i="1"/>
  <c r="Q29" i="1" s="1"/>
  <c r="Q81" i="1"/>
  <c r="Q48" i="1" s="1"/>
  <c r="Q122" i="1"/>
  <c r="Q12" i="1"/>
  <c r="Q5" i="1"/>
  <c r="P194" i="1"/>
  <c r="AR194" i="1" s="1"/>
  <c r="P193" i="1"/>
  <c r="P192" i="1"/>
  <c r="P190" i="1"/>
  <c r="P143" i="1"/>
  <c r="P189" i="1"/>
  <c r="P188" i="1"/>
  <c r="P187" i="1"/>
  <c r="P186" i="1"/>
  <c r="P185" i="1"/>
  <c r="P184" i="1"/>
  <c r="P183" i="1"/>
  <c r="P180" i="1"/>
  <c r="P179" i="1"/>
  <c r="P177" i="1"/>
  <c r="P175" i="1"/>
  <c r="P174" i="1"/>
  <c r="P173" i="1"/>
  <c r="P172" i="1"/>
  <c r="P171" i="1"/>
  <c r="P170" i="1"/>
  <c r="P169" i="1"/>
  <c r="P168" i="1"/>
  <c r="P167" i="1"/>
  <c r="P166" i="1"/>
  <c r="P165" i="1"/>
  <c r="P164" i="1"/>
  <c r="P163" i="1"/>
  <c r="P160" i="1"/>
  <c r="P159" i="1"/>
  <c r="P158" i="1"/>
  <c r="P157" i="1"/>
  <c r="P156" i="1"/>
  <c r="P155" i="1"/>
  <c r="P154" i="1"/>
  <c r="P153" i="1"/>
  <c r="P152" i="1"/>
  <c r="P151" i="1"/>
  <c r="P150" i="1"/>
  <c r="P149" i="1"/>
  <c r="P148" i="1"/>
  <c r="P145" i="1"/>
  <c r="P144" i="1"/>
  <c r="P141" i="1"/>
  <c r="P140" i="1"/>
  <c r="P139" i="1"/>
  <c r="P137" i="1"/>
  <c r="P136" i="1"/>
  <c r="P135" i="1"/>
  <c r="P134" i="1"/>
  <c r="P133" i="1"/>
  <c r="P132" i="1"/>
  <c r="P131" i="1"/>
  <c r="P130" i="1"/>
  <c r="P129" i="1"/>
  <c r="P128" i="1"/>
  <c r="P127" i="1"/>
  <c r="P126" i="1"/>
  <c r="P125" i="1"/>
  <c r="P124" i="1"/>
  <c r="P120" i="1"/>
  <c r="P119" i="1"/>
  <c r="P118" i="1"/>
  <c r="P117" i="1"/>
  <c r="P116" i="1"/>
  <c r="P115" i="1"/>
  <c r="P113" i="1"/>
  <c r="P112" i="1"/>
  <c r="P111" i="1"/>
  <c r="P109" i="1"/>
  <c r="P108" i="1"/>
  <c r="P107" i="1"/>
  <c r="P106" i="1"/>
  <c r="P105" i="1"/>
  <c r="P104" i="1"/>
  <c r="P103" i="1"/>
  <c r="P102" i="1"/>
  <c r="P100" i="1"/>
  <c r="P99" i="1"/>
  <c r="P98" i="1"/>
  <c r="P97" i="1"/>
  <c r="P96" i="1"/>
  <c r="P95" i="1"/>
  <c r="P94" i="1"/>
  <c r="P93" i="1"/>
  <c r="P92" i="1"/>
  <c r="P91" i="1"/>
  <c r="P90" i="1"/>
  <c r="P89" i="1"/>
  <c r="P88" i="1"/>
  <c r="P87" i="1"/>
  <c r="P86" i="1"/>
  <c r="P84" i="1"/>
  <c r="P83" i="1"/>
  <c r="P80" i="1"/>
  <c r="P79" i="1"/>
  <c r="AR79" i="1" s="1"/>
  <c r="P78" i="1"/>
  <c r="P77" i="1"/>
  <c r="AR77" i="1" s="1"/>
  <c r="P76" i="1"/>
  <c r="AR76" i="1" s="1"/>
  <c r="P75" i="1"/>
  <c r="P74" i="1"/>
  <c r="P73" i="1"/>
  <c r="P72" i="1"/>
  <c r="AR72" i="1" s="1"/>
  <c r="P71" i="1"/>
  <c r="P69" i="1"/>
  <c r="P68" i="1"/>
  <c r="P67" i="1"/>
  <c r="P66" i="1"/>
  <c r="P65" i="1"/>
  <c r="P64" i="1"/>
  <c r="P63" i="1"/>
  <c r="P62" i="1"/>
  <c r="P61" i="1"/>
  <c r="P59" i="1"/>
  <c r="P58" i="1"/>
  <c r="P57" i="1"/>
  <c r="P56" i="1"/>
  <c r="P55" i="1"/>
  <c r="P54" i="1"/>
  <c r="P53" i="1"/>
  <c r="P52" i="1"/>
  <c r="P51" i="1"/>
  <c r="P47" i="1"/>
  <c r="AR47" i="1" s="1"/>
  <c r="P46" i="1"/>
  <c r="AR46" i="1" s="1"/>
  <c r="P44" i="1"/>
  <c r="P43" i="1"/>
  <c r="P42" i="1"/>
  <c r="P41" i="1"/>
  <c r="AR41" i="1" s="1"/>
  <c r="P38" i="1"/>
  <c r="P37" i="1"/>
  <c r="P35" i="1"/>
  <c r="AR35" i="1" s="1"/>
  <c r="P34" i="1"/>
  <c r="P33" i="1"/>
  <c r="P32" i="1"/>
  <c r="P39" i="1"/>
  <c r="P21" i="1"/>
  <c r="P28" i="1"/>
  <c r="AR28" i="1" s="1"/>
  <c r="P27" i="1"/>
  <c r="AR27" i="1" s="1"/>
  <c r="P26" i="1"/>
  <c r="P25" i="1"/>
  <c r="P23" i="1"/>
  <c r="P20" i="1"/>
  <c r="P19" i="1"/>
  <c r="P17" i="1"/>
  <c r="P16" i="1"/>
  <c r="P15" i="1"/>
  <c r="P11" i="1"/>
  <c r="AR11" i="1" s="1"/>
  <c r="P10" i="1"/>
  <c r="P9" i="1"/>
  <c r="P7" i="1"/>
  <c r="Q4" i="1" l="1"/>
  <c r="N33" i="1"/>
  <c r="AR33" i="1"/>
  <c r="N44" i="1"/>
  <c r="AR44" i="1"/>
  <c r="N65" i="1"/>
  <c r="AR65" i="1"/>
  <c r="N92" i="1"/>
  <c r="AR92" i="1"/>
  <c r="N100" i="1"/>
  <c r="AR100" i="1"/>
  <c r="N119" i="1"/>
  <c r="AR119" i="1"/>
  <c r="N150" i="1"/>
  <c r="AR150" i="1"/>
  <c r="N62" i="1"/>
  <c r="AR62" i="1"/>
  <c r="N93" i="1"/>
  <c r="AR93" i="1"/>
  <c r="N97" i="1"/>
  <c r="AR97" i="1"/>
  <c r="N106" i="1"/>
  <c r="AR106" i="1"/>
  <c r="N116" i="1"/>
  <c r="AR116" i="1"/>
  <c r="N126" i="1"/>
  <c r="AR126" i="1"/>
  <c r="N179" i="1"/>
  <c r="AR179" i="1"/>
  <c r="N20" i="1"/>
  <c r="AR20" i="1"/>
  <c r="N42" i="1"/>
  <c r="AR42" i="1"/>
  <c r="N67" i="1"/>
  <c r="AR67" i="1"/>
  <c r="N86" i="1"/>
  <c r="AR86" i="1"/>
  <c r="N90" i="1"/>
  <c r="AR90" i="1"/>
  <c r="N94" i="1"/>
  <c r="AR94" i="1"/>
  <c r="N98" i="1"/>
  <c r="AR98" i="1"/>
  <c r="N103" i="1"/>
  <c r="AR103" i="1"/>
  <c r="N107" i="1"/>
  <c r="AR107" i="1"/>
  <c r="N112" i="1"/>
  <c r="AR112" i="1"/>
  <c r="N117" i="1"/>
  <c r="AR117" i="1"/>
  <c r="N140" i="1"/>
  <c r="AR140" i="1"/>
  <c r="N148" i="1"/>
  <c r="AR148" i="1"/>
  <c r="N69" i="1"/>
  <c r="AR69" i="1"/>
  <c r="N96" i="1"/>
  <c r="AR96" i="1"/>
  <c r="N105" i="1"/>
  <c r="AR105" i="1"/>
  <c r="N115" i="1"/>
  <c r="AR115" i="1"/>
  <c r="N125" i="1"/>
  <c r="AR125" i="1"/>
  <c r="N34" i="1"/>
  <c r="AR34" i="1"/>
  <c r="N89" i="1"/>
  <c r="AR89" i="1"/>
  <c r="N102" i="1"/>
  <c r="AR102" i="1"/>
  <c r="N111" i="1"/>
  <c r="AR111" i="1"/>
  <c r="N120" i="1"/>
  <c r="AR120" i="1"/>
  <c r="N43" i="1"/>
  <c r="AR43" i="1"/>
  <c r="N59" i="1"/>
  <c r="AR59" i="1"/>
  <c r="N64" i="1"/>
  <c r="AR64" i="1"/>
  <c r="N87" i="1"/>
  <c r="AR87" i="1"/>
  <c r="N91" i="1"/>
  <c r="AR91" i="1"/>
  <c r="N95" i="1"/>
  <c r="AR95" i="1"/>
  <c r="N99" i="1"/>
  <c r="AR99" i="1"/>
  <c r="N104" i="1"/>
  <c r="AR104" i="1"/>
  <c r="N108" i="1"/>
  <c r="AR108" i="1"/>
  <c r="N113" i="1"/>
  <c r="AR113" i="1"/>
  <c r="N118" i="1"/>
  <c r="AR118" i="1"/>
  <c r="N124" i="1"/>
  <c r="AR124" i="1"/>
  <c r="N149" i="1"/>
  <c r="AR149" i="1"/>
  <c r="Q121" i="1"/>
  <c r="V71" i="1"/>
  <c r="U71" i="1"/>
  <c r="S71" i="1"/>
  <c r="T71" i="1"/>
  <c r="N114" i="1" l="1"/>
  <c r="N110" i="1"/>
  <c r="Q195" i="1"/>
  <c r="I162" i="1"/>
  <c r="V194" i="1" l="1"/>
  <c r="T194" i="1"/>
  <c r="L194" i="1" s="1"/>
  <c r="R51" i="1"/>
  <c r="R200" i="1"/>
  <c r="W200" i="1" s="1"/>
  <c r="M194" i="1" l="1"/>
  <c r="N194" i="1"/>
  <c r="AJ51" i="1"/>
  <c r="L51" i="1"/>
  <c r="AN194" i="1"/>
  <c r="AM194" i="1"/>
  <c r="AL194" i="1"/>
  <c r="AK194" i="1"/>
  <c r="AN179" i="1"/>
  <c r="AM179" i="1"/>
  <c r="AL179" i="1"/>
  <c r="AK179" i="1"/>
  <c r="AN140" i="1"/>
  <c r="AM140" i="1"/>
  <c r="AL140" i="1"/>
  <c r="AK140" i="1"/>
  <c r="AN150" i="1"/>
  <c r="AM150" i="1"/>
  <c r="AL150" i="1"/>
  <c r="AK150" i="1"/>
  <c r="AN149" i="1"/>
  <c r="AM149" i="1"/>
  <c r="AL149" i="1"/>
  <c r="AK149" i="1"/>
  <c r="AN148" i="1"/>
  <c r="AM148" i="1"/>
  <c r="AL148" i="1"/>
  <c r="AK148" i="1"/>
  <c r="AN126" i="1"/>
  <c r="AM126" i="1"/>
  <c r="AL126" i="1"/>
  <c r="AK126" i="1"/>
  <c r="AN125" i="1"/>
  <c r="AM125" i="1"/>
  <c r="AL125" i="1"/>
  <c r="AK125" i="1"/>
  <c r="AN124" i="1"/>
  <c r="AM124" i="1"/>
  <c r="AL124" i="1"/>
  <c r="AK124" i="1"/>
  <c r="AN120" i="1"/>
  <c r="AM120" i="1"/>
  <c r="AL120" i="1"/>
  <c r="AK120" i="1"/>
  <c r="AN119" i="1"/>
  <c r="AM119" i="1"/>
  <c r="AL119" i="1"/>
  <c r="AK119" i="1"/>
  <c r="AN118" i="1"/>
  <c r="AM118" i="1"/>
  <c r="AL118" i="1"/>
  <c r="AK118" i="1"/>
  <c r="AN117" i="1"/>
  <c r="AM117" i="1"/>
  <c r="AL117" i="1"/>
  <c r="AK117" i="1"/>
  <c r="AN116" i="1"/>
  <c r="AM116" i="1"/>
  <c r="AL116" i="1"/>
  <c r="AK116" i="1"/>
  <c r="AN115" i="1"/>
  <c r="AM115" i="1"/>
  <c r="AL115" i="1"/>
  <c r="AK115" i="1"/>
  <c r="AN113" i="1"/>
  <c r="AM113" i="1"/>
  <c r="AL113" i="1"/>
  <c r="AK113" i="1"/>
  <c r="AN112" i="1"/>
  <c r="AM112" i="1"/>
  <c r="AL112" i="1"/>
  <c r="AK112" i="1"/>
  <c r="AN111" i="1"/>
  <c r="AM111" i="1"/>
  <c r="AL111" i="1"/>
  <c r="AK111" i="1"/>
  <c r="AN109" i="1"/>
  <c r="AM109" i="1"/>
  <c r="AL109" i="1"/>
  <c r="AN108" i="1"/>
  <c r="AM108" i="1"/>
  <c r="AL108" i="1"/>
  <c r="AK108" i="1"/>
  <c r="AN107" i="1"/>
  <c r="AM107" i="1"/>
  <c r="AL107" i="1"/>
  <c r="AK107" i="1"/>
  <c r="AN106" i="1"/>
  <c r="AM106" i="1"/>
  <c r="AL106" i="1"/>
  <c r="AK106" i="1"/>
  <c r="AN105" i="1"/>
  <c r="AM105" i="1"/>
  <c r="AL105" i="1"/>
  <c r="AK105" i="1"/>
  <c r="AN104" i="1"/>
  <c r="AM104" i="1"/>
  <c r="AL104" i="1"/>
  <c r="AK104" i="1"/>
  <c r="AN103" i="1"/>
  <c r="AM103" i="1"/>
  <c r="AL103" i="1"/>
  <c r="AK103" i="1"/>
  <c r="AN102" i="1"/>
  <c r="AM102" i="1"/>
  <c r="AL102" i="1"/>
  <c r="AK102" i="1"/>
  <c r="AN100" i="1"/>
  <c r="AM100" i="1"/>
  <c r="AL100" i="1"/>
  <c r="AK100" i="1"/>
  <c r="AN99" i="1"/>
  <c r="AM99" i="1"/>
  <c r="AL99" i="1"/>
  <c r="AK99" i="1"/>
  <c r="AN98" i="1"/>
  <c r="AM98" i="1"/>
  <c r="AL98" i="1"/>
  <c r="AK98" i="1"/>
  <c r="AN97" i="1"/>
  <c r="AM97" i="1"/>
  <c r="AL97" i="1"/>
  <c r="AK97" i="1"/>
  <c r="AN96" i="1"/>
  <c r="AM96" i="1"/>
  <c r="AL96" i="1"/>
  <c r="AK96" i="1"/>
  <c r="AN95" i="1"/>
  <c r="AM95" i="1"/>
  <c r="AL95" i="1"/>
  <c r="AK95" i="1"/>
  <c r="AN94" i="1"/>
  <c r="AM94" i="1"/>
  <c r="AL94" i="1"/>
  <c r="AK94" i="1"/>
  <c r="AN93" i="1"/>
  <c r="AM93" i="1"/>
  <c r="AL93" i="1"/>
  <c r="AK93" i="1"/>
  <c r="AN92" i="1"/>
  <c r="AM92" i="1"/>
  <c r="AL92" i="1"/>
  <c r="AK92" i="1"/>
  <c r="AN91" i="1"/>
  <c r="AM91" i="1"/>
  <c r="AL91" i="1"/>
  <c r="AK91" i="1"/>
  <c r="AN90" i="1"/>
  <c r="AM90" i="1"/>
  <c r="AL90" i="1"/>
  <c r="AK90" i="1"/>
  <c r="AN89" i="1"/>
  <c r="AM89" i="1"/>
  <c r="AL89" i="1"/>
  <c r="AK89" i="1"/>
  <c r="AN88" i="1"/>
  <c r="AM88" i="1"/>
  <c r="AL88" i="1"/>
  <c r="AK88" i="1"/>
  <c r="AN87" i="1"/>
  <c r="AM87" i="1"/>
  <c r="AL87" i="1"/>
  <c r="AK87" i="1"/>
  <c r="AN86" i="1"/>
  <c r="AM86" i="1"/>
  <c r="AL86" i="1"/>
  <c r="AK86" i="1"/>
  <c r="AN77" i="1"/>
  <c r="AM77" i="1"/>
  <c r="AL77" i="1"/>
  <c r="AN76" i="1"/>
  <c r="AM76" i="1"/>
  <c r="AN75" i="1"/>
  <c r="AM75" i="1"/>
  <c r="AL75" i="1"/>
  <c r="AN69" i="1"/>
  <c r="AM69" i="1"/>
  <c r="AL69" i="1"/>
  <c r="AK69" i="1"/>
  <c r="AN67" i="1"/>
  <c r="AM67" i="1"/>
  <c r="AL67" i="1"/>
  <c r="AK67" i="1"/>
  <c r="AN65" i="1"/>
  <c r="AM65" i="1"/>
  <c r="AL65" i="1"/>
  <c r="AK65" i="1"/>
  <c r="AN64" i="1"/>
  <c r="AM64" i="1"/>
  <c r="AL64" i="1"/>
  <c r="AK64" i="1"/>
  <c r="AN63" i="1"/>
  <c r="AM63" i="1"/>
  <c r="AL63" i="1"/>
  <c r="AK63" i="1"/>
  <c r="AN62" i="1"/>
  <c r="AM62" i="1"/>
  <c r="AL62" i="1"/>
  <c r="AK62" i="1"/>
  <c r="AN59" i="1"/>
  <c r="AM59" i="1"/>
  <c r="AL59" i="1"/>
  <c r="AK59" i="1"/>
  <c r="AN57" i="1"/>
  <c r="AM57" i="1"/>
  <c r="AL57" i="1"/>
  <c r="AK57" i="1"/>
  <c r="AN54" i="1"/>
  <c r="AM54" i="1"/>
  <c r="AK54" i="1"/>
  <c r="AN53" i="1"/>
  <c r="AM53" i="1"/>
  <c r="AL53" i="1"/>
  <c r="AK53" i="1"/>
  <c r="AN51" i="1"/>
  <c r="AM51" i="1"/>
  <c r="AL51" i="1"/>
  <c r="AK51" i="1"/>
  <c r="AN44" i="1"/>
  <c r="AM44" i="1"/>
  <c r="AL44" i="1"/>
  <c r="AK44" i="1"/>
  <c r="AN43" i="1"/>
  <c r="AM43" i="1"/>
  <c r="AL43" i="1"/>
  <c r="AK43" i="1"/>
  <c r="AN42" i="1"/>
  <c r="AM42" i="1"/>
  <c r="AL42" i="1"/>
  <c r="AK42" i="1"/>
  <c r="AN38" i="1"/>
  <c r="AM38" i="1"/>
  <c r="AL38" i="1"/>
  <c r="AK38" i="1"/>
  <c r="AM35" i="1"/>
  <c r="AK35" i="1"/>
  <c r="AN34" i="1"/>
  <c r="AM34" i="1"/>
  <c r="AL34" i="1"/>
  <c r="AK34" i="1"/>
  <c r="AN33" i="1"/>
  <c r="AM33" i="1"/>
  <c r="AL33" i="1"/>
  <c r="AK33" i="1"/>
  <c r="AN32" i="1"/>
  <c r="AM32" i="1"/>
  <c r="AL32" i="1"/>
  <c r="AK32" i="1"/>
  <c r="AN23" i="1"/>
  <c r="AM23" i="1"/>
  <c r="AL23" i="1"/>
  <c r="AN20" i="1"/>
  <c r="AM20" i="1"/>
  <c r="AL20" i="1"/>
  <c r="AK20" i="1"/>
  <c r="AN11" i="1"/>
  <c r="AM11" i="1"/>
  <c r="AL11" i="1"/>
  <c r="AN10" i="1"/>
  <c r="AM10" i="1"/>
  <c r="AL10" i="1"/>
  <c r="AN9" i="1"/>
  <c r="AM9" i="1"/>
  <c r="AL9" i="1"/>
  <c r="AN7" i="1"/>
  <c r="AN6" i="1" s="1"/>
  <c r="AM7" i="1"/>
  <c r="AM6" i="1" s="1"/>
  <c r="R204" i="1"/>
  <c r="I191" i="1"/>
  <c r="I183" i="1"/>
  <c r="I184" i="1"/>
  <c r="I185" i="1"/>
  <c r="I186" i="1"/>
  <c r="I187" i="1"/>
  <c r="I188" i="1"/>
  <c r="I189" i="1"/>
  <c r="I143" i="1"/>
  <c r="I190" i="1"/>
  <c r="R144" i="1" l="1"/>
  <c r="R192" i="1"/>
  <c r="AW10" i="1"/>
  <c r="AX10" i="1"/>
  <c r="AZ20" i="1"/>
  <c r="AY20" i="1"/>
  <c r="AO33" i="1"/>
  <c r="AT33" i="1"/>
  <c r="AS33" i="1"/>
  <c r="AT35" i="1"/>
  <c r="AS35" i="1"/>
  <c r="AX42" i="1"/>
  <c r="AW42" i="1"/>
  <c r="AX44" i="1"/>
  <c r="AW44" i="1"/>
  <c r="AW53" i="1"/>
  <c r="AX53" i="1"/>
  <c r="AY57" i="1"/>
  <c r="AZ57" i="1"/>
  <c r="AY62" i="1"/>
  <c r="AZ62" i="1"/>
  <c r="AZ64" i="1"/>
  <c r="AY64" i="1"/>
  <c r="AY67" i="1"/>
  <c r="AZ67" i="1"/>
  <c r="AW76" i="1"/>
  <c r="AX76" i="1"/>
  <c r="AZ77" i="1"/>
  <c r="AY77" i="1"/>
  <c r="AN85" i="1"/>
  <c r="AY86" i="1"/>
  <c r="AZ86" i="1"/>
  <c r="AY88" i="1"/>
  <c r="AZ88" i="1"/>
  <c r="AY90" i="1"/>
  <c r="AZ90" i="1"/>
  <c r="AY92" i="1"/>
  <c r="AZ92" i="1"/>
  <c r="AY94" i="1"/>
  <c r="AZ94" i="1"/>
  <c r="AY96" i="1"/>
  <c r="AZ96" i="1"/>
  <c r="AY98" i="1"/>
  <c r="AZ98" i="1"/>
  <c r="AN101" i="1"/>
  <c r="AZ102" i="1"/>
  <c r="AY102" i="1"/>
  <c r="AZ104" i="1"/>
  <c r="AY104" i="1"/>
  <c r="AZ106" i="1"/>
  <c r="AY106" i="1"/>
  <c r="AZ108" i="1"/>
  <c r="AY108" i="1"/>
  <c r="AO112" i="1"/>
  <c r="AT112" i="1"/>
  <c r="AS112" i="1"/>
  <c r="AT115" i="1"/>
  <c r="AS115" i="1"/>
  <c r="AO117" i="1"/>
  <c r="AT117" i="1"/>
  <c r="AS117" i="1"/>
  <c r="AO119" i="1"/>
  <c r="AT119" i="1"/>
  <c r="AS119" i="1"/>
  <c r="AO125" i="1"/>
  <c r="AT125" i="1"/>
  <c r="AS125" i="1"/>
  <c r="AT148" i="1"/>
  <c r="AS148" i="1"/>
  <c r="AO140" i="1"/>
  <c r="AT140" i="1"/>
  <c r="AS140" i="1"/>
  <c r="AT179" i="1"/>
  <c r="AS179" i="1"/>
  <c r="AX9" i="1"/>
  <c r="AW9" i="1"/>
  <c r="AS20" i="1"/>
  <c r="AT20" i="1"/>
  <c r="AV32" i="1"/>
  <c r="AU32" i="1"/>
  <c r="AU33" i="1"/>
  <c r="AV33" i="1"/>
  <c r="AX35" i="1"/>
  <c r="AW35" i="1"/>
  <c r="AY42" i="1"/>
  <c r="AZ42" i="1"/>
  <c r="AY44" i="1"/>
  <c r="AZ44" i="1"/>
  <c r="AY53" i="1"/>
  <c r="AZ53" i="1"/>
  <c r="AS59" i="1"/>
  <c r="AT59" i="1"/>
  <c r="AS63" i="1"/>
  <c r="AT63" i="1"/>
  <c r="AS65" i="1"/>
  <c r="AT65" i="1"/>
  <c r="AV75" i="1"/>
  <c r="AU75" i="1"/>
  <c r="AS87" i="1"/>
  <c r="AT87" i="1"/>
  <c r="AS88" i="1"/>
  <c r="AT88" i="1"/>
  <c r="AT90" i="1"/>
  <c r="AS90" i="1"/>
  <c r="AT92" i="1"/>
  <c r="AS92" i="1"/>
  <c r="AS95" i="1"/>
  <c r="AT95" i="1"/>
  <c r="AS97" i="1"/>
  <c r="AT97" i="1"/>
  <c r="AS99" i="1"/>
  <c r="AT99" i="1"/>
  <c r="AS102" i="1"/>
  <c r="AT102" i="1"/>
  <c r="AS104" i="1"/>
  <c r="AT104" i="1"/>
  <c r="AS106" i="1"/>
  <c r="AT106" i="1"/>
  <c r="AS108" i="1"/>
  <c r="AT108" i="1"/>
  <c r="AL110" i="1"/>
  <c r="AV111" i="1"/>
  <c r="AU111" i="1"/>
  <c r="AV113" i="1"/>
  <c r="AU113" i="1"/>
  <c r="AV116" i="1"/>
  <c r="AU116" i="1"/>
  <c r="AU117" i="1"/>
  <c r="AV117" i="1"/>
  <c r="AU119" i="1"/>
  <c r="AV119" i="1"/>
  <c r="AV126" i="1"/>
  <c r="AU126" i="1"/>
  <c r="AV149" i="1"/>
  <c r="AU149" i="1"/>
  <c r="AU140" i="1"/>
  <c r="AV140" i="1"/>
  <c r="AV179" i="1"/>
  <c r="AU179" i="1"/>
  <c r="AR51" i="1"/>
  <c r="AQ51" i="1"/>
  <c r="AY9" i="1"/>
  <c r="AZ9" i="1"/>
  <c r="AU11" i="1"/>
  <c r="AV11" i="1"/>
  <c r="AV20" i="1"/>
  <c r="AU20" i="1"/>
  <c r="AM22" i="1"/>
  <c r="AX23" i="1"/>
  <c r="AX22" i="1" s="1"/>
  <c r="AW23" i="1"/>
  <c r="AW22" i="1" s="1"/>
  <c r="AW32" i="1"/>
  <c r="AX32" i="1"/>
  <c r="AX33" i="1"/>
  <c r="AW33" i="1"/>
  <c r="AW34" i="1"/>
  <c r="AX34" i="1"/>
  <c r="AT38" i="1"/>
  <c r="AS38" i="1"/>
  <c r="AT42" i="1"/>
  <c r="AS42" i="1"/>
  <c r="AS43" i="1"/>
  <c r="AT43" i="1"/>
  <c r="AT44" i="1"/>
  <c r="AS44" i="1"/>
  <c r="AS51" i="1"/>
  <c r="AT51" i="1"/>
  <c r="AS53" i="1"/>
  <c r="AT53" i="1"/>
  <c r="AT54" i="1"/>
  <c r="AS54" i="1"/>
  <c r="AV57" i="1"/>
  <c r="AU57" i="1"/>
  <c r="AU59" i="1"/>
  <c r="AV59" i="1"/>
  <c r="AV62" i="1"/>
  <c r="AU62" i="1"/>
  <c r="AU63" i="1"/>
  <c r="AV63" i="1"/>
  <c r="AU64" i="1"/>
  <c r="AV64" i="1"/>
  <c r="AU65" i="1"/>
  <c r="AV65" i="1"/>
  <c r="AU67" i="1"/>
  <c r="AV67" i="1"/>
  <c r="AU69" i="1"/>
  <c r="AV69" i="1"/>
  <c r="AW75" i="1"/>
  <c r="AX75" i="1"/>
  <c r="AU77" i="1"/>
  <c r="AV77" i="1"/>
  <c r="AL85" i="1"/>
  <c r="AU86" i="1"/>
  <c r="AV86" i="1"/>
  <c r="AU87" i="1"/>
  <c r="AV87" i="1"/>
  <c r="AU88" i="1"/>
  <c r="AV88" i="1"/>
  <c r="AV89" i="1"/>
  <c r="AU89" i="1"/>
  <c r="AU90" i="1"/>
  <c r="AV90" i="1"/>
  <c r="AV91" i="1"/>
  <c r="AU91" i="1"/>
  <c r="AU92" i="1"/>
  <c r="AV92" i="1"/>
  <c r="AV93" i="1"/>
  <c r="AU93" i="1"/>
  <c r="AU94" i="1"/>
  <c r="AV94" i="1"/>
  <c r="AV95" i="1"/>
  <c r="AU95" i="1"/>
  <c r="AU96" i="1"/>
  <c r="AV96" i="1"/>
  <c r="AV97" i="1"/>
  <c r="AU97" i="1"/>
  <c r="AU98" i="1"/>
  <c r="AV98" i="1"/>
  <c r="AV99" i="1"/>
  <c r="AU99" i="1"/>
  <c r="AU100" i="1"/>
  <c r="AV100" i="1"/>
  <c r="AL101" i="1"/>
  <c r="AV102" i="1"/>
  <c r="AU102" i="1"/>
  <c r="AU103" i="1"/>
  <c r="AV103" i="1"/>
  <c r="AV104" i="1"/>
  <c r="AU104" i="1"/>
  <c r="AU105" i="1"/>
  <c r="AV105" i="1"/>
  <c r="AV106" i="1"/>
  <c r="AU106" i="1"/>
  <c r="AU107" i="1"/>
  <c r="AV107" i="1"/>
  <c r="AV108" i="1"/>
  <c r="AU108" i="1"/>
  <c r="AX109" i="1"/>
  <c r="AW109" i="1"/>
  <c r="AM110" i="1"/>
  <c r="AW111" i="1"/>
  <c r="AX111" i="1"/>
  <c r="AX112" i="1"/>
  <c r="AW112" i="1"/>
  <c r="AW113" i="1"/>
  <c r="AX113" i="1"/>
  <c r="AM114" i="1"/>
  <c r="AX115" i="1"/>
  <c r="AW115" i="1"/>
  <c r="AW116" i="1"/>
  <c r="AX116" i="1"/>
  <c r="AX117" i="1"/>
  <c r="AW117" i="1"/>
  <c r="AW118" i="1"/>
  <c r="AX118" i="1"/>
  <c r="AX119" i="1"/>
  <c r="AW119" i="1"/>
  <c r="AW120" i="1"/>
  <c r="AX120" i="1"/>
  <c r="AW124" i="1"/>
  <c r="AX124" i="1"/>
  <c r="AX125" i="1"/>
  <c r="AW125" i="1"/>
  <c r="AW126" i="1"/>
  <c r="AX126" i="1"/>
  <c r="AX148" i="1"/>
  <c r="AW148" i="1"/>
  <c r="AW149" i="1"/>
  <c r="AX149" i="1"/>
  <c r="AX150" i="1"/>
  <c r="AW150" i="1"/>
  <c r="AX140" i="1"/>
  <c r="AW140" i="1"/>
  <c r="AX179" i="1"/>
  <c r="AW179" i="1"/>
  <c r="AX194" i="1"/>
  <c r="AW194" i="1"/>
  <c r="AL8" i="1"/>
  <c r="AU9" i="1"/>
  <c r="AV9" i="1"/>
  <c r="AY11" i="1"/>
  <c r="AZ11" i="1"/>
  <c r="AS32" i="1"/>
  <c r="AT32" i="1"/>
  <c r="AO34" i="1"/>
  <c r="AS34" i="1"/>
  <c r="AT34" i="1"/>
  <c r="AX38" i="1"/>
  <c r="AW38" i="1"/>
  <c r="AW43" i="1"/>
  <c r="AX43" i="1"/>
  <c r="AW51" i="1"/>
  <c r="AX51" i="1"/>
  <c r="AY54" i="1"/>
  <c r="AZ54" i="1"/>
  <c r="AZ59" i="1"/>
  <c r="AY59" i="1"/>
  <c r="AY63" i="1"/>
  <c r="AZ63" i="1"/>
  <c r="AY65" i="1"/>
  <c r="AZ65" i="1"/>
  <c r="AY69" i="1"/>
  <c r="AZ69" i="1"/>
  <c r="AZ87" i="1"/>
  <c r="AY87" i="1"/>
  <c r="AY89" i="1"/>
  <c r="AZ89" i="1"/>
  <c r="AZ91" i="1"/>
  <c r="AY91" i="1"/>
  <c r="AZ93" i="1"/>
  <c r="AY93" i="1"/>
  <c r="AZ95" i="1"/>
  <c r="AY95" i="1"/>
  <c r="AZ97" i="1"/>
  <c r="AY97" i="1"/>
  <c r="AZ99" i="1"/>
  <c r="AY99" i="1"/>
  <c r="AY100" i="1"/>
  <c r="AZ100" i="1"/>
  <c r="AY103" i="1"/>
  <c r="AZ103" i="1"/>
  <c r="AY105" i="1"/>
  <c r="AZ105" i="1"/>
  <c r="AY107" i="1"/>
  <c r="AZ107" i="1"/>
  <c r="AS111" i="1"/>
  <c r="AT111" i="1"/>
  <c r="AO113" i="1"/>
  <c r="AS113" i="1"/>
  <c r="AT113" i="1"/>
  <c r="AO116" i="1"/>
  <c r="AS116" i="1"/>
  <c r="AT116" i="1"/>
  <c r="AO118" i="1"/>
  <c r="AS118" i="1"/>
  <c r="AT118" i="1"/>
  <c r="AO120" i="1"/>
  <c r="AS120" i="1"/>
  <c r="AT120" i="1"/>
  <c r="AS124" i="1"/>
  <c r="AT124" i="1"/>
  <c r="AO126" i="1"/>
  <c r="AS126" i="1"/>
  <c r="AT126" i="1"/>
  <c r="AO149" i="1"/>
  <c r="AS149" i="1"/>
  <c r="AT149" i="1"/>
  <c r="AO150" i="1"/>
  <c r="AT150" i="1"/>
  <c r="AS150" i="1"/>
  <c r="AO194" i="1"/>
  <c r="AT194" i="1"/>
  <c r="AS194" i="1"/>
  <c r="AZ10" i="1"/>
  <c r="AY10" i="1"/>
  <c r="AL22" i="1"/>
  <c r="AU23" i="1"/>
  <c r="AU22" i="1" s="1"/>
  <c r="AV23" i="1"/>
  <c r="AV22" i="1" s="1"/>
  <c r="AV34" i="1"/>
  <c r="AU34" i="1"/>
  <c r="AY38" i="1"/>
  <c r="AZ38" i="1"/>
  <c r="AZ43" i="1"/>
  <c r="AY43" i="1"/>
  <c r="AZ51" i="1"/>
  <c r="AY51" i="1"/>
  <c r="AS57" i="1"/>
  <c r="AT57" i="1"/>
  <c r="AS62" i="1"/>
  <c r="AT62" i="1"/>
  <c r="AS64" i="1"/>
  <c r="AT64" i="1"/>
  <c r="AT67" i="1"/>
  <c r="AS67" i="1"/>
  <c r="AS69" i="1"/>
  <c r="AT69" i="1"/>
  <c r="AY76" i="1"/>
  <c r="AZ76" i="1"/>
  <c r="AT86" i="1"/>
  <c r="AS86" i="1"/>
  <c r="AS89" i="1"/>
  <c r="AT89" i="1"/>
  <c r="AS91" i="1"/>
  <c r="AT91" i="1"/>
  <c r="AS93" i="1"/>
  <c r="AT93" i="1"/>
  <c r="AT94" i="1"/>
  <c r="AS94" i="1"/>
  <c r="AT96" i="1"/>
  <c r="AS96" i="1"/>
  <c r="AT98" i="1"/>
  <c r="AS98" i="1"/>
  <c r="AT100" i="1"/>
  <c r="AS100" i="1"/>
  <c r="AT103" i="1"/>
  <c r="AS103" i="1"/>
  <c r="AT105" i="1"/>
  <c r="AS105" i="1"/>
  <c r="AT107" i="1"/>
  <c r="AS107" i="1"/>
  <c r="AU109" i="1"/>
  <c r="AV109" i="1"/>
  <c r="AU112" i="1"/>
  <c r="AV112" i="1"/>
  <c r="AL114" i="1"/>
  <c r="AU115" i="1"/>
  <c r="AV115" i="1"/>
  <c r="AV118" i="1"/>
  <c r="AU118" i="1"/>
  <c r="AV120" i="1"/>
  <c r="AU120" i="1"/>
  <c r="AV124" i="1"/>
  <c r="AU124" i="1"/>
  <c r="AU125" i="1"/>
  <c r="AV125" i="1"/>
  <c r="AU148" i="1"/>
  <c r="AV148" i="1"/>
  <c r="AU150" i="1"/>
  <c r="AV150" i="1"/>
  <c r="AV194" i="1"/>
  <c r="AU194" i="1"/>
  <c r="AV10" i="1"/>
  <c r="AU10" i="1"/>
  <c r="AX11" i="1"/>
  <c r="AW11" i="1"/>
  <c r="AW20" i="1"/>
  <c r="AX20" i="1"/>
  <c r="AN22" i="1"/>
  <c r="AY23" i="1"/>
  <c r="AY22" i="1" s="1"/>
  <c r="AZ23" i="1"/>
  <c r="AZ22" i="1" s="1"/>
  <c r="AZ32" i="1"/>
  <c r="AY32" i="1"/>
  <c r="AY33" i="1"/>
  <c r="AZ33" i="1"/>
  <c r="AZ34" i="1"/>
  <c r="AY34" i="1"/>
  <c r="AU38" i="1"/>
  <c r="AV38" i="1"/>
  <c r="AU42" i="1"/>
  <c r="AV42" i="1"/>
  <c r="AV43" i="1"/>
  <c r="AU43" i="1"/>
  <c r="AU44" i="1"/>
  <c r="AV44" i="1"/>
  <c r="AU51" i="1"/>
  <c r="AV51" i="1"/>
  <c r="AV53" i="1"/>
  <c r="AU53" i="1"/>
  <c r="AW54" i="1"/>
  <c r="AX54" i="1"/>
  <c r="AW57" i="1"/>
  <c r="AX57" i="1"/>
  <c r="AW59" i="1"/>
  <c r="AX59" i="1"/>
  <c r="AW62" i="1"/>
  <c r="AX62" i="1"/>
  <c r="AW63" i="1"/>
  <c r="AX63" i="1"/>
  <c r="AW64" i="1"/>
  <c r="AX64" i="1"/>
  <c r="AX65" i="1"/>
  <c r="AW65" i="1"/>
  <c r="AW67" i="1"/>
  <c r="AX67" i="1"/>
  <c r="AX69" i="1"/>
  <c r="AW69" i="1"/>
  <c r="AY75" i="1"/>
  <c r="AZ75" i="1"/>
  <c r="AW77" i="1"/>
  <c r="AX77" i="1"/>
  <c r="AM85" i="1"/>
  <c r="AW86" i="1"/>
  <c r="AX86" i="1"/>
  <c r="AW87" i="1"/>
  <c r="AX87" i="1"/>
  <c r="AX88" i="1"/>
  <c r="AW88" i="1"/>
  <c r="AW89" i="1"/>
  <c r="AX89" i="1"/>
  <c r="AX90" i="1"/>
  <c r="AW90" i="1"/>
  <c r="AW91" i="1"/>
  <c r="AX91" i="1"/>
  <c r="AX92" i="1"/>
  <c r="AW92" i="1"/>
  <c r="AW93" i="1"/>
  <c r="AX93" i="1"/>
  <c r="AX94" i="1"/>
  <c r="AW94" i="1"/>
  <c r="AW95" i="1"/>
  <c r="AX95" i="1"/>
  <c r="AX96" i="1"/>
  <c r="AW96" i="1"/>
  <c r="AW97" i="1"/>
  <c r="AX97" i="1"/>
  <c r="AX98" i="1"/>
  <c r="AW98" i="1"/>
  <c r="AW99" i="1"/>
  <c r="AX99" i="1"/>
  <c r="AX100" i="1"/>
  <c r="AW100" i="1"/>
  <c r="AM101" i="1"/>
  <c r="AW102" i="1"/>
  <c r="AX102" i="1"/>
  <c r="AX103" i="1"/>
  <c r="AW103" i="1"/>
  <c r="AW104" i="1"/>
  <c r="AX104" i="1"/>
  <c r="AX105" i="1"/>
  <c r="AW105" i="1"/>
  <c r="AW106" i="1"/>
  <c r="AX106" i="1"/>
  <c r="AX107" i="1"/>
  <c r="AW107" i="1"/>
  <c r="AW108" i="1"/>
  <c r="AX108" i="1"/>
  <c r="AY109" i="1"/>
  <c r="AZ109" i="1"/>
  <c r="AN110" i="1"/>
  <c r="AZ111" i="1"/>
  <c r="AY111" i="1"/>
  <c r="AY112" i="1"/>
  <c r="AZ112" i="1"/>
  <c r="AZ113" i="1"/>
  <c r="AY113" i="1"/>
  <c r="AN114" i="1"/>
  <c r="AY115" i="1"/>
  <c r="AZ115" i="1"/>
  <c r="AZ116" i="1"/>
  <c r="AY116" i="1"/>
  <c r="AY117" i="1"/>
  <c r="AZ117" i="1"/>
  <c r="AZ118" i="1"/>
  <c r="AY118" i="1"/>
  <c r="AY119" i="1"/>
  <c r="AZ119" i="1"/>
  <c r="AZ120" i="1"/>
  <c r="AY120" i="1"/>
  <c r="AZ124" i="1"/>
  <c r="AY124" i="1"/>
  <c r="AY125" i="1"/>
  <c r="AZ125" i="1"/>
  <c r="AZ126" i="1"/>
  <c r="AY126" i="1"/>
  <c r="AY148" i="1"/>
  <c r="AZ148" i="1"/>
  <c r="AZ149" i="1"/>
  <c r="AY149" i="1"/>
  <c r="AY150" i="1"/>
  <c r="AZ150" i="1"/>
  <c r="AY140" i="1"/>
  <c r="AZ140" i="1"/>
  <c r="AZ179" i="1"/>
  <c r="AY179" i="1"/>
  <c r="AZ194" i="1"/>
  <c r="AY194" i="1"/>
  <c r="AK114" i="1"/>
  <c r="AO115" i="1"/>
  <c r="AO179" i="1"/>
  <c r="AM8" i="1"/>
  <c r="AM5" i="1" s="1"/>
  <c r="AO62" i="1"/>
  <c r="AO64" i="1"/>
  <c r="AO65" i="1"/>
  <c r="AO67" i="1"/>
  <c r="AO69" i="1"/>
  <c r="AK85" i="1"/>
  <c r="AO86" i="1"/>
  <c r="AO87" i="1"/>
  <c r="AO89" i="1"/>
  <c r="AO90" i="1"/>
  <c r="AO91" i="1"/>
  <c r="AO92" i="1"/>
  <c r="AO93" i="1"/>
  <c r="AO94" i="1"/>
  <c r="AO95" i="1"/>
  <c r="AO96" i="1"/>
  <c r="AO97" i="1"/>
  <c r="AO98" i="1"/>
  <c r="AO99" i="1"/>
  <c r="AO100" i="1"/>
  <c r="AO102" i="1"/>
  <c r="AO103" i="1"/>
  <c r="AO104" i="1"/>
  <c r="AO105" i="1"/>
  <c r="AO106" i="1"/>
  <c r="AO107" i="1"/>
  <c r="AO108" i="1"/>
  <c r="AO51" i="1"/>
  <c r="AK110" i="1"/>
  <c r="AO111" i="1"/>
  <c r="AO148" i="1"/>
  <c r="AN8" i="1"/>
  <c r="AN5" i="1" s="1"/>
  <c r="AM31" i="1"/>
  <c r="AO42" i="1"/>
  <c r="AO43" i="1"/>
  <c r="AO44" i="1"/>
  <c r="AK31" i="1"/>
  <c r="AO124" i="1"/>
  <c r="AO20" i="1"/>
  <c r="AO59" i="1"/>
  <c r="AX7" i="1"/>
  <c r="AX6" i="1" s="1"/>
  <c r="AW7" i="1"/>
  <c r="AW6" i="1" s="1"/>
  <c r="AY7" i="1"/>
  <c r="AY6" i="1" s="1"/>
  <c r="AZ7" i="1"/>
  <c r="AZ6" i="1" s="1"/>
  <c r="M51" i="1"/>
  <c r="N51" i="1"/>
  <c r="S204" i="1"/>
  <c r="T204" i="1" s="1"/>
  <c r="R83" i="1"/>
  <c r="AJ83" i="1" s="1"/>
  <c r="AJ144" i="1" l="1"/>
  <c r="AO114" i="1"/>
  <c r="AY8" i="1"/>
  <c r="AY5" i="1" s="1"/>
  <c r="AQ83" i="1"/>
  <c r="AR83" i="1"/>
  <c r="AO110" i="1"/>
  <c r="AY101" i="1"/>
  <c r="BB42" i="1"/>
  <c r="AU8" i="1"/>
  <c r="BA108" i="1"/>
  <c r="BA106" i="1"/>
  <c r="BA104" i="1"/>
  <c r="BA99" i="1"/>
  <c r="BA97" i="1"/>
  <c r="BA93" i="1"/>
  <c r="BA91" i="1"/>
  <c r="BB67" i="1"/>
  <c r="BB64" i="1"/>
  <c r="BB194" i="1"/>
  <c r="AZ114" i="1"/>
  <c r="AW85" i="1"/>
  <c r="AX110" i="1"/>
  <c r="AU85" i="1"/>
  <c r="BB179" i="1"/>
  <c r="BB148" i="1"/>
  <c r="BB124" i="1"/>
  <c r="BA87" i="1"/>
  <c r="BB62" i="1"/>
  <c r="BB112" i="1"/>
  <c r="AY110" i="1"/>
  <c r="AX101" i="1"/>
  <c r="BA119" i="1"/>
  <c r="AZ101" i="1"/>
  <c r="AW110" i="1"/>
  <c r="AV85" i="1"/>
  <c r="BA44" i="1"/>
  <c r="AX31" i="1"/>
  <c r="BA179" i="1"/>
  <c r="BA140" i="1"/>
  <c r="BA148" i="1"/>
  <c r="BA124" i="1"/>
  <c r="BA118" i="1"/>
  <c r="BA113" i="1"/>
  <c r="AU114" i="1"/>
  <c r="AT110" i="1"/>
  <c r="BB107" i="1"/>
  <c r="BB105" i="1"/>
  <c r="BB103" i="1"/>
  <c r="BB100" i="1"/>
  <c r="BB98" i="1"/>
  <c r="BB96" i="1"/>
  <c r="BB94" i="1"/>
  <c r="BB92" i="1"/>
  <c r="BB90" i="1"/>
  <c r="BB86" i="1"/>
  <c r="BA67" i="1"/>
  <c r="BA64" i="1"/>
  <c r="BA62" i="1"/>
  <c r="BA194" i="1"/>
  <c r="BA125" i="1"/>
  <c r="BA117" i="1"/>
  <c r="BA112" i="1"/>
  <c r="BB119" i="1"/>
  <c r="BB113" i="1"/>
  <c r="AT114" i="1"/>
  <c r="BA102" i="1"/>
  <c r="BA95" i="1"/>
  <c r="BA89" i="1"/>
  <c r="BB125" i="1"/>
  <c r="AZ110" i="1"/>
  <c r="BB34" i="1"/>
  <c r="AX114" i="1"/>
  <c r="BB51" i="1"/>
  <c r="BB43" i="1"/>
  <c r="AZ8" i="1"/>
  <c r="AZ5" i="1" s="1"/>
  <c r="BB150" i="1"/>
  <c r="BB126" i="1"/>
  <c r="BB120" i="1"/>
  <c r="BB116" i="1"/>
  <c r="BB111" i="1"/>
  <c r="AR110" i="1"/>
  <c r="AY85" i="1"/>
  <c r="AV8" i="1"/>
  <c r="AV114" i="1"/>
  <c r="AU110" i="1"/>
  <c r="BA107" i="1"/>
  <c r="BA105" i="1"/>
  <c r="BA103" i="1"/>
  <c r="BA100" i="1"/>
  <c r="BA98" i="1"/>
  <c r="BA96" i="1"/>
  <c r="BA94" i="1"/>
  <c r="BA92" i="1"/>
  <c r="BA90" i="1"/>
  <c r="AS85" i="1"/>
  <c r="BA86" i="1"/>
  <c r="BB69" i="1"/>
  <c r="BB65" i="1"/>
  <c r="BB59" i="1"/>
  <c r="BB20" i="1"/>
  <c r="AW8" i="1"/>
  <c r="AW5" i="1" s="1"/>
  <c r="BB149" i="1"/>
  <c r="BB115" i="1"/>
  <c r="AR114" i="1"/>
  <c r="BB33" i="1"/>
  <c r="AV101" i="1"/>
  <c r="BB44" i="1"/>
  <c r="AW31" i="1"/>
  <c r="BB140" i="1"/>
  <c r="BB118" i="1"/>
  <c r="BB117" i="1"/>
  <c r="BA51" i="1"/>
  <c r="AW101" i="1"/>
  <c r="AY114" i="1"/>
  <c r="AX85" i="1"/>
  <c r="AW114" i="1"/>
  <c r="AU101" i="1"/>
  <c r="AT85" i="1"/>
  <c r="BA150" i="1"/>
  <c r="BA126" i="1"/>
  <c r="BA120" i="1"/>
  <c r="BA116" i="1"/>
  <c r="AS110" i="1"/>
  <c r="BA111" i="1"/>
  <c r="AZ85" i="1"/>
  <c r="AS31" i="1"/>
  <c r="AV110" i="1"/>
  <c r="BB108" i="1"/>
  <c r="BB106" i="1"/>
  <c r="BB104" i="1"/>
  <c r="BB102" i="1"/>
  <c r="BB99" i="1"/>
  <c r="BB97" i="1"/>
  <c r="BB95" i="1"/>
  <c r="BB93" i="1"/>
  <c r="BB91" i="1"/>
  <c r="BB89" i="1"/>
  <c r="BB87" i="1"/>
  <c r="BA69" i="1"/>
  <c r="BA65" i="1"/>
  <c r="BA59" i="1"/>
  <c r="AX8" i="1"/>
  <c r="AX5" i="1" s="1"/>
  <c r="BA149" i="1"/>
  <c r="AS114" i="1"/>
  <c r="BA115" i="1"/>
  <c r="S114" i="1"/>
  <c r="T114" i="1"/>
  <c r="U114" i="1"/>
  <c r="V114" i="1"/>
  <c r="R114" i="1"/>
  <c r="S110" i="1"/>
  <c r="T110" i="1"/>
  <c r="U110" i="1"/>
  <c r="V110" i="1"/>
  <c r="R110" i="1"/>
  <c r="T101" i="1"/>
  <c r="U101" i="1"/>
  <c r="V101" i="1"/>
  <c r="S85" i="1"/>
  <c r="T85" i="1"/>
  <c r="U85" i="1"/>
  <c r="V85" i="1"/>
  <c r="R45" i="1"/>
  <c r="R40" i="1"/>
  <c r="S31" i="1"/>
  <c r="U31" i="1"/>
  <c r="T22" i="1"/>
  <c r="U22" i="1"/>
  <c r="V22" i="1"/>
  <c r="T8" i="1"/>
  <c r="U8" i="1"/>
  <c r="V8" i="1"/>
  <c r="U6" i="1"/>
  <c r="V6" i="1"/>
  <c r="I147" i="1"/>
  <c r="I148" i="1"/>
  <c r="I123" i="1"/>
  <c r="AK71" i="1"/>
  <c r="H3" i="3"/>
  <c r="H4" i="3" s="1"/>
  <c r="H5" i="3" s="1"/>
  <c r="H6" i="3" s="1"/>
  <c r="I3" i="3"/>
  <c r="I4" i="3" s="1"/>
  <c r="I5" i="3" s="1"/>
  <c r="I6" i="3" s="1"/>
  <c r="J3" i="3"/>
  <c r="J4" i="3" s="1"/>
  <c r="J5" i="3" s="1"/>
  <c r="J6" i="3" s="1"/>
  <c r="J10" i="3" s="1"/>
  <c r="G3" i="3"/>
  <c r="G4" i="3" s="1"/>
  <c r="G5" i="3" s="1"/>
  <c r="G6" i="3" s="1"/>
  <c r="AQ144" i="1" l="1"/>
  <c r="AR144" i="1"/>
  <c r="AS71" i="1"/>
  <c r="AT71" i="1"/>
  <c r="BA114" i="1"/>
  <c r="BA110" i="1"/>
  <c r="BB110" i="1"/>
  <c r="BB114" i="1"/>
  <c r="L110" i="1"/>
  <c r="L114" i="1"/>
  <c r="G10" i="3"/>
  <c r="S27" i="1"/>
  <c r="AN71" i="1"/>
  <c r="AM71" i="1"/>
  <c r="AL71" i="1"/>
  <c r="I10" i="3"/>
  <c r="H10" i="3"/>
  <c r="K6" i="3"/>
  <c r="K10" i="3" s="1"/>
  <c r="AY71" i="1" l="1"/>
  <c r="AZ71" i="1"/>
  <c r="AV71" i="1"/>
  <c r="AU71" i="1"/>
  <c r="AW71" i="1"/>
  <c r="AX71" i="1"/>
  <c r="AK27" i="1"/>
  <c r="S46" i="1"/>
  <c r="AK46" i="1" s="1"/>
  <c r="R38" i="1"/>
  <c r="AJ38" i="1" s="1"/>
  <c r="S26" i="1"/>
  <c r="AK26" i="1" s="1"/>
  <c r="T26" i="1"/>
  <c r="AL26" i="1" s="1"/>
  <c r="U26" i="1"/>
  <c r="AM26" i="1" s="1"/>
  <c r="V26" i="1"/>
  <c r="AN26" i="1" s="1"/>
  <c r="R26" i="1"/>
  <c r="AJ26" i="1" s="1"/>
  <c r="I26" i="1"/>
  <c r="R25" i="1"/>
  <c r="AJ25" i="1" s="1"/>
  <c r="AQ25" i="1" l="1"/>
  <c r="AJ24" i="1"/>
  <c r="AR25" i="1"/>
  <c r="AQ26" i="1"/>
  <c r="AR26" i="1"/>
  <c r="AQ38" i="1"/>
  <c r="AR38" i="1"/>
  <c r="BB38" i="1" s="1"/>
  <c r="AO38" i="1"/>
  <c r="AT27" i="1"/>
  <c r="AS27" i="1"/>
  <c r="AS26" i="1"/>
  <c r="AT26" i="1"/>
  <c r="AW26" i="1"/>
  <c r="AX26" i="1"/>
  <c r="AS46" i="1"/>
  <c r="AT46" i="1"/>
  <c r="AV26" i="1"/>
  <c r="AU26" i="1"/>
  <c r="AZ26" i="1"/>
  <c r="AY26" i="1"/>
  <c r="AO26" i="1"/>
  <c r="L26" i="1"/>
  <c r="L38" i="1"/>
  <c r="R24" i="1"/>
  <c r="BB26" i="1" l="1"/>
  <c r="M26" i="1"/>
  <c r="N26" i="1"/>
  <c r="M38" i="1"/>
  <c r="N38" i="1"/>
  <c r="S11" i="1"/>
  <c r="S10" i="1"/>
  <c r="AK10" i="1" s="1"/>
  <c r="R10" i="1"/>
  <c r="AJ10" i="1" s="1"/>
  <c r="S9" i="1"/>
  <c r="R9" i="1"/>
  <c r="AJ9" i="1" s="1"/>
  <c r="I122" i="1"/>
  <c r="I70" i="1"/>
  <c r="AQ10" i="1" l="1"/>
  <c r="AR10" i="1"/>
  <c r="AQ9" i="1"/>
  <c r="AJ8" i="1"/>
  <c r="AR9" i="1"/>
  <c r="AO10" i="1"/>
  <c r="AS10" i="1"/>
  <c r="AT10" i="1"/>
  <c r="L10" i="1"/>
  <c r="L9" i="1"/>
  <c r="AK11" i="1"/>
  <c r="L11" i="1"/>
  <c r="S8" i="1"/>
  <c r="AK9" i="1"/>
  <c r="R8" i="1"/>
  <c r="R58" i="1"/>
  <c r="R54" i="1"/>
  <c r="AJ54" i="1" s="1"/>
  <c r="R37" i="1"/>
  <c r="AJ37" i="1" s="1"/>
  <c r="BB10" i="1" l="1"/>
  <c r="AQ37" i="1"/>
  <c r="AR37" i="1"/>
  <c r="AO11" i="1"/>
  <c r="AT11" i="1"/>
  <c r="AS11" i="1"/>
  <c r="AT9" i="1"/>
  <c r="AT8" i="1" s="1"/>
  <c r="AS9" i="1"/>
  <c r="AQ54" i="1"/>
  <c r="AR54" i="1"/>
  <c r="AK8" i="1"/>
  <c r="AO8" i="1" s="1"/>
  <c r="AO9" i="1"/>
  <c r="BB11" i="1"/>
  <c r="M9" i="1"/>
  <c r="N9" i="1"/>
  <c r="AJ58" i="1"/>
  <c r="M11" i="1"/>
  <c r="N11" i="1"/>
  <c r="M10" i="1"/>
  <c r="N10" i="1"/>
  <c r="L8" i="1"/>
  <c r="AQ58" i="1" l="1"/>
  <c r="AR58" i="1"/>
  <c r="BB9" i="1"/>
  <c r="AR8" i="1"/>
  <c r="BB8" i="1" s="1"/>
  <c r="AS8" i="1"/>
  <c r="N8" i="1"/>
  <c r="M8" i="1"/>
  <c r="I176" i="1"/>
  <c r="AA140" i="1" l="1"/>
  <c r="I114" i="1"/>
  <c r="I110" i="1"/>
  <c r="I101" i="1"/>
  <c r="U5" i="1"/>
  <c r="I194" i="1"/>
  <c r="I193" i="1"/>
  <c r="I192" i="1"/>
  <c r="I182" i="1"/>
  <c r="I181" i="1"/>
  <c r="I180" i="1"/>
  <c r="I179" i="1"/>
  <c r="I178" i="1"/>
  <c r="I145" i="1"/>
  <c r="I144" i="1"/>
  <c r="I142" i="1"/>
  <c r="I175" i="1"/>
  <c r="I174" i="1"/>
  <c r="I173" i="1"/>
  <c r="I172" i="1"/>
  <c r="I171" i="1"/>
  <c r="I170" i="1"/>
  <c r="I169" i="1"/>
  <c r="I168" i="1"/>
  <c r="I167" i="1"/>
  <c r="I166" i="1"/>
  <c r="I165" i="1"/>
  <c r="I164" i="1"/>
  <c r="I163" i="1"/>
  <c r="I161" i="1"/>
  <c r="I141" i="1"/>
  <c r="I177" i="1"/>
  <c r="I140" i="1"/>
  <c r="I139" i="1"/>
  <c r="I138" i="1"/>
  <c r="I160" i="1"/>
  <c r="I159" i="1"/>
  <c r="I158" i="1"/>
  <c r="I157" i="1"/>
  <c r="I156" i="1"/>
  <c r="I155" i="1"/>
  <c r="I154" i="1"/>
  <c r="I153" i="1"/>
  <c r="I152" i="1"/>
  <c r="I151" i="1"/>
  <c r="I150" i="1"/>
  <c r="I149" i="1"/>
  <c r="I146" i="1"/>
  <c r="I137" i="1"/>
  <c r="I136" i="1"/>
  <c r="I135" i="1"/>
  <c r="I134" i="1"/>
  <c r="I133" i="1"/>
  <c r="I132" i="1"/>
  <c r="I131" i="1"/>
  <c r="I130" i="1"/>
  <c r="I129" i="1"/>
  <c r="I128" i="1"/>
  <c r="I127" i="1"/>
  <c r="I126" i="1"/>
  <c r="I125" i="1"/>
  <c r="I124" i="1"/>
  <c r="I121" i="1"/>
  <c r="I231" i="1"/>
  <c r="I120" i="1"/>
  <c r="I119" i="1"/>
  <c r="I118" i="1"/>
  <c r="I117" i="1"/>
  <c r="I116" i="1"/>
  <c r="I115" i="1"/>
  <c r="I113" i="1"/>
  <c r="I112" i="1"/>
  <c r="I111" i="1"/>
  <c r="I109" i="1"/>
  <c r="I108" i="1"/>
  <c r="I107" i="1"/>
  <c r="I106" i="1"/>
  <c r="I105" i="1"/>
  <c r="I104" i="1"/>
  <c r="I103" i="1"/>
  <c r="I102" i="1"/>
  <c r="I100" i="1"/>
  <c r="I99" i="1"/>
  <c r="I98" i="1"/>
  <c r="I97" i="1"/>
  <c r="I96" i="1"/>
  <c r="I95" i="1"/>
  <c r="I94" i="1"/>
  <c r="I93" i="1"/>
  <c r="I92" i="1"/>
  <c r="I91" i="1"/>
  <c r="I90" i="1"/>
  <c r="I89" i="1"/>
  <c r="I88" i="1"/>
  <c r="I87" i="1"/>
  <c r="I86" i="1"/>
  <c r="I85" i="1"/>
  <c r="I84" i="1"/>
  <c r="I83" i="1"/>
  <c r="I82" i="1"/>
  <c r="I81"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8" i="1"/>
  <c r="I37" i="1"/>
  <c r="I36" i="1"/>
  <c r="I35" i="1"/>
  <c r="I34" i="1"/>
  <c r="I33" i="1"/>
  <c r="I32" i="1"/>
  <c r="I31" i="1"/>
  <c r="I30" i="1"/>
  <c r="I29" i="1"/>
  <c r="I39" i="1"/>
  <c r="I21" i="1"/>
  <c r="I28" i="1"/>
  <c r="I27" i="1"/>
  <c r="I25" i="1"/>
  <c r="I24" i="1"/>
  <c r="I23" i="1"/>
  <c r="I22" i="1"/>
  <c r="I20" i="1"/>
  <c r="I19" i="1"/>
  <c r="I18" i="1"/>
  <c r="I17" i="1"/>
  <c r="I16" i="1"/>
  <c r="I15" i="1"/>
  <c r="I14" i="1"/>
  <c r="I12" i="1"/>
  <c r="I71" i="1"/>
  <c r="I11" i="1"/>
  <c r="I10" i="1"/>
  <c r="I9" i="1"/>
  <c r="I8" i="1"/>
  <c r="I7" i="1"/>
  <c r="I6" i="1"/>
  <c r="I5" i="1"/>
  <c r="I4" i="1"/>
  <c r="V58" i="1"/>
  <c r="AN58" i="1" s="1"/>
  <c r="U58" i="1"/>
  <c r="AM58" i="1" s="1"/>
  <c r="T58" i="1"/>
  <c r="AL58" i="1" s="1"/>
  <c r="S58" i="1"/>
  <c r="T54" i="1"/>
  <c r="E22" i="6" l="1"/>
  <c r="C25" i="6"/>
  <c r="C21" i="6"/>
  <c r="C24" i="6"/>
  <c r="C23" i="6"/>
  <c r="C22" i="6"/>
  <c r="C4" i="4"/>
  <c r="E4" i="4"/>
  <c r="L4" i="4" s="1"/>
  <c r="AY58" i="1"/>
  <c r="AZ58" i="1"/>
  <c r="AU58" i="1"/>
  <c r="AV58" i="1"/>
  <c r="AW58" i="1"/>
  <c r="AX58" i="1"/>
  <c r="AK58" i="1"/>
  <c r="L58" i="1"/>
  <c r="C15" i="6"/>
  <c r="J15" i="6" s="1"/>
  <c r="C4" i="6"/>
  <c r="J4" i="6" s="1"/>
  <c r="F23" i="4"/>
  <c r="M23" i="4" s="1"/>
  <c r="F19" i="4"/>
  <c r="M19" i="4" s="1"/>
  <c r="F15" i="4"/>
  <c r="M15" i="4" s="1"/>
  <c r="F11" i="4"/>
  <c r="M11" i="4" s="1"/>
  <c r="F10" i="4"/>
  <c r="M10" i="4" s="1"/>
  <c r="F7" i="4"/>
  <c r="M7" i="4" s="1"/>
  <c r="C21" i="4"/>
  <c r="C17" i="4"/>
  <c r="C13" i="4"/>
  <c r="C9" i="4"/>
  <c r="C6" i="4"/>
  <c r="C13" i="6"/>
  <c r="J13" i="6" s="1"/>
  <c r="C3" i="6"/>
  <c r="J3" i="6" s="1"/>
  <c r="C14" i="6"/>
  <c r="J14" i="6" s="1"/>
  <c r="C7" i="6"/>
  <c r="J7" i="6" s="1"/>
  <c r="C5" i="6"/>
  <c r="J5" i="6" s="1"/>
  <c r="F22" i="4"/>
  <c r="M22" i="4" s="1"/>
  <c r="F18" i="4"/>
  <c r="M18" i="4" s="1"/>
  <c r="F14" i="4"/>
  <c r="M14" i="4" s="1"/>
  <c r="F9" i="4"/>
  <c r="M9" i="4" s="1"/>
  <c r="F6" i="4"/>
  <c r="M6" i="4" s="1"/>
  <c r="C20" i="4"/>
  <c r="C16" i="4"/>
  <c r="C12" i="4"/>
  <c r="C8" i="4"/>
  <c r="C5" i="4"/>
  <c r="E21" i="4"/>
  <c r="L21" i="4" s="1"/>
  <c r="F17" i="4"/>
  <c r="M17" i="4" s="1"/>
  <c r="F13" i="4"/>
  <c r="M13" i="4" s="1"/>
  <c r="E8" i="4"/>
  <c r="L8" i="4" s="1"/>
  <c r="C23" i="4"/>
  <c r="C19" i="4"/>
  <c r="C15" i="4"/>
  <c r="C11" i="4"/>
  <c r="C12" i="6"/>
  <c r="J12" i="6" s="1"/>
  <c r="C6" i="6"/>
  <c r="J6" i="6" s="1"/>
  <c r="E16" i="4"/>
  <c r="L16" i="4" s="1"/>
  <c r="F5" i="4"/>
  <c r="M5" i="4" s="1"/>
  <c r="C18" i="4"/>
  <c r="C10" i="4"/>
  <c r="C16" i="6"/>
  <c r="J16" i="6" s="1"/>
  <c r="F20" i="4"/>
  <c r="M20" i="4" s="1"/>
  <c r="F12" i="4"/>
  <c r="C22" i="4"/>
  <c r="C14" i="4"/>
  <c r="C7" i="4"/>
  <c r="AL54" i="1"/>
  <c r="L54" i="1"/>
  <c r="V5" i="1"/>
  <c r="F3" i="6" l="1"/>
  <c r="F5" i="6"/>
  <c r="F14" i="6"/>
  <c r="E23" i="6"/>
  <c r="F23" i="6" s="1"/>
  <c r="F13" i="6"/>
  <c r="D22" i="6"/>
  <c r="F22" i="6" s="1"/>
  <c r="F4" i="6"/>
  <c r="D21" i="6"/>
  <c r="F12" i="6"/>
  <c r="AO54" i="1"/>
  <c r="AU54" i="1"/>
  <c r="BA54" i="1" s="1"/>
  <c r="AV54" i="1"/>
  <c r="BB54" i="1" s="1"/>
  <c r="AO58" i="1"/>
  <c r="AT58" i="1"/>
  <c r="BB58" i="1" s="1"/>
  <c r="AS58" i="1"/>
  <c r="BA58" i="1" s="1"/>
  <c r="M58" i="1"/>
  <c r="N58" i="1"/>
  <c r="M54" i="1"/>
  <c r="N54" i="1"/>
  <c r="S23" i="1"/>
  <c r="R23" i="1"/>
  <c r="AJ23" i="1" s="1"/>
  <c r="S68" i="1"/>
  <c r="AK68" i="1" s="1"/>
  <c r="T68" i="1"/>
  <c r="AL68" i="1" s="1"/>
  <c r="U68" i="1"/>
  <c r="AM68" i="1" s="1"/>
  <c r="V68" i="1"/>
  <c r="AN68" i="1" s="1"/>
  <c r="R68" i="1"/>
  <c r="R63" i="1"/>
  <c r="S66" i="1"/>
  <c r="AK66" i="1" s="1"/>
  <c r="T66" i="1"/>
  <c r="AL66" i="1" s="1"/>
  <c r="U66" i="1"/>
  <c r="AM66" i="1" s="1"/>
  <c r="V66" i="1"/>
  <c r="AN66" i="1" s="1"/>
  <c r="R66" i="1"/>
  <c r="F21" i="6" l="1"/>
  <c r="D26" i="6"/>
  <c r="AJ22" i="1"/>
  <c r="AQ23" i="1"/>
  <c r="AR23" i="1"/>
  <c r="AV66" i="1"/>
  <c r="AU66" i="1"/>
  <c r="AZ68" i="1"/>
  <c r="AY68" i="1"/>
  <c r="AS66" i="1"/>
  <c r="AT66" i="1"/>
  <c r="AW68" i="1"/>
  <c r="AX68" i="1"/>
  <c r="AY66" i="1"/>
  <c r="AZ66" i="1"/>
  <c r="AU68" i="1"/>
  <c r="AV68" i="1"/>
  <c r="AW66" i="1"/>
  <c r="AX66" i="1"/>
  <c r="AS68" i="1"/>
  <c r="AT68" i="1"/>
  <c r="AJ63" i="1"/>
  <c r="L63" i="1"/>
  <c r="AJ68" i="1"/>
  <c r="L68" i="1"/>
  <c r="L23" i="1"/>
  <c r="AJ66" i="1"/>
  <c r="L66" i="1"/>
  <c r="S22" i="1"/>
  <c r="AK23" i="1"/>
  <c r="R22" i="1"/>
  <c r="R71" i="1"/>
  <c r="R7" i="1"/>
  <c r="AJ7" i="1" s="1"/>
  <c r="AJ6" i="1" l="1"/>
  <c r="AJ5" i="1" s="1"/>
  <c r="AR7" i="1"/>
  <c r="AO66" i="1"/>
  <c r="AQ66" i="1"/>
  <c r="BA66" i="1" s="1"/>
  <c r="AR66" i="1"/>
  <c r="AO68" i="1"/>
  <c r="AR68" i="1"/>
  <c r="BB68" i="1" s="1"/>
  <c r="AQ68" i="1"/>
  <c r="BA68" i="1" s="1"/>
  <c r="AT23" i="1"/>
  <c r="AT22" i="1" s="1"/>
  <c r="AS23" i="1"/>
  <c r="AS22" i="1" s="1"/>
  <c r="AQ63" i="1"/>
  <c r="BA63" i="1" s="1"/>
  <c r="AR63" i="1"/>
  <c r="BB63" i="1" s="1"/>
  <c r="AO23" i="1"/>
  <c r="AK22" i="1"/>
  <c r="AO22" i="1" s="1"/>
  <c r="AO63" i="1"/>
  <c r="BB66" i="1"/>
  <c r="M66" i="1"/>
  <c r="N66" i="1"/>
  <c r="M68" i="1"/>
  <c r="N68" i="1"/>
  <c r="AJ71" i="1"/>
  <c r="L71" i="1"/>
  <c r="M23" i="1"/>
  <c r="M22" i="1" s="1"/>
  <c r="N23" i="1"/>
  <c r="N22" i="1" s="1"/>
  <c r="M63" i="1"/>
  <c r="N63" i="1"/>
  <c r="L22" i="1"/>
  <c r="R6" i="1"/>
  <c r="S7" i="1"/>
  <c r="AQ71" i="1" l="1"/>
  <c r="AR71" i="1"/>
  <c r="BB71" i="1" s="1"/>
  <c r="AO71" i="1"/>
  <c r="BB23" i="1"/>
  <c r="AR22" i="1"/>
  <c r="BB22" i="1" s="1"/>
  <c r="M71" i="1"/>
  <c r="N71" i="1"/>
  <c r="R5" i="1"/>
  <c r="S6" i="1"/>
  <c r="AK7" i="1"/>
  <c r="AT7" i="1" s="1"/>
  <c r="T7" i="1"/>
  <c r="AL7" i="1" s="1"/>
  <c r="AL6" i="1" s="1"/>
  <c r="AL5" i="1" s="1"/>
  <c r="AK6" i="1" l="1"/>
  <c r="AO7" i="1"/>
  <c r="BA71" i="1"/>
  <c r="AU7" i="1"/>
  <c r="AU6" i="1" s="1"/>
  <c r="AU5" i="1" s="1"/>
  <c r="AT6" i="1"/>
  <c r="AT5" i="1" s="1"/>
  <c r="AV7" i="1"/>
  <c r="AV6" i="1" s="1"/>
  <c r="AV5" i="1" s="1"/>
  <c r="AS7" i="1"/>
  <c r="AS6" i="1" s="1"/>
  <c r="AS5" i="1" s="1"/>
  <c r="L7" i="1"/>
  <c r="T6" i="1"/>
  <c r="L6" i="1" s="1"/>
  <c r="H15" i="2"/>
  <c r="H18" i="2"/>
  <c r="H4" i="2"/>
  <c r="D7" i="2"/>
  <c r="C7" i="2"/>
  <c r="E5" i="2"/>
  <c r="D5" i="2"/>
  <c r="C3" i="2"/>
  <c r="H3" i="2" s="1"/>
  <c r="BB7" i="1" l="1"/>
  <c r="AR6" i="1"/>
  <c r="AK5" i="1"/>
  <c r="AO6" i="1"/>
  <c r="M7" i="1"/>
  <c r="M6" i="1" s="1"/>
  <c r="M5" i="1" s="1"/>
  <c r="N7" i="1"/>
  <c r="N6" i="1" s="1"/>
  <c r="N5" i="1" s="1"/>
  <c r="T5" i="1"/>
  <c r="G9" i="2"/>
  <c r="G21" i="2" s="1"/>
  <c r="H5" i="2"/>
  <c r="F9" i="2"/>
  <c r="F21" i="2" s="1"/>
  <c r="C19" i="2"/>
  <c r="D19" i="2"/>
  <c r="E9" i="2"/>
  <c r="E21" i="2" s="1"/>
  <c r="H16" i="2"/>
  <c r="C9" i="2"/>
  <c r="D9" i="2"/>
  <c r="D21" i="2" s="1"/>
  <c r="H17" i="2"/>
  <c r="H13" i="2"/>
  <c r="H7" i="2"/>
  <c r="H6" i="2"/>
  <c r="H14" i="2"/>
  <c r="H8" i="2"/>
  <c r="BB6" i="1" l="1"/>
  <c r="AR5" i="1"/>
  <c r="AO5" i="1"/>
  <c r="H9" i="2"/>
  <c r="H21" i="2" s="1"/>
  <c r="H19" i="2"/>
  <c r="C21" i="2"/>
  <c r="S41" i="1"/>
  <c r="BB5" i="1" l="1"/>
  <c r="S40" i="1"/>
  <c r="AK41" i="1"/>
  <c r="T41" i="1"/>
  <c r="R209" i="1"/>
  <c r="R208" i="1"/>
  <c r="R206" i="1"/>
  <c r="R16" i="1"/>
  <c r="AJ16" i="1" s="1"/>
  <c r="R88" i="1"/>
  <c r="R53" i="1"/>
  <c r="R78" i="1"/>
  <c r="AJ78" i="1" s="1"/>
  <c r="S77" i="1"/>
  <c r="L77" i="1" s="1"/>
  <c r="S76" i="1"/>
  <c r="R74" i="1"/>
  <c r="AJ74" i="1" s="1"/>
  <c r="R73" i="1"/>
  <c r="AJ73" i="1" s="1"/>
  <c r="V35" i="1"/>
  <c r="T35" i="1"/>
  <c r="R32" i="1"/>
  <c r="AJ32" i="1" s="1"/>
  <c r="AB246" i="1"/>
  <c r="AB244" i="1"/>
  <c r="S5" i="4" l="1"/>
  <c r="AQ32" i="1"/>
  <c r="AJ31" i="1"/>
  <c r="AR32" i="1"/>
  <c r="AO32" i="1"/>
  <c r="AQ16" i="1"/>
  <c r="AR16" i="1"/>
  <c r="AQ74" i="1"/>
  <c r="AR74" i="1"/>
  <c r="AS41" i="1"/>
  <c r="AS40" i="1" s="1"/>
  <c r="AT41" i="1"/>
  <c r="AR73" i="1"/>
  <c r="AQ73" i="1"/>
  <c r="AQ78" i="1"/>
  <c r="AR78" i="1"/>
  <c r="AK40" i="1"/>
  <c r="L32" i="1"/>
  <c r="L35" i="1"/>
  <c r="AJ88" i="1"/>
  <c r="L88" i="1"/>
  <c r="L53" i="1"/>
  <c r="M53" i="1" s="1"/>
  <c r="AJ53" i="1"/>
  <c r="M77" i="1"/>
  <c r="N77" i="1"/>
  <c r="AK76" i="1"/>
  <c r="R211" i="1"/>
  <c r="R201" i="1" s="1"/>
  <c r="R202" i="1" s="1"/>
  <c r="V211" i="1"/>
  <c r="V201" i="1" s="1"/>
  <c r="V202" i="1" s="1"/>
  <c r="R31" i="1"/>
  <c r="T31" i="1"/>
  <c r="AL35" i="1"/>
  <c r="R85" i="1"/>
  <c r="V31" i="1"/>
  <c r="AN35" i="1"/>
  <c r="AK77" i="1"/>
  <c r="T40" i="1"/>
  <c r="AL41" i="1"/>
  <c r="R15" i="1"/>
  <c r="AJ15" i="1" s="1"/>
  <c r="AJ143" i="1"/>
  <c r="AJ186" i="1"/>
  <c r="AJ189" i="1"/>
  <c r="AJ185" i="1"/>
  <c r="AJ184" i="1"/>
  <c r="AJ188" i="1"/>
  <c r="AJ183" i="1"/>
  <c r="AJ190" i="1"/>
  <c r="AJ187" i="1"/>
  <c r="R61" i="1"/>
  <c r="AJ61" i="1" s="1"/>
  <c r="AB248" i="1"/>
  <c r="AB245" i="1"/>
  <c r="AB247" i="1"/>
  <c r="S5" i="1"/>
  <c r="R56" i="1"/>
  <c r="AJ56" i="1" s="1"/>
  <c r="R55" i="1"/>
  <c r="AJ55" i="1" s="1"/>
  <c r="U41" i="1"/>
  <c r="T211" i="1"/>
  <c r="T201" i="1" s="1"/>
  <c r="T202" i="1" s="1"/>
  <c r="S211" i="1"/>
  <c r="S201" i="1" s="1"/>
  <c r="S202" i="1" s="1"/>
  <c r="U211" i="1"/>
  <c r="U201" i="1" s="1"/>
  <c r="U202" i="1" s="1"/>
  <c r="R224" i="1"/>
  <c r="R19" i="1"/>
  <c r="R17" i="1"/>
  <c r="AJ17" i="1" s="1"/>
  <c r="T76" i="1"/>
  <c r="L76" i="1" s="1"/>
  <c r="R229" i="1"/>
  <c r="AJ192" i="1"/>
  <c r="R230" i="1"/>
  <c r="R57" i="1"/>
  <c r="R141" i="1"/>
  <c r="AJ141" i="1" s="1"/>
  <c r="R193" i="1"/>
  <c r="AJ193" i="1" s="1"/>
  <c r="R212" i="1"/>
  <c r="R127" i="1" s="1"/>
  <c r="R109" i="1"/>
  <c r="AJ109" i="1" s="1"/>
  <c r="R180" i="1"/>
  <c r="AJ180" i="1" s="1"/>
  <c r="R21" i="1"/>
  <c r="AJ21" i="1" s="1"/>
  <c r="R39" i="1"/>
  <c r="R226" i="1"/>
  <c r="R80" i="1"/>
  <c r="AJ80" i="1" s="1"/>
  <c r="R231" i="1"/>
  <c r="R52" i="1"/>
  <c r="AJ52" i="1" s="1"/>
  <c r="R228" i="1"/>
  <c r="R84" i="1"/>
  <c r="AJ84" i="1" s="1"/>
  <c r="R75" i="1"/>
  <c r="AJ75" i="1" s="1"/>
  <c r="S206" i="1"/>
  <c r="T206" i="1" s="1"/>
  <c r="S248" i="1"/>
  <c r="T248" i="1"/>
  <c r="R248" i="1"/>
  <c r="V248" i="1"/>
  <c r="U248" i="1"/>
  <c r="AJ19" i="1" l="1"/>
  <c r="AJ18" i="1" s="1"/>
  <c r="R18" i="1"/>
  <c r="AJ39" i="1"/>
  <c r="AJ36" i="1" s="1"/>
  <c r="AJ30" i="1" s="1"/>
  <c r="R36" i="1"/>
  <c r="R30" i="1" s="1"/>
  <c r="AQ15" i="1"/>
  <c r="AJ14" i="1"/>
  <c r="AR15" i="1"/>
  <c r="AQ17" i="1"/>
  <c r="AR17" i="1"/>
  <c r="AR31" i="1"/>
  <c r="BB32" i="1"/>
  <c r="AQ21" i="1"/>
  <c r="AR21" i="1"/>
  <c r="AQ19" i="1"/>
  <c r="AR19" i="1"/>
  <c r="AQ53" i="1"/>
  <c r="BA53" i="1" s="1"/>
  <c r="AR53" i="1"/>
  <c r="BB53" i="1" s="1"/>
  <c r="AR189" i="1"/>
  <c r="AQ189" i="1"/>
  <c r="AL40" i="1"/>
  <c r="AV41" i="1"/>
  <c r="AV40" i="1" s="1"/>
  <c r="AU41" i="1"/>
  <c r="AU40" i="1" s="1"/>
  <c r="AT76" i="1"/>
  <c r="AS76" i="1"/>
  <c r="AQ75" i="1"/>
  <c r="AR75" i="1"/>
  <c r="AR193" i="1"/>
  <c r="AQ193" i="1"/>
  <c r="AR192" i="1"/>
  <c r="AQ192" i="1"/>
  <c r="AQ61" i="1"/>
  <c r="AR61" i="1"/>
  <c r="AR188" i="1"/>
  <c r="AQ188" i="1"/>
  <c r="AR186" i="1"/>
  <c r="AQ186" i="1"/>
  <c r="AQ109" i="1"/>
  <c r="AR109" i="1"/>
  <c r="AR55" i="1"/>
  <c r="AQ55" i="1"/>
  <c r="AR190" i="1"/>
  <c r="AQ190" i="1"/>
  <c r="AR185" i="1"/>
  <c r="AQ185" i="1"/>
  <c r="AN31" i="1"/>
  <c r="AY35" i="1"/>
  <c r="AY31" i="1" s="1"/>
  <c r="AZ35" i="1"/>
  <c r="AZ31" i="1" s="1"/>
  <c r="AQ52" i="1"/>
  <c r="AR52" i="1"/>
  <c r="AQ56" i="1"/>
  <c r="AR56" i="1"/>
  <c r="AR183" i="1"/>
  <c r="AQ183" i="1"/>
  <c r="AQ84" i="1"/>
  <c r="AR84" i="1"/>
  <c r="AR80" i="1"/>
  <c r="AQ80" i="1"/>
  <c r="AR180" i="1"/>
  <c r="AQ180" i="1"/>
  <c r="AR141" i="1"/>
  <c r="AQ141" i="1"/>
  <c r="AR187" i="1"/>
  <c r="AQ187" i="1"/>
  <c r="AR184" i="1"/>
  <c r="AQ184" i="1"/>
  <c r="AR143" i="1"/>
  <c r="AQ143" i="1"/>
  <c r="AO77" i="1"/>
  <c r="AS77" i="1"/>
  <c r="BA77" i="1" s="1"/>
  <c r="AT77" i="1"/>
  <c r="BB77" i="1" s="1"/>
  <c r="AU35" i="1"/>
  <c r="AU31" i="1" s="1"/>
  <c r="AV35" i="1"/>
  <c r="AV31" i="1" s="1"/>
  <c r="AQ88" i="1"/>
  <c r="AR88" i="1"/>
  <c r="AJ182" i="1"/>
  <c r="AJ60" i="1"/>
  <c r="AR40" i="1"/>
  <c r="AJ191" i="1"/>
  <c r="AJ82" i="1"/>
  <c r="AJ178" i="1"/>
  <c r="AO35" i="1"/>
  <c r="AL31" i="1"/>
  <c r="AO88" i="1"/>
  <c r="AJ85" i="1"/>
  <c r="AJ101" i="1"/>
  <c r="AO53" i="1"/>
  <c r="AJ70" i="1"/>
  <c r="N53" i="1"/>
  <c r="AT40" i="1"/>
  <c r="M35" i="1"/>
  <c r="N35" i="1"/>
  <c r="M32" i="1"/>
  <c r="N32" i="1"/>
  <c r="M88" i="1"/>
  <c r="M85" i="1" s="1"/>
  <c r="N88" i="1"/>
  <c r="N85" i="1" s="1"/>
  <c r="L57" i="1"/>
  <c r="M57" i="1" s="1"/>
  <c r="AJ57" i="1"/>
  <c r="R178" i="1"/>
  <c r="M76" i="1"/>
  <c r="N76" i="1"/>
  <c r="L5" i="1"/>
  <c r="L85" i="1"/>
  <c r="L31" i="1"/>
  <c r="W211" i="1"/>
  <c r="W201" i="1" s="1"/>
  <c r="W202" i="1" s="1"/>
  <c r="R70" i="1"/>
  <c r="R191" i="1"/>
  <c r="R182" i="1"/>
  <c r="R101" i="1"/>
  <c r="R60" i="1"/>
  <c r="U40" i="1"/>
  <c r="AM41" i="1"/>
  <c r="AL76" i="1"/>
  <c r="S189" i="1"/>
  <c r="AK189" i="1" s="1"/>
  <c r="S185" i="1"/>
  <c r="AK185" i="1" s="1"/>
  <c r="S184" i="1"/>
  <c r="AK184" i="1" s="1"/>
  <c r="S188" i="1"/>
  <c r="AK188" i="1" s="1"/>
  <c r="S190" i="1"/>
  <c r="AK190" i="1" s="1"/>
  <c r="S143" i="1"/>
  <c r="S186" i="1"/>
  <c r="AK186" i="1" s="1"/>
  <c r="S183" i="1"/>
  <c r="AK183" i="1" s="1"/>
  <c r="S187" i="1"/>
  <c r="AK187" i="1" s="1"/>
  <c r="R14" i="1"/>
  <c r="R50" i="1"/>
  <c r="R82" i="1"/>
  <c r="S231" i="1"/>
  <c r="S72" i="1"/>
  <c r="S28" i="1"/>
  <c r="S25" i="1"/>
  <c r="S37" i="1"/>
  <c r="S21" i="1"/>
  <c r="AK21" i="1" s="1"/>
  <c r="R221" i="1"/>
  <c r="S47" i="1"/>
  <c r="S56" i="1"/>
  <c r="AK56" i="1" s="1"/>
  <c r="S55" i="1"/>
  <c r="AK55" i="1" s="1"/>
  <c r="V41" i="1"/>
  <c r="L41" i="1" s="1"/>
  <c r="S75" i="1"/>
  <c r="L75" i="1" s="1"/>
  <c r="S17" i="1"/>
  <c r="AK17" i="1" s="1"/>
  <c r="S16" i="1"/>
  <c r="S19" i="1"/>
  <c r="T212" i="1"/>
  <c r="U206" i="1"/>
  <c r="V206" i="1" s="1"/>
  <c r="S212" i="1"/>
  <c r="S52" i="1"/>
  <c r="AK52" i="1" s="1"/>
  <c r="S192" i="1"/>
  <c r="S180" i="1"/>
  <c r="S178" i="1" s="1"/>
  <c r="S84" i="1"/>
  <c r="AK84" i="1" s="1"/>
  <c r="S78" i="1"/>
  <c r="S15" i="1"/>
  <c r="AK15" i="1" s="1"/>
  <c r="S144" i="1"/>
  <c r="S193" i="1"/>
  <c r="AK193" i="1" s="1"/>
  <c r="S109" i="1"/>
  <c r="L109" i="1" s="1"/>
  <c r="S73" i="1"/>
  <c r="S228" i="1"/>
  <c r="S230" i="1"/>
  <c r="L230" i="1" s="1"/>
  <c r="S229" i="1"/>
  <c r="L229" i="1" s="1"/>
  <c r="S141" i="1"/>
  <c r="AK141" i="1" s="1"/>
  <c r="S83" i="1"/>
  <c r="S80" i="1"/>
  <c r="AK80" i="1" s="1"/>
  <c r="S61" i="1"/>
  <c r="S79" i="1"/>
  <c r="S74" i="1"/>
  <c r="S39" i="1"/>
  <c r="AK39" i="1" s="1"/>
  <c r="S226" i="1"/>
  <c r="AR18" i="1" l="1"/>
  <c r="S18" i="1"/>
  <c r="AQ18" i="1"/>
  <c r="AJ13" i="1"/>
  <c r="AJ12" i="1" s="1"/>
  <c r="AQ39" i="1"/>
  <c r="AQ36" i="1" s="1"/>
  <c r="AK143" i="1"/>
  <c r="AT143" i="1" s="1"/>
  <c r="AJ29" i="1"/>
  <c r="S36" i="1"/>
  <c r="AR39" i="1"/>
  <c r="AR36" i="1" s="1"/>
  <c r="AK192" i="1"/>
  <c r="AT192" i="1" s="1"/>
  <c r="AS39" i="1"/>
  <c r="AT39" i="1"/>
  <c r="AT21" i="1"/>
  <c r="AS21" i="1"/>
  <c r="AT185" i="1"/>
  <c r="AS185" i="1"/>
  <c r="AM40" i="1"/>
  <c r="AW41" i="1"/>
  <c r="AW40" i="1" s="1"/>
  <c r="AX41" i="1"/>
  <c r="AX40" i="1" s="1"/>
  <c r="AO57" i="1"/>
  <c r="AQ57" i="1"/>
  <c r="BA57" i="1" s="1"/>
  <c r="AR57" i="1"/>
  <c r="BB57" i="1" s="1"/>
  <c r="AS141" i="1"/>
  <c r="AT141" i="1"/>
  <c r="AS15" i="1"/>
  <c r="AT15" i="1"/>
  <c r="AT183" i="1"/>
  <c r="AS183" i="1"/>
  <c r="AT188" i="1"/>
  <c r="AS188" i="1"/>
  <c r="AS80" i="1"/>
  <c r="AT80" i="1"/>
  <c r="AT193" i="1"/>
  <c r="AS193" i="1"/>
  <c r="AS84" i="1"/>
  <c r="AT84" i="1"/>
  <c r="AS55" i="1"/>
  <c r="AT55" i="1"/>
  <c r="AS17" i="1"/>
  <c r="AT17" i="1"/>
  <c r="AS56" i="1"/>
  <c r="AT56" i="1"/>
  <c r="AT187" i="1"/>
  <c r="AS187" i="1"/>
  <c r="AT190" i="1"/>
  <c r="AS190" i="1"/>
  <c r="AT189" i="1"/>
  <c r="AS189" i="1"/>
  <c r="AR85" i="1"/>
  <c r="BB85" i="1" s="1"/>
  <c r="BB88" i="1"/>
  <c r="AS52" i="1"/>
  <c r="AT52" i="1"/>
  <c r="AT186" i="1"/>
  <c r="AS186" i="1"/>
  <c r="AT184" i="1"/>
  <c r="AS184" i="1"/>
  <c r="AO76" i="1"/>
  <c r="AU76" i="1"/>
  <c r="BA76" i="1" s="1"/>
  <c r="AV76" i="1"/>
  <c r="AQ82" i="1"/>
  <c r="AQ182" i="1"/>
  <c r="AK182" i="1"/>
  <c r="AQ101" i="1"/>
  <c r="AQ191" i="1"/>
  <c r="AQ70" i="1"/>
  <c r="AJ50" i="1"/>
  <c r="AJ81" i="1"/>
  <c r="AO85" i="1"/>
  <c r="AK50" i="1"/>
  <c r="BB35" i="1"/>
  <c r="AT31" i="1"/>
  <c r="BA88" i="1"/>
  <c r="AQ85" i="1"/>
  <c r="BA85" i="1" s="1"/>
  <c r="AQ60" i="1"/>
  <c r="AJ181" i="1"/>
  <c r="AO31" i="1"/>
  <c r="AQ178" i="1"/>
  <c r="N31" i="1"/>
  <c r="M31" i="1"/>
  <c r="N57" i="1"/>
  <c r="AK144" i="1"/>
  <c r="AK25" i="1"/>
  <c r="M75" i="1"/>
  <c r="N75" i="1"/>
  <c r="M109" i="1"/>
  <c r="M101" i="1" s="1"/>
  <c r="N109" i="1"/>
  <c r="N101" i="1" s="1"/>
  <c r="AK79" i="1"/>
  <c r="AK73" i="1"/>
  <c r="AK78" i="1"/>
  <c r="AK74" i="1"/>
  <c r="AK16" i="1"/>
  <c r="M41" i="1"/>
  <c r="M40" i="1" s="1"/>
  <c r="N41" i="1"/>
  <c r="N40" i="1" s="1"/>
  <c r="H35" i="4" s="1"/>
  <c r="I35" i="4" s="1"/>
  <c r="R29" i="1"/>
  <c r="AK28" i="1"/>
  <c r="R13" i="1"/>
  <c r="AK72" i="1"/>
  <c r="S70" i="1"/>
  <c r="R181" i="1"/>
  <c r="S101" i="1"/>
  <c r="AK109" i="1"/>
  <c r="AK19" i="1"/>
  <c r="AK18" i="1" s="1"/>
  <c r="S82" i="1"/>
  <c r="AK83" i="1"/>
  <c r="AK180" i="1"/>
  <c r="S60" i="1"/>
  <c r="AK61" i="1"/>
  <c r="AK75" i="1"/>
  <c r="S45" i="1"/>
  <c r="AK47" i="1"/>
  <c r="AK37" i="1"/>
  <c r="AK36" i="1" s="1"/>
  <c r="R81" i="1"/>
  <c r="V40" i="1"/>
  <c r="AN41" i="1"/>
  <c r="R49" i="1"/>
  <c r="S50" i="1"/>
  <c r="S182" i="1"/>
  <c r="S191" i="1"/>
  <c r="S24" i="1"/>
  <c r="T188" i="1"/>
  <c r="AL188" i="1" s="1"/>
  <c r="T183" i="1"/>
  <c r="AL183" i="1" s="1"/>
  <c r="T186" i="1"/>
  <c r="T189" i="1"/>
  <c r="AL189" i="1" s="1"/>
  <c r="T184" i="1"/>
  <c r="T190" i="1"/>
  <c r="AL190" i="1" s="1"/>
  <c r="T187" i="1"/>
  <c r="AL187" i="1" s="1"/>
  <c r="T143" i="1"/>
  <c r="T185" i="1"/>
  <c r="AL185" i="1" s="1"/>
  <c r="S14" i="1"/>
  <c r="T27" i="1"/>
  <c r="T72" i="1"/>
  <c r="T28" i="1"/>
  <c r="AL28" i="1" s="1"/>
  <c r="T47" i="1"/>
  <c r="T25" i="1"/>
  <c r="AL25" i="1" s="1"/>
  <c r="T37" i="1"/>
  <c r="T46" i="1"/>
  <c r="T15" i="1"/>
  <c r="T21" i="1"/>
  <c r="AL21" i="1" s="1"/>
  <c r="S221" i="1"/>
  <c r="L231" i="1"/>
  <c r="T56" i="1"/>
  <c r="AL56" i="1" s="1"/>
  <c r="T55" i="1"/>
  <c r="AL55" i="1" s="1"/>
  <c r="T16" i="1"/>
  <c r="AL16" i="1" s="1"/>
  <c r="T17" i="1"/>
  <c r="AL17" i="1" s="1"/>
  <c r="U212" i="1"/>
  <c r="U204" i="1"/>
  <c r="T52" i="1"/>
  <c r="AL52" i="1" s="1"/>
  <c r="T73" i="1"/>
  <c r="AL73" i="1" s="1"/>
  <c r="T180" i="1"/>
  <c r="T178" i="1" s="1"/>
  <c r="T84" i="1"/>
  <c r="T78" i="1"/>
  <c r="AL78" i="1" s="1"/>
  <c r="T83" i="1"/>
  <c r="AL83" i="1" s="1"/>
  <c r="T80" i="1"/>
  <c r="AL80" i="1" s="1"/>
  <c r="T61" i="1"/>
  <c r="T79" i="1"/>
  <c r="AL79" i="1" s="1"/>
  <c r="T74" i="1"/>
  <c r="AL74" i="1" s="1"/>
  <c r="T39" i="1"/>
  <c r="AL39" i="1" s="1"/>
  <c r="T192" i="1"/>
  <c r="AL192" i="1" s="1"/>
  <c r="T144" i="1"/>
  <c r="AL144" i="1" s="1"/>
  <c r="T226" i="1"/>
  <c r="T221" i="1" s="1"/>
  <c r="T19" i="1"/>
  <c r="T193" i="1"/>
  <c r="AL193" i="1" s="1"/>
  <c r="T141" i="1"/>
  <c r="AL141" i="1" s="1"/>
  <c r="V212" i="1"/>
  <c r="AJ4" i="1" l="1"/>
  <c r="T18" i="1"/>
  <c r="AK191" i="1"/>
  <c r="AS143" i="1"/>
  <c r="AS192" i="1"/>
  <c r="AS191" i="1" s="1"/>
  <c r="AL143" i="1"/>
  <c r="AV143" i="1" s="1"/>
  <c r="T36" i="1"/>
  <c r="AU80" i="1"/>
  <c r="AV80" i="1"/>
  <c r="AU56" i="1"/>
  <c r="AV56" i="1"/>
  <c r="AU21" i="1"/>
  <c r="AV21" i="1"/>
  <c r="AU25" i="1"/>
  <c r="AV25" i="1"/>
  <c r="AV189" i="1"/>
  <c r="AU189" i="1"/>
  <c r="AS37" i="1"/>
  <c r="AS36" i="1" s="1"/>
  <c r="AS30" i="1" s="1"/>
  <c r="AT37" i="1"/>
  <c r="AT36" i="1" s="1"/>
  <c r="AO75" i="1"/>
  <c r="AS75" i="1"/>
  <c r="BA75" i="1" s="1"/>
  <c r="AT75" i="1"/>
  <c r="BB75" i="1" s="1"/>
  <c r="AS83" i="1"/>
  <c r="AT83" i="1"/>
  <c r="AT109" i="1"/>
  <c r="AT101" i="1" s="1"/>
  <c r="AS109" i="1"/>
  <c r="AT72" i="1"/>
  <c r="AS72" i="1"/>
  <c r="AU74" i="1"/>
  <c r="AV74" i="1"/>
  <c r="AU83" i="1"/>
  <c r="AV83" i="1"/>
  <c r="AU73" i="1"/>
  <c r="AV73" i="1"/>
  <c r="AV17" i="1"/>
  <c r="AU17" i="1"/>
  <c r="AV141" i="1"/>
  <c r="AU141" i="1"/>
  <c r="AV79" i="1"/>
  <c r="AU79" i="1"/>
  <c r="AV28" i="1"/>
  <c r="AU28" i="1"/>
  <c r="AV183" i="1"/>
  <c r="AU183" i="1"/>
  <c r="AT19" i="1"/>
  <c r="AT18" i="1" s="1"/>
  <c r="AS19" i="1"/>
  <c r="AS18" i="1" s="1"/>
  <c r="AS28" i="1"/>
  <c r="AT28" i="1"/>
  <c r="AS79" i="1"/>
  <c r="AT79" i="1"/>
  <c r="AK181" i="1"/>
  <c r="AV39" i="1"/>
  <c r="AU39" i="1"/>
  <c r="AS78" i="1"/>
  <c r="AT78" i="1"/>
  <c r="AT144" i="1"/>
  <c r="AS144" i="1"/>
  <c r="AV187" i="1"/>
  <c r="AU187" i="1"/>
  <c r="AN40" i="1"/>
  <c r="AZ41" i="1"/>
  <c r="AZ40" i="1" s="1"/>
  <c r="BB40" i="1" s="1"/>
  <c r="AY41" i="1"/>
  <c r="AY40" i="1" s="1"/>
  <c r="AS61" i="1"/>
  <c r="AT61" i="1"/>
  <c r="AS73" i="1"/>
  <c r="AT73" i="1"/>
  <c r="AU144" i="1"/>
  <c r="AV144" i="1"/>
  <c r="AU78" i="1"/>
  <c r="AV78" i="1"/>
  <c r="AU52" i="1"/>
  <c r="AV52" i="1"/>
  <c r="AU16" i="1"/>
  <c r="AV16" i="1"/>
  <c r="AV190" i="1"/>
  <c r="AU190" i="1"/>
  <c r="AT47" i="1"/>
  <c r="AS47" i="1"/>
  <c r="AK14" i="1"/>
  <c r="AT16" i="1"/>
  <c r="AS16" i="1"/>
  <c r="AS14" i="1" s="1"/>
  <c r="AV193" i="1"/>
  <c r="AU193" i="1"/>
  <c r="AV192" i="1"/>
  <c r="AU192" i="1"/>
  <c r="AU55" i="1"/>
  <c r="AV55" i="1"/>
  <c r="AV185" i="1"/>
  <c r="AU185" i="1"/>
  <c r="AV188" i="1"/>
  <c r="AU188" i="1"/>
  <c r="AT180" i="1"/>
  <c r="AS180" i="1"/>
  <c r="AS74" i="1"/>
  <c r="AT74" i="1"/>
  <c r="AT25" i="1"/>
  <c r="AS25" i="1"/>
  <c r="BB76" i="1"/>
  <c r="AS50" i="1"/>
  <c r="AR191" i="1"/>
  <c r="AK82" i="1"/>
  <c r="AK101" i="1"/>
  <c r="AO101" i="1" s="1"/>
  <c r="AO109" i="1"/>
  <c r="AK70" i="1"/>
  <c r="AR50" i="1"/>
  <c r="AQ50" i="1"/>
  <c r="AJ49" i="1"/>
  <c r="AK178" i="1"/>
  <c r="AR182" i="1"/>
  <c r="AO41" i="1"/>
  <c r="BB31" i="1"/>
  <c r="AL191" i="1"/>
  <c r="AK24" i="1"/>
  <c r="AK60" i="1"/>
  <c r="AK49" i="1" s="1"/>
  <c r="AL50" i="1"/>
  <c r="AK45" i="1"/>
  <c r="AS182" i="1"/>
  <c r="AQ181" i="1"/>
  <c r="AQ81" i="1"/>
  <c r="AL15" i="1"/>
  <c r="AL84" i="1"/>
  <c r="AL184" i="1"/>
  <c r="AL186" i="1"/>
  <c r="AL46" i="1"/>
  <c r="AL27" i="1"/>
  <c r="L40" i="1"/>
  <c r="R12" i="1"/>
  <c r="R4" i="1" s="1"/>
  <c r="L101" i="1"/>
  <c r="AL72" i="1"/>
  <c r="T70" i="1"/>
  <c r="S30" i="1"/>
  <c r="T60" i="1"/>
  <c r="AL61" i="1"/>
  <c r="AL19" i="1"/>
  <c r="AL18" i="1" s="1"/>
  <c r="AL180" i="1"/>
  <c r="S81" i="1"/>
  <c r="AL37" i="1"/>
  <c r="AL36" i="1" s="1"/>
  <c r="R48" i="1"/>
  <c r="U47" i="1"/>
  <c r="AL47" i="1"/>
  <c r="S13" i="1"/>
  <c r="S49" i="1"/>
  <c r="U16" i="1"/>
  <c r="AM16" i="1" s="1"/>
  <c r="V204" i="1"/>
  <c r="V16" i="1" s="1"/>
  <c r="AN16" i="1" s="1"/>
  <c r="S181" i="1"/>
  <c r="T182" i="1"/>
  <c r="T191" i="1"/>
  <c r="U190" i="1"/>
  <c r="AM190" i="1" s="1"/>
  <c r="U187" i="1"/>
  <c r="AM187" i="1" s="1"/>
  <c r="U143" i="1"/>
  <c r="U186" i="1"/>
  <c r="AM186" i="1" s="1"/>
  <c r="U189" i="1"/>
  <c r="U184" i="1"/>
  <c r="AM184" i="1" s="1"/>
  <c r="U185" i="1"/>
  <c r="U188" i="1"/>
  <c r="AM188" i="1" s="1"/>
  <c r="U183" i="1"/>
  <c r="AM183" i="1" s="1"/>
  <c r="T14" i="1"/>
  <c r="T50" i="1"/>
  <c r="T45" i="1"/>
  <c r="T82" i="1"/>
  <c r="T24" i="1"/>
  <c r="U25" i="1"/>
  <c r="U28" i="1"/>
  <c r="AM28" i="1" s="1"/>
  <c r="U27" i="1"/>
  <c r="AM27" i="1" s="1"/>
  <c r="U72" i="1"/>
  <c r="U46" i="1"/>
  <c r="U15" i="1"/>
  <c r="AM15" i="1" s="1"/>
  <c r="U37" i="1"/>
  <c r="U56" i="1"/>
  <c r="U55" i="1"/>
  <c r="AM55" i="1" s="1"/>
  <c r="U17" i="1"/>
  <c r="AM17" i="1" s="1"/>
  <c r="U52" i="1"/>
  <c r="AM52" i="1" s="1"/>
  <c r="U74" i="1"/>
  <c r="AM74" i="1" s="1"/>
  <c r="U180" i="1"/>
  <c r="U226" i="1"/>
  <c r="U221" i="1" s="1"/>
  <c r="U39" i="1"/>
  <c r="U83" i="1"/>
  <c r="AM83" i="1" s="1"/>
  <c r="U144" i="1"/>
  <c r="U84" i="1"/>
  <c r="AM84" i="1" s="1"/>
  <c r="U73" i="1"/>
  <c r="AM73" i="1" s="1"/>
  <c r="U79" i="1"/>
  <c r="AM79" i="1" s="1"/>
  <c r="U192" i="1"/>
  <c r="AM192" i="1" s="1"/>
  <c r="U19" i="1"/>
  <c r="U80" i="1"/>
  <c r="AM80" i="1" s="1"/>
  <c r="U141" i="1"/>
  <c r="AM141" i="1" s="1"/>
  <c r="U78" i="1"/>
  <c r="AM78" i="1" s="1"/>
  <c r="U61" i="1"/>
  <c r="U193" i="1"/>
  <c r="AM193" i="1" s="1"/>
  <c r="U21" i="1"/>
  <c r="AM21" i="1" s="1"/>
  <c r="U18" i="1" l="1"/>
  <c r="AU143" i="1"/>
  <c r="AS181" i="1"/>
  <c r="U36" i="1"/>
  <c r="AS13" i="1"/>
  <c r="AS12" i="1" s="1"/>
  <c r="AK13" i="1"/>
  <c r="AK12" i="1" s="1"/>
  <c r="AO40" i="1"/>
  <c r="AX21" i="1"/>
  <c r="AW21" i="1"/>
  <c r="AW79" i="1"/>
  <c r="AX79" i="1"/>
  <c r="AX74" i="1"/>
  <c r="AW74" i="1"/>
  <c r="AL178" i="1"/>
  <c r="AV180" i="1"/>
  <c r="AV178" i="1" s="1"/>
  <c r="AU180" i="1"/>
  <c r="AU178" i="1" s="1"/>
  <c r="AL70" i="1"/>
  <c r="AU72" i="1"/>
  <c r="AU70" i="1" s="1"/>
  <c r="AV72" i="1"/>
  <c r="AV70" i="1" s="1"/>
  <c r="AU27" i="1"/>
  <c r="AU24" i="1" s="1"/>
  <c r="AV27" i="1"/>
  <c r="AV24" i="1" s="1"/>
  <c r="AV84" i="1"/>
  <c r="AV82" i="1" s="1"/>
  <c r="AV81" i="1" s="1"/>
  <c r="AU84" i="1"/>
  <c r="AU82" i="1" s="1"/>
  <c r="AU81" i="1" s="1"/>
  <c r="AX193" i="1"/>
  <c r="AW193" i="1"/>
  <c r="AW80" i="1"/>
  <c r="AX80" i="1"/>
  <c r="AW73" i="1"/>
  <c r="AX73" i="1"/>
  <c r="AX52" i="1"/>
  <c r="AW52" i="1"/>
  <c r="AX27" i="1"/>
  <c r="AW27" i="1"/>
  <c r="AX184" i="1"/>
  <c r="AW184" i="1"/>
  <c r="AX187" i="1"/>
  <c r="AW187" i="1"/>
  <c r="AL30" i="1"/>
  <c r="AV37" i="1"/>
  <c r="AU37" i="1"/>
  <c r="AU36" i="1" s="1"/>
  <c r="AU30" i="1" s="1"/>
  <c r="AU19" i="1"/>
  <c r="AU18" i="1" s="1"/>
  <c r="AV19" i="1"/>
  <c r="AV18" i="1" s="1"/>
  <c r="AV46" i="1"/>
  <c r="AU46" i="1"/>
  <c r="AV15" i="1"/>
  <c r="AV14" i="1" s="1"/>
  <c r="AU15" i="1"/>
  <c r="AU14" i="1" s="1"/>
  <c r="AX78" i="1"/>
  <c r="AW78" i="1"/>
  <c r="AM191" i="1"/>
  <c r="AX192" i="1"/>
  <c r="AW192" i="1"/>
  <c r="AW55" i="1"/>
  <c r="AX55" i="1"/>
  <c r="AX188" i="1"/>
  <c r="AW188" i="1"/>
  <c r="AX186" i="1"/>
  <c r="AW186" i="1"/>
  <c r="AX16" i="1"/>
  <c r="AW16" i="1"/>
  <c r="AL60" i="1"/>
  <c r="AL49" i="1" s="1"/>
  <c r="AU61" i="1"/>
  <c r="AU60" i="1" s="1"/>
  <c r="AV61" i="1"/>
  <c r="AV60" i="1" s="1"/>
  <c r="AV184" i="1"/>
  <c r="AU184" i="1"/>
  <c r="AW141" i="1"/>
  <c r="AX141" i="1"/>
  <c r="AM82" i="1"/>
  <c r="AM81" i="1" s="1"/>
  <c r="AX83" i="1"/>
  <c r="AW83" i="1"/>
  <c r="AW84" i="1"/>
  <c r="AX84" i="1"/>
  <c r="AW17" i="1"/>
  <c r="AX17" i="1"/>
  <c r="AW15" i="1"/>
  <c r="AX15" i="1"/>
  <c r="AW28" i="1"/>
  <c r="AX28" i="1"/>
  <c r="AX183" i="1"/>
  <c r="AW183" i="1"/>
  <c r="AX190" i="1"/>
  <c r="AW190" i="1"/>
  <c r="AO16" i="1"/>
  <c r="AY16" i="1"/>
  <c r="AZ16" i="1"/>
  <c r="AU47" i="1"/>
  <c r="AV47" i="1"/>
  <c r="AV186" i="1"/>
  <c r="AU186" i="1"/>
  <c r="AL182" i="1"/>
  <c r="AS24" i="1"/>
  <c r="AV50" i="1"/>
  <c r="AL45" i="1"/>
  <c r="AL14" i="1"/>
  <c r="AS70" i="1"/>
  <c r="AS82" i="1"/>
  <c r="AS45" i="1"/>
  <c r="AS29" i="1" s="1"/>
  <c r="AS178" i="1"/>
  <c r="AV191" i="1"/>
  <c r="AT50" i="1"/>
  <c r="BB41" i="1"/>
  <c r="AK30" i="1"/>
  <c r="AR82" i="1"/>
  <c r="AR178" i="1"/>
  <c r="AU191" i="1"/>
  <c r="AM14" i="1"/>
  <c r="BB109" i="1"/>
  <c r="AR101" i="1"/>
  <c r="BB101" i="1" s="1"/>
  <c r="AR60" i="1"/>
  <c r="AR49" i="1" s="1"/>
  <c r="AU50" i="1"/>
  <c r="AQ49" i="1"/>
  <c r="AL24" i="1"/>
  <c r="AR70" i="1"/>
  <c r="AR45" i="1"/>
  <c r="AR181" i="1"/>
  <c r="AS101" i="1"/>
  <c r="BA101" i="1" s="1"/>
  <c r="BA109" i="1"/>
  <c r="AS60" i="1"/>
  <c r="AR24" i="1"/>
  <c r="AT191" i="1"/>
  <c r="AL82" i="1"/>
  <c r="AL81" i="1" s="1"/>
  <c r="AJ48" i="1"/>
  <c r="AK81" i="1"/>
  <c r="AR14" i="1"/>
  <c r="AT60" i="1"/>
  <c r="AT30" i="1"/>
  <c r="AT70" i="1"/>
  <c r="AT178" i="1"/>
  <c r="AT182" i="1"/>
  <c r="U178" i="1"/>
  <c r="AM56" i="1"/>
  <c r="AM39" i="1"/>
  <c r="AM144" i="1"/>
  <c r="AM25" i="1"/>
  <c r="AM185" i="1"/>
  <c r="AM143" i="1"/>
  <c r="AM189" i="1"/>
  <c r="L16" i="1"/>
  <c r="AM72" i="1"/>
  <c r="U70" i="1"/>
  <c r="T30" i="1"/>
  <c r="S29" i="1"/>
  <c r="S48" i="1"/>
  <c r="S12" i="1"/>
  <c r="S4" i="1" s="1"/>
  <c r="U45" i="1"/>
  <c r="AM46" i="1"/>
  <c r="U60" i="1"/>
  <c r="AM61" i="1"/>
  <c r="AM19" i="1"/>
  <c r="AM18" i="1" s="1"/>
  <c r="AM37" i="1"/>
  <c r="AM180" i="1"/>
  <c r="T49" i="1"/>
  <c r="T81" i="1"/>
  <c r="T13" i="1"/>
  <c r="V47" i="1"/>
  <c r="L47" i="1" s="1"/>
  <c r="AM47" i="1"/>
  <c r="T181" i="1"/>
  <c r="U182" i="1"/>
  <c r="U191" i="1"/>
  <c r="V143" i="1"/>
  <c r="V186" i="1"/>
  <c r="L186" i="1" s="1"/>
  <c r="V185" i="1"/>
  <c r="L185" i="1" s="1"/>
  <c r="V190" i="1"/>
  <c r="L190" i="1" s="1"/>
  <c r="V187" i="1"/>
  <c r="L187" i="1" s="1"/>
  <c r="V189" i="1"/>
  <c r="L189" i="1" s="1"/>
  <c r="V184" i="1"/>
  <c r="L184" i="1" s="1"/>
  <c r="V188" i="1"/>
  <c r="L188" i="1" s="1"/>
  <c r="V183" i="1"/>
  <c r="L183" i="1" s="1"/>
  <c r="U82" i="1"/>
  <c r="U14" i="1"/>
  <c r="U24" i="1"/>
  <c r="U50" i="1"/>
  <c r="V72" i="1"/>
  <c r="L72" i="1" s="1"/>
  <c r="V28" i="1"/>
  <c r="L28" i="1" s="1"/>
  <c r="V27" i="1"/>
  <c r="L27" i="1" s="1"/>
  <c r="V25" i="1"/>
  <c r="L25" i="1" s="1"/>
  <c r="V46" i="1"/>
  <c r="L46" i="1" s="1"/>
  <c r="V15" i="1"/>
  <c r="V37" i="1"/>
  <c r="V56" i="1"/>
  <c r="L56" i="1" s="1"/>
  <c r="V55" i="1"/>
  <c r="L55" i="1" s="1"/>
  <c r="V17" i="1"/>
  <c r="V52" i="1"/>
  <c r="AN52" i="1" s="1"/>
  <c r="V83" i="1"/>
  <c r="V78" i="1"/>
  <c r="L78" i="1" s="1"/>
  <c r="V80" i="1"/>
  <c r="L80" i="1" s="1"/>
  <c r="V73" i="1"/>
  <c r="L73" i="1" s="1"/>
  <c r="V141" i="1"/>
  <c r="AN141" i="1" s="1"/>
  <c r="V74" i="1"/>
  <c r="L74" i="1" s="1"/>
  <c r="V193" i="1"/>
  <c r="L193" i="1" s="1"/>
  <c r="M193" i="1" s="1"/>
  <c r="V192" i="1"/>
  <c r="AN192" i="1" s="1"/>
  <c r="V61" i="1"/>
  <c r="L61" i="1" s="1"/>
  <c r="V19" i="1"/>
  <c r="V79" i="1"/>
  <c r="L79" i="1" s="1"/>
  <c r="V21" i="1"/>
  <c r="AN21" i="1" s="1"/>
  <c r="V180" i="1"/>
  <c r="V178" i="1" s="1"/>
  <c r="V39" i="1"/>
  <c r="AN39" i="1" s="1"/>
  <c r="V226" i="1"/>
  <c r="V221" i="1" s="1"/>
  <c r="L221" i="1" s="1"/>
  <c r="V84" i="1"/>
  <c r="L84" i="1" s="1"/>
  <c r="V144" i="1"/>
  <c r="L144" i="1" s="1"/>
  <c r="AK4" i="1" l="1"/>
  <c r="V18" i="1"/>
  <c r="L18" i="1" s="1"/>
  <c r="AS4" i="1"/>
  <c r="AL181" i="1"/>
  <c r="AV182" i="1"/>
  <c r="AV181" i="1" s="1"/>
  <c r="L143" i="1"/>
  <c r="M143" i="1" s="1"/>
  <c r="AM36" i="1"/>
  <c r="AN37" i="1"/>
  <c r="AN36" i="1" s="1"/>
  <c r="AN30" i="1" s="1"/>
  <c r="V36" i="1"/>
  <c r="L36" i="1" s="1"/>
  <c r="AV36" i="1"/>
  <c r="AV30" i="1" s="1"/>
  <c r="AT181" i="1"/>
  <c r="L192" i="1"/>
  <c r="AK48" i="1"/>
  <c r="AZ39" i="1"/>
  <c r="AY39" i="1"/>
  <c r="AM178" i="1"/>
  <c r="AX180" i="1"/>
  <c r="AX178" i="1" s="1"/>
  <c r="AW180" i="1"/>
  <c r="AW178" i="1" s="1"/>
  <c r="AX189" i="1"/>
  <c r="AW189" i="1"/>
  <c r="AX144" i="1"/>
  <c r="AW144" i="1"/>
  <c r="AO141" i="1"/>
  <c r="AZ141" i="1"/>
  <c r="BB141" i="1" s="1"/>
  <c r="AY141" i="1"/>
  <c r="BA141" i="1" s="1"/>
  <c r="AW37" i="1"/>
  <c r="AX37" i="1"/>
  <c r="AM60" i="1"/>
  <c r="AX61" i="1"/>
  <c r="AX60" i="1" s="1"/>
  <c r="AW61" i="1"/>
  <c r="AW60" i="1" s="1"/>
  <c r="AX143" i="1"/>
  <c r="AW143" i="1"/>
  <c r="AW39" i="1"/>
  <c r="AX39" i="1"/>
  <c r="AY21" i="1"/>
  <c r="AZ21" i="1"/>
  <c r="AZ192" i="1"/>
  <c r="BB192" i="1" s="1"/>
  <c r="AY192" i="1"/>
  <c r="AY52" i="1"/>
  <c r="AZ52" i="1"/>
  <c r="BB52" i="1" s="1"/>
  <c r="AM70" i="1"/>
  <c r="AW72" i="1"/>
  <c r="AW70" i="1" s="1"/>
  <c r="AX72" i="1"/>
  <c r="AX70" i="1" s="1"/>
  <c r="AX185" i="1"/>
  <c r="AW185" i="1"/>
  <c r="AM50" i="1"/>
  <c r="AX56" i="1"/>
  <c r="AX50" i="1" s="1"/>
  <c r="AW56" i="1"/>
  <c r="AW50" i="1" s="1"/>
  <c r="AL29" i="1"/>
  <c r="AX47" i="1"/>
  <c r="AW47" i="1"/>
  <c r="AM13" i="1"/>
  <c r="AM12" i="1" s="1"/>
  <c r="AX19" i="1"/>
  <c r="AX18" i="1" s="1"/>
  <c r="AW19" i="1"/>
  <c r="AW18" i="1" s="1"/>
  <c r="AW46" i="1"/>
  <c r="AW45" i="1" s="1"/>
  <c r="AX46" i="1"/>
  <c r="AX25" i="1"/>
  <c r="AW25" i="1"/>
  <c r="AW24" i="1" s="1"/>
  <c r="AW14" i="1"/>
  <c r="BB16" i="1"/>
  <c r="AV13" i="1"/>
  <c r="AV12" i="1" s="1"/>
  <c r="AV4" i="1" s="1"/>
  <c r="AM182" i="1"/>
  <c r="AT45" i="1"/>
  <c r="AT29" i="1" s="1"/>
  <c r="AR13" i="1"/>
  <c r="AT82" i="1"/>
  <c r="AT81" i="1" s="1"/>
  <c r="AT24" i="1"/>
  <c r="AK29" i="1"/>
  <c r="AS81" i="1"/>
  <c r="AX14" i="1"/>
  <c r="AT14" i="1"/>
  <c r="AT13" i="1" s="1"/>
  <c r="AT12" i="1" s="1"/>
  <c r="AT4" i="1" s="1"/>
  <c r="AU45" i="1"/>
  <c r="AU29" i="1" s="1"/>
  <c r="AO192" i="1"/>
  <c r="AU49" i="1"/>
  <c r="AU48" i="1" s="1"/>
  <c r="AO21" i="1"/>
  <c r="AR30" i="1"/>
  <c r="AV49" i="1"/>
  <c r="AV48" i="1" s="1"/>
  <c r="AW191" i="1"/>
  <c r="AU13" i="1"/>
  <c r="AU12" i="1" s="1"/>
  <c r="AU4" i="1" s="1"/>
  <c r="AX82" i="1"/>
  <c r="AX81" i="1" s="1"/>
  <c r="AS49" i="1"/>
  <c r="AQ48" i="1"/>
  <c r="AL13" i="1"/>
  <c r="AM45" i="1"/>
  <c r="AM24" i="1"/>
  <c r="AO39" i="1"/>
  <c r="AX191" i="1"/>
  <c r="AV45" i="1"/>
  <c r="AW82" i="1"/>
  <c r="AW81" i="1" s="1"/>
  <c r="AO52" i="1"/>
  <c r="AL48" i="1"/>
  <c r="AU182" i="1"/>
  <c r="AR81" i="1"/>
  <c r="AR48" i="1" s="1"/>
  <c r="AT49" i="1"/>
  <c r="L178" i="1"/>
  <c r="T29" i="1"/>
  <c r="L37" i="1"/>
  <c r="N37" i="1" s="1"/>
  <c r="L39" i="1"/>
  <c r="M39" i="1" s="1"/>
  <c r="M84" i="1"/>
  <c r="N84" i="1"/>
  <c r="M56" i="1"/>
  <c r="N56" i="1"/>
  <c r="M186" i="1"/>
  <c r="N186" i="1"/>
  <c r="N193" i="1"/>
  <c r="M189" i="1"/>
  <c r="N189" i="1"/>
  <c r="M79" i="1"/>
  <c r="N79" i="1"/>
  <c r="M27" i="1"/>
  <c r="N27" i="1"/>
  <c r="M78" i="1"/>
  <c r="N78" i="1"/>
  <c r="M188" i="1"/>
  <c r="N188" i="1"/>
  <c r="M73" i="1"/>
  <c r="N73" i="1"/>
  <c r="M25" i="1"/>
  <c r="N25" i="1"/>
  <c r="M144" i="1"/>
  <c r="N144" i="1"/>
  <c r="M46" i="1"/>
  <c r="N46" i="1"/>
  <c r="M185" i="1"/>
  <c r="N185" i="1"/>
  <c r="M187" i="1"/>
  <c r="N187" i="1"/>
  <c r="M72" i="1"/>
  <c r="N72" i="1"/>
  <c r="L21" i="1"/>
  <c r="L141" i="1"/>
  <c r="L180" i="1"/>
  <c r="AN19" i="1"/>
  <c r="AN18" i="1" s="1"/>
  <c r="L19" i="1"/>
  <c r="M74" i="1"/>
  <c r="N74" i="1"/>
  <c r="AN17" i="1"/>
  <c r="L17" i="1"/>
  <c r="AN15" i="1"/>
  <c r="L15" i="1"/>
  <c r="M190" i="1"/>
  <c r="N190" i="1"/>
  <c r="L52" i="1"/>
  <c r="M16" i="1"/>
  <c r="N16" i="1"/>
  <c r="M183" i="1"/>
  <c r="N183" i="1"/>
  <c r="M55" i="1"/>
  <c r="N55" i="1"/>
  <c r="M80" i="1"/>
  <c r="N80" i="1"/>
  <c r="M61" i="1"/>
  <c r="M60" i="1" s="1"/>
  <c r="N61" i="1"/>
  <c r="N60" i="1" s="1"/>
  <c r="AN83" i="1"/>
  <c r="L83" i="1"/>
  <c r="M184" i="1"/>
  <c r="N184" i="1"/>
  <c r="M47" i="1"/>
  <c r="N47" i="1"/>
  <c r="M28" i="1"/>
  <c r="N28" i="1"/>
  <c r="U30" i="1"/>
  <c r="AN72" i="1"/>
  <c r="V70" i="1"/>
  <c r="L70" i="1" s="1"/>
  <c r="AN144" i="1"/>
  <c r="V60" i="1"/>
  <c r="AN61" i="1"/>
  <c r="AN184" i="1"/>
  <c r="AN84" i="1"/>
  <c r="AN73" i="1"/>
  <c r="AN27" i="1"/>
  <c r="AN189" i="1"/>
  <c r="AN186" i="1"/>
  <c r="AN180" i="1"/>
  <c r="AN79" i="1"/>
  <c r="AN193" i="1"/>
  <c r="AN80" i="1"/>
  <c r="AN55" i="1"/>
  <c r="AN183" i="1"/>
  <c r="AN187" i="1"/>
  <c r="AN143" i="1"/>
  <c r="AN74" i="1"/>
  <c r="AN78" i="1"/>
  <c r="AN56" i="1"/>
  <c r="V45" i="1"/>
  <c r="AN46" i="1"/>
  <c r="AN188" i="1"/>
  <c r="AN190" i="1"/>
  <c r="AN25" i="1"/>
  <c r="AN185" i="1"/>
  <c r="T48" i="1"/>
  <c r="U13" i="1"/>
  <c r="U49" i="1"/>
  <c r="U81" i="1"/>
  <c r="AN28" i="1"/>
  <c r="AN47" i="1"/>
  <c r="V191" i="1"/>
  <c r="L191" i="1" s="1"/>
  <c r="V182" i="1"/>
  <c r="U181" i="1"/>
  <c r="V50" i="1"/>
  <c r="L50" i="1" s="1"/>
  <c r="V14" i="1"/>
  <c r="V24" i="1"/>
  <c r="L24" i="1" s="1"/>
  <c r="V82" i="1"/>
  <c r="L82" i="1" s="1"/>
  <c r="T12" i="1"/>
  <c r="T4" i="1" s="1"/>
  <c r="AA141" i="1"/>
  <c r="AM4" i="1" l="1"/>
  <c r="S10" i="4"/>
  <c r="AZ37" i="1"/>
  <c r="AZ36" i="1" s="1"/>
  <c r="AZ30" i="1" s="1"/>
  <c r="AO37" i="1"/>
  <c r="AO36" i="1" s="1"/>
  <c r="N143" i="1"/>
  <c r="M182" i="1"/>
  <c r="G47" i="4" s="1"/>
  <c r="AY37" i="1"/>
  <c r="AY36" i="1" s="1"/>
  <c r="AY30" i="1" s="1"/>
  <c r="AV29" i="1"/>
  <c r="AS48" i="1"/>
  <c r="AM49" i="1"/>
  <c r="AX36" i="1"/>
  <c r="AW36" i="1"/>
  <c r="AW13" i="1"/>
  <c r="AW12" i="1" s="1"/>
  <c r="AW4" i="1" s="1"/>
  <c r="AT48" i="1"/>
  <c r="AX45" i="1"/>
  <c r="AW49" i="1"/>
  <c r="AW48" i="1" s="1"/>
  <c r="AM181" i="1"/>
  <c r="AO74" i="1"/>
  <c r="AY74" i="1"/>
  <c r="BA74" i="1" s="1"/>
  <c r="AZ74" i="1"/>
  <c r="BB74" i="1" s="1"/>
  <c r="AZ180" i="1"/>
  <c r="AZ178" i="1" s="1"/>
  <c r="BB178" i="1" s="1"/>
  <c r="AY180" i="1"/>
  <c r="AY178" i="1" s="1"/>
  <c r="BA178" i="1" s="1"/>
  <c r="AY83" i="1"/>
  <c r="AZ83" i="1"/>
  <c r="AO25" i="1"/>
  <c r="AY25" i="1"/>
  <c r="AZ25" i="1"/>
  <c r="AO143" i="1"/>
  <c r="AZ143" i="1"/>
  <c r="AY143" i="1"/>
  <c r="BA143" i="1" s="1"/>
  <c r="AO186" i="1"/>
  <c r="AZ186" i="1"/>
  <c r="BB186" i="1" s="1"/>
  <c r="AY186" i="1"/>
  <c r="BA186" i="1" s="1"/>
  <c r="AY144" i="1"/>
  <c r="AZ144" i="1"/>
  <c r="BB144" i="1" s="1"/>
  <c r="AO47" i="1"/>
  <c r="AY47" i="1"/>
  <c r="BA47" i="1" s="1"/>
  <c r="AZ47" i="1"/>
  <c r="BB47" i="1" s="1"/>
  <c r="AO56" i="1"/>
  <c r="AY56" i="1"/>
  <c r="BA56" i="1" s="1"/>
  <c r="AZ56" i="1"/>
  <c r="BB56" i="1" s="1"/>
  <c r="AO17" i="1"/>
  <c r="AZ17" i="1"/>
  <c r="BB17" i="1" s="1"/>
  <c r="AY17" i="1"/>
  <c r="AY19" i="1"/>
  <c r="AY18" i="1" s="1"/>
  <c r="AZ19" i="1"/>
  <c r="AO185" i="1"/>
  <c r="AZ185" i="1"/>
  <c r="BB185" i="1" s="1"/>
  <c r="AY185" i="1"/>
  <c r="BA185" i="1" s="1"/>
  <c r="AN45" i="1"/>
  <c r="AZ46" i="1"/>
  <c r="BB46" i="1" s="1"/>
  <c r="AY46" i="1"/>
  <c r="AO55" i="1"/>
  <c r="AZ55" i="1"/>
  <c r="BB55" i="1" s="1"/>
  <c r="AY55" i="1"/>
  <c r="BA55" i="1" s="1"/>
  <c r="AO73" i="1"/>
  <c r="AZ73" i="1"/>
  <c r="BB73" i="1" s="1"/>
  <c r="AY73" i="1"/>
  <c r="BA73" i="1" s="1"/>
  <c r="AZ15" i="1"/>
  <c r="AY15" i="1"/>
  <c r="AO80" i="1"/>
  <c r="AZ80" i="1"/>
  <c r="BB80" i="1" s="1"/>
  <c r="AY80" i="1"/>
  <c r="BA80" i="1" s="1"/>
  <c r="AO84" i="1"/>
  <c r="AY84" i="1"/>
  <c r="BA84" i="1" s="1"/>
  <c r="AZ84" i="1"/>
  <c r="BB84" i="1" s="1"/>
  <c r="AO190" i="1"/>
  <c r="AZ190" i="1"/>
  <c r="BB190" i="1" s="1"/>
  <c r="AY190" i="1"/>
  <c r="BA190" i="1" s="1"/>
  <c r="AO187" i="1"/>
  <c r="AZ187" i="1"/>
  <c r="BB187" i="1" s="1"/>
  <c r="AY187" i="1"/>
  <c r="BA187" i="1" s="1"/>
  <c r="AO193" i="1"/>
  <c r="AZ193" i="1"/>
  <c r="BB193" i="1" s="1"/>
  <c r="AY193" i="1"/>
  <c r="BA193" i="1" s="1"/>
  <c r="AO189" i="1"/>
  <c r="AZ189" i="1"/>
  <c r="BB189" i="1" s="1"/>
  <c r="AY189" i="1"/>
  <c r="BA189" i="1" s="1"/>
  <c r="AO184" i="1"/>
  <c r="AZ184" i="1"/>
  <c r="BB184" i="1" s="1"/>
  <c r="AY184" i="1"/>
  <c r="BA184" i="1" s="1"/>
  <c r="AO28" i="1"/>
  <c r="AZ28" i="1"/>
  <c r="BB28" i="1" s="1"/>
  <c r="AY28" i="1"/>
  <c r="AO188" i="1"/>
  <c r="AZ188" i="1"/>
  <c r="BB188" i="1" s="1"/>
  <c r="AY188" i="1"/>
  <c r="BA188" i="1" s="1"/>
  <c r="AO78" i="1"/>
  <c r="AY78" i="1"/>
  <c r="BA78" i="1" s="1"/>
  <c r="AZ78" i="1"/>
  <c r="BB78" i="1" s="1"/>
  <c r="AZ183" i="1"/>
  <c r="AY183" i="1"/>
  <c r="AO79" i="1"/>
  <c r="AY79" i="1"/>
  <c r="BA79" i="1" s="1"/>
  <c r="AZ79" i="1"/>
  <c r="BB79" i="1" s="1"/>
  <c r="AO27" i="1"/>
  <c r="AY27" i="1"/>
  <c r="AZ27" i="1"/>
  <c r="BB27" i="1" s="1"/>
  <c r="AN60" i="1"/>
  <c r="AO60" i="1" s="1"/>
  <c r="AY61" i="1"/>
  <c r="AZ61" i="1"/>
  <c r="AZ60" i="1" s="1"/>
  <c r="BB60" i="1" s="1"/>
  <c r="AO72" i="1"/>
  <c r="AY72" i="1"/>
  <c r="AZ72" i="1"/>
  <c r="BB39" i="1"/>
  <c r="AW182" i="1"/>
  <c r="AW181" i="1" s="1"/>
  <c r="AX49" i="1"/>
  <c r="AX48" i="1" s="1"/>
  <c r="AN178" i="1"/>
  <c r="AO180" i="1"/>
  <c r="BA52" i="1"/>
  <c r="AN24" i="1"/>
  <c r="AO144" i="1"/>
  <c r="AO61" i="1"/>
  <c r="AX13" i="1"/>
  <c r="AX12" i="1" s="1"/>
  <c r="AN191" i="1"/>
  <c r="AX24" i="1"/>
  <c r="AN50" i="1"/>
  <c r="AO50" i="1" s="1"/>
  <c r="AO46" i="1"/>
  <c r="BB21" i="1"/>
  <c r="AU181" i="1"/>
  <c r="AR29" i="1"/>
  <c r="AX182" i="1"/>
  <c r="AR12" i="1"/>
  <c r="AR4" i="1" s="1"/>
  <c r="AN82" i="1"/>
  <c r="AO83" i="1"/>
  <c r="AN14" i="1"/>
  <c r="AO15" i="1"/>
  <c r="AM30" i="1"/>
  <c r="AN182" i="1"/>
  <c r="AO183" i="1"/>
  <c r="AN70" i="1"/>
  <c r="AL12" i="1"/>
  <c r="BA192" i="1"/>
  <c r="AO19" i="1"/>
  <c r="AO18" i="1" s="1"/>
  <c r="M37" i="1"/>
  <c r="M45" i="1"/>
  <c r="G36" i="4" s="1"/>
  <c r="I36" i="4" s="1"/>
  <c r="N70" i="1"/>
  <c r="U29" i="1"/>
  <c r="N39" i="1"/>
  <c r="N36" i="1" s="1"/>
  <c r="N30" i="1" s="1"/>
  <c r="H34" i="4" s="1"/>
  <c r="H33" i="4" s="1"/>
  <c r="N24" i="1"/>
  <c r="H32" i="4" s="1"/>
  <c r="M17" i="1"/>
  <c r="N17" i="1"/>
  <c r="M19" i="1"/>
  <c r="N19" i="1"/>
  <c r="M70" i="1"/>
  <c r="M141" i="1"/>
  <c r="N141" i="1"/>
  <c r="M24" i="1"/>
  <c r="M52" i="1"/>
  <c r="M50" i="1" s="1"/>
  <c r="N52" i="1"/>
  <c r="N50" i="1" s="1"/>
  <c r="N45" i="1"/>
  <c r="M83" i="1"/>
  <c r="M82" i="1" s="1"/>
  <c r="M81" i="1" s="1"/>
  <c r="N83" i="1"/>
  <c r="N82" i="1" s="1"/>
  <c r="N81" i="1" s="1"/>
  <c r="H40" i="4" s="1"/>
  <c r="N182" i="1"/>
  <c r="M192" i="1"/>
  <c r="M191" i="1" s="1"/>
  <c r="N192" i="1"/>
  <c r="N191" i="1" s="1"/>
  <c r="M15" i="1"/>
  <c r="N15" i="1"/>
  <c r="M180" i="1"/>
  <c r="M178" i="1" s="1"/>
  <c r="G45" i="4" s="1"/>
  <c r="N180" i="1"/>
  <c r="N178" i="1" s="1"/>
  <c r="H45" i="4" s="1"/>
  <c r="M21" i="1"/>
  <c r="N21" i="1"/>
  <c r="L14" i="1"/>
  <c r="L45" i="1"/>
  <c r="L60" i="1"/>
  <c r="L182" i="1"/>
  <c r="U48" i="1"/>
  <c r="V81" i="1"/>
  <c r="V30" i="1"/>
  <c r="V49" i="1"/>
  <c r="U12" i="1"/>
  <c r="U4" i="1" s="1"/>
  <c r="V181" i="1"/>
  <c r="L181" i="1" s="1"/>
  <c r="V13" i="1"/>
  <c r="BC235" i="1"/>
  <c r="H29" i="4" l="1"/>
  <c r="I29" i="4" s="1"/>
  <c r="I32" i="4"/>
  <c r="I45" i="4"/>
  <c r="G41" i="4"/>
  <c r="G46" i="4"/>
  <c r="I47" i="4"/>
  <c r="H37" i="4"/>
  <c r="I40" i="4"/>
  <c r="AL4" i="1"/>
  <c r="AX4" i="1"/>
  <c r="N18" i="1"/>
  <c r="AZ18" i="1"/>
  <c r="BB18" i="1" s="1"/>
  <c r="M18" i="1"/>
  <c r="BB37" i="1"/>
  <c r="AM48" i="1"/>
  <c r="BB36" i="1"/>
  <c r="BB143" i="1"/>
  <c r="AX30" i="1"/>
  <c r="M36" i="1"/>
  <c r="M30" i="1" s="1"/>
  <c r="G34" i="4" s="1"/>
  <c r="BA36" i="1"/>
  <c r="AW30" i="1"/>
  <c r="AW29" i="1" s="1"/>
  <c r="AO45" i="1"/>
  <c r="H48" i="4"/>
  <c r="AO24" i="1"/>
  <c r="AO178" i="1"/>
  <c r="AN29" i="1"/>
  <c r="AO70" i="1"/>
  <c r="AO191" i="1"/>
  <c r="AN49" i="1"/>
  <c r="AY50" i="1"/>
  <c r="BA50" i="1" s="1"/>
  <c r="AZ24" i="1"/>
  <c r="BB24" i="1" s="1"/>
  <c r="AY82" i="1"/>
  <c r="BA83" i="1"/>
  <c r="AN13" i="1"/>
  <c r="AO14" i="1"/>
  <c r="BB19" i="1"/>
  <c r="AY60" i="1"/>
  <c r="BA60" i="1" s="1"/>
  <c r="BA61" i="1"/>
  <c r="AY24" i="1"/>
  <c r="AZ82" i="1"/>
  <c r="BB83" i="1"/>
  <c r="AM29" i="1"/>
  <c r="AO30" i="1"/>
  <c r="BA180" i="1"/>
  <c r="BB25" i="1"/>
  <c r="BB61" i="1"/>
  <c r="AY191" i="1"/>
  <c r="BA191" i="1" s="1"/>
  <c r="AZ45" i="1"/>
  <c r="AY70" i="1"/>
  <c r="BA72" i="1"/>
  <c r="AY182" i="1"/>
  <c r="BA183" i="1"/>
  <c r="AZ14" i="1"/>
  <c r="BB15" i="1"/>
  <c r="AZ50" i="1"/>
  <c r="AN81" i="1"/>
  <c r="AO82" i="1"/>
  <c r="AY45" i="1"/>
  <c r="BA46" i="1"/>
  <c r="AZ70" i="1"/>
  <c r="AZ182" i="1"/>
  <c r="BB182" i="1" s="1"/>
  <c r="BB183" i="1"/>
  <c r="AY14" i="1"/>
  <c r="AY13" i="1" s="1"/>
  <c r="AY12" i="1" s="1"/>
  <c r="AY4" i="1" s="1"/>
  <c r="BB180" i="1"/>
  <c r="AN181" i="1"/>
  <c r="AO182" i="1"/>
  <c r="AX181" i="1"/>
  <c r="BB72" i="1"/>
  <c r="BA144" i="1"/>
  <c r="AZ191" i="1"/>
  <c r="BB191" i="1" s="1"/>
  <c r="N29" i="1"/>
  <c r="N203" i="1"/>
  <c r="M181" i="1"/>
  <c r="M14" i="1"/>
  <c r="N14" i="1"/>
  <c r="L49" i="1"/>
  <c r="N49" i="1"/>
  <c r="M49" i="1"/>
  <c r="G38" i="4" s="1"/>
  <c r="L13" i="1"/>
  <c r="L81" i="1"/>
  <c r="L30" i="1"/>
  <c r="V29" i="1"/>
  <c r="V48" i="1"/>
  <c r="V12" i="1"/>
  <c r="G33" i="4" l="1"/>
  <c r="I33" i="4" s="1"/>
  <c r="I34" i="4"/>
  <c r="I48" i="4"/>
  <c r="H46" i="4"/>
  <c r="I46" i="4" s="1"/>
  <c r="G37" i="4"/>
  <c r="I37" i="4" s="1"/>
  <c r="I38" i="4"/>
  <c r="N13" i="1"/>
  <c r="N12" i="1" s="1"/>
  <c r="N4" i="1" s="1"/>
  <c r="K16" i="6"/>
  <c r="L12" i="1"/>
  <c r="V4" i="1"/>
  <c r="L4" i="1" s="1"/>
  <c r="M13" i="1"/>
  <c r="M12" i="1" s="1"/>
  <c r="AX29" i="1"/>
  <c r="BB30" i="1"/>
  <c r="M29" i="1"/>
  <c r="N181" i="1"/>
  <c r="AO49" i="1"/>
  <c r="AO29" i="1"/>
  <c r="AO81" i="1"/>
  <c r="AY49" i="1"/>
  <c r="BA49" i="1" s="1"/>
  <c r="BB70" i="1"/>
  <c r="AN12" i="1"/>
  <c r="AO13" i="1"/>
  <c r="AY81" i="1"/>
  <c r="BA81" i="1" s="1"/>
  <c r="BA82" i="1"/>
  <c r="AY181" i="1"/>
  <c r="BA182" i="1"/>
  <c r="AO181" i="1"/>
  <c r="BA45" i="1"/>
  <c r="AY29" i="1"/>
  <c r="AZ49" i="1"/>
  <c r="BB49" i="1" s="1"/>
  <c r="BB50" i="1"/>
  <c r="AZ13" i="1"/>
  <c r="BB14" i="1"/>
  <c r="BA70" i="1"/>
  <c r="AZ81" i="1"/>
  <c r="BB81" i="1" s="1"/>
  <c r="BB82" i="1"/>
  <c r="AZ181" i="1"/>
  <c r="BB45" i="1"/>
  <c r="AZ29" i="1"/>
  <c r="AN48" i="1"/>
  <c r="N48" i="1"/>
  <c r="M48" i="1"/>
  <c r="L29" i="1"/>
  <c r="L48" i="1"/>
  <c r="AM129" i="1"/>
  <c r="AL129" i="1"/>
  <c r="AK129" i="1"/>
  <c r="AN129" i="1"/>
  <c r="AK155" i="1"/>
  <c r="T155" i="1"/>
  <c r="AL155" i="1" s="1"/>
  <c r="AM155" i="1"/>
  <c r="AN155" i="1"/>
  <c r="AN154" i="1"/>
  <c r="AM154" i="1"/>
  <c r="AK154" i="1"/>
  <c r="T154" i="1"/>
  <c r="AL154" i="1" s="1"/>
  <c r="T133" i="1"/>
  <c r="AL133" i="1" s="1"/>
  <c r="AN133" i="1"/>
  <c r="AK133" i="1"/>
  <c r="AM133" i="1"/>
  <c r="AN153" i="1"/>
  <c r="AL153" i="1"/>
  <c r="S153" i="1"/>
  <c r="AK153" i="1" s="1"/>
  <c r="AM153" i="1"/>
  <c r="AN130" i="1"/>
  <c r="S130" i="1"/>
  <c r="AK130" i="1" s="1"/>
  <c r="AM130" i="1"/>
  <c r="AL130" i="1"/>
  <c r="AM128" i="1"/>
  <c r="AN128" i="1"/>
  <c r="AL128" i="1"/>
  <c r="S128" i="1"/>
  <c r="AK128" i="1" s="1"/>
  <c r="AM131" i="1"/>
  <c r="AN131" i="1"/>
  <c r="T131" i="1"/>
  <c r="AL131" i="1" s="1"/>
  <c r="AK131" i="1"/>
  <c r="AM157" i="1"/>
  <c r="V157" i="1"/>
  <c r="AN157" i="1" s="1"/>
  <c r="AL157" i="1"/>
  <c r="AK157" i="1"/>
  <c r="S152" i="1"/>
  <c r="AK152" i="1" s="1"/>
  <c r="AN152" i="1"/>
  <c r="AM152" i="1"/>
  <c r="T152" i="1"/>
  <c r="AL152" i="1" s="1"/>
  <c r="U160" i="1"/>
  <c r="AM160" i="1" s="1"/>
  <c r="AL160" i="1"/>
  <c r="AN160" i="1"/>
  <c r="AK160" i="1"/>
  <c r="U158" i="1"/>
  <c r="AM158" i="1" s="1"/>
  <c r="AL158" i="1"/>
  <c r="AK158" i="1"/>
  <c r="AN158" i="1"/>
  <c r="S127" i="1"/>
  <c r="AK159" i="1"/>
  <c r="U159" i="1"/>
  <c r="AM159" i="1" s="1"/>
  <c r="AN159" i="1"/>
  <c r="AL159" i="1"/>
  <c r="AM132" i="1"/>
  <c r="AN132" i="1"/>
  <c r="T132" i="1"/>
  <c r="AL132" i="1" s="1"/>
  <c r="AK132" i="1"/>
  <c r="AL136" i="1"/>
  <c r="V136" i="1"/>
  <c r="AN136" i="1" s="1"/>
  <c r="AK136" i="1"/>
  <c r="AM136" i="1"/>
  <c r="U135" i="1"/>
  <c r="AM135" i="1" s="1"/>
  <c r="AL135" i="1"/>
  <c r="AN135" i="1"/>
  <c r="AK135" i="1"/>
  <c r="AK134" i="1"/>
  <c r="AN134" i="1"/>
  <c r="U134" i="1"/>
  <c r="AM134" i="1" s="1"/>
  <c r="AL134" i="1"/>
  <c r="V137" i="1"/>
  <c r="AN137" i="1" s="1"/>
  <c r="AL137" i="1"/>
  <c r="AM137" i="1"/>
  <c r="AK137" i="1"/>
  <c r="AJ152" i="1"/>
  <c r="AJ130" i="1"/>
  <c r="AJ136" i="1"/>
  <c r="AJ135" i="1"/>
  <c r="AJ153" i="1"/>
  <c r="AJ128" i="1"/>
  <c r="AJ137" i="1"/>
  <c r="AN156" i="1"/>
  <c r="AJ134" i="1"/>
  <c r="AJ127" i="1"/>
  <c r="R129" i="1"/>
  <c r="AJ129" i="1" s="1"/>
  <c r="AJ155" i="1"/>
  <c r="AK156" i="1"/>
  <c r="AJ132" i="1"/>
  <c r="AJ159" i="1"/>
  <c r="AJ157" i="1"/>
  <c r="T156" i="1"/>
  <c r="AL156" i="1" s="1"/>
  <c r="AJ156" i="1"/>
  <c r="U156" i="1"/>
  <c r="AM156" i="1" s="1"/>
  <c r="AJ160" i="1"/>
  <c r="AJ158" i="1"/>
  <c r="S151" i="1"/>
  <c r="AJ133" i="1"/>
  <c r="AJ131" i="1"/>
  <c r="AJ154" i="1"/>
  <c r="R151" i="1"/>
  <c r="AJ151" i="1" s="1"/>
  <c r="AK165" i="1"/>
  <c r="AM165" i="1"/>
  <c r="AN165" i="1"/>
  <c r="T165" i="1"/>
  <c r="AL165" i="1" s="1"/>
  <c r="V170" i="1"/>
  <c r="AN170" i="1" s="1"/>
  <c r="AL170" i="1"/>
  <c r="AK170" i="1"/>
  <c r="AM170" i="1"/>
  <c r="AK166" i="1"/>
  <c r="U166" i="1"/>
  <c r="AM166" i="1" s="1"/>
  <c r="AN166" i="1"/>
  <c r="AL166" i="1"/>
  <c r="AN167" i="1"/>
  <c r="AK167" i="1"/>
  <c r="AL167" i="1"/>
  <c r="U167" i="1"/>
  <c r="AM167" i="1" s="1"/>
  <c r="AK174" i="1"/>
  <c r="V174" i="1"/>
  <c r="AN174" i="1" s="1"/>
  <c r="AM174" i="1"/>
  <c r="AL174" i="1"/>
  <c r="AK171" i="1"/>
  <c r="AM171" i="1"/>
  <c r="V171" i="1"/>
  <c r="AN171" i="1" s="1"/>
  <c r="AL171" i="1"/>
  <c r="V175" i="1"/>
  <c r="AN175" i="1" s="1"/>
  <c r="AK175" i="1"/>
  <c r="AL175" i="1"/>
  <c r="AM175" i="1"/>
  <c r="AL173" i="1"/>
  <c r="V173" i="1"/>
  <c r="AN173" i="1" s="1"/>
  <c r="AK173" i="1"/>
  <c r="AM173" i="1"/>
  <c r="AM172" i="1"/>
  <c r="AL172" i="1"/>
  <c r="V172" i="1"/>
  <c r="AN172" i="1" s="1"/>
  <c r="AK172" i="1"/>
  <c r="AN168" i="1"/>
  <c r="U168" i="1"/>
  <c r="AM168" i="1" s="1"/>
  <c r="AK168" i="1"/>
  <c r="AL168" i="1"/>
  <c r="AN169" i="1"/>
  <c r="U169" i="1"/>
  <c r="AM169" i="1" s="1"/>
  <c r="AK169" i="1"/>
  <c r="AL169" i="1"/>
  <c r="AK164" i="1"/>
  <c r="AM164" i="1"/>
  <c r="AN164" i="1"/>
  <c r="T164" i="1"/>
  <c r="AL164" i="1" s="1"/>
  <c r="AJ172" i="1"/>
  <c r="S163" i="1"/>
  <c r="AJ171" i="1"/>
  <c r="AJ167" i="1"/>
  <c r="AJ168" i="1"/>
  <c r="AJ165" i="1"/>
  <c r="AJ169" i="1"/>
  <c r="AJ173" i="1"/>
  <c r="AJ163" i="1"/>
  <c r="AJ164" i="1"/>
  <c r="AJ175" i="1"/>
  <c r="AJ170" i="1"/>
  <c r="AJ166" i="1"/>
  <c r="AJ174" i="1"/>
  <c r="O16" i="6" l="1"/>
  <c r="P7" i="6"/>
  <c r="G49" i="4"/>
  <c r="P4" i="6"/>
  <c r="P5" i="6"/>
  <c r="F16" i="6"/>
  <c r="F7" i="6"/>
  <c r="M4" i="1"/>
  <c r="AN4" i="1"/>
  <c r="S11" i="4"/>
  <c r="L13" i="6"/>
  <c r="S22" i="4"/>
  <c r="L16" i="6"/>
  <c r="S23" i="4"/>
  <c r="K14" i="6"/>
  <c r="S14" i="4"/>
  <c r="S9" i="4"/>
  <c r="M13" i="6"/>
  <c r="M16" i="6"/>
  <c r="N13" i="6"/>
  <c r="BB29" i="1"/>
  <c r="S7" i="4"/>
  <c r="S20" i="4"/>
  <c r="N16" i="6"/>
  <c r="AO48" i="1"/>
  <c r="M14" i="6" s="1"/>
  <c r="AX164" i="1"/>
  <c r="AW164" i="1"/>
  <c r="AV172" i="1"/>
  <c r="AU172" i="1"/>
  <c r="AT175" i="1"/>
  <c r="AS175" i="1"/>
  <c r="AX166" i="1"/>
  <c r="AW166" i="1"/>
  <c r="AQ154" i="1"/>
  <c r="AR154" i="1"/>
  <c r="AQ129" i="1"/>
  <c r="AR129" i="1"/>
  <c r="AR136" i="1"/>
  <c r="AQ136" i="1"/>
  <c r="AW134" i="1"/>
  <c r="AX134" i="1"/>
  <c r="AV132" i="1"/>
  <c r="AU132" i="1"/>
  <c r="AZ160" i="1"/>
  <c r="AY160" i="1"/>
  <c r="AV157" i="1"/>
  <c r="AU157" i="1"/>
  <c r="AU131" i="1"/>
  <c r="AV131" i="1"/>
  <c r="AW130" i="1"/>
  <c r="AX130" i="1"/>
  <c r="AS153" i="1"/>
  <c r="AT153" i="1"/>
  <c r="AT133" i="1"/>
  <c r="AS133" i="1"/>
  <c r="AT154" i="1"/>
  <c r="AS154" i="1"/>
  <c r="AW155" i="1"/>
  <c r="AX155" i="1"/>
  <c r="AT129" i="1"/>
  <c r="AS129" i="1"/>
  <c r="AR170" i="1"/>
  <c r="AQ170" i="1"/>
  <c r="AR167" i="1"/>
  <c r="AQ167" i="1"/>
  <c r="AZ169" i="1"/>
  <c r="AY169" i="1"/>
  <c r="AV173" i="1"/>
  <c r="AU173" i="1"/>
  <c r="AT174" i="1"/>
  <c r="AS174" i="1"/>
  <c r="AZ170" i="1"/>
  <c r="AY170" i="1"/>
  <c r="AQ131" i="1"/>
  <c r="AR131" i="1"/>
  <c r="AR132" i="1"/>
  <c r="AQ132" i="1"/>
  <c r="AR128" i="1"/>
  <c r="AQ128" i="1"/>
  <c r="AU137" i="1"/>
  <c r="AV137" i="1"/>
  <c r="AZ136" i="1"/>
  <c r="AY136" i="1"/>
  <c r="AW159" i="1"/>
  <c r="AX159" i="1"/>
  <c r="AV160" i="1"/>
  <c r="AU160" i="1"/>
  <c r="AZ157" i="1"/>
  <c r="AY157" i="1"/>
  <c r="AZ128" i="1"/>
  <c r="AY128" i="1"/>
  <c r="AS130" i="1"/>
  <c r="AT130" i="1"/>
  <c r="AV153" i="1"/>
  <c r="AU153" i="1"/>
  <c r="AY133" i="1"/>
  <c r="AZ133" i="1"/>
  <c r="AX154" i="1"/>
  <c r="AW154" i="1"/>
  <c r="AV155" i="1"/>
  <c r="AU155" i="1"/>
  <c r="AU129" i="1"/>
  <c r="AV129" i="1"/>
  <c r="AR166" i="1"/>
  <c r="AQ166" i="1"/>
  <c r="AR168" i="1"/>
  <c r="AQ168" i="1"/>
  <c r="AX169" i="1"/>
  <c r="AW169" i="1"/>
  <c r="AX171" i="1"/>
  <c r="AW171" i="1"/>
  <c r="AT167" i="1"/>
  <c r="AS167" i="1"/>
  <c r="AV170" i="1"/>
  <c r="AU170" i="1"/>
  <c r="AQ156" i="1"/>
  <c r="AR156" i="1"/>
  <c r="AQ137" i="1"/>
  <c r="AR137" i="1"/>
  <c r="AX137" i="1"/>
  <c r="AW137" i="1"/>
  <c r="AY135" i="1"/>
  <c r="AZ135" i="1"/>
  <c r="AZ159" i="1"/>
  <c r="AY159" i="1"/>
  <c r="AT158" i="1"/>
  <c r="AS158" i="1"/>
  <c r="AX152" i="1"/>
  <c r="AW152" i="1"/>
  <c r="AV128" i="1"/>
  <c r="AU128" i="1"/>
  <c r="AT164" i="1"/>
  <c r="AS164" i="1"/>
  <c r="AX172" i="1"/>
  <c r="AW172" i="1"/>
  <c r="AT171" i="1"/>
  <c r="AS171" i="1"/>
  <c r="AT166" i="1"/>
  <c r="AS166" i="1"/>
  <c r="AT165" i="1"/>
  <c r="AS165" i="1"/>
  <c r="AU156" i="1"/>
  <c r="AV156" i="1"/>
  <c r="AQ127" i="1"/>
  <c r="AR127" i="1"/>
  <c r="AR130" i="1"/>
  <c r="AQ130" i="1"/>
  <c r="AU135" i="1"/>
  <c r="AV135" i="1"/>
  <c r="AZ132" i="1"/>
  <c r="AY132" i="1"/>
  <c r="AU158" i="1"/>
  <c r="AV158" i="1"/>
  <c r="AY152" i="1"/>
  <c r="AZ152" i="1"/>
  <c r="AY131" i="1"/>
  <c r="AZ131" i="1"/>
  <c r="AR175" i="1"/>
  <c r="AQ175" i="1"/>
  <c r="AR173" i="1"/>
  <c r="AQ173" i="1"/>
  <c r="AR169" i="1"/>
  <c r="AQ169" i="1"/>
  <c r="AR171" i="1"/>
  <c r="AQ171" i="1"/>
  <c r="AV164" i="1"/>
  <c r="AU164" i="1"/>
  <c r="AV169" i="1"/>
  <c r="AU169" i="1"/>
  <c r="AV168" i="1"/>
  <c r="AU168" i="1"/>
  <c r="AT172" i="1"/>
  <c r="AS172" i="1"/>
  <c r="AX173" i="1"/>
  <c r="AW173" i="1"/>
  <c r="AX175" i="1"/>
  <c r="AW175" i="1"/>
  <c r="AV171" i="1"/>
  <c r="AU171" i="1"/>
  <c r="AV174" i="1"/>
  <c r="AU174" i="1"/>
  <c r="AX167" i="1"/>
  <c r="AW167" i="1"/>
  <c r="AV166" i="1"/>
  <c r="AU166" i="1"/>
  <c r="AX170" i="1"/>
  <c r="AW170" i="1"/>
  <c r="AV165" i="1"/>
  <c r="AU165" i="1"/>
  <c r="AQ133" i="1"/>
  <c r="AR133" i="1"/>
  <c r="AR160" i="1"/>
  <c r="AQ160" i="1"/>
  <c r="AT156" i="1"/>
  <c r="AS156" i="1"/>
  <c r="AR134" i="1"/>
  <c r="AQ134" i="1"/>
  <c r="AR153" i="1"/>
  <c r="AQ153" i="1"/>
  <c r="AQ152" i="1"/>
  <c r="AR152" i="1"/>
  <c r="AY137" i="1"/>
  <c r="AZ137" i="1"/>
  <c r="AS134" i="1"/>
  <c r="AT134" i="1"/>
  <c r="AX135" i="1"/>
  <c r="AW135" i="1"/>
  <c r="AV136" i="1"/>
  <c r="AU136" i="1"/>
  <c r="AW132" i="1"/>
  <c r="AX132" i="1"/>
  <c r="AS159" i="1"/>
  <c r="AT159" i="1"/>
  <c r="AX158" i="1"/>
  <c r="AW158" i="1"/>
  <c r="AX160" i="1"/>
  <c r="AW160" i="1"/>
  <c r="AT152" i="1"/>
  <c r="AS152" i="1"/>
  <c r="AW157" i="1"/>
  <c r="AX157" i="1"/>
  <c r="AX131" i="1"/>
  <c r="AW131" i="1"/>
  <c r="AW128" i="1"/>
  <c r="AX128" i="1"/>
  <c r="AZ130" i="1"/>
  <c r="AY130" i="1"/>
  <c r="AZ153" i="1"/>
  <c r="AY153" i="1"/>
  <c r="AU133" i="1"/>
  <c r="AV133" i="1"/>
  <c r="AY154" i="1"/>
  <c r="AZ154" i="1"/>
  <c r="AS155" i="1"/>
  <c r="AT155" i="1"/>
  <c r="AX129" i="1"/>
  <c r="AW129" i="1"/>
  <c r="AX168" i="1"/>
  <c r="AW168" i="1"/>
  <c r="AZ173" i="1"/>
  <c r="AY173" i="1"/>
  <c r="AZ174" i="1"/>
  <c r="AY174" i="1"/>
  <c r="AX165" i="1"/>
  <c r="AW165" i="1"/>
  <c r="AR159" i="1"/>
  <c r="AQ159" i="1"/>
  <c r="AS136" i="1"/>
  <c r="AT136" i="1"/>
  <c r="AR163" i="1"/>
  <c r="AQ163" i="1"/>
  <c r="AR172" i="1"/>
  <c r="AQ172" i="1"/>
  <c r="AZ168" i="1"/>
  <c r="AY168" i="1"/>
  <c r="AZ175" i="1"/>
  <c r="AY175" i="1"/>
  <c r="AZ167" i="1"/>
  <c r="AY167" i="1"/>
  <c r="AQ158" i="1"/>
  <c r="AR158" i="1"/>
  <c r="AZ134" i="1"/>
  <c r="AY134" i="1"/>
  <c r="AR174" i="1"/>
  <c r="AQ174" i="1"/>
  <c r="AR164" i="1"/>
  <c r="AQ164" i="1"/>
  <c r="AR165" i="1"/>
  <c r="AQ165" i="1"/>
  <c r="AZ164" i="1"/>
  <c r="AY164" i="1"/>
  <c r="AT169" i="1"/>
  <c r="AS169" i="1"/>
  <c r="AT168" i="1"/>
  <c r="AS168" i="1"/>
  <c r="AZ172" i="1"/>
  <c r="AY172" i="1"/>
  <c r="AT173" i="1"/>
  <c r="AS173" i="1"/>
  <c r="AV175" i="1"/>
  <c r="AU175" i="1"/>
  <c r="AZ171" i="1"/>
  <c r="AY171" i="1"/>
  <c r="AX174" i="1"/>
  <c r="AW174" i="1"/>
  <c r="AV167" i="1"/>
  <c r="AU167" i="1"/>
  <c r="AZ166" i="1"/>
  <c r="AY166" i="1"/>
  <c r="AT170" i="1"/>
  <c r="AS170" i="1"/>
  <c r="AZ165" i="1"/>
  <c r="AY165" i="1"/>
  <c r="AR151" i="1"/>
  <c r="AQ151" i="1"/>
  <c r="AX156" i="1"/>
  <c r="AW156" i="1"/>
  <c r="AR157" i="1"/>
  <c r="AQ157" i="1"/>
  <c r="AR155" i="1"/>
  <c r="AQ155" i="1"/>
  <c r="AY156" i="1"/>
  <c r="AZ156" i="1"/>
  <c r="AQ135" i="1"/>
  <c r="AR135" i="1"/>
  <c r="AT137" i="1"/>
  <c r="AS137" i="1"/>
  <c r="AV134" i="1"/>
  <c r="AU134" i="1"/>
  <c r="AT135" i="1"/>
  <c r="AS135" i="1"/>
  <c r="AW136" i="1"/>
  <c r="AX136" i="1"/>
  <c r="AS132" i="1"/>
  <c r="AT132" i="1"/>
  <c r="AV159" i="1"/>
  <c r="AU159" i="1"/>
  <c r="AY158" i="1"/>
  <c r="AZ158" i="1"/>
  <c r="AT160" i="1"/>
  <c r="AS160" i="1"/>
  <c r="AU152" i="1"/>
  <c r="AV152" i="1"/>
  <c r="AS157" i="1"/>
  <c r="AT157" i="1"/>
  <c r="AT131" i="1"/>
  <c r="AS131" i="1"/>
  <c r="AS128" i="1"/>
  <c r="AT128" i="1"/>
  <c r="AV130" i="1"/>
  <c r="AU130" i="1"/>
  <c r="AW153" i="1"/>
  <c r="AX153" i="1"/>
  <c r="AX133" i="1"/>
  <c r="AW133" i="1"/>
  <c r="AU154" i="1"/>
  <c r="AV154" i="1"/>
  <c r="AZ155" i="1"/>
  <c r="AY155" i="1"/>
  <c r="AY129" i="1"/>
  <c r="AZ129" i="1"/>
  <c r="AY48" i="1"/>
  <c r="BA48" i="1" s="1"/>
  <c r="AO164" i="1"/>
  <c r="AO154" i="1"/>
  <c r="AO159" i="1"/>
  <c r="AO129" i="1"/>
  <c r="AO137" i="1"/>
  <c r="AO136" i="1"/>
  <c r="AZ48" i="1"/>
  <c r="BB48" i="1" s="1"/>
  <c r="AO174" i="1"/>
  <c r="AO157" i="1"/>
  <c r="AO135" i="1"/>
  <c r="AO156" i="1"/>
  <c r="AJ162" i="1"/>
  <c r="AO167" i="1"/>
  <c r="AO158" i="1"/>
  <c r="AO132" i="1"/>
  <c r="AO128" i="1"/>
  <c r="BB181" i="1"/>
  <c r="AO165" i="1"/>
  <c r="AJ147" i="1"/>
  <c r="AO155" i="1"/>
  <c r="AO166" i="1"/>
  <c r="AO168" i="1"/>
  <c r="AO170" i="1"/>
  <c r="AO172" i="1"/>
  <c r="AO131" i="1"/>
  <c r="AJ123" i="1"/>
  <c r="AO130" i="1"/>
  <c r="AO175" i="1"/>
  <c r="AO173" i="1"/>
  <c r="AO169" i="1"/>
  <c r="AO171" i="1"/>
  <c r="AO133" i="1"/>
  <c r="AO160" i="1"/>
  <c r="AO134" i="1"/>
  <c r="AO153" i="1"/>
  <c r="AO152" i="1"/>
  <c r="AZ12" i="1"/>
  <c r="AZ4" i="1" s="1"/>
  <c r="BB13" i="1"/>
  <c r="BA181" i="1"/>
  <c r="AO12" i="1"/>
  <c r="O13" i="6"/>
  <c r="T145" i="1"/>
  <c r="T142" i="1" s="1"/>
  <c r="R145" i="1"/>
  <c r="S145" i="1"/>
  <c r="S142" i="1" s="1"/>
  <c r="V145" i="1"/>
  <c r="V142" i="1" s="1"/>
  <c r="U145" i="1"/>
  <c r="U142" i="1" s="1"/>
  <c r="L171" i="1"/>
  <c r="L160" i="1"/>
  <c r="L153" i="1"/>
  <c r="L151" i="1"/>
  <c r="L157" i="1"/>
  <c r="L155" i="1"/>
  <c r="L135" i="1"/>
  <c r="L175" i="1"/>
  <c r="L169" i="1"/>
  <c r="L174" i="1"/>
  <c r="L166" i="1"/>
  <c r="L154" i="1"/>
  <c r="L156" i="1"/>
  <c r="L159" i="1"/>
  <c r="L129" i="1"/>
  <c r="L137" i="1"/>
  <c r="L136" i="1"/>
  <c r="L173" i="1"/>
  <c r="L133" i="1"/>
  <c r="L134" i="1"/>
  <c r="L152" i="1"/>
  <c r="L164" i="1"/>
  <c r="L165" i="1"/>
  <c r="L168" i="1"/>
  <c r="L170" i="1"/>
  <c r="L163" i="1"/>
  <c r="L167" i="1"/>
  <c r="L172" i="1"/>
  <c r="L131" i="1"/>
  <c r="L158" i="1"/>
  <c r="L132" i="1"/>
  <c r="L127" i="1"/>
  <c r="L128" i="1"/>
  <c r="L130" i="1"/>
  <c r="V162" i="1"/>
  <c r="T162" i="1"/>
  <c r="T123" i="1"/>
  <c r="R162" i="1"/>
  <c r="U162" i="1"/>
  <c r="S162" i="1"/>
  <c r="R123" i="1"/>
  <c r="S123" i="1"/>
  <c r="U123" i="1"/>
  <c r="V123" i="1"/>
  <c r="AL151" i="1"/>
  <c r="T147" i="1"/>
  <c r="T139" i="1"/>
  <c r="T138" i="1" s="1"/>
  <c r="AN151" i="1"/>
  <c r="V147" i="1"/>
  <c r="V139" i="1"/>
  <c r="V138" i="1" s="1"/>
  <c r="AM151" i="1"/>
  <c r="U147" i="1"/>
  <c r="U139" i="1"/>
  <c r="U138" i="1" s="1"/>
  <c r="R139" i="1"/>
  <c r="AJ139" i="1" s="1"/>
  <c r="R147" i="1"/>
  <c r="AK151" i="1"/>
  <c r="S147" i="1"/>
  <c r="S139" i="1"/>
  <c r="S138" i="1" s="1"/>
  <c r="AL163" i="1"/>
  <c r="AN163" i="1"/>
  <c r="AM163" i="1"/>
  <c r="AK163" i="1"/>
  <c r="AL127" i="1"/>
  <c r="AK127" i="1"/>
  <c r="AM127" i="1"/>
  <c r="AN127" i="1"/>
  <c r="T177" i="1"/>
  <c r="T176" i="1" s="1"/>
  <c r="V177" i="1"/>
  <c r="V176" i="1" s="1"/>
  <c r="R177" i="1"/>
  <c r="AJ177" i="1" s="1"/>
  <c r="U177" i="1"/>
  <c r="U176" i="1" s="1"/>
  <c r="S177" i="1"/>
  <c r="S176" i="1" s="1"/>
  <c r="P16" i="6" l="1"/>
  <c r="P3" i="6"/>
  <c r="AO4" i="1"/>
  <c r="S15" i="4"/>
  <c r="S21" i="4"/>
  <c r="S13" i="4"/>
  <c r="L14" i="6"/>
  <c r="BB160" i="1"/>
  <c r="S8" i="4"/>
  <c r="O14" i="6"/>
  <c r="N14" i="6"/>
  <c r="BB164" i="1"/>
  <c r="BB132" i="1"/>
  <c r="AJ145" i="1"/>
  <c r="AJ142" i="1" s="1"/>
  <c r="R142" i="1"/>
  <c r="L142" i="1" s="1"/>
  <c r="BB131" i="1"/>
  <c r="BB135" i="1"/>
  <c r="AR177" i="1"/>
  <c r="AQ177" i="1"/>
  <c r="AM123" i="1"/>
  <c r="AX127" i="1"/>
  <c r="AX123" i="1" s="1"/>
  <c r="AW127" i="1"/>
  <c r="AW123" i="1" s="1"/>
  <c r="AM162" i="1"/>
  <c r="AX163" i="1"/>
  <c r="AX162" i="1" s="1"/>
  <c r="AW163" i="1"/>
  <c r="AW162" i="1" s="1"/>
  <c r="AL147" i="1"/>
  <c r="AL146" i="1" s="1"/>
  <c r="AV151" i="1"/>
  <c r="AV147" i="1" s="1"/>
  <c r="AV146" i="1" s="1"/>
  <c r="AU151" i="1"/>
  <c r="AU147" i="1" s="1"/>
  <c r="AU146" i="1" s="1"/>
  <c r="AN123" i="1"/>
  <c r="AY127" i="1"/>
  <c r="AY123" i="1" s="1"/>
  <c r="AZ127" i="1"/>
  <c r="AZ123" i="1" s="1"/>
  <c r="AK162" i="1"/>
  <c r="AT163" i="1"/>
  <c r="AT162" i="1" s="1"/>
  <c r="AS163" i="1"/>
  <c r="AS162" i="1" s="1"/>
  <c r="AK123" i="1"/>
  <c r="AT127" i="1"/>
  <c r="AT123" i="1" s="1"/>
  <c r="AS127" i="1"/>
  <c r="AS123" i="1" s="1"/>
  <c r="AR139" i="1"/>
  <c r="AQ139" i="1"/>
  <c r="AN162" i="1"/>
  <c r="AZ163" i="1"/>
  <c r="AZ162" i="1" s="1"/>
  <c r="AY163" i="1"/>
  <c r="AY162" i="1" s="1"/>
  <c r="AK147" i="1"/>
  <c r="AK146" i="1" s="1"/>
  <c r="AS151" i="1"/>
  <c r="AS147" i="1" s="1"/>
  <c r="AS146" i="1" s="1"/>
  <c r="AT151" i="1"/>
  <c r="AT147" i="1" s="1"/>
  <c r="AT146" i="1" s="1"/>
  <c r="AN147" i="1"/>
  <c r="AN146" i="1" s="1"/>
  <c r="AZ151" i="1"/>
  <c r="AZ147" i="1" s="1"/>
  <c r="AZ146" i="1" s="1"/>
  <c r="AY151" i="1"/>
  <c r="AY147" i="1" s="1"/>
  <c r="AY146" i="1" s="1"/>
  <c r="AL123" i="1"/>
  <c r="AU127" i="1"/>
  <c r="AU123" i="1" s="1"/>
  <c r="AV127" i="1"/>
  <c r="AV123" i="1" s="1"/>
  <c r="AL162" i="1"/>
  <c r="AV163" i="1"/>
  <c r="AV162" i="1" s="1"/>
  <c r="AU163" i="1"/>
  <c r="AU162" i="1" s="1"/>
  <c r="AM147" i="1"/>
  <c r="AM146" i="1" s="1"/>
  <c r="AW151" i="1"/>
  <c r="AW147" i="1" s="1"/>
  <c r="AW146" i="1" s="1"/>
  <c r="AX151" i="1"/>
  <c r="AX147" i="1" s="1"/>
  <c r="AX146" i="1" s="1"/>
  <c r="BA132" i="1"/>
  <c r="BB159" i="1"/>
  <c r="BA172" i="1"/>
  <c r="AO151" i="1"/>
  <c r="BA167" i="1"/>
  <c r="AJ138" i="1"/>
  <c r="BB173" i="1"/>
  <c r="BB168" i="1"/>
  <c r="BB129" i="1"/>
  <c r="BB154" i="1"/>
  <c r="BB153" i="1"/>
  <c r="BB136" i="1"/>
  <c r="BB155" i="1"/>
  <c r="BB134" i="1"/>
  <c r="BB156" i="1"/>
  <c r="BB166" i="1"/>
  <c r="BA152" i="1"/>
  <c r="BA134" i="1"/>
  <c r="BA133" i="1"/>
  <c r="BA169" i="1"/>
  <c r="BA175" i="1"/>
  <c r="BA130" i="1"/>
  <c r="AQ147" i="1"/>
  <c r="BA156" i="1"/>
  <c r="BA135" i="1"/>
  <c r="BA174" i="1"/>
  <c r="BA136" i="1"/>
  <c r="BA129" i="1"/>
  <c r="BA154" i="1"/>
  <c r="AQ123" i="1"/>
  <c r="AJ176" i="1"/>
  <c r="AJ161" i="1" s="1"/>
  <c r="BB128" i="1"/>
  <c r="BB157" i="1"/>
  <c r="BB152" i="1"/>
  <c r="BB171" i="1"/>
  <c r="BB175" i="1"/>
  <c r="BA131" i="1"/>
  <c r="BA168" i="1"/>
  <c r="BA155" i="1"/>
  <c r="BA128" i="1"/>
  <c r="BA158" i="1"/>
  <c r="AO163" i="1"/>
  <c r="BA170" i="1"/>
  <c r="BA166" i="1"/>
  <c r="BB137" i="1"/>
  <c r="BB170" i="1"/>
  <c r="BB169" i="1"/>
  <c r="BB133" i="1"/>
  <c r="BB167" i="1"/>
  <c r="BB172" i="1"/>
  <c r="BB165" i="1"/>
  <c r="BB174" i="1"/>
  <c r="BB130" i="1"/>
  <c r="BB158" i="1"/>
  <c r="BB12" i="1"/>
  <c r="BB4" i="1" s="1"/>
  <c r="BA153" i="1"/>
  <c r="BA160" i="1"/>
  <c r="BA171" i="1"/>
  <c r="BA173" i="1"/>
  <c r="AO127" i="1"/>
  <c r="AJ146" i="1"/>
  <c r="BA165" i="1"/>
  <c r="AQ162" i="1"/>
  <c r="BA157" i="1"/>
  <c r="BA137" i="1"/>
  <c r="BA159" i="1"/>
  <c r="BA164" i="1"/>
  <c r="T161" i="1"/>
  <c r="M172" i="1"/>
  <c r="N172" i="1"/>
  <c r="M130" i="1"/>
  <c r="N130" i="1"/>
  <c r="M168" i="1"/>
  <c r="N168" i="1"/>
  <c r="M164" i="1"/>
  <c r="N164" i="1"/>
  <c r="M134" i="1"/>
  <c r="N134" i="1"/>
  <c r="M173" i="1"/>
  <c r="N173" i="1"/>
  <c r="M136" i="1"/>
  <c r="N136" i="1"/>
  <c r="M129" i="1"/>
  <c r="N129" i="1"/>
  <c r="M156" i="1"/>
  <c r="N156" i="1"/>
  <c r="M174" i="1"/>
  <c r="N174" i="1"/>
  <c r="M175" i="1"/>
  <c r="N175" i="1"/>
  <c r="M155" i="1"/>
  <c r="N155" i="1"/>
  <c r="M151" i="1"/>
  <c r="N151" i="1"/>
  <c r="V161" i="1"/>
  <c r="M132" i="1"/>
  <c r="N132" i="1"/>
  <c r="M131" i="1"/>
  <c r="N131" i="1"/>
  <c r="M167" i="1"/>
  <c r="N167" i="1"/>
  <c r="M163" i="1"/>
  <c r="N163" i="1"/>
  <c r="M153" i="1"/>
  <c r="N153" i="1"/>
  <c r="M171" i="1"/>
  <c r="N171" i="1"/>
  <c r="M158" i="1"/>
  <c r="N158" i="1"/>
  <c r="M160" i="1"/>
  <c r="N160" i="1"/>
  <c r="M127" i="1"/>
  <c r="N127" i="1"/>
  <c r="M128" i="1"/>
  <c r="N128" i="1"/>
  <c r="M170" i="1"/>
  <c r="N170" i="1"/>
  <c r="M165" i="1"/>
  <c r="N165" i="1"/>
  <c r="M152" i="1"/>
  <c r="N152" i="1"/>
  <c r="M133" i="1"/>
  <c r="N133" i="1"/>
  <c r="M137" i="1"/>
  <c r="N137" i="1"/>
  <c r="M159" i="1"/>
  <c r="N159" i="1"/>
  <c r="M154" i="1"/>
  <c r="N154" i="1"/>
  <c r="M166" i="1"/>
  <c r="N166" i="1"/>
  <c r="M169" i="1"/>
  <c r="N169" i="1"/>
  <c r="M135" i="1"/>
  <c r="N135" i="1"/>
  <c r="M157" i="1"/>
  <c r="N157" i="1"/>
  <c r="L123" i="1"/>
  <c r="L145" i="1"/>
  <c r="R138" i="1"/>
  <c r="L139" i="1"/>
  <c r="L162" i="1"/>
  <c r="R176" i="1"/>
  <c r="L177" i="1"/>
  <c r="L147" i="1"/>
  <c r="R146" i="1"/>
  <c r="S161" i="1"/>
  <c r="T122" i="1"/>
  <c r="U161" i="1"/>
  <c r="V122" i="1"/>
  <c r="S122" i="1"/>
  <c r="U122" i="1"/>
  <c r="T146" i="1"/>
  <c r="V146" i="1"/>
  <c r="U146" i="1"/>
  <c r="S146" i="1"/>
  <c r="AK139" i="1"/>
  <c r="AM177" i="1"/>
  <c r="AL139" i="1"/>
  <c r="AM139" i="1"/>
  <c r="AN177" i="1"/>
  <c r="AN139" i="1"/>
  <c r="AK177" i="1"/>
  <c r="AL177" i="1"/>
  <c r="P14" i="6" l="1"/>
  <c r="O12" i="6"/>
  <c r="L12" i="6"/>
  <c r="S6" i="4"/>
  <c r="M12" i="6"/>
  <c r="AQ145" i="1"/>
  <c r="AQ142" i="1" s="1"/>
  <c r="AR145" i="1"/>
  <c r="AR142" i="1" s="1"/>
  <c r="N12" i="6"/>
  <c r="S12" i="4"/>
  <c r="AO147" i="1"/>
  <c r="AO162" i="1"/>
  <c r="AO123" i="1"/>
  <c r="AN138" i="1"/>
  <c r="AZ139" i="1"/>
  <c r="AZ138" i="1" s="1"/>
  <c r="AY139" i="1"/>
  <c r="AY138" i="1" s="1"/>
  <c r="AO146" i="1"/>
  <c r="AN176" i="1"/>
  <c r="AN161" i="1" s="1"/>
  <c r="AZ177" i="1"/>
  <c r="AZ176" i="1" s="1"/>
  <c r="AZ161" i="1" s="1"/>
  <c r="AY177" i="1"/>
  <c r="AY176" i="1" s="1"/>
  <c r="AY161" i="1" s="1"/>
  <c r="AK138" i="1"/>
  <c r="AS139" i="1"/>
  <c r="AS138" i="1" s="1"/>
  <c r="AT139" i="1"/>
  <c r="AT138" i="1" s="1"/>
  <c r="AK176" i="1"/>
  <c r="AK161" i="1" s="1"/>
  <c r="AT177" i="1"/>
  <c r="AT176" i="1" s="1"/>
  <c r="AT161" i="1" s="1"/>
  <c r="AS177" i="1"/>
  <c r="AS176" i="1" s="1"/>
  <c r="AS161" i="1" s="1"/>
  <c r="AL138" i="1"/>
  <c r="AV139" i="1"/>
  <c r="AV138" i="1" s="1"/>
  <c r="AU139" i="1"/>
  <c r="AU138" i="1" s="1"/>
  <c r="AM176" i="1"/>
  <c r="AM161" i="1" s="1"/>
  <c r="AX177" i="1"/>
  <c r="AX176" i="1" s="1"/>
  <c r="AX161" i="1" s="1"/>
  <c r="AW177" i="1"/>
  <c r="AW176" i="1" s="1"/>
  <c r="AW161" i="1" s="1"/>
  <c r="AL176" i="1"/>
  <c r="AL161" i="1" s="1"/>
  <c r="AV177" i="1"/>
  <c r="AV176" i="1" s="1"/>
  <c r="AV161" i="1" s="1"/>
  <c r="AU177" i="1"/>
  <c r="AU176" i="1" s="1"/>
  <c r="AU161" i="1" s="1"/>
  <c r="AM138" i="1"/>
  <c r="AW139" i="1"/>
  <c r="AW138" i="1" s="1"/>
  <c r="AX139" i="1"/>
  <c r="AX138" i="1" s="1"/>
  <c r="AQ176" i="1"/>
  <c r="AQ161" i="1" s="1"/>
  <c r="BA162" i="1"/>
  <c r="BA123" i="1"/>
  <c r="AO139" i="1"/>
  <c r="BB151" i="1"/>
  <c r="AR147" i="1"/>
  <c r="BA163" i="1"/>
  <c r="BA127" i="1"/>
  <c r="AQ138" i="1"/>
  <c r="BB127" i="1"/>
  <c r="AR123" i="1"/>
  <c r="BA151" i="1"/>
  <c r="BB163" i="1"/>
  <c r="AR162" i="1"/>
  <c r="AJ122" i="1"/>
  <c r="AO177" i="1"/>
  <c r="BA147" i="1"/>
  <c r="AQ146" i="1"/>
  <c r="BA146" i="1" s="1"/>
  <c r="L176" i="1"/>
  <c r="L138" i="1"/>
  <c r="N147" i="1"/>
  <c r="N146" i="1" s="1"/>
  <c r="H43" i="4" s="1"/>
  <c r="M147" i="1"/>
  <c r="M146" i="1" s="1"/>
  <c r="M123" i="1"/>
  <c r="M162" i="1"/>
  <c r="N123" i="1"/>
  <c r="N162" i="1"/>
  <c r="M139" i="1"/>
  <c r="M138" i="1" s="1"/>
  <c r="N139" i="1"/>
  <c r="N138" i="1" s="1"/>
  <c r="M177" i="1"/>
  <c r="M176" i="1" s="1"/>
  <c r="N177" i="1"/>
  <c r="N176" i="1" s="1"/>
  <c r="M145" i="1"/>
  <c r="M142" i="1" s="1"/>
  <c r="N145" i="1"/>
  <c r="N142" i="1" s="1"/>
  <c r="R161" i="1"/>
  <c r="L146" i="1"/>
  <c r="R122" i="1"/>
  <c r="U217" i="1"/>
  <c r="AM145" i="1"/>
  <c r="AM142" i="1" s="1"/>
  <c r="H41" i="4" l="1"/>
  <c r="I43" i="4"/>
  <c r="S4" i="4"/>
  <c r="AO138" i="1"/>
  <c r="AO161" i="1"/>
  <c r="AO176" i="1"/>
  <c r="AM122" i="1"/>
  <c r="AW145" i="1"/>
  <c r="AX145" i="1"/>
  <c r="AQ122" i="1"/>
  <c r="AQ121" i="1" s="1"/>
  <c r="BA138" i="1"/>
  <c r="BB177" i="1"/>
  <c r="AR176" i="1"/>
  <c r="BB176" i="1" s="1"/>
  <c r="BB139" i="1"/>
  <c r="AR138" i="1"/>
  <c r="BB138" i="1" s="1"/>
  <c r="AJ121" i="1"/>
  <c r="BB123" i="1"/>
  <c r="BA139" i="1"/>
  <c r="BA161" i="1"/>
  <c r="BA176" i="1"/>
  <c r="BB162" i="1"/>
  <c r="BB147" i="1"/>
  <c r="AR146" i="1"/>
  <c r="BB146" i="1" s="1"/>
  <c r="BA177" i="1"/>
  <c r="L161" i="1"/>
  <c r="L122" i="1"/>
  <c r="M161" i="1"/>
  <c r="N122" i="1"/>
  <c r="M122" i="1"/>
  <c r="N161" i="1"/>
  <c r="R121" i="1"/>
  <c r="V217" i="1"/>
  <c r="I41" i="4" l="1"/>
  <c r="H49" i="4"/>
  <c r="I49" i="4" s="1"/>
  <c r="S18" i="4"/>
  <c r="AX142" i="1"/>
  <c r="AX122" i="1" s="1"/>
  <c r="AX121" i="1" s="1"/>
  <c r="AX195" i="1" s="1"/>
  <c r="V6" i="6" s="1"/>
  <c r="AW142" i="1"/>
  <c r="AW122" i="1" s="1"/>
  <c r="AW121" i="1" s="1"/>
  <c r="AW195" i="1" s="1"/>
  <c r="V5" i="6" s="1"/>
  <c r="S19" i="4"/>
  <c r="AM121" i="1"/>
  <c r="AR161" i="1"/>
  <c r="BB161" i="1" s="1"/>
  <c r="AJ195" i="1"/>
  <c r="N121" i="1"/>
  <c r="M121" i="1"/>
  <c r="AN145" i="1"/>
  <c r="AN142" i="1" s="1"/>
  <c r="U121" i="1"/>
  <c r="AA139" i="1"/>
  <c r="R217" i="1"/>
  <c r="G24" i="4" l="1"/>
  <c r="H24" i="4"/>
  <c r="V7" i="6"/>
  <c r="AM195" i="1"/>
  <c r="AN122" i="1"/>
  <c r="AZ145" i="1"/>
  <c r="AZ142" i="1" s="1"/>
  <c r="AZ122" i="1" s="1"/>
  <c r="AZ121" i="1" s="1"/>
  <c r="AZ195" i="1" s="1"/>
  <c r="W6" i="6" s="1"/>
  <c r="AY145" i="1"/>
  <c r="N195" i="1"/>
  <c r="M195" i="1"/>
  <c r="M201" i="1" s="1"/>
  <c r="U235" i="1"/>
  <c r="U195" i="1"/>
  <c r="S217" i="1"/>
  <c r="T217" i="1"/>
  <c r="F6" i="6" l="1"/>
  <c r="F8" i="6" s="1"/>
  <c r="F15" i="6"/>
  <c r="F17" i="6" s="1"/>
  <c r="D17" i="6"/>
  <c r="E24" i="6"/>
  <c r="E17" i="6"/>
  <c r="AY142" i="1"/>
  <c r="AY122" i="1" s="1"/>
  <c r="AY121" i="1" s="1"/>
  <c r="AY195" i="1" s="1"/>
  <c r="W5" i="6" s="1"/>
  <c r="W7" i="6" s="1"/>
  <c r="AN121" i="1"/>
  <c r="N204" i="1"/>
  <c r="AL145" i="1"/>
  <c r="AL142" i="1" s="1"/>
  <c r="V121" i="1"/>
  <c r="AK145" i="1"/>
  <c r="AK142" i="1" s="1"/>
  <c r="Q24" i="4" l="1"/>
  <c r="F24" i="6"/>
  <c r="E26" i="6"/>
  <c r="G25" i="6"/>
  <c r="G21" i="6"/>
  <c r="G22" i="6"/>
  <c r="G23" i="6"/>
  <c r="AN195" i="1"/>
  <c r="AS145" i="1"/>
  <c r="AS142" i="1" s="1"/>
  <c r="AT145" i="1"/>
  <c r="AT142" i="1" s="1"/>
  <c r="AT122" i="1" s="1"/>
  <c r="AT121" i="1" s="1"/>
  <c r="AT195" i="1" s="1"/>
  <c r="T6" i="6" s="1"/>
  <c r="AL122" i="1"/>
  <c r="AV145" i="1"/>
  <c r="AV142" i="1" s="1"/>
  <c r="AV122" i="1" s="1"/>
  <c r="AV121" i="1" s="1"/>
  <c r="AV195" i="1" s="1"/>
  <c r="U6" i="6" s="1"/>
  <c r="AU145" i="1"/>
  <c r="AU142" i="1" s="1"/>
  <c r="AU122" i="1" s="1"/>
  <c r="AU121" i="1" s="1"/>
  <c r="AU195" i="1" s="1"/>
  <c r="U5" i="6" s="1"/>
  <c r="AO145" i="1"/>
  <c r="AO142" i="1" s="1"/>
  <c r="V235" i="1"/>
  <c r="V195" i="1"/>
  <c r="G24" i="6" l="1"/>
  <c r="F26" i="6"/>
  <c r="AL121" i="1"/>
  <c r="U7" i="6"/>
  <c r="BB145" i="1"/>
  <c r="BA145" i="1"/>
  <c r="AK122" i="1"/>
  <c r="S121" i="1"/>
  <c r="T121" i="1"/>
  <c r="P24" i="4" l="1"/>
  <c r="AL195" i="1"/>
  <c r="AS122" i="1"/>
  <c r="BA142" i="1"/>
  <c r="AK121" i="1"/>
  <c r="AO122" i="1"/>
  <c r="BB142" i="1"/>
  <c r="AR122" i="1"/>
  <c r="L121" i="1"/>
  <c r="T235" i="1"/>
  <c r="T195" i="1"/>
  <c r="S195" i="1"/>
  <c r="S235" i="1"/>
  <c r="N24" i="4" l="1"/>
  <c r="K15" i="6"/>
  <c r="O24" i="4"/>
  <c r="I24" i="4"/>
  <c r="AK195" i="1"/>
  <c r="AO195" i="1" s="1"/>
  <c r="AO121" i="1"/>
  <c r="BB122" i="1"/>
  <c r="AR121" i="1"/>
  <c r="AS121" i="1"/>
  <c r="BA122" i="1"/>
  <c r="R195" i="1"/>
  <c r="L195" i="1" s="1"/>
  <c r="R235" i="1"/>
  <c r="R24" i="4" l="1"/>
  <c r="P6" i="6"/>
  <c r="P8" i="6" s="1"/>
  <c r="L15" i="6"/>
  <c r="S17" i="4"/>
  <c r="BB121" i="1"/>
  <c r="AR195" i="1"/>
  <c r="S6" i="6" s="1"/>
  <c r="AS195" i="1"/>
  <c r="T5" i="6" s="1"/>
  <c r="BA121" i="1"/>
  <c r="M8" i="6"/>
  <c r="M17" i="6" s="1"/>
  <c r="M15" i="6"/>
  <c r="Q208" i="1"/>
  <c r="J4" i="4"/>
  <c r="W195" i="1"/>
  <c r="W203" i="1" s="1"/>
  <c r="L8" i="6" l="1"/>
  <c r="L17" i="6" s="1"/>
  <c r="N8" i="6"/>
  <c r="N17" i="6" s="1"/>
  <c r="N15" i="6"/>
  <c r="O15" i="6"/>
  <c r="O8" i="6"/>
  <c r="O17" i="6" s="1"/>
  <c r="S16" i="4"/>
  <c r="I25" i="4"/>
  <c r="T7" i="6"/>
  <c r="X6" i="6"/>
  <c r="BB195" i="1"/>
  <c r="P15" i="6" l="1"/>
  <c r="G16" i="6"/>
  <c r="G12" i="6"/>
  <c r="G14" i="6"/>
  <c r="G13" i="6"/>
  <c r="G15" i="6"/>
  <c r="J21" i="4"/>
  <c r="J8" i="4"/>
  <c r="J12" i="4"/>
  <c r="J16" i="4"/>
  <c r="G7" i="6"/>
  <c r="G3" i="6"/>
  <c r="G5" i="6"/>
  <c r="G4" i="6"/>
  <c r="G6" i="6"/>
  <c r="BA39" i="1" l="1"/>
  <c r="BA11" i="1"/>
  <c r="BA33" i="1"/>
  <c r="BA25" i="1"/>
  <c r="BA27" i="1"/>
  <c r="BA43" i="1"/>
  <c r="BA10" i="1"/>
  <c r="BA28" i="1"/>
  <c r="BA26" i="1"/>
  <c r="BA38" i="1"/>
  <c r="BA17" i="1"/>
  <c r="BA16" i="1"/>
  <c r="K12" i="6"/>
  <c r="P12" i="6" s="1"/>
  <c r="BA35" i="1"/>
  <c r="BA20" i="1"/>
  <c r="BA34" i="1"/>
  <c r="BA42" i="1"/>
  <c r="K13" i="6"/>
  <c r="P13" i="6" s="1"/>
  <c r="AQ7" i="1"/>
  <c r="P17" i="6" l="1"/>
  <c r="BA32" i="1"/>
  <c r="AQ31" i="1"/>
  <c r="BA31" i="1" s="1"/>
  <c r="BA9" i="1"/>
  <c r="AQ8" i="1"/>
  <c r="BA8" i="1" s="1"/>
  <c r="BA21" i="1"/>
  <c r="BA7" i="1"/>
  <c r="AQ6" i="1"/>
  <c r="BA41" i="1"/>
  <c r="AQ40" i="1"/>
  <c r="BA40" i="1" s="1"/>
  <c r="BA37" i="1"/>
  <c r="BA15" i="1"/>
  <c r="AQ14" i="1"/>
  <c r="AQ24" i="1"/>
  <c r="BA24" i="1" s="1"/>
  <c r="BA19" i="1"/>
  <c r="BA18" i="1"/>
  <c r="BA23" i="1"/>
  <c r="AQ22" i="1"/>
  <c r="BA22" i="1" s="1"/>
  <c r="S24" i="4"/>
  <c r="K8" i="6"/>
  <c r="K17" i="6" s="1"/>
  <c r="T24" i="4" l="1"/>
  <c r="T21" i="4"/>
  <c r="T8" i="4"/>
  <c r="T12" i="4"/>
  <c r="T4" i="4"/>
  <c r="T16" i="4"/>
  <c r="BA6" i="1"/>
  <c r="AQ5" i="1"/>
  <c r="BA14" i="1"/>
  <c r="AQ13" i="1"/>
  <c r="AQ30" i="1"/>
  <c r="BA30" i="1" l="1"/>
  <c r="AQ29" i="1"/>
  <c r="BA13" i="1"/>
  <c r="AQ12" i="1"/>
  <c r="BA12" i="1" s="1"/>
  <c r="BA5" i="1"/>
  <c r="BA4" i="1" l="1"/>
  <c r="AQ4" i="1"/>
  <c r="BA29" i="1"/>
  <c r="AQ195" i="1" l="1"/>
  <c r="S5" i="6" s="1"/>
  <c r="S7" i="6" s="1"/>
  <c r="BA195" i="1" l="1"/>
  <c r="X5" i="6"/>
  <c r="X7" i="6" l="1"/>
  <c r="S8" i="6" l="1"/>
  <c r="Y6" i="6"/>
  <c r="Y7" i="6"/>
  <c r="Y5" i="6"/>
  <c r="X8" i="6"/>
  <c r="V8" i="6"/>
  <c r="W8" i="6"/>
  <c r="U8" i="6"/>
  <c r="T8" i="6"/>
</calcChain>
</file>

<file path=xl/comments1.xml><?xml version="1.0" encoding="utf-8"?>
<comments xmlns="http://schemas.openxmlformats.org/spreadsheetml/2006/main">
  <authors>
    <author>Patricia Alvarez</author>
    <author>Patricia Alvarez Domec</author>
    <author>RedIBX</author>
    <author>Carlos Troncoso</author>
  </authors>
  <commentList>
    <comment ref="W3" authorId="0">
      <text>
        <r>
          <rPr>
            <b/>
            <sz val="9"/>
            <color indexed="81"/>
            <rFont val="Tahoma"/>
            <family val="2"/>
          </rPr>
          <t>Patricia Alvarez:</t>
        </r>
        <r>
          <rPr>
            <sz val="9"/>
            <color indexed="81"/>
            <rFont val="Tahoma"/>
            <family val="2"/>
          </rPr>
          <t xml:space="preserve">
A - Arrastre de PAEMFE (serían todos financiamiento Local). Recien podrìan cambiar de fuente de 2019 post rendicion de cuentas.
R - En revision de acuerdo a discusiones Mision</t>
        </r>
      </text>
    </comment>
    <comment ref="U16" authorId="1">
      <text>
        <r>
          <rPr>
            <b/>
            <sz val="9"/>
            <color indexed="81"/>
            <rFont val="Tahoma"/>
            <family val="2"/>
          </rPr>
          <t>Patricia Alvarez Domec:</t>
        </r>
        <r>
          <rPr>
            <sz val="9"/>
            <color indexed="81"/>
            <rFont val="Tahoma"/>
            <family val="2"/>
          </rPr>
          <t xml:space="preserve">
monto decreciente… 75%</t>
        </r>
      </text>
    </comment>
    <comment ref="V16" authorId="1">
      <text>
        <r>
          <rPr>
            <b/>
            <sz val="9"/>
            <color indexed="81"/>
            <rFont val="Tahoma"/>
            <family val="2"/>
          </rPr>
          <t>Patricia Alvarez Domec:</t>
        </r>
        <r>
          <rPr>
            <sz val="9"/>
            <color indexed="81"/>
            <rFont val="Tahoma"/>
            <family val="2"/>
          </rPr>
          <t xml:space="preserve">
monto decreciente 50%</t>
        </r>
      </text>
    </comment>
    <comment ref="S27" authorId="1">
      <text>
        <r>
          <rPr>
            <b/>
            <sz val="9"/>
            <color indexed="81"/>
            <rFont val="Tahoma"/>
            <family val="2"/>
          </rPr>
          <t>Patricia Alvarez Domec:</t>
        </r>
        <r>
          <rPr>
            <sz val="9"/>
            <color indexed="81"/>
            <rFont val="Tahoma"/>
            <family val="2"/>
          </rPr>
          <t xml:space="preserve">
40% de total de hs demandas (30-% de eso en horas externas)</t>
        </r>
      </text>
    </comment>
    <comment ref="T27" authorId="1">
      <text>
        <r>
          <rPr>
            <b/>
            <sz val="9"/>
            <color indexed="81"/>
            <rFont val="Tahoma"/>
            <family val="2"/>
          </rPr>
          <t>Patricia Alvarez Domec:</t>
        </r>
        <r>
          <rPr>
            <sz val="9"/>
            <color indexed="81"/>
            <rFont val="Tahoma"/>
            <family val="2"/>
          </rPr>
          <t xml:space="preserve">
60% de total de hs demandas (30-% de eso en horas externas)</t>
        </r>
      </text>
    </comment>
    <comment ref="U27" authorId="1">
      <text>
        <r>
          <rPr>
            <b/>
            <sz val="9"/>
            <color indexed="81"/>
            <rFont val="Tahoma"/>
            <family val="2"/>
          </rPr>
          <t>Patricia Alvarez Domec:</t>
        </r>
        <r>
          <rPr>
            <sz val="9"/>
            <color indexed="81"/>
            <rFont val="Tahoma"/>
            <family val="2"/>
          </rPr>
          <t xml:space="preserve">
80% de total de hs demandas (30-% de eso en horas externas)</t>
        </r>
      </text>
    </comment>
    <comment ref="V27" authorId="1">
      <text>
        <r>
          <rPr>
            <b/>
            <sz val="9"/>
            <color indexed="81"/>
            <rFont val="Tahoma"/>
            <family val="2"/>
          </rPr>
          <t>Patricia Alvarez Domec:</t>
        </r>
        <r>
          <rPr>
            <sz val="9"/>
            <color indexed="81"/>
            <rFont val="Tahoma"/>
            <family val="2"/>
          </rPr>
          <t xml:space="preserve">
100% de total de hs demandas (30-% de eso en horas externas)</t>
        </r>
      </text>
    </comment>
    <comment ref="K30" authorId="0">
      <text>
        <r>
          <rPr>
            <b/>
            <sz val="9"/>
            <color indexed="81"/>
            <rFont val="Tahoma"/>
            <family val="2"/>
          </rPr>
          <t>Patricia Alvarez:</t>
        </r>
        <r>
          <rPr>
            <sz val="9"/>
            <color indexed="81"/>
            <rFont val="Tahoma"/>
            <family val="2"/>
          </rPr>
          <t xml:space="preserve">
no piden para implementacion, mas bien para la implementacion</t>
        </r>
      </text>
    </comment>
    <comment ref="R37" authorId="0">
      <text>
        <r>
          <rPr>
            <b/>
            <sz val="9"/>
            <color indexed="81"/>
            <rFont val="Tahoma"/>
            <family val="2"/>
          </rPr>
          <t>Patricia Alvarez:</t>
        </r>
        <r>
          <rPr>
            <sz val="9"/>
            <color indexed="81"/>
            <rFont val="Tahoma"/>
            <family val="2"/>
          </rPr>
          <t xml:space="preserve">
Revisar calculo con Carlos</t>
        </r>
      </text>
    </comment>
    <comment ref="S46" authorId="1">
      <text>
        <r>
          <rPr>
            <b/>
            <sz val="9"/>
            <color indexed="81"/>
            <rFont val="Tahoma"/>
            <family val="2"/>
          </rPr>
          <t>Patricia Alvarez Domec:</t>
        </r>
        <r>
          <rPr>
            <sz val="9"/>
            <color indexed="81"/>
            <rFont val="Tahoma"/>
            <family val="2"/>
          </rPr>
          <t xml:space="preserve">
El calculo que estaba era =50000*(33)*(10/30)*12*13/12*coef18
ahora necesitamos 4 equipos el primer año (2 personas cada equipos)
</t>
        </r>
      </text>
    </comment>
    <comment ref="S47" authorId="0">
      <text>
        <r>
          <rPr>
            <b/>
            <sz val="9"/>
            <color indexed="81"/>
            <rFont val="Tahoma"/>
            <family val="2"/>
          </rPr>
          <t>Patricia Alvarez:</t>
        </r>
        <r>
          <rPr>
            <sz val="9"/>
            <color indexed="81"/>
            <rFont val="Tahoma"/>
            <family val="2"/>
          </rPr>
          <t xml:space="preserve">
Ver con Carlos. El alcance sería menor al actual, necesitarñiamos distribuir el monto entre los 4 años solo para docentes noveles.</t>
        </r>
      </text>
    </comment>
    <comment ref="X52" authorId="0">
      <text>
        <r>
          <rPr>
            <b/>
            <sz val="9"/>
            <color indexed="81"/>
            <rFont val="Tahoma"/>
            <family val="2"/>
          </rPr>
          <t>Patricia Alvarez:</t>
        </r>
        <r>
          <rPr>
            <sz val="9"/>
            <color indexed="81"/>
            <rFont val="Tahoma"/>
            <family val="2"/>
          </rPr>
          <t xml:space="preserve">
Hoy 20hs Carolina (GIS)x 3 + firma para desarrollo de horas
</t>
        </r>
      </text>
    </comment>
    <comment ref="K55" authorId="2">
      <text>
        <r>
          <rPr>
            <b/>
            <sz val="9"/>
            <color indexed="81"/>
            <rFont val="Tahoma"/>
            <family val="2"/>
          </rPr>
          <t>RedIBX:</t>
        </r>
        <r>
          <rPr>
            <sz val="9"/>
            <color indexed="81"/>
            <rFont val="Tahoma"/>
            <family val="2"/>
          </rPr>
          <t xml:space="preserve">
Iría acá? Reportes de alerta temprana...</t>
        </r>
      </text>
    </comment>
    <comment ref="K61" authorId="0">
      <text>
        <r>
          <rPr>
            <b/>
            <sz val="9"/>
            <color indexed="81"/>
            <rFont val="Tahoma"/>
            <family val="2"/>
          </rPr>
          <t>Patricia Alvarez:</t>
        </r>
        <r>
          <rPr>
            <sz val="9"/>
            <color indexed="81"/>
            <rFont val="Tahoma"/>
            <family val="2"/>
          </rPr>
          <t xml:space="preserve">
El equipo total serìan 4 personas:
2 investigadores principales y dos asistentes.
Hoy tienen dos asistes uno x PAEMFE y uno por CETP.</t>
        </r>
      </text>
    </comment>
    <comment ref="K74" authorId="0">
      <text>
        <r>
          <rPr>
            <b/>
            <sz val="9"/>
            <color indexed="81"/>
            <rFont val="Tahoma"/>
            <family val="2"/>
          </rPr>
          <t>Patricia Alvarez:</t>
        </r>
        <r>
          <rPr>
            <sz val="9"/>
            <color indexed="81"/>
            <rFont val="Tahoma"/>
            <family val="2"/>
          </rPr>
          <t xml:space="preserve">
Cada UCDIE tiene un coordinador y dos tecnicos. El coordinador pertenece a la comision descentralizada.
</t>
        </r>
      </text>
    </comment>
    <comment ref="L191" authorId="0">
      <text>
        <r>
          <rPr>
            <b/>
            <sz val="9"/>
            <color indexed="81"/>
            <rFont val="Tahoma"/>
            <family val="2"/>
          </rPr>
          <t>Patricia Alvarez:</t>
        </r>
        <r>
          <rPr>
            <sz val="9"/>
            <color indexed="81"/>
            <rFont val="Tahoma"/>
            <family val="2"/>
          </rPr>
          <t xml:space="preserve">
idem total</t>
        </r>
      </text>
    </comment>
    <comment ref="R192" authorId="1">
      <text>
        <r>
          <rPr>
            <b/>
            <sz val="9"/>
            <color indexed="81"/>
            <rFont val="Tahoma"/>
            <charset val="1"/>
          </rPr>
          <t>Patricia Alvarez Domec:</t>
        </r>
        <r>
          <rPr>
            <sz val="9"/>
            <color indexed="81"/>
            <rFont val="Tahoma"/>
            <charset val="1"/>
          </rPr>
          <t xml:space="preserve">
Se sumaron 9584 para redondear el monto total</t>
        </r>
      </text>
    </comment>
    <comment ref="R209" authorId="3">
      <text>
        <r>
          <rPr>
            <b/>
            <sz val="8"/>
            <color indexed="81"/>
            <rFont val="Tahoma"/>
            <family val="2"/>
          </rPr>
          <t>16,4% fue el usado en plan quinquenal PAEMFE.</t>
        </r>
      </text>
    </comment>
    <comment ref="R213" authorId="3">
      <text>
        <r>
          <rPr>
            <b/>
            <sz val="8"/>
            <color indexed="81"/>
            <rFont val="Tahoma"/>
            <family val="2"/>
          </rPr>
          <t>real sisges 2011-2014.</t>
        </r>
      </text>
    </comment>
    <comment ref="R214" authorId="3">
      <text>
        <r>
          <rPr>
            <b/>
            <sz val="8"/>
            <color indexed="81"/>
            <rFont val="Tahoma"/>
            <family val="2"/>
          </rPr>
          <t>1,9% real sisges 2011-2014.
1,4% cálculo para mantero.</t>
        </r>
      </text>
    </comment>
  </commentList>
</comments>
</file>

<file path=xl/comments2.xml><?xml version="1.0" encoding="utf-8"?>
<comments xmlns="http://schemas.openxmlformats.org/spreadsheetml/2006/main">
  <authors>
    <author>Patricia Alvarez</author>
  </authors>
  <commentList>
    <comment ref="A3" authorId="0">
      <text>
        <r>
          <rPr>
            <b/>
            <sz val="9"/>
            <color indexed="81"/>
            <rFont val="Tahoma"/>
            <family val="2"/>
          </rPr>
          <t>Patricia Alvarez:</t>
        </r>
        <r>
          <rPr>
            <sz val="9"/>
            <color indexed="81"/>
            <rFont val="Tahoma"/>
            <family val="2"/>
          </rPr>
          <t xml:space="preserve">
no piden para implementacion, mas bien para la implementacion</t>
        </r>
      </text>
    </comment>
  </commentList>
</comments>
</file>

<file path=xl/sharedStrings.xml><?xml version="1.0" encoding="utf-8"?>
<sst xmlns="http://schemas.openxmlformats.org/spreadsheetml/2006/main" count="1510" uniqueCount="601">
  <si>
    <t>2017-2021</t>
  </si>
  <si>
    <t>Dfas a saldar</t>
  </si>
  <si>
    <t>Observación</t>
  </si>
  <si>
    <t>(+) Fuentes &gt; Usos; (-) Fuentes &lt; Usos</t>
  </si>
  <si>
    <t>¡Debe llevarse a 0 estos montos!</t>
  </si>
  <si>
    <t>Programa de Apoyo a las Trayectorias Educativas Continuas y Completas - Estimación para el Perfil PP</t>
  </si>
  <si>
    <t>Fuentes a planificar</t>
  </si>
  <si>
    <t>Monto en US$</t>
  </si>
  <si>
    <t>Crédito presupuestal anual en $U</t>
  </si>
  <si>
    <t>Crédito BID</t>
  </si>
  <si>
    <t>Crédito Local</t>
  </si>
  <si>
    <t>FLD</t>
  </si>
  <si>
    <t>Local CC</t>
  </si>
  <si>
    <t>Total del préstamo</t>
  </si>
  <si>
    <t>Planificación anual en $U</t>
  </si>
  <si>
    <t>referente</t>
  </si>
  <si>
    <t>--</t>
  </si>
  <si>
    <t>Componente 1: Mejora de la pertinencia y calidad educativa.</t>
  </si>
  <si>
    <t>Apoyo técnico al CES para definición de perfiles y marco curricular</t>
  </si>
  <si>
    <t>CES</t>
  </si>
  <si>
    <t>Encuentros regionales para diseñar el nuevo marco curricular</t>
  </si>
  <si>
    <t>Publicación de las nuevas propuestas</t>
  </si>
  <si>
    <t>CODICEN</t>
  </si>
  <si>
    <t>Dispositivos (Proyecto Conviencia, Participación y DDHH)</t>
  </si>
  <si>
    <t>Solicitud priorizada por el CES.</t>
  </si>
  <si>
    <t>Dispositivos (Proyecto Juegos Deportivos Nacionales)</t>
  </si>
  <si>
    <t>Apoyo a estudiantes de CB para promover su permanencia - Liceos de TC y TE con tutorías</t>
  </si>
  <si>
    <t xml:space="preserve">Formación y acompañamiento de la estrategia de expansión del tiempo y espacio escolar </t>
  </si>
  <si>
    <t>Acompañamiento con los centros a estas modalidades.</t>
  </si>
  <si>
    <t xml:space="preserve">Evaluación de una estrategia de expansión del tiempo y espacio escolar </t>
  </si>
  <si>
    <t>DSPE-DIEE</t>
  </si>
  <si>
    <t>Apoyo DSPE/DIEE - Evaluaciones de Proyectos</t>
  </si>
  <si>
    <t>Equipo DIEE: 2 consultores.</t>
  </si>
  <si>
    <t>CETP</t>
  </si>
  <si>
    <t>CFE</t>
  </si>
  <si>
    <t>CFE: van por el Semipresencial.</t>
  </si>
  <si>
    <t>Componente 2: Formación en educación.</t>
  </si>
  <si>
    <t>Implementación de nuevo plan - consultorías</t>
  </si>
  <si>
    <t>Implementación de nuevo plan - seminario</t>
  </si>
  <si>
    <t>Implementación de nuevo plan - seguimiento</t>
  </si>
  <si>
    <t>Seguimiento con firma consultora.</t>
  </si>
  <si>
    <t>Evaluación de nuevo plan y del semipresencial</t>
  </si>
  <si>
    <t>Equipo DIEE.</t>
  </si>
  <si>
    <t>Apoyo a la modaliad semipresencial de titulación</t>
  </si>
  <si>
    <t>CFE priorizó apoyo.</t>
  </si>
  <si>
    <t>Apoyo a becas a estudiantes del CFE para titulación</t>
  </si>
  <si>
    <t>Fortalecimiento de oficina de concursos</t>
  </si>
  <si>
    <t>Capacitación y logística, y apoyo a tribunales.</t>
  </si>
  <si>
    <t>Acompañamiento a docentes nóveles - Referentes</t>
  </si>
  <si>
    <t>10 hs docentes por centro (15 en 2017 y 33 desde 2018).</t>
  </si>
  <si>
    <t>Fortalecimiento y actualización docente y encuentros</t>
  </si>
  <si>
    <t>Solicitud del CES de continuidad.</t>
  </si>
  <si>
    <t>Participación en eventos académicos reg. e int. y programas interinstitucionales</t>
  </si>
  <si>
    <t>Unidades Regionales de Educación Permanente</t>
  </si>
  <si>
    <t>CETP: es clave mantener apoyo.</t>
  </si>
  <si>
    <t>DSPE</t>
  </si>
  <si>
    <t>Apoyo a la Educación Media Rural</t>
  </si>
  <si>
    <t>Componente 3: Integración y gestión para la mejora educativa.</t>
  </si>
  <si>
    <t>DSIE</t>
  </si>
  <si>
    <t>200.000 a 22 Comisiones Descentralizadas</t>
  </si>
  <si>
    <t>240.000 a 25 UCDIEs</t>
  </si>
  <si>
    <t>Apoyo a la DSIE - Formación en acompañamiento para UCDIEs</t>
  </si>
  <si>
    <t>Hs a docentes de IFD (25 unidades).</t>
  </si>
  <si>
    <t>Apoyo a la DSIE - Formación puntual para UCDIEs</t>
  </si>
  <si>
    <t>Técnicos expertos</t>
  </si>
  <si>
    <t>Apoyo a la DSIE - Fortalecimiento institucional en planificación territorial</t>
  </si>
  <si>
    <t>Apoyo a la DSIE - Comunicación para la integración</t>
  </si>
  <si>
    <t>Consultor</t>
  </si>
  <si>
    <t>Apoyo a la DSIE - Productos comunicacionales</t>
  </si>
  <si>
    <t>Apoyo a la DSIE - Formación en mediación en centros</t>
  </si>
  <si>
    <t>Evaluación con técnicos CETP.</t>
  </si>
  <si>
    <t>Firma consultora.</t>
  </si>
  <si>
    <t>DSIGC</t>
  </si>
  <si>
    <t>Mantenimiento del sistema de seguimiento de trayectorias</t>
  </si>
  <si>
    <t>Hs a contratar a proveedor y mesa de ayuda.</t>
  </si>
  <si>
    <t xml:space="preserve">Capacitación a estos actores en la interpretación y uso de la información </t>
  </si>
  <si>
    <t>Capacitación a través de adscriptos.</t>
  </si>
  <si>
    <t>Monitor de EM</t>
  </si>
  <si>
    <t>Evaluación en línea en EM</t>
  </si>
  <si>
    <t>Seguimiento de la cohorte 2016</t>
  </si>
  <si>
    <t>Visualización territorial de la información</t>
  </si>
  <si>
    <t>hs de proveedor: 1.800 y consultoría</t>
  </si>
  <si>
    <t>Georeferenciación en sistemas de estudiantes</t>
  </si>
  <si>
    <t>3 consultores específicos para esta tarea.</t>
  </si>
  <si>
    <t>Consultor internacional.</t>
  </si>
  <si>
    <t>PAEMFE</t>
  </si>
  <si>
    <t>Equipo actual - implantación de sistemas</t>
  </si>
  <si>
    <t>Equipo adicional - implantación de sistemas</t>
  </si>
  <si>
    <t>SIAP - CODICEN - mantenimiento hs firma</t>
  </si>
  <si>
    <t>SIAP - CFE - mantenimiento hs firma</t>
  </si>
  <si>
    <t>SIAP - CETP - mantenimiento hs firma</t>
  </si>
  <si>
    <t>SIAP - CES - PC</t>
  </si>
  <si>
    <t>SIAP - CES - servidores</t>
  </si>
  <si>
    <t>SIAP - CES - licencia</t>
  </si>
  <si>
    <t>SIAP - CES - migración firma</t>
  </si>
  <si>
    <t>SIAP - CES - mantenimiento hs firma</t>
  </si>
  <si>
    <t>SIAF - CODICEN - mantenimiento hs firma</t>
  </si>
  <si>
    <t>SIAF - CFE - mantenimiento hs firma</t>
  </si>
  <si>
    <t>SIAF - CETP - relicenciamiento a full web</t>
  </si>
  <si>
    <t>SIAF - CES - PC</t>
  </si>
  <si>
    <t>SIAF - CES - servidores</t>
  </si>
  <si>
    <t>SIAF - CES - licencia</t>
  </si>
  <si>
    <t>SIAF - CES - migración firma</t>
  </si>
  <si>
    <t>SIAF - CES - mantenimiento hs firma</t>
  </si>
  <si>
    <t>SIAC - CODICEN - licencia</t>
  </si>
  <si>
    <t>SIAC - CODICEN - mantenimiento hs firma</t>
  </si>
  <si>
    <t>Expediente electrónico - CODICEN - lectores</t>
  </si>
  <si>
    <t>Expediente electrónico - CFE - lectores</t>
  </si>
  <si>
    <t>Expediente electrónico - CETP - PC</t>
  </si>
  <si>
    <t>Expediente electrónico - CETP - escaners</t>
  </si>
  <si>
    <t>Expediente electrónico - CETP - servidores</t>
  </si>
  <si>
    <t>Expediente electrónico - CETP - lectores</t>
  </si>
  <si>
    <t>Expediente electrónico - CETP - migración firma</t>
  </si>
  <si>
    <t>Expediente electrónico - CES - PC</t>
  </si>
  <si>
    <t>Expediente electrónico - CES - escaners</t>
  </si>
  <si>
    <t>Expediente electrónico - CES - servidores</t>
  </si>
  <si>
    <t>Expediente electrónico - CES - lectores</t>
  </si>
  <si>
    <t>Expediente electrónico - CES - migración firma</t>
  </si>
  <si>
    <t>CETP - apoyo a implementación de sistemas</t>
  </si>
  <si>
    <t>Oficina PMO para promover rol directiz CODICEN</t>
  </si>
  <si>
    <t>CODICEN - Instaladores de aulas de informática y materiales y traslados</t>
  </si>
  <si>
    <t>DSIGC: es clave mantener apoyo.</t>
  </si>
  <si>
    <t xml:space="preserve">Componente 4: Recursos físicos para la mejora educativa. </t>
  </si>
  <si>
    <t>CON - Liceo de Punta de Rieles</t>
  </si>
  <si>
    <t>Total</t>
  </si>
  <si>
    <t>AMP - Las Piedras Nº3</t>
  </si>
  <si>
    <t>en 2018</t>
  </si>
  <si>
    <t>CON - Liceo de San Antonio</t>
  </si>
  <si>
    <t>CON - Liceo Flor de Maroñas (lindero a la esc.330)</t>
  </si>
  <si>
    <t>AMP - Liceo Nº19 Montevideo</t>
  </si>
  <si>
    <t>AMP - Esc. Téc. de Fraile Muerto</t>
  </si>
  <si>
    <t>en 2016</t>
  </si>
  <si>
    <t>CON - CBT Flor de Maroñas (calle Sebastopol  al lado de la nueva Esc 181)</t>
  </si>
  <si>
    <t>ADE - IPA</t>
  </si>
  <si>
    <t>AMP - San Gregorio de Polanco</t>
  </si>
  <si>
    <t>AMP - Liceo de Fraile Muerto</t>
  </si>
  <si>
    <t>CON - Liceo El Polvorín Cerro</t>
  </si>
  <si>
    <t>CON - Liceo Parque Cauceglia terr.Esc. N° 371</t>
  </si>
  <si>
    <t>CON - Esc. Téc. de Casavalle</t>
  </si>
  <si>
    <t>CON - Esc. Agr. de Montes</t>
  </si>
  <si>
    <t>AMP - Liceo de Canelon Chico</t>
  </si>
  <si>
    <t>en 2017</t>
  </si>
  <si>
    <t>CON - Liceo de Colonia Nicolich</t>
  </si>
  <si>
    <t>AMP - Liceo Nº 5 de Las Piedras</t>
  </si>
  <si>
    <t>CON - Liceo de Paso de la Arena</t>
  </si>
  <si>
    <t>CON - Liceo de Barrio Manga</t>
  </si>
  <si>
    <t>AMP - Esc. Agr. de Minas de Corrales</t>
  </si>
  <si>
    <t>AMP - Liceo de José E. Rodó</t>
  </si>
  <si>
    <t>AMP - IFD de Canelones</t>
  </si>
  <si>
    <t>AMP - CERP del Suroeste</t>
  </si>
  <si>
    <t>AMP - IFD de Artigas</t>
  </si>
  <si>
    <t>AMP - IFD de Trinidad</t>
  </si>
  <si>
    <t>AMP - IFD de Florida</t>
  </si>
  <si>
    <t>AMP - IFD de San José</t>
  </si>
  <si>
    <t>CON - Esc. Téc. Bella Unión Nº 2</t>
  </si>
  <si>
    <t>AMP - Liceo de Joaquín Suarez</t>
  </si>
  <si>
    <t>CON - Liceo de Barrio Capra</t>
  </si>
  <si>
    <t>AMP - Liceo de Quebracho</t>
  </si>
  <si>
    <t>AMP - Liceo de Cerro Pelado</t>
  </si>
  <si>
    <t>CON - Liceo N° 3 de El Pinar</t>
  </si>
  <si>
    <t>en 2019</t>
  </si>
  <si>
    <t>AMP - CeRP del Sur (Atlántida)</t>
  </si>
  <si>
    <t>AMP - CeRP del Norte (Rivera)</t>
  </si>
  <si>
    <t>ADE - IFD de Mercedes</t>
  </si>
  <si>
    <t>AMP - IFD de Minas</t>
  </si>
  <si>
    <t>en 2020</t>
  </si>
  <si>
    <t>AMP - IFD de Salto</t>
  </si>
  <si>
    <t>ADE - IFD de Treinta y Tres</t>
  </si>
  <si>
    <t>ADE - Liceo de Rosario</t>
  </si>
  <si>
    <t>RRHH para diseño, metraje y presupuesto</t>
  </si>
  <si>
    <t>Estimado con los equipos de diseño</t>
  </si>
  <si>
    <t>Asesores, supervisión y cateos de obras</t>
  </si>
  <si>
    <t>Estimado como % del monto de obra</t>
  </si>
  <si>
    <t>Equipamiento mobiliario</t>
  </si>
  <si>
    <t>Equipamiento informático</t>
  </si>
  <si>
    <t>Depósito (incluye RRHH, func. y seguros)</t>
  </si>
  <si>
    <t>DSI</t>
  </si>
  <si>
    <t>Apoyo a equipo PPP</t>
  </si>
  <si>
    <t>i) UCP.</t>
  </si>
  <si>
    <t>RRHH de la UCP</t>
  </si>
  <si>
    <t>Gastos de funcionamiento</t>
  </si>
  <si>
    <t>ii) Auditoría.</t>
  </si>
  <si>
    <t>Tribunal de Cuentas</t>
  </si>
  <si>
    <t>iii) Evaluación intermedia y final.</t>
  </si>
  <si>
    <t>Firmas consultoras</t>
  </si>
  <si>
    <t xml:space="preserve">% de aumento anual para RRHH Y ACTIVIDADES = </t>
  </si>
  <si>
    <t xml:space="preserve">coeficiente anual para RRHH Y ACTIVIDADES = </t>
  </si>
  <si>
    <t xml:space="preserve">% de aumento anual para OBRAS = </t>
  </si>
  <si>
    <t xml:space="preserve">coeficiente anual para OBRAS = </t>
  </si>
  <si>
    <t>Adjudica</t>
  </si>
  <si>
    <t>Imprevistos</t>
  </si>
  <si>
    <t>IVA certificados / BID total</t>
  </si>
  <si>
    <t>% del crédito BID con certificados</t>
  </si>
  <si>
    <t>Crédito adicional Certificados IVA</t>
  </si>
  <si>
    <t xml:space="preserve">coeficiente MOBILIARIO/OBRA = </t>
  </si>
  <si>
    <t xml:space="preserve">coeficiente ASESORES/OBRA = </t>
  </si>
  <si>
    <t xml:space="preserve">% obras / crédito total = </t>
  </si>
  <si>
    <t>Comentarios Patricia</t>
  </si>
  <si>
    <t>Pendiente consultar</t>
  </si>
  <si>
    <t>cantidad de encuentros + destinatarios</t>
  </si>
  <si>
    <t>cobertura nacional, salas docentes (estimacion en base a antecedentes PAEMFE)</t>
  </si>
  <si>
    <t>30 copias por centro, para 310 centros ($200 por copia)</t>
  </si>
  <si>
    <t>TIPO</t>
  </si>
  <si>
    <t>A</t>
  </si>
  <si>
    <t>gastos operativos… traslados, materiales difusion, materiales deportivos, alimentacion</t>
  </si>
  <si>
    <t>80% Tutorias y 20% materiales (vestimenta, traslados, act recreacion) - el monto es el mismo que financia actualmente PAEMFE</t>
  </si>
  <si>
    <t>80% RRHH y 20% materiales de apoyo. El monto es aprox un 60% de lo que se financiaba hoy…</t>
  </si>
  <si>
    <t>cuales son los productos de DIEE para PATECC?? Monitoreo de expansion de jornada?? Puesta en funcionamiento del marco curr</t>
  </si>
  <si>
    <t>dos consultorias de USD 25mil</t>
  </si>
  <si>
    <t>honorarios de expertos</t>
  </si>
  <si>
    <t>RRHH DIEE asociados a esta linea - 3 personas</t>
  </si>
  <si>
    <t>Continuaci[on de PAEMFE. Se financian gastos operativos, de traslados y materiales para instancias presenciales</t>
  </si>
  <si>
    <t>Continuación PAEMFE. Transferencia a 100 estudiantes</t>
  </si>
  <si>
    <t>Definir alcance… y nueva propuesta</t>
  </si>
  <si>
    <t>R</t>
  </si>
  <si>
    <t>$200 para cada Comisiòn por año (22 comisiones)</t>
  </si>
  <si>
    <t>Fondo para UCDIES (en zonas mas focalizadas)</t>
  </si>
  <si>
    <t>Hs docentes de  CFE que van a apoyar a centros en zonas de UCDIEs</t>
  </si>
  <si>
    <t>consultorias para cursos</t>
  </si>
  <si>
    <t>consultorias</t>
  </si>
  <si>
    <t>1 consultor para el equipo de coordinacion en temas de comunicación</t>
  </si>
  <si>
    <t>gastos y diseños</t>
  </si>
  <si>
    <t xml:space="preserve">2 consultores que ya se vienen financiando… </t>
  </si>
  <si>
    <t>2 consultores + el primer año una evaluacion hecha con extension de horas de docentes x 5 meses</t>
  </si>
  <si>
    <t>RRHH 1/2 horario para capacitacion a usuarios finales (a partir de hs de ascriptos coordinador desde los IFD para apoyar a los centros)</t>
  </si>
  <si>
    <t>1 consultor…</t>
  </si>
  <si>
    <t>3 consultores para actualizacion de datos de estudiantes…</t>
  </si>
  <si>
    <t>6 presonas adicionales para el equipo</t>
  </si>
  <si>
    <t>hs desarrollo</t>
  </si>
  <si>
    <t>firma para migracion</t>
  </si>
  <si>
    <t>definir productos. Modulos implantados</t>
  </si>
  <si>
    <t>compra licencias</t>
  </si>
  <si>
    <t>Equipo central de informaticos en PAEMFE(aprox 10 personas)</t>
  </si>
  <si>
    <t>Martì DSIGC</t>
  </si>
  <si>
    <t>a definir</t>
  </si>
  <si>
    <t>Arrastre PAEMFE. Son personas (12-15) mas materiales y gastos de la DSIGC que hoy no tienen como funcionar…</t>
  </si>
  <si>
    <t>equipo central diseñadores de PAEMFE</t>
  </si>
  <si>
    <t>Producto: Nº de diseños realizados</t>
  </si>
  <si>
    <t>abrir num personas por areas y funciones especificas…</t>
  </si>
  <si>
    <t>falta definir alcance del apoyo al sistema de proteccion de trayctorias</t>
  </si>
  <si>
    <t>PATECC</t>
  </si>
  <si>
    <t>Prórroga PAEMFE</t>
  </si>
  <si>
    <t>TOTAL</t>
  </si>
  <si>
    <t>TOTAL ACUMULADO</t>
  </si>
  <si>
    <t>Implementacion de nuevo Plan - jornadas regionales</t>
  </si>
  <si>
    <t>Implementación de nuevo plan - seguimiento campo</t>
  </si>
  <si>
    <t>Va en 2.1.c juntos Gastos de campo de monitoreo (Firma Consultora para encuestas)</t>
  </si>
  <si>
    <t>Consultorìas para definicion de perfiles</t>
  </si>
  <si>
    <t>Tribunales de concurso de cargos</t>
  </si>
  <si>
    <t>a partir de Doc de estimacion de CFE</t>
  </si>
  <si>
    <t>Sigue en 2021? Todo el equipo? Que tamaño de oficina necesitan para la operativa normal?</t>
  </si>
  <si>
    <t>Software de apoyo a procesamiento de concursos</t>
  </si>
  <si>
    <t>DIEE</t>
  </si>
  <si>
    <t>NUEVO</t>
  </si>
  <si>
    <t>hs de programacion para los reportes a medida + consultores</t>
  </si>
  <si>
    <t>para guardado de materiales previo a entregas</t>
  </si>
  <si>
    <t>Consejo</t>
  </si>
  <si>
    <t>Consultoria para diseno encuestas y muestra</t>
  </si>
  <si>
    <t>Encuesta a sector productivo</t>
  </si>
  <si>
    <t>que incluya relevamiento de informacion disponible en otros organismos con los que comparten "consejos sectorales"</t>
  </si>
  <si>
    <t>Equipo técnico de gestion del observatorio (actual)</t>
  </si>
  <si>
    <t>Diseño y desarrollo visual del observatorio y vinculo a Web institucional</t>
  </si>
  <si>
    <t>que incluya perfiles para analisis de las encuestas de egresados</t>
  </si>
  <si>
    <t>Difusion y publicaciones de UET y estudios</t>
  </si>
  <si>
    <t>Diseño año 2017 y luego mantenimiento y gastos de re edicion</t>
  </si>
  <si>
    <t>Aulas digitales Emedia</t>
  </si>
  <si>
    <t>agregar al monto de hs previsto un 15% para mejora de calidad</t>
  </si>
  <si>
    <t>Pasa a extension PAEMFE</t>
  </si>
  <si>
    <t>Unidades Regionales de Educación Permanente - Foco en acompañamiento a docentes nuevos</t>
  </si>
  <si>
    <t>c</t>
  </si>
  <si>
    <t>a</t>
  </si>
  <si>
    <t>es para los centros, pedir que discriminen según tipo</t>
  </si>
  <si>
    <t>Definición de perfiles para la oficina de PPP y apoyo a gestion</t>
  </si>
  <si>
    <t>Ver de dejar solo para la evaluacion de programa USD 40.000 y el resto pasarlo a alguna de las evaluaciones principales.</t>
  </si>
  <si>
    <t>CODICEN/CES</t>
  </si>
  <si>
    <t>Observatorio de la educacion</t>
  </si>
  <si>
    <t>Visualizacion de los monitores de EM</t>
  </si>
  <si>
    <t>CES/CETP</t>
  </si>
  <si>
    <t>DSIGC/DIEE</t>
  </si>
  <si>
    <t>Diseño e incorporación de un indicador integral y sus metas.</t>
  </si>
  <si>
    <t>b</t>
  </si>
  <si>
    <t>Ces</t>
  </si>
  <si>
    <t>encuesta permanente bianual</t>
  </si>
  <si>
    <t>Equipo técnico adicional (2 investigadores principales)</t>
  </si>
  <si>
    <t>Encuestas de seguimiento a egresados y vínculos con el trabajo</t>
  </si>
  <si>
    <t>Estudios especificos a partir de las encuestas existentes y futuras</t>
  </si>
  <si>
    <t>Estudios especificos sobre las encuestas realizadas, son CI especializados diferentes todos los años. Empiezan por analizar la encuesta de egresados 2014.</t>
  </si>
  <si>
    <t>Servicios informaticos, de soporte a analisis de bases de datos</t>
  </si>
  <si>
    <t>Paquete de hs disponibles para integraciòn de datos.</t>
  </si>
  <si>
    <t>sostener lo que se viene haciendo pero con docentes nuevos…</t>
  </si>
  <si>
    <t>Sistematización de experiencias y resultados de modalidades de jornada extendida en CETP</t>
  </si>
  <si>
    <t>Actividad</t>
  </si>
  <si>
    <t xml:space="preserve"> 1 Coordinador general</t>
  </si>
  <si>
    <t>1 supervisor cada 15 centros (sueldo $ 60.000)</t>
  </si>
  <si>
    <t>Equipo de monitoreo pedido por CES. 3 tecnicos todos los anos (13 sueldos)</t>
  </si>
  <si>
    <t>Actividades de difusión y encuentros regionales para diseñar el nuevo marco curricular</t>
  </si>
  <si>
    <t>porque lo hace el CFE? Es formacion?</t>
  </si>
  <si>
    <t>???</t>
  </si>
  <si>
    <t>Es para fortalecer a cada CD? O al nivel central? cual seria el producto?? Planes de trabajo implementados?</t>
  </si>
  <si>
    <t>Que es en concreto????</t>
  </si>
  <si>
    <t>Apoyo a la DSIE - Fondos para proyectos UCDIEs</t>
  </si>
  <si>
    <t>Apoyo a la DSIE - Fondos para Proyectos Com descentralizadas</t>
  </si>
  <si>
    <t>Es una linea permanente?</t>
  </si>
  <si>
    <t>producto previsto?</t>
  </si>
  <si>
    <t>Firma consultora para relevamiento de informacion</t>
  </si>
  <si>
    <t>Equipo de monitoreo (3 personas)</t>
  </si>
  <si>
    <t>Monitoreo y evaluación de estrategia de expansión del tiempo y espacio escolar en CES</t>
  </si>
  <si>
    <t>Creaciòn de coordinaciones de apoyo a docentes de modalidad semipresencial</t>
  </si>
  <si>
    <t>1 Coordinador para Docentes y 1 Coord para Referentes</t>
  </si>
  <si>
    <t>v) Evaluaciones</t>
  </si>
  <si>
    <t>Creaciòn de equipos de acompañamiento</t>
  </si>
  <si>
    <t>Apoyo docentes noveles de UREPs</t>
  </si>
  <si>
    <t>Descripcion actualizada</t>
  </si>
  <si>
    <t>Descripcion original</t>
  </si>
  <si>
    <t>e</t>
  </si>
  <si>
    <t>Diseño de un indicador sintético y metas coherentes con las establecidas para el quinquenio</t>
  </si>
  <si>
    <t>2 consultorias (diseño en 2017 y revisión y ajuste en 2019)</t>
  </si>
  <si>
    <t>Incuye actualizacion del Msec y creación del Mtec (El primer año diseño Mtec, y Act SEC, los demas actualizacion de ambos)</t>
  </si>
  <si>
    <t>no hay definicion de secuencia de actividades ni alcance de las actividades. Confirmar si los reportes de alerta temprana estan incluidos aca</t>
  </si>
  <si>
    <t xml:space="preserve">hs de desarrollo y de mantenimiento al sistema de informacion + </t>
  </si>
  <si>
    <t>montado de mesa de ayuda</t>
  </si>
  <si>
    <t>Mantenimiento sistema trayectorias - Mesa de ayuda</t>
  </si>
  <si>
    <t>Mantenimiento sistema trayectorias - Hs de desarrollo</t>
  </si>
  <si>
    <t>Equipamiento mobiliario EM</t>
  </si>
  <si>
    <t>Equipamiento informático EM</t>
  </si>
  <si>
    <t>Equipamiento mobiliario CFE</t>
  </si>
  <si>
    <t>MR</t>
  </si>
  <si>
    <t>i.a) Apoyo técnico al desarrollo de marco curricular común</t>
  </si>
  <si>
    <t xml:space="preserve">Equipos técnicos </t>
  </si>
  <si>
    <t>iii) Apoyo al diseño, implementación y evaluación de acciones de expansión del tiempo y espacio escolar en la educación media.</t>
  </si>
  <si>
    <t>Formación y acompañamiento de la estrategia de expansión del tiempo y espacio escolar en CES</t>
  </si>
  <si>
    <t>Visualización territorial de la información / Reportes para alertas tempranas</t>
  </si>
  <si>
    <t>d</t>
  </si>
  <si>
    <t>Ref PAEMFE</t>
  </si>
  <si>
    <t>i.a) Implementación del nuevo plan de estudios</t>
  </si>
  <si>
    <t>i.b) Fortalecimiento de modalidad de formación semi presencial</t>
  </si>
  <si>
    <t>Chequear con Margarita</t>
  </si>
  <si>
    <t>de donde sale?</t>
  </si>
  <si>
    <t>revisar carlos</t>
  </si>
  <si>
    <t>Fortalecimiento de unidad de apoyo a CD y UCDIEs</t>
  </si>
  <si>
    <t>2 consultores, asistentes tecnicos</t>
  </si>
  <si>
    <t>ii) Ampliacion y equipamiento de centros educativo de enseñanza media</t>
  </si>
  <si>
    <t>8 consultores, nacionales e internacionales (Para CES y CETP)</t>
  </si>
  <si>
    <t>CES/CETP/CODICEN</t>
  </si>
  <si>
    <t>Existe comisión en CODICEN. Posibilidad de CT en 2016. Consultores externos. En CES Consultores extenos para trabajar con el equipo que ya está trabajando (hoy tienen docs base que elaboraron inspectores).</t>
  </si>
  <si>
    <t>Para CES y CETP</t>
  </si>
  <si>
    <t>Equipo de apoyo al desarrollo de perfiles de egreso</t>
  </si>
  <si>
    <t>i.b) Apoyo técnico a la implementacion de perfiles y marco curricular en EM</t>
  </si>
  <si>
    <t>5 consultores nac e intern mas gastos de oficina y traslados</t>
  </si>
  <si>
    <t>Equipo de coord 2 per + asistente para apoyo en preparacion de materiales virtuales.</t>
  </si>
  <si>
    <t>Capacitaciones</t>
  </si>
  <si>
    <t>Equipo de coordinacion</t>
  </si>
  <si>
    <t>Evaluaciones de estrategias de expansion de la jornada escolar en EM</t>
  </si>
  <si>
    <t>(2017) para relevamiento de campo y diagnostico inicial + definicion de indicadores de éxito y planes de monitoreo. (2019) levantamiento de informacion de campo, ver anexo de M&amp;E</t>
  </si>
  <si>
    <t>2 consultores DIEE. (2017) diseño de herramientas de monitoreo y diseño de la evaluacion.</t>
  </si>
  <si>
    <t>(2017) Preparacion de documento de formalizacion de la politica</t>
  </si>
  <si>
    <t>Elaboración de especificaciones tencicas para materiales didacticos y desarrollo de los materiales</t>
  </si>
  <si>
    <t>3 a 4 consultores por 6 meses, para 15 materias</t>
  </si>
  <si>
    <t>2017 solo apoyo para consultorias o viajes para diseño, y a partir de 2018 implementacion progresiva. 2019 - 4 equipos, 2020 - 8 equois, 2021 -10 equipos</t>
  </si>
  <si>
    <t>de acuerdo a estimacion de DIEE</t>
  </si>
  <si>
    <t>Evaluación en línea en EMB</t>
  </si>
  <si>
    <t>Meta grupos por año</t>
  </si>
  <si>
    <t>% hs contratadas fuera del sistema</t>
  </si>
  <si>
    <t>Hs promedio semanales por grupo</t>
  </si>
  <si>
    <t>Costo estimado hora semanal mensual</t>
  </si>
  <si>
    <t>Meses de clase contratados al año</t>
  </si>
  <si>
    <t>TC</t>
  </si>
  <si>
    <t>iii.a) Estrategia de expansión del tiempo y espacio escolar  en CES</t>
  </si>
  <si>
    <t>i.a) Fortalecimiento de las practicas de entrega regular de informacion</t>
  </si>
  <si>
    <t>i.b) Observatorio educación-trabajo</t>
  </si>
  <si>
    <t>iii.a) Equipo de apoyo a la implantación de sistemas</t>
  </si>
  <si>
    <t>iii.b) Implantación de Modulos del GRP en CES</t>
  </si>
  <si>
    <t>iii.c) Implantación de Modulos del GRP en CETP</t>
  </si>
  <si>
    <t>iii.d) Implantación de Modulos del GRP en CFE</t>
  </si>
  <si>
    <t>iii.e) Implantación de Modulos del GRP en CODICEN</t>
  </si>
  <si>
    <t>iii) Ampliación y equipamiento de centros de formación inicial en educación</t>
  </si>
  <si>
    <t>iii.b) Equipamiento informatico y mobiliarios de centros nuevos y ampliados</t>
  </si>
  <si>
    <t>ii.a) Ampliiacion de centros educativos de enseñanza media</t>
  </si>
  <si>
    <t>RRHH UCP - Coordinación</t>
  </si>
  <si>
    <t>RRHH UCP - Secretaría</t>
  </si>
  <si>
    <t>RRHH UCP - Programación y monitoreo</t>
  </si>
  <si>
    <t>RRHH UCP - Financiero contable</t>
  </si>
  <si>
    <t>RRHH UCP - Adquisiciones</t>
  </si>
  <si>
    <t>RRHH UCP - Jurídica</t>
  </si>
  <si>
    <t>RRHH UCP - Recursos humanos</t>
  </si>
  <si>
    <t>RRHH UCP - Infraestructura</t>
  </si>
  <si>
    <t>RRHH UCP - Sistemas</t>
  </si>
  <si>
    <t>1 profesional</t>
  </si>
  <si>
    <t>3 administrativos</t>
  </si>
  <si>
    <t>3 profesionales</t>
  </si>
  <si>
    <t>4 profesionales y 4 asistentes técnicos</t>
  </si>
  <si>
    <t>1 profesional. 1 asistente técnico  y 1 administrativa</t>
  </si>
  <si>
    <t>2 profesionales y 1 administrativa</t>
  </si>
  <si>
    <t>1 profesional y 1 administrativo</t>
  </si>
  <si>
    <t>2 profesionales y 1 administrativo</t>
  </si>
  <si>
    <t>1 profesional, 1 asistente técnico y 1 administrativo</t>
  </si>
  <si>
    <t>Planificación anual en U$S</t>
  </si>
  <si>
    <t>1.0.0.0</t>
  </si>
  <si>
    <t>1.1.0.0</t>
  </si>
  <si>
    <t>1.2.0.0</t>
  </si>
  <si>
    <t>1.3.0.0</t>
  </si>
  <si>
    <t>2.0.0.0</t>
  </si>
  <si>
    <t>2.1.0.0</t>
  </si>
  <si>
    <t>2.2.0.0</t>
  </si>
  <si>
    <t>2.3.0.0</t>
  </si>
  <si>
    <t>3.0.0.0</t>
  </si>
  <si>
    <t>3.1.0.0</t>
  </si>
  <si>
    <t>3.2.0.0</t>
  </si>
  <si>
    <t>3.3.0.0</t>
  </si>
  <si>
    <t>4.0.0.0</t>
  </si>
  <si>
    <t>4.1.0.0</t>
  </si>
  <si>
    <t>4.2.0.0</t>
  </si>
  <si>
    <t>4.3.0.0</t>
  </si>
  <si>
    <t>4.4.0.0</t>
  </si>
  <si>
    <t>5.0.0.0</t>
  </si>
  <si>
    <t>5.1.0.0</t>
  </si>
  <si>
    <t>5.2.0.0</t>
  </si>
  <si>
    <t>ii) Gastos de administracion, auditoría y evaluacion</t>
  </si>
  <si>
    <t>i) Gastos de funcionamiento</t>
  </si>
  <si>
    <t>Credito Disponible</t>
  </si>
  <si>
    <t>i.b) Equipamiento informatico y mobiliarios de centros nuevos y ampliados</t>
  </si>
  <si>
    <t>i.c) Equipo técnico de diseño y apoyo al componente de obras</t>
  </si>
  <si>
    <t>iii.a) Ampliiacion de centros de formación en educación</t>
  </si>
  <si>
    <t>Apoyo a la DSIE - Apoyo a acciones de dispositivos</t>
  </si>
  <si>
    <t>Preparacion del plan 2017 y acciones a partir de 2018</t>
  </si>
  <si>
    <t>Fuente</t>
  </si>
  <si>
    <t>BID</t>
  </si>
  <si>
    <t>Local</t>
  </si>
  <si>
    <t>%</t>
  </si>
  <si>
    <t>Certificados</t>
  </si>
  <si>
    <t>Total credito</t>
  </si>
  <si>
    <t>Equipo de apoyo administrativo</t>
  </si>
  <si>
    <t>Equipo de coordinación y supervisión</t>
  </si>
  <si>
    <t>Hs docente a contratar (individual o centro de referencia) + mejora calidad</t>
  </si>
  <si>
    <t>LOCAL</t>
  </si>
  <si>
    <t>i) Definición de perfiles de egreso y progresión de aprendizajes para toda la EM, considerando la trayectoria completa del estudiante, y el desarrollo e implementación de un marco curricular de referencia nacional.</t>
  </si>
  <si>
    <t>i) Desarrollo e implementación de un nuevo plan de estudios para la FI, que incremente la flexibilidad y navegabilidad entre instituciones de formación terciaria y contemple también las especificidades de la modalidad semi-presencial; y un estudio de seguimiento de cohortes y procesos de implementación del nuevo plan;</t>
  </si>
  <si>
    <t xml:space="preserve">ii) Diseño e implementación de una nueva estructura académica y funcional de la carrera para los formadores de formadores; </t>
  </si>
  <si>
    <t>iii) Diseño e implementación de un programa de inducción, acompañamiento y desarrollo profesional a docentes de EM en sus primeros años de experiencia;</t>
  </si>
  <si>
    <t>i) Diseño e implementación de un sistema de aseguramiento de la calidad de la EM</t>
  </si>
  <si>
    <t>iii) Fortalecimiento de los sistemas de gestión financiera-administrativa-recursos humanos y de la función directriz del CODICEN en relación a los mismos, que incluye;</t>
  </si>
  <si>
    <t>i) Diseño, construcción y equipamiento de nuevos centros educativos de enseñanza media</t>
  </si>
  <si>
    <t>i.a) Construcción y equipamiento de nuevos centros educativos de enseñanza media</t>
  </si>
  <si>
    <t>iv) Apoyo para el fortalecimiento de ANEP para gestionar Alianzas Público-Privadas en infraestructura escolar;</t>
  </si>
  <si>
    <t>Descripcion</t>
  </si>
  <si>
    <t>en millones</t>
  </si>
  <si>
    <t>Total BID</t>
  </si>
  <si>
    <t>Total LOCAL</t>
  </si>
  <si>
    <t>Cuadro II-1: Cronograma de Desembolsos (millones US$)</t>
  </si>
  <si>
    <t>Año II</t>
  </si>
  <si>
    <t>Año III</t>
  </si>
  <si>
    <t>Año IV</t>
  </si>
  <si>
    <t>Año V</t>
  </si>
  <si>
    <t>Año I</t>
  </si>
  <si>
    <t>BID (US$)</t>
  </si>
  <si>
    <t>Local (US$)</t>
  </si>
  <si>
    <t>Costo Total (US$)</t>
  </si>
  <si>
    <t>Nº</t>
  </si>
  <si>
    <t>5. Administración del Programa</t>
  </si>
  <si>
    <t>Monto Mensual</t>
  </si>
  <si>
    <t>Guinovart, Beatriz</t>
  </si>
  <si>
    <t>RRHH UCP - Coordinación Total</t>
  </si>
  <si>
    <t>no continuaría</t>
  </si>
  <si>
    <t>Tarán, María del Huerto</t>
  </si>
  <si>
    <t>Compensado</t>
  </si>
  <si>
    <t>Suárez, John</t>
  </si>
  <si>
    <t>RRHH UCP - Secretaría Total</t>
  </si>
  <si>
    <t>Troncoso, Carlos</t>
  </si>
  <si>
    <t>González Cicala, Carlos</t>
  </si>
  <si>
    <t>Plana, Verónica</t>
  </si>
  <si>
    <t>RRHH UCP - Programación y monitoreo Total</t>
  </si>
  <si>
    <t>Bruzzese, Martin</t>
  </si>
  <si>
    <t>Giovannini, Alejandro</t>
  </si>
  <si>
    <t>Bilat, Damián</t>
  </si>
  <si>
    <t>Pellegrini, Alba Mónica</t>
  </si>
  <si>
    <t>Porley Silva, Juan Sebastián</t>
  </si>
  <si>
    <t>Stalla, Natalia</t>
  </si>
  <si>
    <t>Sena, Marines</t>
  </si>
  <si>
    <t>Nazar, Raúl</t>
  </si>
  <si>
    <t>RRHH UCP - Financiero contable Total</t>
  </si>
  <si>
    <t>Berón, Lorena</t>
  </si>
  <si>
    <t>Juncal, Sandra</t>
  </si>
  <si>
    <t>Neme, María Eugenia</t>
  </si>
  <si>
    <t>RRHH UCP - Adquisiciones Total</t>
  </si>
  <si>
    <t>Barragan, Patricia</t>
  </si>
  <si>
    <t>Bartesaghi, Mariela</t>
  </si>
  <si>
    <t>Gil, Alejandra</t>
  </si>
  <si>
    <t>RRHH UCP - Jurídica Total</t>
  </si>
  <si>
    <t>Tritten, Leandro</t>
  </si>
  <si>
    <t>Rodríguez, Pilar</t>
  </si>
  <si>
    <t>RRHH UCP - Recursos humanos Total</t>
  </si>
  <si>
    <t>Martinez, Alvaro</t>
  </si>
  <si>
    <t>Rischewski, Fernando</t>
  </si>
  <si>
    <t>Nogueira, Ángel</t>
  </si>
  <si>
    <t>RRHH UCP - Infraestructura Total</t>
  </si>
  <si>
    <t xml:space="preserve">Puñales, Natalia </t>
  </si>
  <si>
    <t>Bianchi, Diego</t>
  </si>
  <si>
    <t>Topolansky, Enrique</t>
  </si>
  <si>
    <t>RRHH UCP - Sistemas Total</t>
  </si>
  <si>
    <t>Grand Total</t>
  </si>
  <si>
    <t>i) diseño, construcción y equipamiento de nuevos centros educativos de enseñanza media</t>
  </si>
  <si>
    <t>Depósito RRHH</t>
  </si>
  <si>
    <t>Bariani, Gastón Matías</t>
  </si>
  <si>
    <t>Rodríguez, Sebastián</t>
  </si>
  <si>
    <t>Cardozo, Walter</t>
  </si>
  <si>
    <t>Cena, Andrés Robert</t>
  </si>
  <si>
    <t>Ruiz, Mauricio</t>
  </si>
  <si>
    <t>Currais, Mariella</t>
  </si>
  <si>
    <t>Doglio, Nestor</t>
  </si>
  <si>
    <t>López, Berenize</t>
  </si>
  <si>
    <t>Rosas, Luis</t>
  </si>
  <si>
    <t>Sorribas, Marcela</t>
  </si>
  <si>
    <t>Depósito Funcionamento y seguros</t>
  </si>
  <si>
    <t>RRHH diseño, metraje y presupuesto</t>
  </si>
  <si>
    <t>García, Adriana</t>
  </si>
  <si>
    <t>Rama, Amparo</t>
  </si>
  <si>
    <t>Tanca, Beatriz</t>
  </si>
  <si>
    <t>André, Federico</t>
  </si>
  <si>
    <t>Guido, Carlos</t>
  </si>
  <si>
    <t>Alcarraz, Esteban</t>
  </si>
  <si>
    <t>Campos, Marina</t>
  </si>
  <si>
    <t>Gadea, Graciela</t>
  </si>
  <si>
    <t>Marzaroli, José</t>
  </si>
  <si>
    <t>Muñoz, María del Pilar</t>
  </si>
  <si>
    <t>Pierotti, Alberto</t>
  </si>
  <si>
    <t>Antuña, Roxana</t>
  </si>
  <si>
    <t>Artecona, Inés</t>
  </si>
  <si>
    <t>Cortela, William</t>
  </si>
  <si>
    <t>Duarte, Patricia</t>
  </si>
  <si>
    <t>Gnesetti, Andrea</t>
  </si>
  <si>
    <t>Clavijo, Martha</t>
  </si>
  <si>
    <t>Peaguda, Ignacio</t>
  </si>
  <si>
    <t>Fernández, Mercedes</t>
  </si>
  <si>
    <t>Asesores, supervisión… - FIJOS</t>
  </si>
  <si>
    <t>Carrero, Virginia</t>
  </si>
  <si>
    <t>Menini, Gabriela</t>
  </si>
  <si>
    <t>Bonicelli, Alejandro</t>
  </si>
  <si>
    <t>Seguí, Adolfo</t>
  </si>
  <si>
    <t>Asesores, supervisión… - VARIABLES</t>
  </si>
  <si>
    <t>i) el diseño e implementación de un sistema de aseguramiento de la calidad de la EM</t>
  </si>
  <si>
    <t>Sanguinetti, Graciela</t>
  </si>
  <si>
    <t>Ferreira, Richard</t>
  </si>
  <si>
    <t>Martínez, María del Carmen</t>
  </si>
  <si>
    <t>iii) el fortalecimiento de los sistemas de gestión financiera-administrativa-recursos humanos y de la función directriz del CODICEN en relación a los mismos, que incluye;</t>
  </si>
  <si>
    <t>Isi, Natalia</t>
  </si>
  <si>
    <t>Cabral, Federico</t>
  </si>
  <si>
    <t>Pena, Arturo</t>
  </si>
  <si>
    <t>Ferrer, Javier</t>
  </si>
  <si>
    <t>Venturiello, Christian</t>
  </si>
  <si>
    <t>Balbi, Marcelo</t>
  </si>
  <si>
    <t>Betucci, Laura</t>
  </si>
  <si>
    <t>Alvarez, Luis</t>
  </si>
  <si>
    <t>Villa, Francisco</t>
  </si>
  <si>
    <t>Caseres, Teresita</t>
  </si>
  <si>
    <t>Capdehourath, Virginia</t>
  </si>
  <si>
    <t>Salvetto, Pedro</t>
  </si>
  <si>
    <t>Isnardi, Nicolás</t>
  </si>
  <si>
    <t>Ortiz, Martín</t>
  </si>
  <si>
    <t>García, Ignacio</t>
  </si>
  <si>
    <t>Ravera, Juan</t>
  </si>
  <si>
    <t>De Nava, Eduardo</t>
  </si>
  <si>
    <t>Camargo, Oscar</t>
  </si>
  <si>
    <t>Molina, Hector</t>
  </si>
  <si>
    <t>Castro, Mauro</t>
  </si>
  <si>
    <t>Abalo, Luis</t>
  </si>
  <si>
    <t>De Poi, Enzo</t>
  </si>
  <si>
    <t>Romero, Miguel</t>
  </si>
  <si>
    <t>Damián Andria</t>
  </si>
  <si>
    <t>Andrea Pereira</t>
  </si>
  <si>
    <t>Sansberro, Ethel</t>
  </si>
  <si>
    <t>González, Paola</t>
  </si>
  <si>
    <t>Gorozurreta, Natalia</t>
  </si>
  <si>
    <t>Schenk, Marcela</t>
  </si>
  <si>
    <t>Gonzalez, Mariana</t>
  </si>
  <si>
    <t>Faccio, Carolina</t>
  </si>
  <si>
    <t>Severino, Rocío</t>
  </si>
  <si>
    <t>Macari, Andrea</t>
  </si>
  <si>
    <t>Conde, Ana Laura</t>
  </si>
  <si>
    <t>Estellano, Mariane</t>
  </si>
  <si>
    <t>Evaluaciones de estrategias de expansion de la jornada escolar en EM Total</t>
  </si>
  <si>
    <t>Evaluación de nuevo plan y del semipresencial Total</t>
  </si>
  <si>
    <t>prevision tentativa para identificacion de demanda, formacion, materiales y acompañamiento a equipos docentes (las horas docentes serían a cargo del sistema)</t>
  </si>
  <si>
    <t>Gant</t>
  </si>
  <si>
    <t>Total Meses</t>
  </si>
  <si>
    <t>BID %</t>
  </si>
  <si>
    <t>Local %</t>
  </si>
  <si>
    <t>BID $</t>
  </si>
  <si>
    <t>Local $</t>
  </si>
  <si>
    <t>Total USD</t>
  </si>
  <si>
    <t>Cuadro Detallado de Costos - con formulas activas al PEP</t>
  </si>
  <si>
    <t>ii) Apoyo al diseño, implementación y evaluación de acciones de expansión del tiempo y espacio escolar en la educación media.</t>
  </si>
  <si>
    <t>ii.a) Estrategia de expansión del tiempo y espacio escolar  en CES</t>
  </si>
  <si>
    <t>ii.b) Sistematizacion experiencias de tiempo extendido de CETP</t>
  </si>
  <si>
    <t>iii) Implementación de propuestas de enseñanza a través de aulas digitales, especialmente para disciplinas con escasez de profesores.</t>
  </si>
  <si>
    <t>ii) Diseño e implementación de un sistema protección de trayectorias educativas;</t>
  </si>
  <si>
    <t>Sin formula</t>
  </si>
  <si>
    <t>Sin formulas</t>
  </si>
  <si>
    <t>Componente 1: Mejora de la calidad educativa.</t>
  </si>
  <si>
    <t>Componente 3: Integración territorial y gestión para la mejora educativa.</t>
  </si>
  <si>
    <t xml:space="preserve">Componente 4: Infraestructura para la mejora educativa. </t>
  </si>
  <si>
    <t>Administración del Programa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</si>
</sst>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_(* #,##0_);_(* \(#,##0\);_(* &quot;-&quot;??_);_(@_)"/>
    <numFmt numFmtId="166" formatCode="_(* #,##0.0000_);_(* \(#,##0.0000\);_(* &quot;-&quot;??_);_(@_)"/>
    <numFmt numFmtId="167" formatCode="0_);\(0\)"/>
  </numFmts>
  <fonts count="50" x14ac:knownFonts="1">
    <font>
      <sz val="11"/>
      <color theme="1"/>
      <name val="Calibri"/>
      <family val="2"/>
      <scheme val="minor"/>
    </font>
    <font>
      <sz val="11"/>
      <color theme="1"/>
      <name val="Calibri"/>
      <family val="2"/>
      <scheme val="minor"/>
    </font>
    <font>
      <sz val="11"/>
      <color indexed="8"/>
      <name val="Calibri"/>
      <family val="2"/>
    </font>
    <font>
      <b/>
      <sz val="8"/>
      <color indexed="81"/>
      <name val="Tahoma"/>
      <family val="2"/>
    </font>
    <font>
      <sz val="9"/>
      <color indexed="81"/>
      <name val="Tahoma"/>
      <family val="2"/>
    </font>
    <font>
      <b/>
      <sz val="9"/>
      <color indexed="81"/>
      <name val="Tahoma"/>
      <family val="2"/>
    </font>
    <font>
      <sz val="10"/>
      <color theme="1"/>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sz val="10"/>
      <name val="Calibri"/>
      <family val="2"/>
      <scheme val="minor"/>
    </font>
    <font>
      <sz val="10"/>
      <color rgb="FF0070C0"/>
      <name val="Calibri"/>
      <family val="2"/>
      <scheme val="minor"/>
    </font>
    <font>
      <b/>
      <sz val="10"/>
      <name val="Calibri"/>
      <family val="2"/>
      <scheme val="minor"/>
    </font>
    <font>
      <strike/>
      <sz val="10"/>
      <color theme="1"/>
      <name val="Calibri"/>
      <family val="2"/>
      <scheme val="minor"/>
    </font>
    <font>
      <b/>
      <i/>
      <sz val="10"/>
      <name val="Calibri"/>
      <family val="2"/>
      <scheme val="minor"/>
    </font>
    <font>
      <sz val="10"/>
      <color theme="0"/>
      <name val="Calibri"/>
      <family val="2"/>
      <scheme val="minor"/>
    </font>
    <font>
      <strike/>
      <sz val="10"/>
      <color rgb="FF0070C0"/>
      <name val="Calibri"/>
      <family val="2"/>
      <scheme val="minor"/>
    </font>
    <font>
      <u/>
      <sz val="10"/>
      <name val="Calibri"/>
      <family val="2"/>
    </font>
    <font>
      <sz val="9"/>
      <color theme="1"/>
      <name val="Arial"/>
      <family val="2"/>
    </font>
    <font>
      <b/>
      <sz val="9"/>
      <color theme="0"/>
      <name val="Arial"/>
      <family val="2"/>
    </font>
    <font>
      <b/>
      <sz val="9"/>
      <color theme="1"/>
      <name val="Arial"/>
      <family val="2"/>
    </font>
    <font>
      <sz val="9"/>
      <name val="Arial"/>
      <family val="2"/>
    </font>
    <font>
      <b/>
      <sz val="9"/>
      <name val="Arial"/>
      <family val="2"/>
    </font>
    <font>
      <b/>
      <sz val="9"/>
      <color rgb="FF000000"/>
      <name val="Arial"/>
      <family val="2"/>
    </font>
    <font>
      <sz val="9"/>
      <color rgb="FF000000"/>
      <name val="Arial"/>
      <family val="2"/>
    </font>
    <font>
      <b/>
      <u/>
      <sz val="9"/>
      <color rgb="FF000000"/>
      <name val="Arial"/>
      <family val="2"/>
    </font>
    <font>
      <b/>
      <u/>
      <sz val="9"/>
      <color theme="1"/>
      <name val="Arial"/>
      <family val="2"/>
    </font>
    <font>
      <sz val="9"/>
      <color theme="0"/>
      <name val="Arial"/>
      <family val="2"/>
    </font>
    <font>
      <b/>
      <i/>
      <sz val="9"/>
      <name val="Arial"/>
      <family val="2"/>
    </font>
    <font>
      <i/>
      <sz val="9"/>
      <name val="Arial"/>
      <family val="2"/>
    </font>
    <font>
      <sz val="9"/>
      <color indexed="81"/>
      <name val="Tahoma"/>
      <charset val="1"/>
    </font>
    <font>
      <b/>
      <sz val="9"/>
      <color indexed="81"/>
      <name val="Tahoma"/>
      <charset val="1"/>
    </font>
    <font>
      <b/>
      <sz val="8"/>
      <color theme="0"/>
      <name val="Calibri"/>
      <family val="2"/>
      <scheme val="minor"/>
    </font>
    <font>
      <sz val="8"/>
      <color theme="0"/>
      <name val="Calibri"/>
      <family val="2"/>
      <scheme val="minor"/>
    </font>
    <font>
      <b/>
      <sz val="8"/>
      <name val="Calibri"/>
      <family val="2"/>
      <scheme val="minor"/>
    </font>
    <font>
      <sz val="8"/>
      <name val="Calibri"/>
      <family val="2"/>
      <scheme val="minor"/>
    </font>
    <font>
      <sz val="11"/>
      <color rgb="FF0070C0"/>
      <name val="Calibri"/>
      <family val="2"/>
      <scheme val="minor"/>
    </font>
    <font>
      <sz val="11"/>
      <name val="Calibri"/>
      <family val="2"/>
      <scheme val="minor"/>
    </font>
    <font>
      <b/>
      <sz val="11"/>
      <color rgb="FF0070C0"/>
      <name val="Calibri"/>
      <family val="2"/>
      <scheme val="minor"/>
    </font>
    <font>
      <strike/>
      <sz val="11"/>
      <color rgb="FF0070C0"/>
      <name val="Calibri"/>
      <family val="2"/>
      <scheme val="minor"/>
    </font>
    <font>
      <strike/>
      <sz val="11"/>
      <color theme="1"/>
      <name val="Calibri"/>
      <family val="2"/>
      <scheme val="minor"/>
    </font>
    <font>
      <strike/>
      <sz val="11"/>
      <name val="Calibri"/>
      <family val="2"/>
      <scheme val="minor"/>
    </font>
    <font>
      <b/>
      <sz val="10"/>
      <name val="Calibri"/>
      <family val="2"/>
    </font>
    <font>
      <u/>
      <sz val="10"/>
      <color theme="0"/>
      <name val="Calibri"/>
      <family val="2"/>
    </font>
    <font>
      <b/>
      <sz val="10"/>
      <color theme="0"/>
      <name val="Calibri"/>
      <family val="2"/>
    </font>
    <font>
      <b/>
      <u/>
      <sz val="10"/>
      <color theme="0"/>
      <name val="Calibri"/>
      <family val="2"/>
    </font>
    <font>
      <sz val="10"/>
      <color theme="0"/>
      <name val="Calibri"/>
      <family val="2"/>
    </font>
    <font>
      <i/>
      <sz val="10"/>
      <color theme="0"/>
      <name val="Calibri"/>
      <family val="2"/>
      <scheme val="minor"/>
    </font>
    <font>
      <b/>
      <i/>
      <sz val="10"/>
      <color theme="0"/>
      <name val="Calibri"/>
      <family val="2"/>
      <scheme val="minor"/>
    </font>
    <font>
      <sz val="9"/>
      <color theme="0"/>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FF"/>
        <bgColor indexed="64"/>
      </patternFill>
    </fill>
    <fill>
      <patternFill patternType="solid">
        <fgColor rgb="FF8EAADB"/>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cellStyleXfs>
  <cellXfs count="418">
    <xf numFmtId="0" fontId="0" fillId="0" borderId="0" xfId="0"/>
    <xf numFmtId="0" fontId="7"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6" fillId="2" borderId="1" xfId="0" applyFont="1" applyFill="1" applyBorder="1" applyAlignment="1">
      <alignment vertical="center"/>
    </xf>
    <xf numFmtId="0" fontId="7" fillId="2" borderId="1" xfId="0" applyFont="1" applyFill="1" applyBorder="1" applyAlignment="1">
      <alignment vertical="center"/>
    </xf>
    <xf numFmtId="0" fontId="10" fillId="2" borderId="1" xfId="0" applyFont="1" applyFill="1" applyBorder="1" applyAlignment="1">
      <alignment vertical="center"/>
    </xf>
    <xf numFmtId="0" fontId="10" fillId="2" borderId="1" xfId="0" applyFont="1" applyFill="1" applyBorder="1" applyAlignment="1">
      <alignment horizontal="center" vertical="center"/>
    </xf>
    <xf numFmtId="0" fontId="6" fillId="0" borderId="1" xfId="0" applyFont="1" applyBorder="1" applyAlignment="1">
      <alignment vertical="center"/>
    </xf>
    <xf numFmtId="0" fontId="6" fillId="0" borderId="1" xfId="0" applyFont="1" applyFill="1" applyBorder="1" applyAlignment="1">
      <alignment vertical="center"/>
    </xf>
    <xf numFmtId="3" fontId="10" fillId="0" borderId="1" xfId="0" applyNumberFormat="1" applyFont="1" applyBorder="1" applyAlignment="1">
      <alignment vertical="center"/>
    </xf>
    <xf numFmtId="3" fontId="10" fillId="0" borderId="1" xfId="0" applyNumberFormat="1" applyFont="1" applyBorder="1" applyAlignment="1">
      <alignment horizontal="center" vertical="center"/>
    </xf>
    <xf numFmtId="0" fontId="6" fillId="0" borderId="1" xfId="0" applyFont="1" applyFill="1" applyBorder="1" applyAlignment="1">
      <alignment horizontal="center" vertical="center" wrapText="1"/>
    </xf>
    <xf numFmtId="3" fontId="10" fillId="4" borderId="1" xfId="0" applyNumberFormat="1" applyFont="1" applyFill="1" applyBorder="1" applyAlignment="1">
      <alignment vertical="center"/>
    </xf>
    <xf numFmtId="0" fontId="8" fillId="0" borderId="1" xfId="0" applyFont="1" applyFill="1" applyBorder="1" applyAlignment="1">
      <alignment vertical="center"/>
    </xf>
    <xf numFmtId="0" fontId="10" fillId="0" borderId="1" xfId="0" applyFont="1" applyBorder="1" applyAlignment="1">
      <alignment vertical="center"/>
    </xf>
    <xf numFmtId="3" fontId="10" fillId="2" borderId="1" xfId="0" applyNumberFormat="1" applyFont="1" applyFill="1" applyBorder="1" applyAlignment="1">
      <alignment vertical="center"/>
    </xf>
    <xf numFmtId="0" fontId="10" fillId="0" borderId="1" xfId="0" applyFont="1" applyFill="1" applyBorder="1" applyAlignment="1">
      <alignment vertical="center"/>
    </xf>
    <xf numFmtId="0" fontId="7" fillId="5" borderId="1" xfId="0" applyFont="1" applyFill="1" applyBorder="1" applyAlignment="1">
      <alignment vertical="center"/>
    </xf>
    <xf numFmtId="3" fontId="12" fillId="5" borderId="1" xfId="0" applyNumberFormat="1" applyFont="1" applyFill="1" applyBorder="1" applyAlignment="1">
      <alignment vertical="center"/>
    </xf>
    <xf numFmtId="3" fontId="12" fillId="5" borderId="1" xfId="0" applyNumberFormat="1" applyFont="1" applyFill="1" applyBorder="1" applyAlignment="1">
      <alignment horizontal="center" vertical="center"/>
    </xf>
    <xf numFmtId="3" fontId="12" fillId="2" borderId="1" xfId="0" applyNumberFormat="1" applyFont="1" applyFill="1" applyBorder="1" applyAlignment="1">
      <alignment vertical="center"/>
    </xf>
    <xf numFmtId="0" fontId="12" fillId="2" borderId="1" xfId="0" applyFont="1" applyFill="1" applyBorder="1" applyAlignment="1">
      <alignment vertical="center"/>
    </xf>
    <xf numFmtId="0" fontId="12" fillId="5" borderId="1" xfId="0" applyFont="1" applyFill="1" applyBorder="1" applyAlignment="1">
      <alignment vertical="center"/>
    </xf>
    <xf numFmtId="0" fontId="7" fillId="0" borderId="5" xfId="0" applyFont="1" applyFill="1" applyBorder="1" applyAlignment="1">
      <alignment vertical="center"/>
    </xf>
    <xf numFmtId="0" fontId="7" fillId="0" borderId="6" xfId="0" applyFont="1" applyFill="1" applyBorder="1" applyAlignment="1">
      <alignment vertical="center"/>
    </xf>
    <xf numFmtId="3" fontId="12" fillId="0" borderId="1" xfId="0" applyNumberFormat="1" applyFont="1" applyFill="1" applyBorder="1" applyAlignment="1">
      <alignment vertical="center"/>
    </xf>
    <xf numFmtId="3" fontId="12" fillId="0" borderId="1" xfId="0" applyNumberFormat="1" applyFont="1" applyFill="1" applyBorder="1" applyAlignment="1">
      <alignment horizontal="center" vertical="center"/>
    </xf>
    <xf numFmtId="0" fontId="7" fillId="0" borderId="1" xfId="0" applyFont="1" applyFill="1" applyBorder="1" applyAlignment="1">
      <alignment vertical="center"/>
    </xf>
    <xf numFmtId="0" fontId="6" fillId="0" borderId="0" xfId="0" applyFont="1" applyFill="1" applyAlignment="1">
      <alignment vertical="center"/>
    </xf>
    <xf numFmtId="0" fontId="15" fillId="7" borderId="0" xfId="0" quotePrefix="1" applyFont="1" applyFill="1" applyAlignment="1">
      <alignment horizontal="center" vertical="center"/>
    </xf>
    <xf numFmtId="0" fontId="9" fillId="7" borderId="0" xfId="0" applyFont="1" applyFill="1" applyAlignment="1">
      <alignment vertical="center"/>
    </xf>
    <xf numFmtId="0" fontId="15" fillId="7" borderId="0" xfId="0" applyFont="1" applyFill="1" applyAlignment="1">
      <alignment vertical="center"/>
    </xf>
    <xf numFmtId="0" fontId="15" fillId="7" borderId="0" xfId="0" applyFont="1" applyFill="1" applyAlignment="1">
      <alignment horizontal="center" vertical="center"/>
    </xf>
    <xf numFmtId="0" fontId="14" fillId="6" borderId="0" xfId="0" applyFont="1" applyFill="1" applyAlignment="1">
      <alignment horizontal="center" vertical="center"/>
    </xf>
    <xf numFmtId="0" fontId="14" fillId="9" borderId="0" xfId="0" applyFont="1" applyFill="1" applyAlignment="1">
      <alignment horizontal="center" vertical="center"/>
    </xf>
    <xf numFmtId="0" fontId="10" fillId="0" borderId="0" xfId="0" applyFont="1" applyFill="1" applyAlignment="1">
      <alignment vertical="center"/>
    </xf>
    <xf numFmtId="3" fontId="8" fillId="0" borderId="0" xfId="0" applyNumberFormat="1" applyFont="1" applyAlignment="1">
      <alignment vertical="center"/>
    </xf>
    <xf numFmtId="3" fontId="6" fillId="0" borderId="0" xfId="0" applyNumberFormat="1" applyFont="1" applyAlignment="1">
      <alignment vertical="center"/>
    </xf>
    <xf numFmtId="0" fontId="10" fillId="0" borderId="0" xfId="0" applyFont="1" applyAlignment="1">
      <alignment vertical="center"/>
    </xf>
    <xf numFmtId="3" fontId="10" fillId="0" borderId="0" xfId="0" applyNumberFormat="1" applyFont="1" applyFill="1" applyBorder="1" applyAlignment="1">
      <alignment vertical="center"/>
    </xf>
    <xf numFmtId="3" fontId="10" fillId="0" borderId="0" xfId="0" applyNumberFormat="1" applyFont="1" applyFill="1" applyBorder="1" applyAlignment="1">
      <alignment horizontal="center" vertical="center"/>
    </xf>
    <xf numFmtId="165" fontId="9" fillId="7" borderId="1" xfId="3" applyNumberFormat="1" applyFont="1" applyFill="1" applyBorder="1" applyAlignment="1">
      <alignment vertical="center"/>
    </xf>
    <xf numFmtId="0" fontId="12" fillId="8" borderId="0" xfId="0" applyFont="1" applyFill="1" applyAlignment="1">
      <alignment horizontal="center" vertical="center"/>
    </xf>
    <xf numFmtId="165" fontId="10" fillId="0" borderId="0" xfId="3" applyNumberFormat="1" applyFont="1" applyAlignment="1">
      <alignment vertical="center"/>
    </xf>
    <xf numFmtId="0" fontId="9" fillId="7" borderId="0" xfId="0" applyFont="1" applyFill="1" applyAlignment="1">
      <alignment horizontal="left" vertical="center"/>
    </xf>
    <xf numFmtId="165" fontId="14" fillId="9" borderId="0" xfId="3" applyNumberFormat="1" applyFont="1" applyFill="1" applyAlignment="1">
      <alignment vertical="center"/>
    </xf>
    <xf numFmtId="0" fontId="14" fillId="6" borderId="0" xfId="0" applyFont="1" applyFill="1" applyAlignment="1">
      <alignment vertical="center"/>
    </xf>
    <xf numFmtId="165" fontId="14" fillId="6" borderId="0" xfId="3" applyNumberFormat="1" applyFont="1" applyFill="1" applyAlignment="1">
      <alignment vertical="center"/>
    </xf>
    <xf numFmtId="3" fontId="14" fillId="6" borderId="0" xfId="0" applyNumberFormat="1" applyFont="1" applyFill="1" applyAlignment="1">
      <alignment vertical="center"/>
    </xf>
    <xf numFmtId="3" fontId="14" fillId="6" borderId="0" xfId="0" applyNumberFormat="1" applyFont="1" applyFill="1" applyAlignment="1">
      <alignment horizontal="center" vertical="center"/>
    </xf>
    <xf numFmtId="0" fontId="10" fillId="6" borderId="0" xfId="0" applyFont="1" applyFill="1" applyAlignment="1">
      <alignment horizontal="center" vertical="center"/>
    </xf>
    <xf numFmtId="0" fontId="14" fillId="9" borderId="0" xfId="0" applyFont="1" applyFill="1" applyAlignment="1">
      <alignment vertical="center"/>
    </xf>
    <xf numFmtId="3" fontId="14" fillId="9" borderId="0" xfId="0" applyNumberFormat="1" applyFont="1" applyFill="1" applyAlignment="1">
      <alignment vertical="center"/>
    </xf>
    <xf numFmtId="3" fontId="14" fillId="9" borderId="0" xfId="0" applyNumberFormat="1" applyFont="1" applyFill="1" applyAlignment="1">
      <alignment horizontal="center" vertical="center"/>
    </xf>
    <xf numFmtId="0" fontId="12" fillId="8" borderId="0" xfId="0" applyFont="1" applyFill="1" applyAlignment="1">
      <alignment vertical="center"/>
    </xf>
    <xf numFmtId="165" fontId="12" fillId="8" borderId="0" xfId="3" applyNumberFormat="1" applyFont="1" applyFill="1" applyAlignment="1">
      <alignment vertical="center"/>
    </xf>
    <xf numFmtId="3" fontId="12" fillId="8" borderId="0" xfId="0" applyNumberFormat="1" applyFont="1" applyFill="1" applyAlignment="1">
      <alignment vertical="center"/>
    </xf>
    <xf numFmtId="3" fontId="12" fillId="8" borderId="0" xfId="0" applyNumberFormat="1" applyFont="1" applyFill="1" applyAlignment="1">
      <alignment horizontal="center" vertical="center"/>
    </xf>
    <xf numFmtId="0" fontId="15" fillId="3" borderId="0" xfId="0" applyFont="1" applyFill="1" applyAlignment="1">
      <alignment vertical="center"/>
    </xf>
    <xf numFmtId="165" fontId="15" fillId="3" borderId="0" xfId="3" applyNumberFormat="1" applyFont="1" applyFill="1" applyAlignment="1">
      <alignment vertical="center"/>
    </xf>
    <xf numFmtId="165" fontId="15" fillId="7" borderId="0" xfId="3" applyNumberFormat="1" applyFont="1" applyFill="1" applyAlignment="1">
      <alignment vertical="center"/>
    </xf>
    <xf numFmtId="3" fontId="10" fillId="0" borderId="0" xfId="0" applyNumberFormat="1" applyFont="1" applyFill="1" applyAlignment="1">
      <alignment vertical="center"/>
    </xf>
    <xf numFmtId="3" fontId="13" fillId="0" borderId="0" xfId="0" applyNumberFormat="1" applyFont="1" applyAlignment="1">
      <alignment vertical="center"/>
    </xf>
    <xf numFmtId="165" fontId="0" fillId="0" borderId="0" xfId="3" applyNumberFormat="1" applyFont="1"/>
    <xf numFmtId="165" fontId="0" fillId="0" borderId="0" xfId="0" applyNumberFormat="1"/>
    <xf numFmtId="3" fontId="11" fillId="0" borderId="0" xfId="0" applyNumberFormat="1" applyFont="1"/>
    <xf numFmtId="3" fontId="15" fillId="7" borderId="8" xfId="0" applyNumberFormat="1" applyFont="1" applyFill="1" applyBorder="1" applyAlignment="1">
      <alignment vertical="center"/>
    </xf>
    <xf numFmtId="3" fontId="14" fillId="6" borderId="8" xfId="0" applyNumberFormat="1" applyFont="1" applyFill="1" applyBorder="1" applyAlignment="1">
      <alignment vertical="center"/>
    </xf>
    <xf numFmtId="0" fontId="9" fillId="3" borderId="0" xfId="0" applyFont="1" applyFill="1" applyAlignment="1">
      <alignment vertical="center"/>
    </xf>
    <xf numFmtId="0" fontId="9" fillId="3" borderId="0" xfId="0" applyFont="1" applyFill="1" applyAlignment="1">
      <alignment horizontal="center" vertical="center"/>
    </xf>
    <xf numFmtId="165" fontId="9" fillId="3" borderId="0" xfId="3" applyNumberFormat="1" applyFont="1" applyFill="1" applyAlignment="1">
      <alignment vertical="center"/>
    </xf>
    <xf numFmtId="165" fontId="12" fillId="8" borderId="0" xfId="3" applyNumberFormat="1" applyFont="1" applyFill="1" applyAlignment="1">
      <alignment horizontal="center" vertical="center"/>
    </xf>
    <xf numFmtId="0" fontId="10" fillId="0" borderId="0" xfId="0" applyFont="1" applyFill="1" applyAlignment="1">
      <alignment horizontal="center" vertical="center"/>
    </xf>
    <xf numFmtId="165" fontId="10" fillId="0" borderId="0" xfId="3" applyNumberFormat="1" applyFont="1" applyFill="1" applyAlignment="1">
      <alignment vertical="center"/>
    </xf>
    <xf numFmtId="3" fontId="15" fillId="3" borderId="0" xfId="0" applyNumberFormat="1" applyFont="1" applyFill="1" applyAlignment="1">
      <alignment horizontal="center" vertical="center"/>
    </xf>
    <xf numFmtId="3" fontId="14" fillId="9" borderId="8" xfId="0" applyNumberFormat="1" applyFont="1" applyFill="1" applyBorder="1" applyAlignment="1">
      <alignment vertical="center"/>
    </xf>
    <xf numFmtId="3" fontId="15" fillId="3" borderId="8" xfId="0" applyNumberFormat="1" applyFont="1" applyFill="1" applyBorder="1" applyAlignment="1">
      <alignment vertical="center"/>
    </xf>
    <xf numFmtId="0" fontId="10" fillId="0" borderId="7" xfId="0" applyFont="1" applyBorder="1" applyAlignment="1">
      <alignment horizontal="center" vertical="center"/>
    </xf>
    <xf numFmtId="3" fontId="15" fillId="7" borderId="7" xfId="0" applyNumberFormat="1" applyFont="1" applyFill="1" applyBorder="1" applyAlignment="1">
      <alignment vertical="center"/>
    </xf>
    <xf numFmtId="3" fontId="14" fillId="6" borderId="7" xfId="0" applyNumberFormat="1" applyFont="1" applyFill="1" applyBorder="1" applyAlignment="1">
      <alignment vertical="center"/>
    </xf>
    <xf numFmtId="3" fontId="14" fillId="9" borderId="7" xfId="0" applyNumberFormat="1" applyFont="1" applyFill="1" applyBorder="1" applyAlignment="1">
      <alignment vertical="center"/>
    </xf>
    <xf numFmtId="3" fontId="15" fillId="3" borderId="7" xfId="0" applyNumberFormat="1" applyFont="1" applyFill="1" applyBorder="1" applyAlignment="1">
      <alignment vertical="center"/>
    </xf>
    <xf numFmtId="9" fontId="10" fillId="0" borderId="7" xfId="1" applyNumberFormat="1" applyFont="1" applyBorder="1" applyAlignment="1">
      <alignment horizontal="center" vertical="center"/>
    </xf>
    <xf numFmtId="9" fontId="10" fillId="0" borderId="0" xfId="1" applyNumberFormat="1" applyFont="1" applyBorder="1" applyAlignment="1">
      <alignment horizontal="center" vertical="center"/>
    </xf>
    <xf numFmtId="9" fontId="14" fillId="6" borderId="7" xfId="1" applyNumberFormat="1" applyFont="1" applyFill="1" applyBorder="1" applyAlignment="1">
      <alignment horizontal="center" vertical="center"/>
    </xf>
    <xf numFmtId="9" fontId="14" fillId="6" borderId="0" xfId="1" applyNumberFormat="1" applyFont="1" applyFill="1" applyBorder="1" applyAlignment="1">
      <alignment horizontal="center" vertical="center"/>
    </xf>
    <xf numFmtId="9" fontId="14" fillId="9" borderId="7" xfId="1" applyNumberFormat="1" applyFont="1" applyFill="1" applyBorder="1" applyAlignment="1">
      <alignment horizontal="center" vertical="center"/>
    </xf>
    <xf numFmtId="9" fontId="14" fillId="9" borderId="0" xfId="1" applyNumberFormat="1" applyFont="1" applyFill="1" applyBorder="1" applyAlignment="1">
      <alignment horizontal="center" vertical="center"/>
    </xf>
    <xf numFmtId="9" fontId="12" fillId="8" borderId="7" xfId="1" applyNumberFormat="1" applyFont="1" applyFill="1" applyBorder="1" applyAlignment="1">
      <alignment horizontal="center" vertical="center"/>
    </xf>
    <xf numFmtId="9" fontId="12" fillId="8" borderId="0" xfId="1" applyNumberFormat="1" applyFont="1" applyFill="1" applyBorder="1" applyAlignment="1">
      <alignment horizontal="center" vertical="center"/>
    </xf>
    <xf numFmtId="9" fontId="17" fillId="0" borderId="0" xfId="1" applyNumberFormat="1" applyFont="1" applyBorder="1" applyAlignment="1">
      <alignment horizontal="center" vertical="center"/>
    </xf>
    <xf numFmtId="0" fontId="18" fillId="0" borderId="0" xfId="0" applyFont="1" applyAlignment="1">
      <alignment vertical="center"/>
    </xf>
    <xf numFmtId="0" fontId="18" fillId="0" borderId="0" xfId="0" applyFont="1" applyAlignment="1">
      <alignment vertical="center" wrapText="1"/>
    </xf>
    <xf numFmtId="165" fontId="18" fillId="0" borderId="0" xfId="3" applyNumberFormat="1" applyFont="1" applyAlignment="1">
      <alignment vertical="center"/>
    </xf>
    <xf numFmtId="0" fontId="18" fillId="0"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left" vertical="center" wrapText="1"/>
    </xf>
    <xf numFmtId="0" fontId="19" fillId="3" borderId="15" xfId="0" applyFont="1" applyFill="1" applyBorder="1" applyAlignment="1">
      <alignment horizontal="center" vertical="center"/>
    </xf>
    <xf numFmtId="0" fontId="19" fillId="3" borderId="16" xfId="0" applyFont="1" applyFill="1" applyBorder="1" applyAlignment="1">
      <alignment vertical="center" wrapText="1"/>
    </xf>
    <xf numFmtId="165" fontId="19" fillId="3" borderId="16" xfId="3" applyNumberFormat="1" applyFont="1" applyFill="1" applyBorder="1" applyAlignment="1">
      <alignment horizontal="center" vertical="center"/>
    </xf>
    <xf numFmtId="165" fontId="19" fillId="3" borderId="17" xfId="3" applyNumberFormat="1" applyFont="1" applyFill="1" applyBorder="1" applyAlignment="1">
      <alignment horizontal="center" vertical="center"/>
    </xf>
    <xf numFmtId="165" fontId="19" fillId="0" borderId="0" xfId="3" applyNumberFormat="1" applyFont="1" applyFill="1" applyBorder="1" applyAlignment="1">
      <alignment horizontal="center" vertical="center"/>
    </xf>
    <xf numFmtId="0" fontId="20" fillId="0" borderId="0" xfId="0" applyFont="1" applyAlignment="1">
      <alignment vertical="center"/>
    </xf>
    <xf numFmtId="0" fontId="21" fillId="0" borderId="7" xfId="0" quotePrefix="1" applyFont="1" applyFill="1" applyBorder="1" applyAlignment="1">
      <alignment horizontal="center" vertical="center"/>
    </xf>
    <xf numFmtId="164" fontId="22" fillId="0" borderId="0" xfId="1" applyNumberFormat="1" applyFont="1" applyFill="1" applyBorder="1" applyAlignment="1">
      <alignment horizontal="center" vertical="center"/>
    </xf>
    <xf numFmtId="3" fontId="21" fillId="0" borderId="0" xfId="0" applyNumberFormat="1" applyFont="1" applyFill="1" applyBorder="1" applyAlignment="1">
      <alignment vertical="center"/>
    </xf>
    <xf numFmtId="0" fontId="21" fillId="0" borderId="0" xfId="0" applyFont="1" applyFill="1" applyBorder="1" applyAlignment="1">
      <alignment vertical="center"/>
    </xf>
    <xf numFmtId="0" fontId="21" fillId="0" borderId="9" xfId="0" quotePrefix="1" applyFont="1" applyFill="1" applyBorder="1" applyAlignment="1">
      <alignment horizontal="center" vertical="center"/>
    </xf>
    <xf numFmtId="0" fontId="22" fillId="0" borderId="10" xfId="0" applyFont="1" applyFill="1" applyBorder="1" applyAlignment="1">
      <alignment horizontal="left" vertical="center" wrapText="1"/>
    </xf>
    <xf numFmtId="165" fontId="22" fillId="0" borderId="10" xfId="3" applyNumberFormat="1" applyFont="1" applyFill="1" applyBorder="1" applyAlignment="1">
      <alignment horizontal="left" vertical="center"/>
    </xf>
    <xf numFmtId="164" fontId="22" fillId="0" borderId="11" xfId="1" applyNumberFormat="1" applyFont="1" applyFill="1" applyBorder="1" applyAlignment="1">
      <alignment horizontal="center" vertical="center"/>
    </xf>
    <xf numFmtId="43" fontId="22" fillId="0" borderId="10" xfId="3" applyNumberFormat="1" applyFont="1" applyFill="1" applyBorder="1" applyAlignment="1">
      <alignment horizontal="left" vertical="center"/>
    </xf>
    <xf numFmtId="165" fontId="19" fillId="3" borderId="15" xfId="3" applyNumberFormat="1" applyFont="1" applyFill="1" applyBorder="1" applyAlignment="1">
      <alignment horizontal="center" vertical="center"/>
    </xf>
    <xf numFmtId="165" fontId="19" fillId="3" borderId="16" xfId="3" applyNumberFormat="1" applyFont="1" applyFill="1" applyBorder="1" applyAlignment="1">
      <alignment horizontal="left" vertical="center" wrapText="1"/>
    </xf>
    <xf numFmtId="164" fontId="22" fillId="0" borderId="7" xfId="1" applyNumberFormat="1" applyFont="1" applyFill="1" applyBorder="1" applyAlignment="1">
      <alignment horizontal="center" vertical="center"/>
    </xf>
    <xf numFmtId="3" fontId="21" fillId="0" borderId="8" xfId="0" applyNumberFormat="1" applyFont="1" applyFill="1" applyBorder="1" applyAlignment="1">
      <alignment vertical="center"/>
    </xf>
    <xf numFmtId="164" fontId="22" fillId="0" borderId="18" xfId="1" applyNumberFormat="1" applyFont="1" applyFill="1" applyBorder="1" applyAlignment="1">
      <alignment horizontal="center" vertical="center"/>
    </xf>
    <xf numFmtId="164" fontId="22" fillId="0" borderId="19" xfId="1" applyNumberFormat="1" applyFont="1" applyFill="1" applyBorder="1" applyAlignment="1">
      <alignment horizontal="left" vertical="center" wrapText="1"/>
    </xf>
    <xf numFmtId="3" fontId="21" fillId="0" borderId="19" xfId="0" applyNumberFormat="1" applyFont="1" applyFill="1" applyBorder="1" applyAlignment="1">
      <alignment vertical="center"/>
    </xf>
    <xf numFmtId="3" fontId="21" fillId="0" borderId="20" xfId="0" applyNumberFormat="1" applyFont="1" applyFill="1" applyBorder="1" applyAlignment="1">
      <alignment vertical="center"/>
    </xf>
    <xf numFmtId="0" fontId="21" fillId="0" borderId="0" xfId="0" applyFont="1" applyFill="1" applyBorder="1" applyAlignment="1">
      <alignment horizontal="left" vertical="center" wrapText="1"/>
    </xf>
    <xf numFmtId="43" fontId="21" fillId="0" borderId="0" xfId="3" applyNumberFormat="1" applyFont="1" applyFill="1" applyBorder="1" applyAlignment="1">
      <alignment horizontal="left" vertical="center"/>
    </xf>
    <xf numFmtId="164" fontId="21" fillId="0" borderId="8" xfId="1" applyNumberFormat="1" applyFont="1" applyFill="1" applyBorder="1" applyAlignment="1">
      <alignment horizontal="center" vertical="center"/>
    </xf>
    <xf numFmtId="0" fontId="21" fillId="0" borderId="0" xfId="0" applyFont="1" applyFill="1" applyBorder="1" applyAlignment="1">
      <alignment vertical="center" wrapText="1"/>
    </xf>
    <xf numFmtId="43" fontId="21" fillId="0" borderId="0" xfId="3" applyNumberFormat="1" applyFont="1" applyFill="1" applyBorder="1" applyAlignment="1">
      <alignment vertical="center"/>
    </xf>
    <xf numFmtId="0" fontId="21" fillId="0" borderId="10" xfId="0" applyFont="1" applyFill="1" applyBorder="1" applyAlignment="1">
      <alignment horizontal="left" vertical="center" wrapText="1"/>
    </xf>
    <xf numFmtId="43" fontId="21" fillId="0" borderId="10" xfId="3" applyNumberFormat="1" applyFont="1" applyFill="1" applyBorder="1" applyAlignment="1">
      <alignment horizontal="left" vertical="center"/>
    </xf>
    <xf numFmtId="43" fontId="21" fillId="0" borderId="10" xfId="3" applyNumberFormat="1" applyFont="1" applyFill="1" applyBorder="1" applyAlignment="1">
      <alignment vertical="center"/>
    </xf>
    <xf numFmtId="164" fontId="21" fillId="0" borderId="11" xfId="1" applyNumberFormat="1" applyFont="1" applyFill="1" applyBorder="1" applyAlignment="1">
      <alignment horizontal="center" vertical="center"/>
    </xf>
    <xf numFmtId="164" fontId="21" fillId="0" borderId="0" xfId="1" applyNumberFormat="1" applyFont="1" applyFill="1" applyBorder="1" applyAlignment="1">
      <alignment horizontal="left" vertical="center" wrapText="1"/>
    </xf>
    <xf numFmtId="165" fontId="15" fillId="7" borderId="4" xfId="3" applyNumberFormat="1" applyFont="1" applyFill="1" applyBorder="1" applyAlignment="1">
      <alignment vertical="center"/>
    </xf>
    <xf numFmtId="165" fontId="15" fillId="7" borderId="14" xfId="3" applyNumberFormat="1" applyFont="1" applyFill="1" applyBorder="1" applyAlignment="1">
      <alignment vertical="center"/>
    </xf>
    <xf numFmtId="165" fontId="14" fillId="6" borderId="14" xfId="3" applyNumberFormat="1" applyFont="1" applyFill="1" applyBorder="1" applyAlignment="1">
      <alignment vertical="center"/>
    </xf>
    <xf numFmtId="165" fontId="14" fillId="6" borderId="4" xfId="3" applyNumberFormat="1" applyFont="1" applyFill="1" applyBorder="1" applyAlignment="1">
      <alignment vertical="center"/>
    </xf>
    <xf numFmtId="165" fontId="14" fillId="9" borderId="14" xfId="3" applyNumberFormat="1" applyFont="1" applyFill="1" applyBorder="1" applyAlignment="1">
      <alignment vertical="center"/>
    </xf>
    <xf numFmtId="165" fontId="14" fillId="9" borderId="4" xfId="3" applyNumberFormat="1" applyFont="1" applyFill="1" applyBorder="1" applyAlignment="1">
      <alignment vertical="center"/>
    </xf>
    <xf numFmtId="165" fontId="12" fillId="8" borderId="14" xfId="3" applyNumberFormat="1" applyFont="1" applyFill="1" applyBorder="1" applyAlignment="1">
      <alignment vertical="center"/>
    </xf>
    <xf numFmtId="165" fontId="12" fillId="8" borderId="4" xfId="3" applyNumberFormat="1" applyFont="1" applyFill="1" applyBorder="1" applyAlignment="1">
      <alignment vertical="center"/>
    </xf>
    <xf numFmtId="3" fontId="15" fillId="0" borderId="0" xfId="0" applyNumberFormat="1" applyFont="1" applyFill="1" applyAlignment="1">
      <alignment vertical="center"/>
    </xf>
    <xf numFmtId="3" fontId="14" fillId="0" borderId="0" xfId="0" applyNumberFormat="1" applyFont="1" applyFill="1" applyAlignment="1">
      <alignment vertical="center"/>
    </xf>
    <xf numFmtId="3" fontId="12" fillId="0" borderId="0" xfId="0" applyNumberFormat="1" applyFont="1" applyFill="1" applyAlignment="1">
      <alignment vertical="center"/>
    </xf>
    <xf numFmtId="0" fontId="18" fillId="0" borderId="0" xfId="0" applyFont="1" applyBorder="1" applyAlignment="1">
      <alignment horizontal="center" vertical="center"/>
    </xf>
    <xf numFmtId="0" fontId="18" fillId="0" borderId="0" xfId="0" applyFont="1" applyBorder="1" applyAlignment="1">
      <alignment vertical="center"/>
    </xf>
    <xf numFmtId="43" fontId="21" fillId="0" borderId="8" xfId="3" applyNumberFormat="1" applyFont="1" applyFill="1" applyBorder="1" applyAlignment="1">
      <alignment horizontal="left" vertical="center"/>
    </xf>
    <xf numFmtId="43" fontId="21" fillId="0" borderId="8" xfId="3" applyNumberFormat="1" applyFont="1" applyFill="1" applyBorder="1" applyAlignment="1">
      <alignment vertical="center"/>
    </xf>
    <xf numFmtId="43" fontId="21" fillId="0" borderId="11" xfId="3" applyNumberFormat="1" applyFont="1" applyFill="1" applyBorder="1" applyAlignment="1">
      <alignment horizontal="left" vertical="center"/>
    </xf>
    <xf numFmtId="0" fontId="23" fillId="12" borderId="24" xfId="0" applyFont="1" applyFill="1" applyBorder="1" applyAlignment="1">
      <alignment horizontal="center" vertical="center"/>
    </xf>
    <xf numFmtId="0" fontId="23" fillId="12" borderId="22" xfId="0" applyFont="1" applyFill="1" applyBorder="1" applyAlignment="1">
      <alignment horizontal="center" vertical="center"/>
    </xf>
    <xf numFmtId="0" fontId="18" fillId="0" borderId="13" xfId="0" applyFont="1" applyBorder="1" applyAlignment="1">
      <alignment vertical="center"/>
    </xf>
    <xf numFmtId="9" fontId="18" fillId="0" borderId="12" xfId="1" applyNumberFormat="1" applyFont="1" applyBorder="1" applyAlignment="1">
      <alignment vertical="center"/>
    </xf>
    <xf numFmtId="165" fontId="10" fillId="0" borderId="14" xfId="3" applyNumberFormat="1" applyFont="1" applyFill="1" applyBorder="1" applyAlignment="1">
      <alignment vertical="center"/>
    </xf>
    <xf numFmtId="165" fontId="10" fillId="0" borderId="4" xfId="3" applyNumberFormat="1" applyFont="1" applyFill="1" applyBorder="1" applyAlignment="1">
      <alignment vertical="center"/>
    </xf>
    <xf numFmtId="165" fontId="15" fillId="3" borderId="14" xfId="3" applyNumberFormat="1" applyFont="1" applyFill="1" applyBorder="1" applyAlignment="1">
      <alignment vertical="center"/>
    </xf>
    <xf numFmtId="165" fontId="15" fillId="3" borderId="4" xfId="3" applyNumberFormat="1" applyFont="1" applyFill="1" applyBorder="1" applyAlignment="1">
      <alignment vertical="center"/>
    </xf>
    <xf numFmtId="9" fontId="18" fillId="0" borderId="4" xfId="1" applyFont="1" applyBorder="1" applyAlignment="1">
      <alignment horizontal="center" vertical="center"/>
    </xf>
    <xf numFmtId="164" fontId="18" fillId="0" borderId="12" xfId="1" applyNumberFormat="1" applyFont="1" applyBorder="1" applyAlignment="1">
      <alignment horizontal="center" vertical="center"/>
    </xf>
    <xf numFmtId="4" fontId="18" fillId="0" borderId="0" xfId="0" applyNumberFormat="1" applyFont="1" applyBorder="1" applyAlignment="1">
      <alignment vertical="center"/>
    </xf>
    <xf numFmtId="43" fontId="18" fillId="0" borderId="0" xfId="3" applyNumberFormat="1" applyFont="1" applyBorder="1" applyAlignment="1">
      <alignment vertical="center"/>
    </xf>
    <xf numFmtId="43" fontId="26" fillId="0" borderId="0" xfId="3" applyNumberFormat="1" applyFont="1" applyBorder="1" applyAlignment="1">
      <alignment vertical="center"/>
    </xf>
    <xf numFmtId="4" fontId="26" fillId="0" borderId="0" xfId="0" applyNumberFormat="1" applyFont="1" applyBorder="1" applyAlignment="1">
      <alignment vertical="center"/>
    </xf>
    <xf numFmtId="0" fontId="23" fillId="12" borderId="21" xfId="0" applyFont="1" applyFill="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vertical="center"/>
    </xf>
    <xf numFmtId="0" fontId="25" fillId="0" borderId="14" xfId="0" applyFont="1" applyBorder="1" applyAlignment="1">
      <alignment vertical="center"/>
    </xf>
    <xf numFmtId="0" fontId="24" fillId="0" borderId="23" xfId="0" applyFont="1" applyBorder="1" applyAlignment="1">
      <alignment vertical="center"/>
    </xf>
    <xf numFmtId="165" fontId="21" fillId="0" borderId="0" xfId="3" applyNumberFormat="1" applyFont="1" applyFill="1" applyBorder="1" applyAlignment="1">
      <alignment horizontal="left" vertical="center"/>
    </xf>
    <xf numFmtId="164" fontId="21" fillId="0" borderId="0" xfId="1" applyNumberFormat="1" applyFont="1" applyFill="1" applyBorder="1" applyAlignment="1">
      <alignment horizontal="center" vertical="center"/>
    </xf>
    <xf numFmtId="164" fontId="21" fillId="0" borderId="7" xfId="1" applyNumberFormat="1" applyFont="1" applyFill="1" applyBorder="1" applyAlignment="1">
      <alignment horizontal="center" vertical="center"/>
    </xf>
    <xf numFmtId="165" fontId="21" fillId="0" borderId="8" xfId="3" applyNumberFormat="1" applyFont="1" applyFill="1" applyBorder="1" applyAlignment="1">
      <alignment horizontal="left" vertical="center"/>
    </xf>
    <xf numFmtId="165" fontId="21" fillId="0" borderId="0" xfId="3" applyNumberFormat="1" applyFont="1" applyFill="1" applyBorder="1" applyAlignment="1">
      <alignment vertical="center"/>
    </xf>
    <xf numFmtId="165" fontId="21" fillId="0" borderId="10" xfId="3" applyNumberFormat="1" applyFont="1" applyFill="1" applyBorder="1" applyAlignment="1">
      <alignment horizontal="left" vertical="center"/>
    </xf>
    <xf numFmtId="165" fontId="21" fillId="0" borderId="10" xfId="3" applyNumberFormat="1" applyFont="1" applyFill="1" applyBorder="1" applyAlignment="1">
      <alignment vertical="center"/>
    </xf>
    <xf numFmtId="0" fontId="27" fillId="7" borderId="0" xfId="0" applyFont="1" applyFill="1" applyBorder="1" applyAlignment="1">
      <alignment horizontal="center" vertical="center"/>
    </xf>
    <xf numFmtId="164" fontId="19" fillId="0" borderId="0" xfId="1" applyNumberFormat="1"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vertical="center"/>
    </xf>
    <xf numFmtId="0" fontId="27" fillId="7" borderId="0" xfId="0" applyFont="1" applyFill="1" applyBorder="1" applyAlignment="1">
      <alignment vertical="center"/>
    </xf>
    <xf numFmtId="0" fontId="27" fillId="0" borderId="0" xfId="0" applyFont="1" applyFill="1" applyBorder="1" applyAlignment="1">
      <alignment horizontal="center" vertical="center"/>
    </xf>
    <xf numFmtId="0" fontId="27" fillId="0" borderId="0" xfId="0" applyFont="1" applyFill="1" applyBorder="1" applyAlignment="1">
      <alignment vertical="center"/>
    </xf>
    <xf numFmtId="0" fontId="21" fillId="13" borderId="0" xfId="0" applyFont="1" applyFill="1" applyBorder="1" applyAlignment="1">
      <alignment vertical="center"/>
    </xf>
    <xf numFmtId="0" fontId="22" fillId="13" borderId="0" xfId="0" applyFont="1" applyFill="1" applyBorder="1" applyAlignment="1">
      <alignment horizontal="center" vertical="center"/>
    </xf>
    <xf numFmtId="0" fontId="22" fillId="0" borderId="0" xfId="0" applyFont="1" applyFill="1" applyBorder="1" applyAlignment="1">
      <alignment horizontal="center" vertical="center"/>
    </xf>
    <xf numFmtId="0" fontId="27" fillId="7" borderId="0" xfId="0" quotePrefix="1" applyFont="1" applyFill="1" applyBorder="1" applyAlignment="1">
      <alignment horizontal="center" vertical="center"/>
    </xf>
    <xf numFmtId="0" fontId="18" fillId="0" borderId="0" xfId="0" applyFont="1" applyFill="1" applyBorder="1" applyAlignment="1">
      <alignment vertical="center"/>
    </xf>
    <xf numFmtId="165" fontId="18" fillId="0" borderId="0" xfId="3" applyNumberFormat="1" applyFont="1" applyBorder="1" applyAlignment="1">
      <alignment vertical="center"/>
    </xf>
    <xf numFmtId="43" fontId="22" fillId="14" borderId="1" xfId="3" applyNumberFormat="1" applyFont="1" applyFill="1" applyBorder="1" applyAlignment="1">
      <alignment horizontal="left" vertical="center"/>
    </xf>
    <xf numFmtId="164" fontId="22" fillId="14" borderId="1" xfId="1" applyNumberFormat="1" applyFont="1" applyFill="1" applyBorder="1" applyAlignment="1">
      <alignment horizontal="center" vertical="center"/>
    </xf>
    <xf numFmtId="0" fontId="21" fillId="0" borderId="1" xfId="0" applyFont="1" applyFill="1" applyBorder="1" applyAlignment="1">
      <alignment horizontal="center" vertical="center"/>
    </xf>
    <xf numFmtId="43" fontId="21" fillId="0" borderId="1" xfId="3" applyFont="1" applyFill="1" applyBorder="1" applyAlignment="1">
      <alignment vertical="center"/>
    </xf>
    <xf numFmtId="0" fontId="29" fillId="0" borderId="1" xfId="0" applyFont="1" applyFill="1" applyBorder="1" applyAlignment="1">
      <alignment vertical="center"/>
    </xf>
    <xf numFmtId="43" fontId="21" fillId="10" borderId="1" xfId="3" applyNumberFormat="1" applyFont="1" applyFill="1" applyBorder="1" applyAlignment="1">
      <alignment vertical="center"/>
    </xf>
    <xf numFmtId="9" fontId="21" fillId="10" borderId="1" xfId="1" applyNumberFormat="1" applyFont="1" applyFill="1" applyBorder="1" applyAlignment="1">
      <alignment horizontal="center" vertical="center"/>
    </xf>
    <xf numFmtId="9" fontId="22" fillId="14" borderId="1" xfId="1" applyNumberFormat="1" applyFont="1" applyFill="1" applyBorder="1" applyAlignment="1">
      <alignment horizontal="center" vertical="center"/>
    </xf>
    <xf numFmtId="165" fontId="21" fillId="13" borderId="1" xfId="3" applyNumberFormat="1" applyFont="1" applyFill="1" applyBorder="1" applyAlignment="1">
      <alignment horizontal="center" vertical="center"/>
    </xf>
    <xf numFmtId="43" fontId="21" fillId="0" borderId="1" xfId="3" applyNumberFormat="1" applyFont="1" applyFill="1" applyBorder="1" applyAlignment="1">
      <alignment vertical="center"/>
    </xf>
    <xf numFmtId="0" fontId="32" fillId="3" borderId="0" xfId="0" applyFont="1" applyFill="1" applyAlignment="1">
      <alignment horizontal="center" vertical="center"/>
    </xf>
    <xf numFmtId="0" fontId="33" fillId="7" borderId="0" xfId="0" quotePrefix="1" applyFont="1" applyFill="1" applyAlignment="1">
      <alignment horizontal="center" vertical="center"/>
    </xf>
    <xf numFmtId="0" fontId="34" fillId="8" borderId="0" xfId="0" applyFont="1" applyFill="1" applyAlignment="1">
      <alignment horizontal="center" vertical="center"/>
    </xf>
    <xf numFmtId="0" fontId="33" fillId="3" borderId="0" xfId="0" applyFont="1" applyFill="1" applyAlignment="1">
      <alignment horizontal="center" vertical="center"/>
    </xf>
    <xf numFmtId="0" fontId="35" fillId="0" borderId="0" xfId="0" applyFont="1" applyFill="1" applyAlignment="1">
      <alignment horizontal="center" vertical="center"/>
    </xf>
    <xf numFmtId="0" fontId="36" fillId="0" borderId="0" xfId="0" applyFont="1"/>
    <xf numFmtId="0" fontId="0" fillId="0" borderId="0" xfId="0" applyAlignment="1">
      <alignment horizontal="center"/>
    </xf>
    <xf numFmtId="3" fontId="37" fillId="0" borderId="0" xfId="0" applyNumberFormat="1" applyFont="1" applyAlignment="1">
      <alignment horizontal="center"/>
    </xf>
    <xf numFmtId="0" fontId="38" fillId="0" borderId="0" xfId="0" applyFont="1"/>
    <xf numFmtId="0" fontId="39" fillId="0" borderId="0" xfId="0" applyFont="1"/>
    <xf numFmtId="0" fontId="40" fillId="0" borderId="0" xfId="0" applyFont="1"/>
    <xf numFmtId="0" fontId="40" fillId="0" borderId="0" xfId="0" applyFont="1" applyAlignment="1">
      <alignment horizontal="center"/>
    </xf>
    <xf numFmtId="3" fontId="41" fillId="0" borderId="0" xfId="0" applyNumberFormat="1" applyFont="1" applyAlignment="1">
      <alignment horizontal="center"/>
    </xf>
    <xf numFmtId="3" fontId="16" fillId="0" borderId="0" xfId="0" applyNumberFormat="1" applyFont="1"/>
    <xf numFmtId="3" fontId="36" fillId="0" borderId="0" xfId="0" applyNumberFormat="1" applyFont="1" applyAlignment="1">
      <alignment horizontal="center"/>
    </xf>
    <xf numFmtId="0" fontId="40" fillId="0" borderId="0" xfId="0" quotePrefix="1" applyFont="1"/>
    <xf numFmtId="0" fontId="40" fillId="0" borderId="0" xfId="0" quotePrefix="1" applyFont="1" applyAlignment="1">
      <alignment horizontal="center"/>
    </xf>
    <xf numFmtId="0" fontId="0" fillId="0" borderId="0" xfId="0" quotePrefix="1"/>
    <xf numFmtId="0" fontId="0" fillId="0" borderId="0" xfId="0" quotePrefix="1" applyAlignment="1">
      <alignment horizontal="center"/>
    </xf>
    <xf numFmtId="0" fontId="0" fillId="0" borderId="0" xfId="0" applyFill="1" applyAlignment="1">
      <alignment horizontal="left"/>
    </xf>
    <xf numFmtId="0" fontId="0" fillId="0" borderId="0" xfId="0" applyFont="1" applyFill="1" applyAlignment="1">
      <alignment horizontal="center"/>
    </xf>
    <xf numFmtId="0" fontId="0" fillId="0" borderId="0" xfId="0" applyFill="1"/>
    <xf numFmtId="3" fontId="6" fillId="0" borderId="0" xfId="0" applyNumberFormat="1" applyFont="1" applyFill="1" applyAlignment="1">
      <alignment vertical="center"/>
    </xf>
    <xf numFmtId="0" fontId="35" fillId="0" borderId="0" xfId="0" applyFont="1" applyFill="1" applyAlignment="1">
      <alignment vertical="center"/>
    </xf>
    <xf numFmtId="0" fontId="35" fillId="0" borderId="0" xfId="0" quotePrefix="1" applyFont="1" applyFill="1" applyAlignment="1">
      <alignment horizontal="center" vertical="center"/>
    </xf>
    <xf numFmtId="0" fontId="34" fillId="6" borderId="0" xfId="0" applyFont="1" applyFill="1" applyAlignment="1">
      <alignment horizontal="center" vertical="center"/>
    </xf>
    <xf numFmtId="0" fontId="34" fillId="9" borderId="0" xfId="0" applyFont="1" applyFill="1" applyAlignment="1">
      <alignment horizontal="center" vertical="center"/>
    </xf>
    <xf numFmtId="0" fontId="10" fillId="0" borderId="0" xfId="0" applyFont="1" applyAlignment="1">
      <alignment horizontal="center" vertical="center"/>
    </xf>
    <xf numFmtId="165" fontId="10" fillId="0" borderId="14" xfId="3" applyNumberFormat="1" applyFont="1" applyBorder="1" applyAlignment="1">
      <alignment vertical="center"/>
    </xf>
    <xf numFmtId="165" fontId="10" fillId="0" borderId="4" xfId="3" applyNumberFormat="1" applyFont="1" applyBorder="1" applyAlignment="1">
      <alignment vertical="center"/>
    </xf>
    <xf numFmtId="0" fontId="10" fillId="7" borderId="0" xfId="0" quotePrefix="1" applyFont="1" applyFill="1" applyAlignment="1">
      <alignment horizontal="center" vertical="center"/>
    </xf>
    <xf numFmtId="0" fontId="10" fillId="7" borderId="0" xfId="0" applyFont="1" applyFill="1" applyAlignment="1">
      <alignment horizontal="center" vertical="center"/>
    </xf>
    <xf numFmtId="0" fontId="10" fillId="7" borderId="0" xfId="0" applyFont="1" applyFill="1" applyAlignment="1">
      <alignment vertical="center"/>
    </xf>
    <xf numFmtId="165" fontId="12" fillId="7" borderId="1" xfId="3" applyNumberFormat="1" applyFont="1" applyFill="1" applyBorder="1" applyAlignment="1">
      <alignment vertical="center"/>
    </xf>
    <xf numFmtId="164" fontId="12" fillId="7" borderId="0" xfId="1" applyNumberFormat="1" applyFont="1" applyFill="1" applyAlignment="1">
      <alignment horizontal="center" vertical="center"/>
    </xf>
    <xf numFmtId="165" fontId="12" fillId="7" borderId="0" xfId="3" applyNumberFormat="1" applyFont="1" applyFill="1" applyBorder="1" applyAlignment="1">
      <alignment vertical="center"/>
    </xf>
    <xf numFmtId="3" fontId="10" fillId="0" borderId="0" xfId="0" applyNumberFormat="1" applyFont="1" applyFill="1" applyAlignment="1">
      <alignment horizontal="center" vertical="center"/>
    </xf>
    <xf numFmtId="0" fontId="10" fillId="0" borderId="0" xfId="0" quotePrefix="1" applyFont="1" applyFill="1" applyAlignment="1">
      <alignment horizontal="center" vertical="center"/>
    </xf>
    <xf numFmtId="0" fontId="10" fillId="3" borderId="0" xfId="0" applyFont="1" applyFill="1" applyAlignment="1">
      <alignment horizontal="center" vertical="center"/>
    </xf>
    <xf numFmtId="165" fontId="10" fillId="3" borderId="0" xfId="3" applyNumberFormat="1" applyFont="1" applyFill="1" applyAlignment="1">
      <alignment vertical="center"/>
    </xf>
    <xf numFmtId="0" fontId="10" fillId="0" borderId="0" xfId="0" applyFont="1" applyBorder="1" applyAlignment="1">
      <alignment horizontal="center" vertical="center"/>
    </xf>
    <xf numFmtId="3" fontId="14" fillId="6" borderId="0" xfId="0" applyNumberFormat="1" applyFont="1" applyFill="1" applyBorder="1" applyAlignment="1">
      <alignment vertical="center"/>
    </xf>
    <xf numFmtId="3" fontId="14" fillId="9" borderId="0" xfId="0" applyNumberFormat="1" applyFont="1" applyFill="1" applyBorder="1" applyAlignment="1">
      <alignment vertical="center"/>
    </xf>
    <xf numFmtId="0" fontId="17" fillId="0" borderId="0" xfId="0" applyFont="1" applyBorder="1" applyAlignment="1">
      <alignment horizontal="center" vertical="center"/>
    </xf>
    <xf numFmtId="0" fontId="10" fillId="0" borderId="0" xfId="0" applyFont="1" applyBorder="1" applyAlignment="1">
      <alignment vertical="center"/>
    </xf>
    <xf numFmtId="0" fontId="10" fillId="0" borderId="8" xfId="0" applyFont="1" applyBorder="1" applyAlignment="1">
      <alignment vertical="center"/>
    </xf>
    <xf numFmtId="165" fontId="10" fillId="0" borderId="7" xfId="3" applyNumberFormat="1" applyFont="1" applyBorder="1" applyAlignment="1">
      <alignment horizontal="center" vertical="center"/>
    </xf>
    <xf numFmtId="165" fontId="12" fillId="8" borderId="7" xfId="3" applyNumberFormat="1" applyFont="1" applyFill="1" applyBorder="1" applyAlignment="1">
      <alignment horizontal="center" vertical="center"/>
    </xf>
    <xf numFmtId="3" fontId="12" fillId="8" borderId="0" xfId="0" applyNumberFormat="1" applyFont="1" applyFill="1" applyBorder="1" applyAlignment="1">
      <alignment vertical="center"/>
    </xf>
    <xf numFmtId="3" fontId="12" fillId="8" borderId="8" xfId="0" applyNumberFormat="1" applyFont="1" applyFill="1" applyBorder="1" applyAlignment="1">
      <alignment vertical="center"/>
    </xf>
    <xf numFmtId="3" fontId="10" fillId="0" borderId="8" xfId="0" applyNumberFormat="1" applyFont="1" applyFill="1" applyBorder="1" applyAlignment="1">
      <alignment vertical="center"/>
    </xf>
    <xf numFmtId="0" fontId="10" fillId="0" borderId="0" xfId="0" applyFont="1" applyFill="1" applyBorder="1" applyAlignment="1">
      <alignment vertical="center"/>
    </xf>
    <xf numFmtId="165" fontId="14" fillId="9" borderId="7" xfId="3" applyNumberFormat="1" applyFont="1" applyFill="1" applyBorder="1" applyAlignment="1">
      <alignment horizontal="center" vertical="center"/>
    </xf>
    <xf numFmtId="165" fontId="10" fillId="0" borderId="7" xfId="3" applyNumberFormat="1" applyFont="1" applyFill="1" applyBorder="1" applyAlignment="1">
      <alignment horizontal="center" vertical="center"/>
    </xf>
    <xf numFmtId="165" fontId="10" fillId="0" borderId="7" xfId="3" applyNumberFormat="1" applyFont="1" applyFill="1" applyBorder="1" applyAlignment="1">
      <alignment vertical="center"/>
    </xf>
    <xf numFmtId="9" fontId="42" fillId="0" borderId="0" xfId="0" applyNumberFormat="1" applyFont="1" applyBorder="1" applyAlignment="1">
      <alignment horizontal="center" vertical="center"/>
    </xf>
    <xf numFmtId="0" fontId="10" fillId="0" borderId="7" xfId="0" applyFont="1" applyBorder="1" applyAlignment="1">
      <alignment vertical="center"/>
    </xf>
    <xf numFmtId="165" fontId="10" fillId="0" borderId="7" xfId="3" applyNumberFormat="1" applyFont="1" applyBorder="1" applyAlignment="1">
      <alignment vertical="center"/>
    </xf>
    <xf numFmtId="165" fontId="10" fillId="0" borderId="8" xfId="3" applyNumberFormat="1" applyFont="1" applyBorder="1" applyAlignment="1">
      <alignment vertical="center"/>
    </xf>
    <xf numFmtId="3" fontId="12" fillId="8" borderId="7" xfId="0" applyNumberFormat="1" applyFont="1" applyFill="1" applyBorder="1" applyAlignment="1">
      <alignment vertical="center"/>
    </xf>
    <xf numFmtId="165" fontId="10" fillId="0" borderId="0" xfId="3" applyNumberFormat="1" applyFont="1" applyFill="1" applyBorder="1" applyAlignment="1">
      <alignment vertical="center"/>
    </xf>
    <xf numFmtId="165" fontId="10" fillId="0" borderId="8" xfId="3" applyNumberFormat="1" applyFont="1" applyFill="1" applyBorder="1" applyAlignment="1">
      <alignment vertical="center"/>
    </xf>
    <xf numFmtId="0" fontId="10" fillId="0" borderId="28" xfId="0" applyFont="1" applyBorder="1" applyAlignment="1">
      <alignment vertical="center"/>
    </xf>
    <xf numFmtId="3" fontId="14" fillId="6" borderId="28" xfId="0" applyNumberFormat="1" applyFont="1" applyFill="1" applyBorder="1" applyAlignment="1">
      <alignment vertical="center"/>
    </xf>
    <xf numFmtId="3" fontId="14" fillId="9" borderId="28" xfId="0" applyNumberFormat="1" applyFont="1" applyFill="1" applyBorder="1" applyAlignment="1">
      <alignment vertical="center"/>
    </xf>
    <xf numFmtId="3" fontId="12" fillId="8" borderId="28" xfId="0" applyNumberFormat="1" applyFont="1" applyFill="1" applyBorder="1" applyAlignment="1">
      <alignment vertical="center"/>
    </xf>
    <xf numFmtId="165" fontId="10" fillId="0" borderId="28" xfId="3" applyNumberFormat="1" applyFont="1" applyFill="1" applyBorder="1" applyAlignment="1">
      <alignment vertical="center"/>
    </xf>
    <xf numFmtId="165" fontId="14" fillId="6" borderId="7" xfId="3" applyNumberFormat="1" applyFont="1" applyFill="1" applyBorder="1" applyAlignment="1">
      <alignment vertical="center"/>
    </xf>
    <xf numFmtId="165" fontId="14" fillId="6" borderId="8" xfId="3" applyNumberFormat="1" applyFont="1" applyFill="1" applyBorder="1" applyAlignment="1">
      <alignment vertical="center"/>
    </xf>
    <xf numFmtId="165" fontId="14" fillId="9" borderId="7" xfId="3" applyNumberFormat="1" applyFont="1" applyFill="1" applyBorder="1" applyAlignment="1">
      <alignment vertical="center"/>
    </xf>
    <xf numFmtId="165" fontId="14" fillId="9" borderId="8" xfId="3" applyNumberFormat="1" applyFont="1" applyFill="1" applyBorder="1" applyAlignment="1">
      <alignment vertical="center"/>
    </xf>
    <xf numFmtId="165" fontId="12" fillId="8" borderId="7" xfId="3" applyNumberFormat="1" applyFont="1" applyFill="1" applyBorder="1" applyAlignment="1">
      <alignment vertical="center"/>
    </xf>
    <xf numFmtId="165" fontId="12" fillId="8" borderId="8" xfId="3" applyNumberFormat="1" applyFont="1" applyFill="1" applyBorder="1" applyAlignment="1">
      <alignment vertical="center"/>
    </xf>
    <xf numFmtId="164" fontId="9" fillId="3" borderId="0" xfId="1" applyNumberFormat="1" applyFont="1" applyFill="1" applyAlignment="1">
      <alignment horizontal="left" vertical="center"/>
    </xf>
    <xf numFmtId="9" fontId="9" fillId="3" borderId="7" xfId="1" applyNumberFormat="1" applyFont="1" applyFill="1" applyBorder="1" applyAlignment="1">
      <alignment horizontal="center" vertical="center"/>
    </xf>
    <xf numFmtId="9" fontId="9" fillId="3" borderId="0" xfId="1" applyNumberFormat="1" applyFont="1" applyFill="1" applyBorder="1" applyAlignment="1">
      <alignment horizontal="center" vertical="center"/>
    </xf>
    <xf numFmtId="165" fontId="9" fillId="3" borderId="7" xfId="3" applyNumberFormat="1" applyFont="1" applyFill="1" applyBorder="1" applyAlignment="1">
      <alignment horizontal="center" vertical="center"/>
    </xf>
    <xf numFmtId="3" fontId="9" fillId="3" borderId="0" xfId="0" applyNumberFormat="1" applyFont="1" applyFill="1" applyBorder="1" applyAlignment="1">
      <alignment horizontal="center" vertical="center"/>
    </xf>
    <xf numFmtId="0" fontId="9" fillId="3" borderId="0" xfId="0" applyFont="1" applyFill="1" applyBorder="1" applyAlignment="1">
      <alignment horizontal="center" vertical="center"/>
    </xf>
    <xf numFmtId="165" fontId="9" fillId="3" borderId="4" xfId="3" applyNumberFormat="1" applyFont="1" applyFill="1" applyBorder="1" applyAlignment="1">
      <alignment horizontal="center" vertical="center"/>
    </xf>
    <xf numFmtId="165" fontId="9" fillId="3" borderId="14" xfId="3" applyNumberFormat="1" applyFont="1" applyFill="1" applyBorder="1" applyAlignment="1">
      <alignment horizontal="center" vertical="center"/>
    </xf>
    <xf numFmtId="165" fontId="9" fillId="3" borderId="8" xfId="3" applyNumberFormat="1" applyFont="1" applyFill="1" applyBorder="1" applyAlignment="1">
      <alignment horizontal="center" vertical="center"/>
    </xf>
    <xf numFmtId="165" fontId="9" fillId="3" borderId="7" xfId="3" applyNumberFormat="1" applyFont="1" applyFill="1" applyBorder="1" applyAlignment="1">
      <alignment vertical="center"/>
    </xf>
    <xf numFmtId="165" fontId="9" fillId="3" borderId="8" xfId="3" applyNumberFormat="1" applyFont="1" applyFill="1" applyBorder="1" applyAlignment="1">
      <alignment vertical="center"/>
    </xf>
    <xf numFmtId="9" fontId="9" fillId="7" borderId="7" xfId="1" applyNumberFormat="1" applyFont="1" applyFill="1" applyBorder="1" applyAlignment="1">
      <alignment horizontal="center" vertical="center"/>
    </xf>
    <xf numFmtId="9" fontId="9" fillId="7" borderId="0" xfId="1" applyNumberFormat="1" applyFont="1" applyFill="1" applyBorder="1" applyAlignment="1">
      <alignment horizontal="center" vertical="center"/>
    </xf>
    <xf numFmtId="3" fontId="15" fillId="7" borderId="0" xfId="0" applyNumberFormat="1" applyFont="1" applyFill="1" applyBorder="1" applyAlignment="1">
      <alignment vertical="center"/>
    </xf>
    <xf numFmtId="3" fontId="15" fillId="7" borderId="28" xfId="0" applyNumberFormat="1" applyFont="1" applyFill="1" applyBorder="1" applyAlignment="1">
      <alignment vertical="center"/>
    </xf>
    <xf numFmtId="165" fontId="15" fillId="7" borderId="7" xfId="3" applyNumberFormat="1" applyFont="1" applyFill="1" applyBorder="1" applyAlignment="1">
      <alignment vertical="center"/>
    </xf>
    <xf numFmtId="165" fontId="15" fillId="7" borderId="8" xfId="3" applyNumberFormat="1" applyFont="1" applyFill="1" applyBorder="1" applyAlignment="1">
      <alignment vertical="center"/>
    </xf>
    <xf numFmtId="3" fontId="15" fillId="3" borderId="0" xfId="0" applyNumberFormat="1" applyFont="1" applyFill="1" applyBorder="1" applyAlignment="1">
      <alignment vertical="center"/>
    </xf>
    <xf numFmtId="3" fontId="15" fillId="3" borderId="28" xfId="0" applyNumberFormat="1" applyFont="1" applyFill="1" applyBorder="1" applyAlignment="1">
      <alignment vertical="center"/>
    </xf>
    <xf numFmtId="165" fontId="15" fillId="3" borderId="7" xfId="3" applyNumberFormat="1" applyFont="1" applyFill="1" applyBorder="1" applyAlignment="1">
      <alignment vertical="center"/>
    </xf>
    <xf numFmtId="165" fontId="15" fillId="3" borderId="8" xfId="3" applyNumberFormat="1" applyFont="1" applyFill="1" applyBorder="1" applyAlignment="1">
      <alignment vertical="center"/>
    </xf>
    <xf numFmtId="0" fontId="10" fillId="0" borderId="0" xfId="0" applyFont="1" applyFill="1" applyBorder="1" applyAlignment="1">
      <alignment horizontal="center" vertical="center"/>
    </xf>
    <xf numFmtId="0" fontId="12" fillId="0" borderId="0" xfId="0" applyFont="1" applyFill="1" applyBorder="1" applyAlignment="1">
      <alignment horizontal="center" vertical="center"/>
    </xf>
    <xf numFmtId="1" fontId="9" fillId="3" borderId="7" xfId="3" applyNumberFormat="1" applyFont="1" applyFill="1" applyBorder="1" applyAlignment="1">
      <alignment horizontal="center" vertical="center"/>
    </xf>
    <xf numFmtId="1" fontId="9" fillId="3" borderId="1" xfId="0" applyNumberFormat="1" applyFont="1" applyFill="1" applyBorder="1" applyAlignment="1">
      <alignment horizontal="center" vertical="center"/>
    </xf>
    <xf numFmtId="1" fontId="9" fillId="3" borderId="25" xfId="0" applyNumberFormat="1" applyFont="1" applyFill="1" applyBorder="1" applyAlignment="1">
      <alignment horizontal="center" vertical="center"/>
    </xf>
    <xf numFmtId="9" fontId="9" fillId="3" borderId="7" xfId="1" applyNumberFormat="1" applyFont="1" applyFill="1" applyBorder="1" applyAlignment="1">
      <alignment horizontal="center" vertical="center" wrapText="1"/>
    </xf>
    <xf numFmtId="9" fontId="9" fillId="3" borderId="0" xfId="1" applyNumberFormat="1" applyFont="1" applyFill="1" applyBorder="1" applyAlignment="1">
      <alignment horizontal="center" vertical="center" wrapText="1"/>
    </xf>
    <xf numFmtId="164" fontId="9" fillId="3" borderId="7" xfId="1" applyNumberFormat="1" applyFont="1" applyFill="1" applyBorder="1" applyAlignment="1">
      <alignment horizontal="center" vertical="center" wrapText="1"/>
    </xf>
    <xf numFmtId="164" fontId="9" fillId="3" borderId="0" xfId="1" applyNumberFormat="1" applyFont="1" applyFill="1" applyBorder="1" applyAlignment="1">
      <alignment horizontal="center" vertical="center" wrapText="1"/>
    </xf>
    <xf numFmtId="9" fontId="9" fillId="0" borderId="0" xfId="1" applyNumberFormat="1" applyFont="1" applyFill="1" applyBorder="1" applyAlignment="1">
      <alignment horizontal="center" vertical="center"/>
    </xf>
    <xf numFmtId="3" fontId="15" fillId="0" borderId="0" xfId="0" applyNumberFormat="1" applyFont="1" applyFill="1" applyBorder="1" applyAlignment="1">
      <alignment vertical="center"/>
    </xf>
    <xf numFmtId="0" fontId="21" fillId="13" borderId="2" xfId="0" applyFont="1" applyFill="1" applyBorder="1" applyAlignment="1">
      <alignment vertical="center"/>
    </xf>
    <xf numFmtId="165" fontId="21" fillId="13" borderId="1" xfId="3" applyNumberFormat="1" applyFont="1" applyFill="1" applyBorder="1" applyAlignment="1">
      <alignment vertical="center"/>
    </xf>
    <xf numFmtId="0" fontId="21" fillId="13" borderId="3" xfId="0" applyFont="1" applyFill="1" applyBorder="1" applyAlignment="1">
      <alignment vertical="center"/>
    </xf>
    <xf numFmtId="0" fontId="22" fillId="14" borderId="1" xfId="0" applyFont="1" applyFill="1" applyBorder="1" applyAlignment="1">
      <alignment vertical="center"/>
    </xf>
    <xf numFmtId="0" fontId="21" fillId="0" borderId="1" xfId="0" applyFont="1" applyFill="1" applyBorder="1" applyAlignment="1">
      <alignment vertical="center"/>
    </xf>
    <xf numFmtId="0" fontId="21" fillId="10" borderId="1" xfId="0" applyFont="1" applyFill="1" applyBorder="1" applyAlignment="1">
      <alignment vertical="center"/>
    </xf>
    <xf numFmtId="9" fontId="10" fillId="0" borderId="7" xfId="1" applyNumberFormat="1" applyFont="1" applyFill="1" applyBorder="1" applyAlignment="1">
      <alignment horizontal="center" vertical="center"/>
    </xf>
    <xf numFmtId="9" fontId="10" fillId="0" borderId="0" xfId="1" applyNumberFormat="1" applyFont="1" applyFill="1" applyBorder="1" applyAlignment="1">
      <alignment horizontal="center" vertical="center"/>
    </xf>
    <xf numFmtId="165" fontId="10" fillId="0" borderId="7" xfId="0" applyNumberFormat="1" applyFont="1" applyFill="1" applyBorder="1" applyAlignment="1">
      <alignment horizontal="center" vertical="center"/>
    </xf>
    <xf numFmtId="165" fontId="10" fillId="0" borderId="0" xfId="0" applyNumberFormat="1" applyFont="1" applyFill="1" applyBorder="1" applyAlignment="1">
      <alignment horizontal="center" vertical="center"/>
    </xf>
    <xf numFmtId="43" fontId="10" fillId="0" borderId="7" xfId="0" applyNumberFormat="1" applyFont="1" applyFill="1" applyBorder="1" applyAlignment="1">
      <alignment horizontal="center" vertical="center"/>
    </xf>
    <xf numFmtId="43" fontId="10" fillId="0" borderId="0" xfId="0" applyNumberFormat="1" applyFont="1" applyFill="1" applyBorder="1" applyAlignment="1">
      <alignment horizontal="center" vertical="center"/>
    </xf>
    <xf numFmtId="0" fontId="10" fillId="0" borderId="8" xfId="0" applyFont="1" applyFill="1" applyBorder="1" applyAlignment="1">
      <alignment vertical="center"/>
    </xf>
    <xf numFmtId="3" fontId="10" fillId="0" borderId="0" xfId="0" applyNumberFormat="1" applyFont="1" applyFill="1" applyBorder="1"/>
    <xf numFmtId="3" fontId="10" fillId="0" borderId="8" xfId="0" applyNumberFormat="1" applyFont="1" applyFill="1" applyBorder="1"/>
    <xf numFmtId="165" fontId="12" fillId="0" borderId="0" xfId="3" applyNumberFormat="1" applyFont="1" applyFill="1" applyAlignment="1">
      <alignment horizontal="left" vertical="center"/>
    </xf>
    <xf numFmtId="167" fontId="21" fillId="13" borderId="1" xfId="3" applyNumberFormat="1" applyFont="1" applyFill="1" applyBorder="1" applyAlignment="1">
      <alignment horizontal="center" vertical="center"/>
    </xf>
    <xf numFmtId="9" fontId="21" fillId="0" borderId="8" xfId="1" applyNumberFormat="1" applyFont="1" applyFill="1" applyBorder="1" applyAlignment="1">
      <alignment horizontal="center" vertical="center"/>
    </xf>
    <xf numFmtId="9" fontId="21" fillId="0" borderId="11" xfId="1" applyNumberFormat="1" applyFont="1" applyFill="1" applyBorder="1" applyAlignment="1">
      <alignment horizontal="center" vertical="center"/>
    </xf>
    <xf numFmtId="0" fontId="21" fillId="0" borderId="18" xfId="0" quotePrefix="1" applyFont="1" applyFill="1" applyBorder="1" applyAlignment="1">
      <alignment horizontal="center" vertical="center"/>
    </xf>
    <xf numFmtId="0" fontId="22" fillId="0" borderId="19" xfId="0" applyFont="1" applyFill="1" applyBorder="1" applyAlignment="1">
      <alignment horizontal="left" vertical="center" wrapText="1"/>
    </xf>
    <xf numFmtId="43" fontId="22" fillId="0" borderId="19" xfId="3" applyNumberFormat="1" applyFont="1" applyFill="1" applyBorder="1" applyAlignment="1">
      <alignment horizontal="left" vertical="center"/>
    </xf>
    <xf numFmtId="164" fontId="22" fillId="0" borderId="20" xfId="1" applyNumberFormat="1" applyFont="1" applyFill="1" applyBorder="1" applyAlignment="1">
      <alignment horizontal="center" vertical="center"/>
    </xf>
    <xf numFmtId="0" fontId="18" fillId="15" borderId="0" xfId="0" applyFont="1" applyFill="1" applyBorder="1" applyAlignment="1">
      <alignment vertical="center"/>
    </xf>
    <xf numFmtId="0" fontId="18" fillId="15" borderId="0" xfId="0" applyFont="1" applyFill="1" applyAlignment="1">
      <alignment vertical="center"/>
    </xf>
    <xf numFmtId="0" fontId="18" fillId="15" borderId="0" xfId="0" applyFont="1" applyFill="1" applyAlignment="1">
      <alignment vertical="center" wrapText="1"/>
    </xf>
    <xf numFmtId="0" fontId="9" fillId="0" borderId="0" xfId="0" applyFont="1" applyFill="1" applyAlignment="1">
      <alignment vertical="center"/>
    </xf>
    <xf numFmtId="164" fontId="9" fillId="0" borderId="0" xfId="1" applyNumberFormat="1" applyFont="1" applyFill="1" applyBorder="1" applyAlignment="1">
      <alignment horizontal="center" vertical="center"/>
    </xf>
    <xf numFmtId="165" fontId="15" fillId="0" borderId="0" xfId="3" applyNumberFormat="1" applyFont="1" applyFill="1" applyBorder="1" applyAlignment="1">
      <alignment vertical="center"/>
    </xf>
    <xf numFmtId="165" fontId="9" fillId="0" borderId="0" xfId="3" applyNumberFormat="1" applyFont="1" applyFill="1" applyBorder="1" applyAlignment="1">
      <alignment vertical="center"/>
    </xf>
    <xf numFmtId="9" fontId="9" fillId="0" borderId="0" xfId="1" applyNumberFormat="1" applyFont="1" applyBorder="1" applyAlignment="1">
      <alignment horizontal="center" vertical="center"/>
    </xf>
    <xf numFmtId="165" fontId="9" fillId="0" borderId="0" xfId="0" applyNumberFormat="1" applyFont="1" applyBorder="1" applyAlignment="1">
      <alignment horizontal="center" vertical="center"/>
    </xf>
    <xf numFmtId="9" fontId="9" fillId="0" borderId="0" xfId="0" applyNumberFormat="1" applyFont="1" applyBorder="1" applyAlignment="1">
      <alignment horizontal="center" vertical="center"/>
    </xf>
    <xf numFmtId="0" fontId="15" fillId="0" borderId="0" xfId="0" applyFont="1" applyBorder="1" applyAlignment="1">
      <alignment vertical="center"/>
    </xf>
    <xf numFmtId="166" fontId="9" fillId="0" borderId="0" xfId="0" applyNumberFormat="1" applyFont="1" applyBorder="1" applyAlignment="1">
      <alignment horizontal="center" vertical="center"/>
    </xf>
    <xf numFmtId="2" fontId="9" fillId="0" borderId="0" xfId="1" applyNumberFormat="1" applyFont="1" applyBorder="1" applyAlignment="1">
      <alignment horizontal="center" vertical="center"/>
    </xf>
    <xf numFmtId="0" fontId="9" fillId="0" borderId="0" xfId="0" applyFont="1" applyBorder="1" applyAlignment="1">
      <alignment horizontal="center" vertical="center"/>
    </xf>
    <xf numFmtId="0" fontId="15" fillId="0" borderId="0" xfId="0" applyFont="1" applyBorder="1" applyAlignment="1">
      <alignment horizontal="center" vertical="center"/>
    </xf>
    <xf numFmtId="9" fontId="9" fillId="0" borderId="0" xfId="0" applyNumberFormat="1" applyFont="1" applyFill="1" applyBorder="1" applyAlignment="1">
      <alignment horizontal="center" vertical="center"/>
    </xf>
    <xf numFmtId="9" fontId="43" fillId="0" borderId="0" xfId="1" applyNumberFormat="1" applyFont="1" applyFill="1" applyBorder="1" applyAlignment="1">
      <alignment horizontal="center" vertical="center"/>
    </xf>
    <xf numFmtId="0" fontId="43" fillId="0" borderId="0" xfId="0" applyFont="1" applyFill="1" applyBorder="1" applyAlignment="1">
      <alignment horizontal="center" vertical="center"/>
    </xf>
    <xf numFmtId="164" fontId="44" fillId="0" borderId="0" xfId="0" applyNumberFormat="1" applyFont="1" applyFill="1" applyBorder="1" applyAlignment="1">
      <alignment horizontal="center" vertical="center"/>
    </xf>
    <xf numFmtId="0" fontId="15" fillId="0" borderId="0" xfId="0" applyFont="1" applyFill="1" applyBorder="1" applyAlignment="1">
      <alignment vertical="center"/>
    </xf>
    <xf numFmtId="9" fontId="44" fillId="0" borderId="0" xfId="0" applyNumberFormat="1" applyFont="1" applyFill="1" applyBorder="1" applyAlignment="1">
      <alignment horizontal="center" vertical="center"/>
    </xf>
    <xf numFmtId="9" fontId="15" fillId="0" borderId="0" xfId="1" applyNumberFormat="1" applyFont="1" applyFill="1" applyBorder="1" applyAlignment="1">
      <alignment horizontal="center" vertical="center"/>
    </xf>
    <xf numFmtId="0" fontId="15" fillId="0" borderId="0" xfId="0" applyFont="1" applyFill="1" applyBorder="1" applyAlignment="1">
      <alignment horizontal="center" vertical="center"/>
    </xf>
    <xf numFmtId="0" fontId="9" fillId="0" borderId="0" xfId="0" applyFont="1" applyFill="1" applyBorder="1" applyAlignment="1">
      <alignment horizontal="center" vertical="center"/>
    </xf>
    <xf numFmtId="2" fontId="9" fillId="0" borderId="0" xfId="1" applyNumberFormat="1" applyFont="1" applyFill="1" applyBorder="1" applyAlignment="1">
      <alignment horizontal="center" vertical="center"/>
    </xf>
    <xf numFmtId="0" fontId="45" fillId="0" borderId="0" xfId="0" applyFont="1" applyFill="1" applyBorder="1" applyAlignment="1">
      <alignment horizontal="center" vertical="center"/>
    </xf>
    <xf numFmtId="9" fontId="46" fillId="0" borderId="0" xfId="1" applyNumberFormat="1" applyFont="1" applyFill="1" applyBorder="1" applyAlignment="1">
      <alignment horizontal="center" vertical="center"/>
    </xf>
    <xf numFmtId="10" fontId="46" fillId="0" borderId="0" xfId="2" applyNumberFormat="1" applyFont="1" applyFill="1" applyBorder="1" applyAlignment="1">
      <alignment horizontal="center" vertical="center"/>
    </xf>
    <xf numFmtId="9" fontId="15" fillId="0" borderId="0" xfId="0" applyNumberFormat="1" applyFont="1" applyFill="1" applyBorder="1" applyAlignment="1">
      <alignment horizontal="center" vertical="center"/>
    </xf>
    <xf numFmtId="10" fontId="44" fillId="0" borderId="0" xfId="0" applyNumberFormat="1" applyFont="1" applyFill="1" applyBorder="1" applyAlignment="1">
      <alignment horizontal="center" vertical="center"/>
    </xf>
    <xf numFmtId="3" fontId="9" fillId="0" borderId="0" xfId="0" applyNumberFormat="1" applyFont="1" applyFill="1" applyBorder="1" applyAlignment="1">
      <alignment horizontal="center" vertical="center"/>
    </xf>
    <xf numFmtId="9" fontId="47" fillId="0" borderId="0" xfId="1" applyNumberFormat="1" applyFont="1" applyFill="1" applyBorder="1" applyAlignment="1">
      <alignment horizontal="center" vertical="center"/>
    </xf>
    <xf numFmtId="0" fontId="47" fillId="0" borderId="0" xfId="0" applyFont="1" applyFill="1" applyBorder="1" applyAlignment="1">
      <alignment horizontal="center" vertical="center"/>
    </xf>
    <xf numFmtId="165" fontId="9" fillId="0" borderId="0" xfId="3" applyNumberFormat="1" applyFont="1" applyFill="1" applyBorder="1" applyAlignment="1">
      <alignment horizontal="center" vertical="center"/>
    </xf>
    <xf numFmtId="9" fontId="9" fillId="0" borderId="0" xfId="1" applyFont="1" applyFill="1" applyBorder="1" applyAlignment="1">
      <alignment horizontal="center" vertical="center"/>
    </xf>
    <xf numFmtId="0" fontId="33" fillId="0" borderId="0" xfId="0" applyFont="1" applyFill="1" applyBorder="1" applyAlignment="1">
      <alignment vertical="center"/>
    </xf>
    <xf numFmtId="0" fontId="33" fillId="0" borderId="0" xfId="0" applyFont="1" applyFill="1" applyBorder="1" applyAlignment="1">
      <alignment horizontal="center" vertical="center"/>
    </xf>
    <xf numFmtId="0" fontId="43" fillId="0" borderId="0" xfId="0" applyFont="1" applyFill="1" applyBorder="1" applyAlignment="1">
      <alignment horizontal="right" vertical="center"/>
    </xf>
    <xf numFmtId="165" fontId="43" fillId="0" borderId="0" xfId="3" applyNumberFormat="1" applyFont="1" applyFill="1" applyBorder="1" applyAlignment="1">
      <alignment horizontal="center" vertical="center"/>
    </xf>
    <xf numFmtId="165" fontId="15" fillId="0" borderId="0" xfId="3" applyNumberFormat="1" applyFont="1" applyFill="1" applyBorder="1" applyAlignment="1">
      <alignment horizontal="center" vertical="center"/>
    </xf>
    <xf numFmtId="0" fontId="9" fillId="0" borderId="0" xfId="0" applyFont="1" applyFill="1" applyBorder="1" applyAlignment="1">
      <alignment horizontal="right" vertical="center"/>
    </xf>
    <xf numFmtId="165" fontId="44" fillId="0" borderId="0" xfId="3" applyNumberFormat="1" applyFont="1" applyFill="1" applyBorder="1" applyAlignment="1">
      <alignment horizontal="center" vertical="center"/>
    </xf>
    <xf numFmtId="165" fontId="46" fillId="0" borderId="0" xfId="3" applyNumberFormat="1" applyFont="1" applyFill="1" applyBorder="1" applyAlignment="1">
      <alignment horizontal="center" vertical="center"/>
    </xf>
    <xf numFmtId="3" fontId="15" fillId="0" borderId="0" xfId="0" applyNumberFormat="1" applyFont="1" applyFill="1" applyBorder="1" applyAlignment="1">
      <alignment horizontal="center" vertical="center"/>
    </xf>
    <xf numFmtId="0" fontId="15" fillId="0" borderId="0" xfId="0" applyFont="1" applyFill="1" applyBorder="1" applyAlignment="1">
      <alignment horizontal="left" vertical="center"/>
    </xf>
    <xf numFmtId="9" fontId="9" fillId="0" borderId="0" xfId="1"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165" fontId="9" fillId="0" borderId="0" xfId="3" applyNumberFormat="1" applyFont="1" applyFill="1" applyBorder="1" applyAlignment="1">
      <alignment horizontal="center" vertical="center" wrapText="1"/>
    </xf>
    <xf numFmtId="164" fontId="15" fillId="0" borderId="0" xfId="1" applyNumberFormat="1" applyFont="1" applyFill="1" applyBorder="1" applyAlignment="1">
      <alignment vertical="center"/>
    </xf>
    <xf numFmtId="3" fontId="9" fillId="0" borderId="0" xfId="0" applyNumberFormat="1" applyFont="1" applyFill="1" applyBorder="1" applyAlignment="1">
      <alignment vertical="center"/>
    </xf>
    <xf numFmtId="165" fontId="47" fillId="0" borderId="0" xfId="3" applyNumberFormat="1" applyFont="1" applyFill="1" applyBorder="1" applyAlignment="1">
      <alignment horizontal="center" vertical="center"/>
    </xf>
    <xf numFmtId="0" fontId="9" fillId="0" borderId="0" xfId="0" applyFont="1" applyFill="1" applyBorder="1" applyAlignment="1">
      <alignment horizontal="left" vertical="center"/>
    </xf>
    <xf numFmtId="164" fontId="9" fillId="0" borderId="0" xfId="1" applyNumberFormat="1" applyFont="1" applyFill="1" applyBorder="1" applyAlignment="1">
      <alignment horizontal="left" vertical="center"/>
    </xf>
    <xf numFmtId="9" fontId="9" fillId="0" borderId="0" xfId="1" applyFont="1" applyFill="1" applyBorder="1" applyAlignment="1">
      <alignment horizontal="left" vertical="center"/>
    </xf>
    <xf numFmtId="0" fontId="9" fillId="0" borderId="0" xfId="0" applyFont="1" applyFill="1" applyBorder="1" applyAlignment="1">
      <alignment vertical="center"/>
    </xf>
    <xf numFmtId="0" fontId="32" fillId="0" borderId="0" xfId="0" applyFont="1" applyFill="1" applyBorder="1" applyAlignment="1">
      <alignment horizontal="center" vertical="center"/>
    </xf>
    <xf numFmtId="0" fontId="9" fillId="0" borderId="0" xfId="0" applyFont="1" applyBorder="1" applyAlignment="1">
      <alignment horizontal="right" vertical="center"/>
    </xf>
    <xf numFmtId="165" fontId="15" fillId="0" borderId="0" xfId="3" applyNumberFormat="1" applyFont="1" applyBorder="1" applyAlignment="1">
      <alignment vertical="center"/>
    </xf>
    <xf numFmtId="165" fontId="9" fillId="0" borderId="0" xfId="3" applyNumberFormat="1" applyFont="1" applyBorder="1" applyAlignment="1">
      <alignment horizontal="center" vertical="center"/>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17" fillId="0" borderId="0" xfId="0" applyFont="1" applyBorder="1" applyAlignment="1">
      <alignment horizontal="right" vertical="center"/>
    </xf>
    <xf numFmtId="165" fontId="10" fillId="0" borderId="0" xfId="3" applyNumberFormat="1" applyFont="1" applyBorder="1" applyAlignment="1">
      <alignment vertical="center"/>
    </xf>
    <xf numFmtId="165" fontId="17" fillId="0" borderId="0" xfId="3" applyNumberFormat="1" applyFont="1" applyBorder="1" applyAlignment="1">
      <alignment horizontal="center" vertical="center"/>
    </xf>
    <xf numFmtId="165" fontId="10" fillId="0" borderId="0" xfId="3" applyNumberFormat="1" applyFont="1" applyBorder="1" applyAlignment="1">
      <alignment horizontal="center" vertical="center"/>
    </xf>
    <xf numFmtId="165" fontId="12" fillId="0" borderId="3" xfId="3" applyNumberFormat="1" applyFont="1" applyFill="1" applyBorder="1" applyAlignment="1">
      <alignment horizontal="center" vertical="center"/>
    </xf>
    <xf numFmtId="165" fontId="9" fillId="3" borderId="0" xfId="3" applyNumberFormat="1" applyFont="1" applyFill="1" applyAlignment="1">
      <alignment horizontal="center" vertical="center" wrapText="1"/>
    </xf>
    <xf numFmtId="9" fontId="12" fillId="0" borderId="0" xfId="1" applyFont="1" applyFill="1" applyBorder="1" applyAlignment="1">
      <alignment vertical="center"/>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165" fontId="12" fillId="0" borderId="0" xfId="3" applyNumberFormat="1" applyFont="1" applyFill="1" applyBorder="1" applyAlignment="1">
      <alignment horizontal="center" vertical="center"/>
    </xf>
    <xf numFmtId="167" fontId="19" fillId="3" borderId="16" xfId="3" applyNumberFormat="1" applyFont="1" applyFill="1" applyBorder="1" applyAlignment="1">
      <alignment horizontal="center" vertical="center"/>
    </xf>
    <xf numFmtId="167" fontId="19" fillId="3" borderId="17" xfId="3" applyNumberFormat="1" applyFont="1" applyFill="1" applyBorder="1" applyAlignment="1">
      <alignment horizontal="center" vertical="center"/>
    </xf>
    <xf numFmtId="4" fontId="21" fillId="0" borderId="20" xfId="0" applyNumberFormat="1" applyFont="1" applyFill="1" applyBorder="1" applyAlignment="1">
      <alignment vertical="center"/>
    </xf>
    <xf numFmtId="0" fontId="15" fillId="0" borderId="0" xfId="0" applyFont="1" applyAlignment="1">
      <alignment vertical="center"/>
    </xf>
    <xf numFmtId="0" fontId="9" fillId="2" borderId="2" xfId="0" applyFont="1" applyFill="1" applyBorder="1" applyAlignment="1">
      <alignment vertical="center"/>
    </xf>
    <xf numFmtId="3" fontId="48" fillId="6" borderId="0" xfId="0" applyNumberFormat="1" applyFont="1" applyFill="1" applyAlignment="1">
      <alignment vertical="center"/>
    </xf>
    <xf numFmtId="0" fontId="48" fillId="9" borderId="0" xfId="0" applyFont="1" applyFill="1" applyAlignment="1">
      <alignment vertical="center"/>
    </xf>
    <xf numFmtId="0" fontId="15" fillId="0" borderId="0" xfId="0" applyFont="1" applyFill="1" applyAlignment="1">
      <alignment vertical="center"/>
    </xf>
    <xf numFmtId="0" fontId="48" fillId="6" borderId="0" xfId="0" applyFont="1" applyFill="1" applyAlignment="1">
      <alignment vertical="center"/>
    </xf>
    <xf numFmtId="0" fontId="9" fillId="8" borderId="0" xfId="0" applyFont="1" applyFill="1" applyAlignment="1">
      <alignment vertical="center"/>
    </xf>
    <xf numFmtId="0" fontId="49" fillId="0" borderId="0" xfId="0" applyFont="1" applyFill="1" applyAlignment="1">
      <alignment horizontal="left"/>
    </xf>
    <xf numFmtId="0" fontId="20" fillId="11" borderId="0" xfId="0" applyFont="1" applyFill="1" applyBorder="1" applyAlignment="1">
      <alignment horizontal="center" vertical="center"/>
    </xf>
    <xf numFmtId="165" fontId="21" fillId="13" borderId="2" xfId="3" applyNumberFormat="1" applyFont="1" applyFill="1" applyBorder="1" applyAlignment="1">
      <alignment horizontal="center" vertical="center" wrapText="1"/>
    </xf>
    <xf numFmtId="165" fontId="21" fillId="13" borderId="3" xfId="3" applyNumberFormat="1" applyFont="1" applyFill="1" applyBorder="1" applyAlignment="1">
      <alignment horizontal="center" vertical="center" wrapText="1"/>
    </xf>
    <xf numFmtId="9" fontId="12" fillId="2" borderId="0" xfId="1" applyFont="1" applyFill="1" applyBorder="1" applyAlignment="1">
      <alignment horizontal="center" vertical="center"/>
    </xf>
    <xf numFmtId="9" fontId="12" fillId="2" borderId="8" xfId="1" applyFont="1" applyFill="1" applyBorder="1" applyAlignment="1">
      <alignment horizontal="center" vertical="center"/>
    </xf>
    <xf numFmtId="0" fontId="12" fillId="2" borderId="26"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27" xfId="0" applyFont="1" applyFill="1" applyBorder="1" applyAlignment="1">
      <alignment horizontal="center" vertical="center"/>
    </xf>
    <xf numFmtId="0" fontId="9"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cellXfs>
  <cellStyles count="4">
    <cellStyle name="Comma" xfId="3" builtinId="3"/>
    <cellStyle name="Normal" xfId="0" builtinId="0"/>
    <cellStyle name="Percent" xfId="1" builtinId="5"/>
    <cellStyle name="Porcentaje 2" xfId="2"/>
  </cellStyles>
  <dxfs count="37">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_PAEMFE\_Programaci&#243;n%202011-2015\MEMFOD%20-%20NEW%20plan%20quinque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UPM\_PAEMFE%202\Estimacones%20de%20montos%20y%20costos\Costeo%20para%20el%20Perfil%20PP_versi&#243;n%203%20postMisi&#243;nmay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PM\_PAEMFE%202\Estimacones%20de%20montos%20y%20costos\Montos%20PAEMFE%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UPM\_PAEMFE\_Programaci&#243;n%202016\POA%202016\POA%202016%20-%20RECUPERADO%20y%20AJUST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ábana"/>
      <sheetName val="Sábana_PlanEj_US$"/>
      <sheetName val="xa SEPA"/>
      <sheetName val="xa SEPA (2)"/>
      <sheetName val="obras 2012"/>
      <sheetName val="cuadroBID_USD"/>
      <sheetName val="Supuestos"/>
      <sheetName val="Asesores2011"/>
      <sheetName val="Arrastres"/>
      <sheetName val="RESUMEN"/>
      <sheetName val="Diseño Obras"/>
      <sheetName val="Hoja2"/>
    </sheetNames>
    <sheetDataSet>
      <sheetData sheetId="0" refreshError="1"/>
      <sheetData sheetId="1" refreshError="1"/>
      <sheetData sheetId="2" refreshError="1"/>
      <sheetData sheetId="3" refreshError="1"/>
      <sheetData sheetId="4" refreshError="1"/>
      <sheetData sheetId="5" refreshError="1"/>
      <sheetData sheetId="6">
        <row r="5">
          <cell r="H5">
            <v>1.0094675397611375</v>
          </cell>
        </row>
        <row r="16">
          <cell r="B16">
            <v>6.93E-2</v>
          </cell>
        </row>
        <row r="17">
          <cell r="A17">
            <v>6.0000000000000053E-2</v>
          </cell>
        </row>
        <row r="18">
          <cell r="A18">
            <v>0.11617999999999995</v>
          </cell>
        </row>
        <row r="19">
          <cell r="A19">
            <v>0.17198899999999995</v>
          </cell>
        </row>
        <row r="20">
          <cell r="A20">
            <v>0.22824447200000009</v>
          </cell>
        </row>
        <row r="21">
          <cell r="A21">
            <v>0.28720020665600021</v>
          </cell>
        </row>
        <row r="27">
          <cell r="D27">
            <v>0.22</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entes"/>
      <sheetName val="Usos_5años"/>
      <sheetName val="Usos_5años_BID"/>
      <sheetName val="Usos_5años SINRECORTE"/>
      <sheetName val="Calculines"/>
      <sheetName val="Plan DSI"/>
      <sheetName val="POA_$2016"/>
      <sheetName val="Contrataciones anticipadas"/>
      <sheetName val="POA_$2015"/>
    </sheetNames>
    <sheetDataSet>
      <sheetData sheetId="0" refreshError="1">
        <row r="9">
          <cell r="C9">
            <v>33</v>
          </cell>
        </row>
      </sheetData>
      <sheetData sheetId="1" refreshError="1">
        <row r="208">
          <cell r="G208">
            <v>1.1000000000000001</v>
          </cell>
          <cell r="H208">
            <v>1.2100000000000002</v>
          </cell>
          <cell r="I208">
            <v>1.3310000000000004</v>
          </cell>
          <cell r="J208">
            <v>1.4641000000000006</v>
          </cell>
          <cell r="K208">
            <v>1.6105100000000008</v>
          </cell>
        </row>
        <row r="213">
          <cell r="G213">
            <v>0.17439236561549906</v>
          </cell>
        </row>
        <row r="214">
          <cell r="G214">
            <v>1</v>
          </cell>
        </row>
        <row r="216">
          <cell r="G216">
            <v>0.9400947867298578</v>
          </cell>
          <cell r="H216">
            <v>1.0341042654028436</v>
          </cell>
          <cell r="I216">
            <v>1.137514691943128</v>
          </cell>
          <cell r="J216">
            <v>1.2512661611374412</v>
          </cell>
          <cell r="K216">
            <v>1.3763927772511853</v>
          </cell>
        </row>
        <row r="217">
          <cell r="G217">
            <v>4.8258336705774084E-2</v>
          </cell>
        </row>
        <row r="218">
          <cell r="G218">
            <v>1.8605464616684355E-2</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ado a DSPP"/>
      <sheetName val="Estima PAEMFE_2"/>
      <sheetName val="POA_PAEMFE1"/>
      <sheetName val="PAEMFE1"/>
      <sheetName val="Res. PAEMFEs"/>
      <sheetName val="Supuestos"/>
      <sheetName val="Aprobado en Ley"/>
      <sheetName val="Estima PAEMFE__2"/>
    </sheetNames>
    <sheetDataSet>
      <sheetData sheetId="0"/>
      <sheetData sheetId="1"/>
      <sheetData sheetId="2"/>
      <sheetData sheetId="3"/>
      <sheetData sheetId="4"/>
      <sheetData sheetId="5">
        <row r="6">
          <cell r="G6">
            <v>1.0341042654028436</v>
          </cell>
        </row>
        <row r="7">
          <cell r="G7">
            <v>1.137514691943128</v>
          </cell>
        </row>
        <row r="8">
          <cell r="G8">
            <v>1.2512661611374412</v>
          </cell>
        </row>
        <row r="9">
          <cell r="G9">
            <v>1.3763927772511853</v>
          </cell>
        </row>
        <row r="10">
          <cell r="G10">
            <v>1.514032054976304</v>
          </cell>
        </row>
      </sheetData>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ubro0"/>
      <sheetName val="Diseño"/>
      <sheetName val="SÁBANA_PRINT"/>
      <sheetName val="SÁBANA_$16"/>
      <sheetName val="Monitor print"/>
      <sheetName val="SÁBANA_US$15"/>
      <sheetName val="Plan Adq 16"/>
      <sheetName val="MONITOR_cierre"/>
      <sheetName val="Hoja2"/>
    </sheetNames>
    <sheetDataSet>
      <sheetData sheetId="0"/>
      <sheetData sheetId="1"/>
      <sheetData sheetId="2"/>
      <sheetData sheetId="3"/>
      <sheetData sheetId="4"/>
      <sheetData sheetId="5"/>
      <sheetData sheetId="6">
        <row r="2">
          <cell r="Q2">
            <v>24</v>
          </cell>
        </row>
      </sheetData>
      <sheetData sheetId="7"/>
      <sheetData sheetId="8">
        <row r="30">
          <cell r="I30">
            <v>24</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26"/>
  <sheetViews>
    <sheetView zoomScaleNormal="100" workbookViewId="0">
      <selection activeCell="C31" sqref="C31"/>
    </sheetView>
  </sheetViews>
  <sheetFormatPr defaultRowHeight="12" x14ac:dyDescent="0.25"/>
  <cols>
    <col min="1" max="1" width="3.7109375" style="91" customWidth="1"/>
    <col min="2" max="2" width="9.140625" style="91"/>
    <col min="3" max="3" width="53.5703125" style="92" customWidth="1"/>
    <col min="4" max="6" width="13.7109375" style="93" customWidth="1"/>
    <col min="7" max="7" width="7.7109375" style="91" customWidth="1"/>
    <col min="8" max="8" width="3.7109375" style="94" customWidth="1"/>
    <col min="9" max="9" width="8.140625" style="95" bestFit="1" customWidth="1"/>
    <col min="10" max="10" width="48.28515625" style="96" customWidth="1"/>
    <col min="11" max="15" width="9.7109375" style="91" customWidth="1"/>
    <col min="16" max="16" width="11.85546875" style="91" customWidth="1"/>
    <col min="17" max="16384" width="9.140625" style="91"/>
  </cols>
  <sheetData>
    <row r="1" spans="2:25" ht="12.75" thickBot="1" x14ac:dyDescent="0.3"/>
    <row r="2" spans="2:25" s="102" customFormat="1" x14ac:dyDescent="0.25">
      <c r="B2" s="97" t="s">
        <v>291</v>
      </c>
      <c r="C2" s="98" t="s">
        <v>444</v>
      </c>
      <c r="D2" s="99" t="s">
        <v>426</v>
      </c>
      <c r="E2" s="99" t="s">
        <v>434</v>
      </c>
      <c r="F2" s="99" t="s">
        <v>242</v>
      </c>
      <c r="G2" s="100"/>
      <c r="H2" s="101"/>
      <c r="I2" s="112" t="str">
        <f>+B2</f>
        <v>Actividad</v>
      </c>
      <c r="J2" s="113" t="str">
        <f>+C2</f>
        <v>Descripcion</v>
      </c>
      <c r="K2" s="394">
        <v>2017</v>
      </c>
      <c r="L2" s="394">
        <v>2018</v>
      </c>
      <c r="M2" s="394">
        <v>2019</v>
      </c>
      <c r="N2" s="394">
        <v>2020</v>
      </c>
      <c r="O2" s="395">
        <v>2021</v>
      </c>
      <c r="P2" s="100" t="s">
        <v>124</v>
      </c>
      <c r="R2" s="91"/>
      <c r="S2" s="91"/>
      <c r="T2" s="91"/>
      <c r="U2" s="91"/>
      <c r="V2" s="91"/>
      <c r="W2" s="91"/>
      <c r="X2" s="91"/>
      <c r="Y2" s="91"/>
    </row>
    <row r="3" spans="2:25" s="106" customFormat="1" x14ac:dyDescent="0.25">
      <c r="B3" s="103" t="s">
        <v>397</v>
      </c>
      <c r="C3" s="120" t="str">
        <f>VLOOKUP($B3,PEP!$I$2:$AO$195,3,FALSE)</f>
        <v>Componente 1: Mejora de la calidad educativa.</v>
      </c>
      <c r="D3" s="165">
        <f>VLOOKUP($B3,PEP!$I$2:$AO$195,5,FALSE)</f>
        <v>3497114.2990831486</v>
      </c>
      <c r="E3" s="165">
        <f>VLOOKUP($B3,PEP!$I$2:$AO$195,6,FALSE)</f>
        <v>964329.17767963302</v>
      </c>
      <c r="F3" s="165">
        <f>SUM(D3:E3)</f>
        <v>4461443.4767627819</v>
      </c>
      <c r="G3" s="122">
        <f>+F3/$F$8</f>
        <v>5.972481237829471E-2</v>
      </c>
      <c r="H3" s="166"/>
      <c r="I3" s="167" t="str">
        <f>+B3</f>
        <v>1.0.0.0</v>
      </c>
      <c r="J3" s="129" t="str">
        <f t="shared" ref="J3:J7" si="0">+C3</f>
        <v>Componente 1: Mejora de la calidad educativa.</v>
      </c>
      <c r="K3" s="165">
        <f>VLOOKUP($B3,PEP!$I$2:$AO$195,28,FALSE)</f>
        <v>925624.4865975033</v>
      </c>
      <c r="L3" s="165">
        <f>VLOOKUP($B3,PEP!$I$2:$AO$195,29,FALSE)</f>
        <v>1091874.8140451326</v>
      </c>
      <c r="M3" s="165">
        <f>VLOOKUP($B3,PEP!$I$2:$AO$195,30,FALSE)</f>
        <v>847796.11363146396</v>
      </c>
      <c r="N3" s="165">
        <f>VLOOKUP($B3,PEP!$I$2:$AO$195,31,FALSE)</f>
        <v>767062.92499461048</v>
      </c>
      <c r="O3" s="168">
        <f>VLOOKUP($B3,PEP!$I$2:$AO$195,32,FALSE)</f>
        <v>829085.13749407162</v>
      </c>
      <c r="P3" s="168">
        <f>SUM(K3:O3)</f>
        <v>4461443.4767627819</v>
      </c>
      <c r="R3" s="405" t="s">
        <v>448</v>
      </c>
      <c r="S3" s="405"/>
      <c r="T3" s="405"/>
      <c r="U3" s="405"/>
      <c r="V3" s="405"/>
      <c r="W3" s="405"/>
      <c r="X3" s="405"/>
      <c r="Y3" s="405"/>
    </row>
    <row r="4" spans="2:25" s="106" customFormat="1" x14ac:dyDescent="0.25">
      <c r="B4" s="103" t="s">
        <v>401</v>
      </c>
      <c r="C4" s="123" t="str">
        <f>VLOOKUP($B4,PEP!$I$2:$AO$195,3,FALSE)</f>
        <v>Componente 2: Formación en educación.</v>
      </c>
      <c r="D4" s="169">
        <f>VLOOKUP($B4,PEP!$I$2:$AO$195,5,FALSE)</f>
        <v>734309.84752315062</v>
      </c>
      <c r="E4" s="169">
        <f>VLOOKUP($B4,PEP!$I$2:$AO$195,6,FALSE)</f>
        <v>2598143.285022079</v>
      </c>
      <c r="F4" s="169">
        <f t="shared" ref="F4:F7" si="1">SUM(D4:E4)</f>
        <v>3332453.1325452295</v>
      </c>
      <c r="G4" s="122">
        <f>+F4/$F$8</f>
        <v>4.4611153125073397E-2</v>
      </c>
      <c r="H4" s="166"/>
      <c r="I4" s="167" t="str">
        <f>+B4</f>
        <v>2.0.0.0</v>
      </c>
      <c r="J4" s="129" t="str">
        <f t="shared" si="0"/>
        <v>Componente 2: Formación en educación.</v>
      </c>
      <c r="K4" s="105">
        <f>VLOOKUP($B4,PEP!$I$2:$AO$195,28,FALSE)</f>
        <v>505580.39534624823</v>
      </c>
      <c r="L4" s="105">
        <f>VLOOKUP($B4,PEP!$I$2:$AO$195,29,FALSE)</f>
        <v>545927.52920099429</v>
      </c>
      <c r="M4" s="105">
        <f>VLOOKUP($B4,PEP!$I$2:$AO$195,30,FALSE)</f>
        <v>605963.43329514237</v>
      </c>
      <c r="N4" s="105">
        <f>VLOOKUP($B4,PEP!$I$2:$AO$195,31,FALSE)</f>
        <v>787644.77022294758</v>
      </c>
      <c r="O4" s="115">
        <f>VLOOKUP($B4,PEP!$I$2:$AO$195,32,FALSE)</f>
        <v>887337.00447989686</v>
      </c>
      <c r="P4" s="168">
        <f t="shared" ref="P4:P7" si="2">SUM(K4:O4)</f>
        <v>3332453.132545229</v>
      </c>
      <c r="R4" s="160"/>
      <c r="S4" s="146" t="s">
        <v>453</v>
      </c>
      <c r="T4" s="146" t="s">
        <v>449</v>
      </c>
      <c r="U4" s="146" t="s">
        <v>450</v>
      </c>
      <c r="V4" s="146" t="s">
        <v>451</v>
      </c>
      <c r="W4" s="146" t="s">
        <v>452</v>
      </c>
      <c r="X4" s="146" t="s">
        <v>124</v>
      </c>
      <c r="Y4" s="147" t="s">
        <v>428</v>
      </c>
    </row>
    <row r="5" spans="2:25" s="106" customFormat="1" ht="24" x14ac:dyDescent="0.25">
      <c r="B5" s="103" t="s">
        <v>405</v>
      </c>
      <c r="C5" s="123" t="str">
        <f>VLOOKUP($B5,PEP!$I$2:$AO$195,3,FALSE)</f>
        <v>Componente 3: Integración territorial y gestión para la mejora educativa.</v>
      </c>
      <c r="D5" s="169">
        <f>VLOOKUP($B5,PEP!$I$2:$AO$195,5,FALSE)</f>
        <v>8150416.9490245134</v>
      </c>
      <c r="E5" s="169">
        <f>VLOOKUP($B5,PEP!$I$2:$AO$195,6,FALSE)</f>
        <v>4496976.8189899195</v>
      </c>
      <c r="F5" s="169">
        <f t="shared" si="1"/>
        <v>12647393.768014433</v>
      </c>
      <c r="G5" s="122">
        <f>+F5/$F$8</f>
        <v>0.16930915382058509</v>
      </c>
      <c r="H5" s="166"/>
      <c r="I5" s="167" t="str">
        <f>+B5</f>
        <v>3.0.0.0</v>
      </c>
      <c r="J5" s="129" t="str">
        <f t="shared" si="0"/>
        <v>Componente 3: Integración territorial y gestión para la mejora educativa.</v>
      </c>
      <c r="K5" s="105">
        <f>VLOOKUP($B5,PEP!$I$2:$AO$195,28,FALSE)</f>
        <v>2639621.1540865651</v>
      </c>
      <c r="L5" s="105">
        <f>VLOOKUP($B5,PEP!$I$2:$AO$195,29,FALSE)</f>
        <v>2797121.6836366355</v>
      </c>
      <c r="M5" s="105">
        <f>VLOOKUP($B5,PEP!$I$2:$AO$195,30,FALSE)</f>
        <v>2432872.9350875281</v>
      </c>
      <c r="N5" s="105">
        <f>VLOOKUP($B5,PEP!$I$2:$AO$195,31,FALSE)</f>
        <v>2346969.3195053716</v>
      </c>
      <c r="O5" s="115">
        <f>VLOOKUP($B5,PEP!$I$2:$AO$195,32,FALSE)</f>
        <v>2430808.6756983334</v>
      </c>
      <c r="P5" s="168">
        <f t="shared" si="2"/>
        <v>12647393.768014435</v>
      </c>
      <c r="R5" s="161" t="s">
        <v>426</v>
      </c>
      <c r="S5" s="157">
        <f>+PEP!AQ195/1000000</f>
        <v>10.075613717213256</v>
      </c>
      <c r="T5" s="157">
        <f>+PEP!AS195/1000000</f>
        <v>7.8899070312511217</v>
      </c>
      <c r="U5" s="157">
        <f>+PEP!AU195/1000000</f>
        <v>11.250736975763264</v>
      </c>
      <c r="V5" s="157">
        <f>+PEP!AW195/1000000</f>
        <v>10.352914755173996</v>
      </c>
      <c r="W5" s="157">
        <f>+PEP!AY195/1000000</f>
        <v>10.430828693148712</v>
      </c>
      <c r="X5" s="156">
        <f>SUM(S5:W5)</f>
        <v>50.000001172550348</v>
      </c>
      <c r="Y5" s="154">
        <f>+X5/$X$7</f>
        <v>0.66934405971941124</v>
      </c>
    </row>
    <row r="6" spans="2:25" s="106" customFormat="1" x14ac:dyDescent="0.25">
      <c r="B6" s="103" t="s">
        <v>409</v>
      </c>
      <c r="C6" s="123" t="str">
        <f>VLOOKUP($B6,PEP!$I$2:$AO$195,3,FALSE)</f>
        <v xml:space="preserve">Componente 4: Infraestructura para la mejora educativa. </v>
      </c>
      <c r="D6" s="169">
        <f>VLOOKUP($B6,PEP!$I$2:$AO$195,5,FALSE)</f>
        <v>36474522.730890051</v>
      </c>
      <c r="E6" s="169">
        <f>VLOOKUP($B6,PEP!$I$2:$AO$195,6,FALSE)</f>
        <v>12817889.418552639</v>
      </c>
      <c r="F6" s="169">
        <f t="shared" si="1"/>
        <v>49292412.149442688</v>
      </c>
      <c r="G6" s="122">
        <f>+F6/$F$8</f>
        <v>0.65987164975475332</v>
      </c>
      <c r="H6" s="166"/>
      <c r="I6" s="167" t="str">
        <f>+B6</f>
        <v>4.0.0.0</v>
      </c>
      <c r="J6" s="129" t="str">
        <f t="shared" si="0"/>
        <v xml:space="preserve">Componente 4: Infraestructura para la mejora educativa. </v>
      </c>
      <c r="K6" s="105">
        <f>VLOOKUP($B6,PEP!$I$2:$AO$195,28,FALSE)</f>
        <v>11568479.895360917</v>
      </c>
      <c r="L6" s="105">
        <f>VLOOKUP($B6,PEP!$I$2:$AO$195,29,FALSE)</f>
        <v>6513927.9252859084</v>
      </c>
      <c r="M6" s="105">
        <f>VLOOKUP($B6,PEP!$I$2:$AO$195,30,FALSE)</f>
        <v>10897801.819995208</v>
      </c>
      <c r="N6" s="105">
        <f>VLOOKUP($B6,PEP!$I$2:$AO$195,31,FALSE)</f>
        <v>10166555.135377679</v>
      </c>
      <c r="O6" s="115">
        <f>VLOOKUP($B6,PEP!$I$2:$AO$195,32,FALSE)</f>
        <v>10145647.373422986</v>
      </c>
      <c r="P6" s="168">
        <f t="shared" si="2"/>
        <v>49292412.149442695</v>
      </c>
      <c r="R6" s="162" t="s">
        <v>427</v>
      </c>
      <c r="S6" s="157">
        <f>+PEP!AR195/1000000</f>
        <v>6.3687936243811363</v>
      </c>
      <c r="T6" s="157">
        <f>+PEP!AT195/1000000</f>
        <v>3.9340140721410242</v>
      </c>
      <c r="U6" s="157">
        <f>+PEP!AV195/1000000</f>
        <v>4.5462733925919006</v>
      </c>
      <c r="V6" s="157">
        <f>+PEP!AX195/1000000</f>
        <v>4.774151067907014</v>
      </c>
      <c r="W6" s="157">
        <f>+PEP!AZ195/1000000</f>
        <v>5.0767665382250184</v>
      </c>
      <c r="X6" s="156">
        <f>SUM(S6:W6)</f>
        <v>24.699998695246094</v>
      </c>
      <c r="Y6" s="154">
        <f>+X6/$X$7</f>
        <v>0.33065594028058887</v>
      </c>
    </row>
    <row r="7" spans="2:25" s="106" customFormat="1" ht="12.75" thickBot="1" x14ac:dyDescent="0.3">
      <c r="B7" s="107" t="s">
        <v>414</v>
      </c>
      <c r="C7" s="125" t="str">
        <f>VLOOKUP($B7,PEP!$I$2:$AO$195,3,FALSE)</f>
        <v>Administración del Programa</v>
      </c>
      <c r="D7" s="170">
        <f>VLOOKUP($B7,PEP!$I$2:$AO$195,5,FALSE)</f>
        <v>1143636.3460294735</v>
      </c>
      <c r="E7" s="170">
        <f>VLOOKUP($B7,PEP!$I$2:$AO$195,6,FALSE)</f>
        <v>3822660.9950018236</v>
      </c>
      <c r="F7" s="171">
        <f t="shared" si="1"/>
        <v>4966297.3410312971</v>
      </c>
      <c r="G7" s="128">
        <f>+F7/$F$8</f>
        <v>6.6483230921293407E-2</v>
      </c>
      <c r="H7" s="166"/>
      <c r="I7" s="167" t="str">
        <f>+B7</f>
        <v>5.0.0.0</v>
      </c>
      <c r="J7" s="129" t="str">
        <f t="shared" si="0"/>
        <v>Administración del Programa</v>
      </c>
      <c r="K7" s="105">
        <f>VLOOKUP($B7,PEP!$I$2:$AO$195,28,FALSE)</f>
        <v>805101.41020315757</v>
      </c>
      <c r="L7" s="105">
        <f>VLOOKUP($B7,PEP!$I$2:$AO$195,29,FALSE)</f>
        <v>875069.15122347325</v>
      </c>
      <c r="M7" s="105">
        <f>VLOOKUP($B7,PEP!$I$2:$AO$195,30,FALSE)</f>
        <v>1012576.0663458207</v>
      </c>
      <c r="N7" s="105">
        <f>VLOOKUP($B7,PEP!$I$2:$AO$195,31,FALSE)</f>
        <v>1058833.6729804028</v>
      </c>
      <c r="O7" s="115">
        <f>VLOOKUP($B7,PEP!$I$2:$AO$195,32,FALSE)</f>
        <v>1214717.0402784434</v>
      </c>
      <c r="P7" s="168">
        <f t="shared" si="2"/>
        <v>4966297.3410312971</v>
      </c>
      <c r="R7" s="163" t="s">
        <v>242</v>
      </c>
      <c r="S7" s="158">
        <f>SUM(S5:S6)</f>
        <v>16.444407341594392</v>
      </c>
      <c r="T7" s="158">
        <f>SUM(T5:T6)</f>
        <v>11.823921103392145</v>
      </c>
      <c r="U7" s="158">
        <f>SUM(U5:U6)</f>
        <v>15.797010368355163</v>
      </c>
      <c r="V7" s="158">
        <f>SUM(V5:V6)</f>
        <v>15.127065823081011</v>
      </c>
      <c r="W7" s="158">
        <f>SUM(W5:W6)</f>
        <v>15.507595231373731</v>
      </c>
      <c r="X7" s="159">
        <f>SUM(S7:W7)</f>
        <v>74.699999867796436</v>
      </c>
      <c r="Y7" s="154">
        <f>+X7/$X$7</f>
        <v>1</v>
      </c>
    </row>
    <row r="8" spans="2:25" s="106" customFormat="1" ht="12.75" thickBot="1" x14ac:dyDescent="0.3">
      <c r="B8" s="107"/>
      <c r="C8" s="108" t="s">
        <v>242</v>
      </c>
      <c r="D8" s="109">
        <f>SUM(D3:D7)</f>
        <v>50000000.172550336</v>
      </c>
      <c r="E8" s="109">
        <f t="shared" ref="E8:F8" si="3">SUM(E3:E7)</f>
        <v>24699999.695246093</v>
      </c>
      <c r="F8" s="109">
        <f t="shared" si="3"/>
        <v>74699999.867796436</v>
      </c>
      <c r="G8" s="110">
        <v>1</v>
      </c>
      <c r="H8" s="104"/>
      <c r="I8" s="116"/>
      <c r="J8" s="117" t="s">
        <v>124</v>
      </c>
      <c r="K8" s="118">
        <f>+K7+K6+K5+K4+K3</f>
        <v>16444407.341594391</v>
      </c>
      <c r="L8" s="118">
        <f>+L7+L6+L5+L4+L3</f>
        <v>11823921.103392145</v>
      </c>
      <c r="M8" s="118">
        <f>+M7+M6+M5+M4+M3</f>
        <v>15797010.368355162</v>
      </c>
      <c r="N8" s="118">
        <f>+N7+N6+N5+N4+N3</f>
        <v>15127065.823081011</v>
      </c>
      <c r="O8" s="119">
        <f>+O7+O6+O5+O4+O3</f>
        <v>15507595.231373731</v>
      </c>
      <c r="P8" s="119">
        <f>SUM(P3:P7)</f>
        <v>74699999.867796436</v>
      </c>
      <c r="R8" s="164" t="s">
        <v>428</v>
      </c>
      <c r="S8" s="155">
        <f t="shared" ref="S8:X8" si="4">+S7/$X$7</f>
        <v>0.22013932223156085</v>
      </c>
      <c r="T8" s="155">
        <f t="shared" si="4"/>
        <v>0.15828542335097781</v>
      </c>
      <c r="U8" s="155">
        <f t="shared" si="4"/>
        <v>0.21147269606844188</v>
      </c>
      <c r="V8" s="155">
        <f t="shared" si="4"/>
        <v>0.20250422824434797</v>
      </c>
      <c r="W8" s="155">
        <f t="shared" si="4"/>
        <v>0.20759833010467163</v>
      </c>
      <c r="X8" s="149">
        <f t="shared" si="4"/>
        <v>1</v>
      </c>
      <c r="Y8" s="148"/>
    </row>
    <row r="10" spans="2:25" ht="12.75" thickBot="1" x14ac:dyDescent="0.3">
      <c r="E10" s="93" t="s">
        <v>445</v>
      </c>
    </row>
    <row r="11" spans="2:25" x14ac:dyDescent="0.25">
      <c r="B11" s="97" t="s">
        <v>291</v>
      </c>
      <c r="C11" s="98" t="s">
        <v>444</v>
      </c>
      <c r="D11" s="99" t="s">
        <v>426</v>
      </c>
      <c r="E11" s="99" t="s">
        <v>434</v>
      </c>
      <c r="F11" s="99" t="s">
        <v>242</v>
      </c>
      <c r="G11" s="100"/>
      <c r="I11" s="112" t="str">
        <f>+B11</f>
        <v>Actividad</v>
      </c>
      <c r="J11" s="113" t="str">
        <f>+C11</f>
        <v>Descripcion</v>
      </c>
      <c r="K11" s="394">
        <v>2017</v>
      </c>
      <c r="L11" s="394">
        <v>2018</v>
      </c>
      <c r="M11" s="394">
        <v>2019</v>
      </c>
      <c r="N11" s="394">
        <v>2020</v>
      </c>
      <c r="O11" s="395">
        <v>2021</v>
      </c>
      <c r="P11" s="100" t="s">
        <v>124</v>
      </c>
    </row>
    <row r="12" spans="2:25" x14ac:dyDescent="0.25">
      <c r="B12" s="103" t="s">
        <v>397</v>
      </c>
      <c r="C12" s="120" t="str">
        <f>VLOOKUP($B12,PEP!$I$2:$AO$195,3,FALSE)</f>
        <v>Componente 1: Mejora de la calidad educativa.</v>
      </c>
      <c r="D12" s="121">
        <f>VLOOKUP($B12,PEP!$I$2:$AO$195,5,FALSE)/1000000</f>
        <v>3.4971142990831487</v>
      </c>
      <c r="E12" s="121">
        <f>VLOOKUP($B12,PEP!$I$2:$AO$195,6,FALSE)/1000000</f>
        <v>0.964329177679633</v>
      </c>
      <c r="F12" s="121">
        <f>SUM(D12:E12)</f>
        <v>4.4614434767627813</v>
      </c>
      <c r="G12" s="317">
        <f>+F12/$F$17</f>
        <v>5.9724812378294703E-2</v>
      </c>
      <c r="I12" s="114" t="str">
        <f>+B12</f>
        <v>1.0.0.0</v>
      </c>
      <c r="J12" s="129" t="str">
        <f t="shared" ref="J12:J16" si="5">+C12</f>
        <v>Componente 1: Mejora de la calidad educativa.</v>
      </c>
      <c r="K12" s="121">
        <f>+K3/1000000</f>
        <v>0.92562448659750329</v>
      </c>
      <c r="L12" s="121">
        <f t="shared" ref="L12:O12" si="6">+L3/1000000</f>
        <v>1.0918748140451326</v>
      </c>
      <c r="M12" s="121">
        <f t="shared" si="6"/>
        <v>0.84779611363146401</v>
      </c>
      <c r="N12" s="121">
        <f t="shared" si="6"/>
        <v>0.76706292499461048</v>
      </c>
      <c r="O12" s="143">
        <f t="shared" si="6"/>
        <v>0.82908513749407164</v>
      </c>
      <c r="P12" s="143">
        <f>SUM(K12:O12)</f>
        <v>4.4614434767627822</v>
      </c>
    </row>
    <row r="13" spans="2:25" x14ac:dyDescent="0.25">
      <c r="B13" s="103" t="s">
        <v>401</v>
      </c>
      <c r="C13" s="123" t="str">
        <f>VLOOKUP($B13,PEP!$I$2:$AO$195,3,FALSE)</f>
        <v>Componente 2: Formación en educación.</v>
      </c>
      <c r="D13" s="124">
        <f>VLOOKUP($B13,PEP!$I$2:$AO$195,5,FALSE)/1000000</f>
        <v>0.73430984752315065</v>
      </c>
      <c r="E13" s="124">
        <f>VLOOKUP($B13,PEP!$I$2:$AO$195,6,FALSE)/1000000</f>
        <v>2.5981432850220791</v>
      </c>
      <c r="F13" s="124">
        <f t="shared" ref="F13:F16" si="7">SUM(D13:E13)</f>
        <v>3.33245313254523</v>
      </c>
      <c r="G13" s="317">
        <f t="shared" ref="G13:G16" si="8">+F13/$F$17</f>
        <v>4.4611153125073404E-2</v>
      </c>
      <c r="I13" s="114" t="str">
        <f>+B13</f>
        <v>2.0.0.0</v>
      </c>
      <c r="J13" s="129" t="str">
        <f t="shared" si="5"/>
        <v>Componente 2: Formación en educación.</v>
      </c>
      <c r="K13" s="124">
        <f t="shared" ref="K13:O17" si="9">+K4/1000000</f>
        <v>0.50558039534624821</v>
      </c>
      <c r="L13" s="124">
        <f t="shared" si="9"/>
        <v>0.5459275292009943</v>
      </c>
      <c r="M13" s="124">
        <f t="shared" si="9"/>
        <v>0.60596343329514235</v>
      </c>
      <c r="N13" s="124">
        <f t="shared" si="9"/>
        <v>0.78764477022294754</v>
      </c>
      <c r="O13" s="144">
        <f t="shared" si="9"/>
        <v>0.88733700447989683</v>
      </c>
      <c r="P13" s="143">
        <f t="shared" ref="P13:P16" si="10">SUM(K13:O13)</f>
        <v>3.3324531325452291</v>
      </c>
    </row>
    <row r="14" spans="2:25" ht="24" x14ac:dyDescent="0.25">
      <c r="B14" s="103" t="s">
        <v>405</v>
      </c>
      <c r="C14" s="123" t="str">
        <f>VLOOKUP($B14,PEP!$I$2:$AO$195,3,FALSE)</f>
        <v>Componente 3: Integración territorial y gestión para la mejora educativa.</v>
      </c>
      <c r="D14" s="124">
        <f>VLOOKUP($B14,PEP!$I$2:$AO$195,5,FALSE)/1000000</f>
        <v>8.150416949024514</v>
      </c>
      <c r="E14" s="124">
        <f>VLOOKUP($B14,PEP!$I$2:$AO$195,6,FALSE)/1000000</f>
        <v>4.4969768189899195</v>
      </c>
      <c r="F14" s="124">
        <f t="shared" si="7"/>
        <v>12.647393768014433</v>
      </c>
      <c r="G14" s="317">
        <f t="shared" si="8"/>
        <v>0.16930915382058509</v>
      </c>
      <c r="I14" s="114" t="str">
        <f>+B14</f>
        <v>3.0.0.0</v>
      </c>
      <c r="J14" s="129" t="str">
        <f t="shared" si="5"/>
        <v>Componente 3: Integración territorial y gestión para la mejora educativa.</v>
      </c>
      <c r="K14" s="124">
        <f t="shared" si="9"/>
        <v>2.6396211540865653</v>
      </c>
      <c r="L14" s="124">
        <f t="shared" si="9"/>
        <v>2.7971216836366355</v>
      </c>
      <c r="M14" s="124">
        <f t="shared" si="9"/>
        <v>2.432872935087528</v>
      </c>
      <c r="N14" s="124">
        <f t="shared" si="9"/>
        <v>2.3469693195053716</v>
      </c>
      <c r="O14" s="144">
        <f t="shared" si="9"/>
        <v>2.4308086756983336</v>
      </c>
      <c r="P14" s="143">
        <f t="shared" si="10"/>
        <v>12.647393768014433</v>
      </c>
    </row>
    <row r="15" spans="2:25" x14ac:dyDescent="0.25">
      <c r="B15" s="103" t="s">
        <v>409</v>
      </c>
      <c r="C15" s="123" t="str">
        <f>VLOOKUP($B15,PEP!$I$2:$AO$195,3,FALSE)</f>
        <v xml:space="preserve">Componente 4: Infraestructura para la mejora educativa. </v>
      </c>
      <c r="D15" s="124">
        <f>VLOOKUP($B15,PEP!$I$2:$AO$195,5,FALSE)/1000000</f>
        <v>36.474522730890051</v>
      </c>
      <c r="E15" s="124">
        <f>VLOOKUP($B15,PEP!$I$2:$AO$195,6,FALSE)/1000000</f>
        <v>12.817889418552639</v>
      </c>
      <c r="F15" s="124">
        <f t="shared" si="7"/>
        <v>49.29241214944269</v>
      </c>
      <c r="G15" s="317">
        <f t="shared" si="8"/>
        <v>0.65987164975475332</v>
      </c>
      <c r="I15" s="114" t="str">
        <f>+B15</f>
        <v>4.0.0.0</v>
      </c>
      <c r="J15" s="129" t="str">
        <f t="shared" si="5"/>
        <v xml:space="preserve">Componente 4: Infraestructura para la mejora educativa. </v>
      </c>
      <c r="K15" s="124">
        <f t="shared" si="9"/>
        <v>11.568479895360916</v>
      </c>
      <c r="L15" s="124">
        <f t="shared" si="9"/>
        <v>6.5139279252859081</v>
      </c>
      <c r="M15" s="124">
        <f t="shared" si="9"/>
        <v>10.897801819995207</v>
      </c>
      <c r="N15" s="124">
        <f t="shared" si="9"/>
        <v>10.16655513537768</v>
      </c>
      <c r="O15" s="144">
        <f t="shared" si="9"/>
        <v>10.145647373422985</v>
      </c>
      <c r="P15" s="143">
        <f t="shared" si="10"/>
        <v>49.292412149442697</v>
      </c>
    </row>
    <row r="16" spans="2:25" ht="12.75" thickBot="1" x14ac:dyDescent="0.3">
      <c r="B16" s="107" t="s">
        <v>414</v>
      </c>
      <c r="C16" s="125" t="str">
        <f>VLOOKUP($B16,PEP!$I$2:$AO$195,3,FALSE)</f>
        <v>Administración del Programa</v>
      </c>
      <c r="D16" s="126">
        <f>VLOOKUP($B16,PEP!$I$2:$AO$195,5,FALSE)/1000000</f>
        <v>1.1436363460294734</v>
      </c>
      <c r="E16" s="126">
        <f>VLOOKUP($B16,PEP!$I$2:$AO$195,6,FALSE)/1000000</f>
        <v>3.8226609950018235</v>
      </c>
      <c r="F16" s="127">
        <f t="shared" si="7"/>
        <v>4.9662973410312965</v>
      </c>
      <c r="G16" s="318">
        <f t="shared" si="8"/>
        <v>6.6483230921293393E-2</v>
      </c>
      <c r="I16" s="114" t="str">
        <f>+B16</f>
        <v>5.0.0.0</v>
      </c>
      <c r="J16" s="129" t="str">
        <f t="shared" si="5"/>
        <v>Administración del Programa</v>
      </c>
      <c r="K16" s="126">
        <f t="shared" si="9"/>
        <v>0.80510141020315762</v>
      </c>
      <c r="L16" s="126">
        <f t="shared" si="9"/>
        <v>0.87506915122347328</v>
      </c>
      <c r="M16" s="126">
        <f t="shared" si="9"/>
        <v>1.0125760663458208</v>
      </c>
      <c r="N16" s="126">
        <f t="shared" si="9"/>
        <v>1.0588336729804029</v>
      </c>
      <c r="O16" s="145">
        <f t="shared" si="9"/>
        <v>1.2147170402784433</v>
      </c>
      <c r="P16" s="143">
        <f t="shared" si="10"/>
        <v>4.9662973410312974</v>
      </c>
    </row>
    <row r="17" spans="2:16" ht="12.75" thickBot="1" x14ac:dyDescent="0.3">
      <c r="B17" s="107"/>
      <c r="C17" s="108" t="s">
        <v>242</v>
      </c>
      <c r="D17" s="111">
        <f>SUM(D12:D16)</f>
        <v>50.000000172550337</v>
      </c>
      <c r="E17" s="111">
        <f t="shared" ref="E17:F17" si="11">SUM(E12:E16)</f>
        <v>24.699999695246092</v>
      </c>
      <c r="F17" s="111">
        <f t="shared" si="11"/>
        <v>74.699999867796436</v>
      </c>
      <c r="G17" s="110">
        <v>1</v>
      </c>
      <c r="I17" s="116"/>
      <c r="J17" s="117" t="s">
        <v>124</v>
      </c>
      <c r="K17" s="126">
        <f t="shared" si="9"/>
        <v>16.444407341594392</v>
      </c>
      <c r="L17" s="126">
        <f t="shared" si="9"/>
        <v>11.823921103392145</v>
      </c>
      <c r="M17" s="126">
        <f t="shared" si="9"/>
        <v>15.797010368355162</v>
      </c>
      <c r="N17" s="126">
        <f t="shared" si="9"/>
        <v>15.127065823081011</v>
      </c>
      <c r="O17" s="145">
        <f t="shared" si="9"/>
        <v>15.507595231373731</v>
      </c>
      <c r="P17" s="396">
        <f>SUM(P12:P16)</f>
        <v>74.699999867796436</v>
      </c>
    </row>
    <row r="19" spans="2:16" ht="12.75" thickBot="1" x14ac:dyDescent="0.3">
      <c r="B19" s="324" t="s">
        <v>595</v>
      </c>
      <c r="C19" s="325"/>
    </row>
    <row r="20" spans="2:16" x14ac:dyDescent="0.25">
      <c r="B20" s="97" t="s">
        <v>291</v>
      </c>
      <c r="C20" s="98" t="s">
        <v>444</v>
      </c>
      <c r="D20" s="99" t="s">
        <v>426</v>
      </c>
      <c r="E20" s="99" t="s">
        <v>434</v>
      </c>
      <c r="F20" s="99" t="s">
        <v>242</v>
      </c>
      <c r="G20" s="100"/>
      <c r="I20" s="141"/>
    </row>
    <row r="21" spans="2:16" x14ac:dyDescent="0.25">
      <c r="B21" s="103" t="s">
        <v>397</v>
      </c>
      <c r="C21" s="120" t="str">
        <f>VLOOKUP($B21,PEP!$I$2:$AO$195,3,FALSE)</f>
        <v>Componente 1: Mejora de la calidad educativa.</v>
      </c>
      <c r="D21" s="121">
        <f>ROUNDUP(D12,2)</f>
        <v>3.5</v>
      </c>
      <c r="E21" s="121">
        <v>0.96</v>
      </c>
      <c r="F21" s="121">
        <f>SUM(D21:E21)</f>
        <v>4.46</v>
      </c>
      <c r="G21" s="317">
        <f>+F21/$F$17</f>
        <v>5.9705488726817649E-2</v>
      </c>
      <c r="I21" s="141"/>
    </row>
    <row r="22" spans="2:16" x14ac:dyDescent="0.25">
      <c r="B22" s="103" t="s">
        <v>401</v>
      </c>
      <c r="C22" s="123" t="str">
        <f>VLOOKUP($B22,PEP!$I$2:$AO$195,3,FALSE)</f>
        <v>Componente 2: Formación en educación.</v>
      </c>
      <c r="D22" s="121">
        <f t="shared" ref="D22:E24" si="12">ROUNDUP(D13,2)</f>
        <v>0.74</v>
      </c>
      <c r="E22" s="121">
        <f t="shared" si="12"/>
        <v>2.5999999999999996</v>
      </c>
      <c r="F22" s="124">
        <f t="shared" ref="F22:F25" si="13">SUM(D22:E22)</f>
        <v>3.34</v>
      </c>
      <c r="G22" s="317">
        <f t="shared" ref="G22:G25" si="14">+F22/$F$17</f>
        <v>4.4712182140710974E-2</v>
      </c>
      <c r="I22" s="141"/>
    </row>
    <row r="23" spans="2:16" ht="24" x14ac:dyDescent="0.25">
      <c r="B23" s="103" t="s">
        <v>405</v>
      </c>
      <c r="C23" s="123" t="str">
        <f>VLOOKUP($B23,PEP!$I$2:$AO$195,3,FALSE)</f>
        <v>Componente 3: Integración territorial y gestión para la mejora educativa.</v>
      </c>
      <c r="D23" s="121">
        <v>8.15</v>
      </c>
      <c r="E23" s="121">
        <f t="shared" si="12"/>
        <v>4.5</v>
      </c>
      <c r="F23" s="124">
        <f t="shared" si="13"/>
        <v>12.65</v>
      </c>
      <c r="G23" s="317">
        <f t="shared" si="14"/>
        <v>0.16934404313772272</v>
      </c>
      <c r="I23" s="141"/>
    </row>
    <row r="24" spans="2:16" x14ac:dyDescent="0.25">
      <c r="B24" s="103" t="s">
        <v>409</v>
      </c>
      <c r="C24" s="123" t="str">
        <f>VLOOKUP($B24,PEP!$I$2:$AO$195,3,FALSE)</f>
        <v xml:space="preserve">Componente 4: Infraestructura para la mejora educativa. </v>
      </c>
      <c r="D24" s="121">
        <v>36.47</v>
      </c>
      <c r="E24" s="121">
        <f t="shared" si="12"/>
        <v>12.82</v>
      </c>
      <c r="F24" s="124">
        <f t="shared" si="13"/>
        <v>49.29</v>
      </c>
      <c r="G24" s="317">
        <f t="shared" si="14"/>
        <v>0.6598393585974982</v>
      </c>
      <c r="I24" s="141"/>
    </row>
    <row r="25" spans="2:16" ht="12.75" thickBot="1" x14ac:dyDescent="0.3">
      <c r="B25" s="103" t="s">
        <v>414</v>
      </c>
      <c r="C25" s="120" t="str">
        <f>VLOOKUP($B25,PEP!$I$2:$AO$195,3,FALSE)</f>
        <v>Administración del Programa</v>
      </c>
      <c r="D25" s="121">
        <v>1.1399999999999999</v>
      </c>
      <c r="E25" s="121">
        <v>3.82</v>
      </c>
      <c r="F25" s="124">
        <f t="shared" si="13"/>
        <v>4.96</v>
      </c>
      <c r="G25" s="317">
        <f t="shared" si="14"/>
        <v>6.6398929167043846E-2</v>
      </c>
      <c r="I25" s="141"/>
    </row>
    <row r="26" spans="2:16" ht="12.75" thickBot="1" x14ac:dyDescent="0.3">
      <c r="B26" s="319"/>
      <c r="C26" s="320" t="s">
        <v>242</v>
      </c>
      <c r="D26" s="321">
        <f>SUM(D21:D25)</f>
        <v>50</v>
      </c>
      <c r="E26" s="321">
        <f t="shared" ref="E26:F26" si="15">SUM(E21:E25)</f>
        <v>24.7</v>
      </c>
      <c r="F26" s="321">
        <f t="shared" si="15"/>
        <v>74.699999999999989</v>
      </c>
      <c r="G26" s="322">
        <v>1</v>
      </c>
    </row>
  </sheetData>
  <mergeCells count="1">
    <mergeCell ref="R3:Y3"/>
  </mergeCells>
  <pageMargins left="0.7" right="0.7" top="0.75" bottom="0.75" header="0.3" footer="0.3"/>
  <pageSetup orientation="landscape" verticalDpi="0" r:id="rId1"/>
  <headerFooter>
    <oddHeader>&amp;C&amp;F - &amp;A</oddHeader>
  </headerFooter>
  <colBreaks count="1" manualBreakCount="1">
    <brk id="8" max="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9"/>
  <sheetViews>
    <sheetView topLeftCell="D1" zoomScale="90" zoomScaleNormal="90" workbookViewId="0">
      <selection activeCell="L47" sqref="L47"/>
    </sheetView>
  </sheetViews>
  <sheetFormatPr defaultRowHeight="12" x14ac:dyDescent="0.25"/>
  <cols>
    <col min="1" max="1" width="9.140625" style="91"/>
    <col min="2" max="2" width="9.140625" style="142"/>
    <col min="3" max="3" width="8.42578125" style="142" customWidth="1"/>
    <col min="4" max="4" width="5.140625" style="183" customWidth="1"/>
    <col min="5" max="5" width="5.28515625" style="142" customWidth="1"/>
    <col min="6" max="6" width="53.5703125" style="142" customWidth="1"/>
    <col min="7" max="9" width="11.85546875" style="184" customWidth="1"/>
    <col min="10" max="10" width="7.28515625" style="142" customWidth="1"/>
    <col min="11" max="11" width="6.5703125" style="183" customWidth="1"/>
    <col min="12" max="12" width="5.28515625" style="142" customWidth="1"/>
    <col min="13" max="13" width="53.5703125" style="142" customWidth="1"/>
    <col min="14" max="19" width="11.85546875" style="184" customWidth="1"/>
    <col min="20" max="20" width="7.28515625" style="142" customWidth="1"/>
    <col min="21" max="16384" width="9.140625" style="91"/>
  </cols>
  <sheetData>
    <row r="1" spans="2:20" x14ac:dyDescent="0.25">
      <c r="F1" s="142" t="s">
        <v>589</v>
      </c>
    </row>
    <row r="2" spans="2:20" x14ac:dyDescent="0.25">
      <c r="B2" s="179"/>
      <c r="C2" s="179"/>
      <c r="D2" s="106"/>
      <c r="E2" s="300" t="s">
        <v>457</v>
      </c>
      <c r="F2" s="300" t="s">
        <v>444</v>
      </c>
      <c r="G2" s="301" t="s">
        <v>425</v>
      </c>
      <c r="H2" s="301"/>
      <c r="I2" s="406" t="s">
        <v>456</v>
      </c>
      <c r="J2" s="301" t="s">
        <v>428</v>
      </c>
      <c r="L2" s="300" t="s">
        <v>457</v>
      </c>
      <c r="M2" s="300" t="s">
        <v>444</v>
      </c>
      <c r="N2" s="301" t="s">
        <v>453</v>
      </c>
      <c r="O2" s="301" t="s">
        <v>449</v>
      </c>
      <c r="P2" s="301" t="s">
        <v>450</v>
      </c>
      <c r="Q2" s="301" t="s">
        <v>451</v>
      </c>
      <c r="R2" s="301" t="s">
        <v>452</v>
      </c>
      <c r="S2" s="301" t="s">
        <v>124</v>
      </c>
      <c r="T2" s="301" t="s">
        <v>428</v>
      </c>
    </row>
    <row r="3" spans="2:20" s="102" customFormat="1" x14ac:dyDescent="0.25">
      <c r="B3" s="180" t="s">
        <v>291</v>
      </c>
      <c r="C3" s="180" t="s">
        <v>326</v>
      </c>
      <c r="D3" s="181"/>
      <c r="E3" s="302"/>
      <c r="F3" s="302"/>
      <c r="G3" s="193" t="s">
        <v>454</v>
      </c>
      <c r="H3" s="193" t="s">
        <v>455</v>
      </c>
      <c r="I3" s="407"/>
      <c r="J3" s="301"/>
      <c r="K3" s="101"/>
      <c r="L3" s="302"/>
      <c r="M3" s="302"/>
      <c r="N3" s="316">
        <v>2017</v>
      </c>
      <c r="O3" s="316">
        <v>2018</v>
      </c>
      <c r="P3" s="316">
        <v>2019</v>
      </c>
      <c r="Q3" s="316">
        <v>2020</v>
      </c>
      <c r="R3" s="316">
        <v>2021</v>
      </c>
      <c r="S3" s="301" t="s">
        <v>124</v>
      </c>
      <c r="T3" s="301" t="s">
        <v>428</v>
      </c>
    </row>
    <row r="4" spans="2:20" x14ac:dyDescent="0.25">
      <c r="B4" s="182" t="s">
        <v>397</v>
      </c>
      <c r="C4" s="172">
        <f>VLOOKUP($B4,PEP!$I$2:$AO$195,2,FALSE)</f>
        <v>0</v>
      </c>
      <c r="D4" s="177"/>
      <c r="E4" s="303" t="str">
        <f>VLOOKUP($B4,PEP!$I$2:$AO$195,3,FALSE)</f>
        <v>Componente 1: Mejora de la calidad educativa.</v>
      </c>
      <c r="F4" s="303"/>
      <c r="G4" s="185">
        <f>VLOOKUP($B4,PEP!$I$2:$AO$195,5,FALSE)/1000000</f>
        <v>3.4971142990831487</v>
      </c>
      <c r="H4" s="185">
        <f>VLOOKUP($B4,PEP!$I$2:$AO$195,6,FALSE)/1000000</f>
        <v>0.964329177679633</v>
      </c>
      <c r="I4" s="185">
        <f>VLOOKUP($B4,PEP!$I$2:$AO$195,4,FALSE)/1000000</f>
        <v>4.4614434767627831</v>
      </c>
      <c r="J4" s="186">
        <f>+I4/$I$24</f>
        <v>5.9724812378294717E-2</v>
      </c>
      <c r="K4" s="173"/>
      <c r="L4" s="303" t="str">
        <f>+E4</f>
        <v>Componente 1: Mejora de la calidad educativa.</v>
      </c>
      <c r="M4" s="303"/>
      <c r="N4" s="185">
        <f>VLOOKUP($B4,PEP!$I$2:$AO$195,28,FALSE)/1000000</f>
        <v>0.92562448659750329</v>
      </c>
      <c r="O4" s="185">
        <f>VLOOKUP($B4,PEP!$I$2:$AO$195,29,FALSE)/1000000</f>
        <v>1.0918748140451326</v>
      </c>
      <c r="P4" s="185">
        <f>VLOOKUP($B4,PEP!$I$2:$AO$195,30,FALSE)/1000000</f>
        <v>0.84779611363146401</v>
      </c>
      <c r="Q4" s="185">
        <f>VLOOKUP($B4,PEP!$I$2:$AO$195,31,FALSE)/1000000</f>
        <v>0.76706292499461048</v>
      </c>
      <c r="R4" s="185">
        <f>VLOOKUP($B4,PEP!$I$2:$AO$195,32,FALSE)/1000000</f>
        <v>0.82908513749407164</v>
      </c>
      <c r="S4" s="185">
        <f>SUM(N4:R4)</f>
        <v>4.4614434767627822</v>
      </c>
      <c r="T4" s="186">
        <f>+S4/$S$24</f>
        <v>5.9724812378294717E-2</v>
      </c>
    </row>
    <row r="5" spans="2:20" s="94" customFormat="1" x14ac:dyDescent="0.25">
      <c r="B5" s="174" t="s">
        <v>398</v>
      </c>
      <c r="C5" s="174">
        <f>VLOOKUP(B5,PEP!$I$2:$AO$195,2,FALSE)</f>
        <v>1.1000000000000001</v>
      </c>
      <c r="D5" s="174"/>
      <c r="E5" s="187">
        <v>1.1000000000000001</v>
      </c>
      <c r="F5" s="304" t="str">
        <f>VLOOKUP($B5,PEP!$I$2:$AO$195,3,FALSE)</f>
        <v>i) Definición de perfiles de egreso y progresión de aprendizajes para toda la EM, considerando la trayectoria completa del estudiante, y el desarrollo e implementación de un marco curricular de referencia nacional.</v>
      </c>
      <c r="G5" s="188">
        <f>VLOOKUP($B5,PEP!$I$2:$AO$195,5,FALSE)/1000000</f>
        <v>0.91190809090909097</v>
      </c>
      <c r="H5" s="188">
        <f>VLOOKUP($B5,PEP!$I$2:$AO$195,6,FALSE)/1000000</f>
        <v>0.18409190909090911</v>
      </c>
      <c r="I5" s="188">
        <f>VLOOKUP($B5,PEP!$I$2:$AO$195,4,FALSE)/1000000</f>
        <v>1.0960000000000001</v>
      </c>
      <c r="J5" s="189"/>
      <c r="K5" s="175"/>
      <c r="L5" s="187">
        <v>1.1000000000000001</v>
      </c>
      <c r="M5" s="304" t="str">
        <f t="shared" ref="M5:M23" si="0">+F5</f>
        <v>i) Definición de perfiles de egreso y progresión de aprendizajes para toda la EM, considerando la trayectoria completa del estudiante, y el desarrollo e implementación de un marco curricular de referencia nacional.</v>
      </c>
      <c r="N5" s="188">
        <f>VLOOKUP($B5,PEP!$I$2:$AO$195,28,FALSE)/1000000</f>
        <v>0.46436363636363637</v>
      </c>
      <c r="O5" s="188">
        <f>VLOOKUP($B5,PEP!$I$2:$AO$195,29,FALSE)/1000000</f>
        <v>0.51163636363636367</v>
      </c>
      <c r="P5" s="188">
        <f>VLOOKUP($B5,PEP!$I$2:$AO$195,30,FALSE)/1000000</f>
        <v>0.12</v>
      </c>
      <c r="Q5" s="188">
        <f>VLOOKUP($B5,PEP!$I$2:$AO$195,31,FALSE)/1000000</f>
        <v>0</v>
      </c>
      <c r="R5" s="188">
        <f>VLOOKUP($B5,PEP!$I$2:$AO$195,32,FALSE)/1000000</f>
        <v>0</v>
      </c>
      <c r="S5" s="188">
        <f t="shared" ref="S5:S24" si="1">SUM(N5:R5)</f>
        <v>1.0960000000000001</v>
      </c>
      <c r="T5" s="189"/>
    </row>
    <row r="6" spans="2:20" s="94" customFormat="1" x14ac:dyDescent="0.25">
      <c r="B6" s="174" t="s">
        <v>399</v>
      </c>
      <c r="C6" s="174">
        <f>VLOOKUP(B6,PEP!$I$2:$AO$195,2,FALSE)</f>
        <v>1.2</v>
      </c>
      <c r="D6" s="174"/>
      <c r="E6" s="187">
        <v>1.2</v>
      </c>
      <c r="F6" s="304" t="str">
        <f>VLOOKUP($B6,PEP!$I$2:$AO$195,3,FALSE)</f>
        <v>ii) Apoyo al diseño, implementación y evaluación de acciones de expansión del tiempo y espacio escolar en la educación media.</v>
      </c>
      <c r="G6" s="188">
        <f>VLOOKUP($B6,PEP!$I$2:$AO$195,5,FALSE)/1000000</f>
        <v>1.7723643007679968</v>
      </c>
      <c r="H6" s="188">
        <f>VLOOKUP($B6,PEP!$I$2:$AO$195,6,FALSE)/1000000</f>
        <v>0.47171395114629955</v>
      </c>
      <c r="I6" s="188">
        <f>VLOOKUP($B6,PEP!$I$2:$AO$195,4,FALSE)/1000000</f>
        <v>2.2440782519142966</v>
      </c>
      <c r="J6" s="189"/>
      <c r="K6" s="175"/>
      <c r="L6" s="187">
        <v>1.2</v>
      </c>
      <c r="M6" s="304" t="str">
        <f t="shared" si="0"/>
        <v>ii) Apoyo al diseño, implementación y evaluación de acciones de expansión del tiempo y espacio escolar en la educación media.</v>
      </c>
      <c r="N6" s="188">
        <f>VLOOKUP($B6,PEP!$I$2:$AO$195,28,FALSE)/1000000</f>
        <v>0.37023054720356385</v>
      </c>
      <c r="O6" s="188">
        <f>VLOOKUP($B6,PEP!$I$2:$AO$195,29,FALSE)/1000000</f>
        <v>0.43605360192392029</v>
      </c>
      <c r="P6" s="188">
        <f>VLOOKUP($B6,PEP!$I$2:$AO$195,30,FALSE)/1000000</f>
        <v>0.5119207802981306</v>
      </c>
      <c r="Q6" s="188">
        <f>VLOOKUP($B6,PEP!$I$2:$AO$195,31,FALSE)/1000000</f>
        <v>0.47603045832794372</v>
      </c>
      <c r="R6" s="188">
        <f>VLOOKUP($B6,PEP!$I$2:$AO$195,32,FALSE)/1000000</f>
        <v>0.44984286416073804</v>
      </c>
      <c r="S6" s="188">
        <f t="shared" si="1"/>
        <v>2.2440782519142966</v>
      </c>
      <c r="T6" s="189"/>
    </row>
    <row r="7" spans="2:20" s="94" customFormat="1" x14ac:dyDescent="0.25">
      <c r="B7" s="174" t="s">
        <v>400</v>
      </c>
      <c r="C7" s="174">
        <f>VLOOKUP(B7,PEP!$I$2:$AO$195,2,FALSE)</f>
        <v>1.3</v>
      </c>
      <c r="D7" s="174"/>
      <c r="E7" s="187">
        <v>1.3</v>
      </c>
      <c r="F7" s="304" t="str">
        <f>VLOOKUP($B7,PEP!$I$2:$AO$195,3,FALSE)</f>
        <v>iii) Implementación de propuestas de enseñanza a través de aulas digitales, especialmente para disciplinas con escasez de profesores.</v>
      </c>
      <c r="G7" s="188">
        <f>VLOOKUP($B7,PEP!$I$2:$AO$195,5,FALSE)/1000000</f>
        <v>0.81284190740606088</v>
      </c>
      <c r="H7" s="188">
        <f>VLOOKUP($B7,PEP!$I$2:$AO$195,6,FALSE)/1000000</f>
        <v>0.30852331744242434</v>
      </c>
      <c r="I7" s="188">
        <f>VLOOKUP($B7,PEP!$I$2:$AO$195,4,FALSE)/1000000</f>
        <v>1.1213652248484851</v>
      </c>
      <c r="J7" s="189"/>
      <c r="K7" s="175"/>
      <c r="L7" s="187">
        <v>1.3</v>
      </c>
      <c r="M7" s="304" t="str">
        <f t="shared" si="0"/>
        <v>iii) Implementación de propuestas de enseñanza a través de aulas digitales, especialmente para disciplinas con escasez de profesores.</v>
      </c>
      <c r="N7" s="188">
        <f>VLOOKUP($B7,PEP!$I$2:$AO$195,28,FALSE)/1000000</f>
        <v>9.1030303030303045E-2</v>
      </c>
      <c r="O7" s="188">
        <f>VLOOKUP($B7,PEP!$I$2:$AO$195,29,FALSE)/1000000</f>
        <v>0.1441848484848485</v>
      </c>
      <c r="P7" s="188">
        <f>VLOOKUP($B7,PEP!$I$2:$AO$195,30,FALSE)/1000000</f>
        <v>0.21587533333333339</v>
      </c>
      <c r="Q7" s="188">
        <f>VLOOKUP($B7,PEP!$I$2:$AO$195,31,FALSE)/1000000</f>
        <v>0.29103246666666671</v>
      </c>
      <c r="R7" s="188">
        <f>VLOOKUP($B7,PEP!$I$2:$AO$195,32,FALSE)/1000000</f>
        <v>0.37924227333333349</v>
      </c>
      <c r="S7" s="188">
        <f t="shared" si="1"/>
        <v>1.1213652248484851</v>
      </c>
      <c r="T7" s="189"/>
    </row>
    <row r="8" spans="2:20" x14ac:dyDescent="0.25">
      <c r="B8" s="182" t="s">
        <v>401</v>
      </c>
      <c r="C8" s="172">
        <f>VLOOKUP(B8,PEP!$I$2:$AO$195,2,FALSE)</f>
        <v>0</v>
      </c>
      <c r="D8" s="177"/>
      <c r="E8" s="303" t="str">
        <f>VLOOKUP($B8,PEP!$I$2:$AO$195,3,FALSE)</f>
        <v>Componente 2: Formación en educación.</v>
      </c>
      <c r="F8" s="303"/>
      <c r="G8" s="185">
        <f>VLOOKUP($B8,PEP!$I$2:$AO$195,5,FALSE)/1000000</f>
        <v>0.73430984752315065</v>
      </c>
      <c r="H8" s="185">
        <f>VLOOKUP($B8,PEP!$I$2:$AO$195,6,FALSE)/1000000</f>
        <v>2.5981432850220791</v>
      </c>
      <c r="I8" s="185">
        <f>VLOOKUP($B8,PEP!$I$2:$AO$195,4,FALSE)/1000000</f>
        <v>3.3324531325452291</v>
      </c>
      <c r="J8" s="186">
        <f>+I8/$I$24</f>
        <v>4.4611153125073383E-2</v>
      </c>
      <c r="K8" s="173"/>
      <c r="L8" s="303" t="str">
        <f>+E8</f>
        <v>Componente 2: Formación en educación.</v>
      </c>
      <c r="M8" s="303"/>
      <c r="N8" s="185">
        <f>VLOOKUP($B8,PEP!$I$2:$AO$195,28,FALSE)/1000000</f>
        <v>0.50558039534624821</v>
      </c>
      <c r="O8" s="185">
        <f>VLOOKUP($B8,PEP!$I$2:$AO$195,29,FALSE)/1000000</f>
        <v>0.5459275292009943</v>
      </c>
      <c r="P8" s="185">
        <f>VLOOKUP($B8,PEP!$I$2:$AO$195,30,FALSE)/1000000</f>
        <v>0.60596343329514235</v>
      </c>
      <c r="Q8" s="185">
        <f>VLOOKUP($B8,PEP!$I$2:$AO$195,31,FALSE)/1000000</f>
        <v>0.78764477022294754</v>
      </c>
      <c r="R8" s="185">
        <f>VLOOKUP($B8,PEP!$I$2:$AO$195,32,FALSE)/1000000</f>
        <v>0.88733700447989683</v>
      </c>
      <c r="S8" s="185">
        <f t="shared" si="1"/>
        <v>3.3324531325452291</v>
      </c>
      <c r="T8" s="186">
        <f>+S8/$S$24</f>
        <v>4.4611153125073397E-2</v>
      </c>
    </row>
    <row r="9" spans="2:20" s="94" customFormat="1" x14ac:dyDescent="0.25">
      <c r="B9" s="174" t="s">
        <v>402</v>
      </c>
      <c r="C9" s="174">
        <f>VLOOKUP(B9,PEP!$I$2:$AO$195,2,FALSE)</f>
        <v>2.1</v>
      </c>
      <c r="D9" s="174"/>
      <c r="E9" s="187">
        <v>2.1</v>
      </c>
      <c r="F9" s="304" t="str">
        <f>VLOOKUP($B9,PEP!$I$2:$AO$195,3,FALSE)</f>
        <v>i) Desarrollo e implementación de un nuevo plan de estudios para la FI, que incremente la flexibilidad y navegabilidad entre instituciones de formación terciaria y contemple también las especificidades de la modalidad semi-presencial; y un estudio de seguimiento de cohortes y procesos de implementación del nuevo plan;</v>
      </c>
      <c r="G9" s="188">
        <f>VLOOKUP($B9,PEP!$I$2:$AO$195,5,FALSE)/1000000</f>
        <v>0.6970371202504233</v>
      </c>
      <c r="H9" s="188">
        <f>VLOOKUP($B9,PEP!$I$2:$AO$195,6,FALSE)/1000000</f>
        <v>0.596053545317351</v>
      </c>
      <c r="I9" s="188">
        <f>VLOOKUP($B9,PEP!$I$2:$AO$195,4,FALSE)/1000000</f>
        <v>1.2930906655677743</v>
      </c>
      <c r="J9" s="189"/>
      <c r="K9" s="175"/>
      <c r="L9" s="187">
        <v>2.1</v>
      </c>
      <c r="M9" s="304" t="str">
        <f t="shared" si="0"/>
        <v>i) Desarrollo e implementación de un nuevo plan de estudios para la FI, que incremente la flexibilidad y navegabilidad entre instituciones de formación terciaria y contemple también las especificidades de la modalidad semi-presencial; y un estudio de seguimiento de cohortes y procesos de implementación del nuevo plan;</v>
      </c>
      <c r="N9" s="188">
        <f>VLOOKUP($B9,PEP!$I$2:$AO$195,28,FALSE)/1000000</f>
        <v>0.3207319104977634</v>
      </c>
      <c r="O9" s="188">
        <f>VLOOKUP($B9,PEP!$I$2:$AO$195,29,FALSE)/1000000</f>
        <v>0.21072025306269124</v>
      </c>
      <c r="P9" s="188">
        <f>VLOOKUP($B9,PEP!$I$2:$AO$195,30,FALSE)/1000000</f>
        <v>0.24209530867199072</v>
      </c>
      <c r="Q9" s="188">
        <f>VLOOKUP($B9,PEP!$I$2:$AO$195,31,FALSE)/1000000</f>
        <v>0.23297150620585649</v>
      </c>
      <c r="R9" s="188">
        <f>VLOOKUP($B9,PEP!$I$2:$AO$195,32,FALSE)/1000000</f>
        <v>0.2865716871294724</v>
      </c>
      <c r="S9" s="188">
        <f t="shared" si="1"/>
        <v>1.2930906655677741</v>
      </c>
      <c r="T9" s="189"/>
    </row>
    <row r="10" spans="2:20" s="94" customFormat="1" x14ac:dyDescent="0.25">
      <c r="B10" s="174" t="s">
        <v>403</v>
      </c>
      <c r="C10" s="174">
        <f>VLOOKUP(B10,PEP!$I$2:$AO$195,2,FALSE)</f>
        <v>2.2000000000000002</v>
      </c>
      <c r="D10" s="174"/>
      <c r="E10" s="187">
        <v>2.2000000000000002</v>
      </c>
      <c r="F10" s="304" t="str">
        <f>VLOOKUP($B10,PEP!$I$2:$AO$195,3,FALSE)</f>
        <v xml:space="preserve">ii) Diseño e implementación de una nueva estructura académica y funcional de la carrera para los formadores de formadores; </v>
      </c>
      <c r="G10" s="188">
        <f>VLOOKUP($B10,PEP!$I$2:$AO$195,5,FALSE)/1000000</f>
        <v>3.7272727272727263E-2</v>
      </c>
      <c r="H10" s="188">
        <f>VLOOKUP($B10,PEP!$I$2:$AO$195,6,FALSE)/1000000</f>
        <v>0.47733333333333333</v>
      </c>
      <c r="I10" s="188">
        <f>VLOOKUP($B10,PEP!$I$2:$AO$195,4,FALSE)/1000000</f>
        <v>0.51460606060606062</v>
      </c>
      <c r="J10" s="189"/>
      <c r="K10" s="175"/>
      <c r="L10" s="187">
        <v>2.2000000000000002</v>
      </c>
      <c r="M10" s="304" t="str">
        <f t="shared" si="0"/>
        <v xml:space="preserve">ii) Diseño e implementación de una nueva estructura académica y funcional de la carrera para los formadores de formadores; </v>
      </c>
      <c r="N10" s="188">
        <f>VLOOKUP($B10,PEP!$I$2:$AO$195,28,FALSE)/1000000</f>
        <v>0.15757575757575756</v>
      </c>
      <c r="O10" s="188">
        <f>VLOOKUP($B10,PEP!$I$2:$AO$195,29,FALSE)/1000000</f>
        <v>0.10909090909090909</v>
      </c>
      <c r="P10" s="188">
        <f>VLOOKUP($B10,PEP!$I$2:$AO$195,30,FALSE)/1000000</f>
        <v>9.3939393939393948E-2</v>
      </c>
      <c r="Q10" s="188">
        <f>VLOOKUP($B10,PEP!$I$2:$AO$195,31,FALSE)/1000000</f>
        <v>7.3333333333333334E-2</v>
      </c>
      <c r="R10" s="188">
        <f>VLOOKUP($B10,PEP!$I$2:$AO$195,32,FALSE)/1000000</f>
        <v>8.0666666666666678E-2</v>
      </c>
      <c r="S10" s="188">
        <f t="shared" si="1"/>
        <v>0.51460606060606062</v>
      </c>
      <c r="T10" s="189"/>
    </row>
    <row r="11" spans="2:20" s="94" customFormat="1" x14ac:dyDescent="0.25">
      <c r="B11" s="174" t="s">
        <v>404</v>
      </c>
      <c r="C11" s="174">
        <f>VLOOKUP(B11,PEP!$I$2:$AO$195,2,FALSE)</f>
        <v>2.2999999999999998</v>
      </c>
      <c r="D11" s="174"/>
      <c r="E11" s="187">
        <v>2.2999999999999998</v>
      </c>
      <c r="F11" s="304" t="str">
        <f>VLOOKUP($B11,PEP!$I$2:$AO$195,3,FALSE)</f>
        <v>iii) Diseño e implementación de un programa de inducción, acompañamiento y desarrollo profesional a docentes de EM en sus primeros años de experiencia;</v>
      </c>
      <c r="G11" s="188">
        <f>VLOOKUP($B11,PEP!$I$2:$AO$195,5,FALSE)/1000000</f>
        <v>0</v>
      </c>
      <c r="H11" s="188">
        <f>VLOOKUP($B11,PEP!$I$2:$AO$195,6,FALSE)/1000000</f>
        <v>1.5247564063713943</v>
      </c>
      <c r="I11" s="188">
        <f>VLOOKUP($B11,PEP!$I$2:$AO$195,4,FALSE)/1000000</f>
        <v>1.5247564063713943</v>
      </c>
      <c r="J11" s="189"/>
      <c r="K11" s="175"/>
      <c r="L11" s="187">
        <v>2.2999999999999998</v>
      </c>
      <c r="M11" s="304" t="str">
        <f t="shared" si="0"/>
        <v>iii) Diseño e implementación de un programa de inducción, acompañamiento y desarrollo profesional a docentes de EM en sus primeros años de experiencia;</v>
      </c>
      <c r="N11" s="188">
        <f>VLOOKUP($B11,PEP!$I$2:$AO$195,28,FALSE)/1000000</f>
        <v>2.7272727272727271E-2</v>
      </c>
      <c r="O11" s="188">
        <f>VLOOKUP($B11,PEP!$I$2:$AO$195,29,FALSE)/1000000</f>
        <v>0.22611636704739393</v>
      </c>
      <c r="P11" s="188">
        <f>VLOOKUP($B11,PEP!$I$2:$AO$195,30,FALSE)/1000000</f>
        <v>0.26992873068375761</v>
      </c>
      <c r="Q11" s="188">
        <f>VLOOKUP($B11,PEP!$I$2:$AO$195,31,FALSE)/1000000</f>
        <v>0.48133993068375774</v>
      </c>
      <c r="R11" s="188">
        <f>VLOOKUP($B11,PEP!$I$2:$AO$195,32,FALSE)/1000000</f>
        <v>0.52009865068375782</v>
      </c>
      <c r="S11" s="188">
        <f t="shared" si="1"/>
        <v>1.5247564063713943</v>
      </c>
      <c r="T11" s="189"/>
    </row>
    <row r="12" spans="2:20" x14ac:dyDescent="0.25">
      <c r="B12" s="182" t="s">
        <v>405</v>
      </c>
      <c r="C12" s="172">
        <f>VLOOKUP(B12,PEP!$I$2:$AO$195,2,FALSE)</f>
        <v>0</v>
      </c>
      <c r="D12" s="177"/>
      <c r="E12" s="303" t="str">
        <f>+PEP!K48</f>
        <v>Componente 3: Integración territorial y gestión para la mejora educativa.</v>
      </c>
      <c r="F12" s="303" t="str">
        <f>VLOOKUP($B12,PEP!$I$2:$AO$195,3,FALSE)</f>
        <v>Componente 3: Integración territorial y gestión para la mejora educativa.</v>
      </c>
      <c r="G12" s="185">
        <f>VLOOKUP($B12,PEP!$I$2:$AO$195,5,FALSE)/1000000</f>
        <v>8.150416949024514</v>
      </c>
      <c r="H12" s="185">
        <f>VLOOKUP($B12,PEP!$I$2:$AO$195,6,FALSE)/1000000</f>
        <v>4.4969768189899195</v>
      </c>
      <c r="I12" s="185">
        <f>VLOOKUP($B12,PEP!$I$2:$AO$195,4,FALSE)/1000000</f>
        <v>12.647393768014433</v>
      </c>
      <c r="J12" s="186">
        <f>+I12/$I$24</f>
        <v>0.16930915382058506</v>
      </c>
      <c r="K12" s="173"/>
      <c r="L12" s="303" t="str">
        <f>+E12</f>
        <v>Componente 3: Integración territorial y gestión para la mejora educativa.</v>
      </c>
      <c r="M12" s="303"/>
      <c r="N12" s="185">
        <f>VLOOKUP($B12,PEP!$I$2:$AO$195,28,FALSE)/1000000</f>
        <v>2.6396211540865653</v>
      </c>
      <c r="O12" s="185">
        <f>VLOOKUP($B12,PEP!$I$2:$AO$195,29,FALSE)/1000000</f>
        <v>2.7971216836366355</v>
      </c>
      <c r="P12" s="185">
        <f>VLOOKUP($B12,PEP!$I$2:$AO$195,30,FALSE)/1000000</f>
        <v>2.432872935087528</v>
      </c>
      <c r="Q12" s="185">
        <f>VLOOKUP($B12,PEP!$I$2:$AO$195,31,FALSE)/1000000</f>
        <v>2.3469693195053716</v>
      </c>
      <c r="R12" s="185">
        <f>VLOOKUP($B12,PEP!$I$2:$AO$195,32,FALSE)/1000000</f>
        <v>2.4308086756983336</v>
      </c>
      <c r="S12" s="185">
        <f t="shared" si="1"/>
        <v>12.647393768014433</v>
      </c>
      <c r="T12" s="186">
        <f>+S12/$S$24</f>
        <v>0.16930915382058509</v>
      </c>
    </row>
    <row r="13" spans="2:20" s="94" customFormat="1" x14ac:dyDescent="0.25">
      <c r="B13" s="174" t="s">
        <v>406</v>
      </c>
      <c r="C13" s="174">
        <f>VLOOKUP(B13,PEP!$I$2:$AO$195,2,FALSE)</f>
        <v>3.1</v>
      </c>
      <c r="D13" s="174"/>
      <c r="E13" s="187">
        <v>3.1</v>
      </c>
      <c r="F13" s="304" t="str">
        <f>VLOOKUP($B13,PEP!$I$2:$AO$195,3,FALSE)</f>
        <v>i) Diseño e implementación de un sistema de aseguramiento de la calidad de la EM</v>
      </c>
      <c r="G13" s="188">
        <f>VLOOKUP($B13,PEP!$I$2:$AO$195,5,FALSE)/1000000</f>
        <v>2.8583667378374487</v>
      </c>
      <c r="H13" s="188">
        <f>VLOOKUP($B13,PEP!$I$2:$AO$195,6,FALSE)/1000000</f>
        <v>1.1100744904196029</v>
      </c>
      <c r="I13" s="188">
        <f>VLOOKUP($B13,PEP!$I$2:$AO$195,4,FALSE)/1000000</f>
        <v>3.9684412282570518</v>
      </c>
      <c r="J13" s="189"/>
      <c r="K13" s="175"/>
      <c r="L13" s="187">
        <v>3.1</v>
      </c>
      <c r="M13" s="304" t="str">
        <f t="shared" si="0"/>
        <v>i) Diseño e implementación de un sistema de aseguramiento de la calidad de la EM</v>
      </c>
      <c r="N13" s="188">
        <f>VLOOKUP($B13,PEP!$I$2:$AO$195,28,FALSE)/1000000</f>
        <v>1.0900751681901457</v>
      </c>
      <c r="O13" s="188">
        <f>VLOOKUP($B13,PEP!$I$2:$AO$195,29,FALSE)/1000000</f>
        <v>0.65015920016067519</v>
      </c>
      <c r="P13" s="188">
        <f>VLOOKUP($B13,PEP!$I$2:$AO$195,30,FALSE)/1000000</f>
        <v>0.70192663532825805</v>
      </c>
      <c r="Q13" s="188">
        <f>VLOOKUP($B13,PEP!$I$2:$AO$195,31,FALSE)/1000000</f>
        <v>0.73787081401259891</v>
      </c>
      <c r="R13" s="188">
        <f>VLOOKUP($B13,PEP!$I$2:$AO$195,32,FALSE)/1000000</f>
        <v>0.78840941056537406</v>
      </c>
      <c r="S13" s="188">
        <f t="shared" si="1"/>
        <v>3.9684412282570518</v>
      </c>
      <c r="T13" s="189"/>
    </row>
    <row r="14" spans="2:20" s="94" customFormat="1" x14ac:dyDescent="0.25">
      <c r="B14" s="174" t="s">
        <v>407</v>
      </c>
      <c r="C14" s="174">
        <f>VLOOKUP(B14,PEP!$I$2:$AO$195,2,FALSE)</f>
        <v>3.2</v>
      </c>
      <c r="D14" s="174"/>
      <c r="E14" s="187">
        <v>3.2</v>
      </c>
      <c r="F14" s="304" t="str">
        <f>VLOOKUP($B14,PEP!$I$2:$AO$195,3,FALSE)</f>
        <v>ii) Diseño e implementación de un sistema protección de trayectorias educativas;</v>
      </c>
      <c r="G14" s="188">
        <f>VLOOKUP($B14,PEP!$I$2:$AO$195,5,FALSE)/1000000</f>
        <v>2.4612150039393943</v>
      </c>
      <c r="H14" s="188">
        <f>VLOOKUP($B14,PEP!$I$2:$AO$195,6,FALSE)/1000000</f>
        <v>0.71081595060606084</v>
      </c>
      <c r="I14" s="188">
        <f>VLOOKUP($B14,PEP!$I$2:$AO$195,4,FALSE)/1000000</f>
        <v>3.1720309545454546</v>
      </c>
      <c r="J14" s="189"/>
      <c r="K14" s="175"/>
      <c r="L14" s="187">
        <v>3.2</v>
      </c>
      <c r="M14" s="304" t="str">
        <f t="shared" si="0"/>
        <v>ii) Diseño e implementación de un sistema protección de trayectorias educativas;</v>
      </c>
      <c r="N14" s="188">
        <f>VLOOKUP($B14,PEP!$I$2:$AO$195,28,FALSE)/1000000</f>
        <v>0.45650252525252522</v>
      </c>
      <c r="O14" s="188">
        <f>VLOOKUP($B14,PEP!$I$2:$AO$195,29,FALSE)/1000000</f>
        <v>0.694395202020202</v>
      </c>
      <c r="P14" s="188">
        <f>VLOOKUP($B14,PEP!$I$2:$AO$195,30,FALSE)/1000000</f>
        <v>0.65364090909090922</v>
      </c>
      <c r="Q14" s="188">
        <f>VLOOKUP($B14,PEP!$I$2:$AO$195,31,FALSE)/1000000</f>
        <v>0.68209590909090922</v>
      </c>
      <c r="R14" s="188">
        <f>VLOOKUP($B14,PEP!$I$2:$AO$195,32,FALSE)/1000000</f>
        <v>0.68539640909090938</v>
      </c>
      <c r="S14" s="188">
        <f t="shared" si="1"/>
        <v>3.172030954545455</v>
      </c>
      <c r="T14" s="189"/>
    </row>
    <row r="15" spans="2:20" s="94" customFormat="1" x14ac:dyDescent="0.25">
      <c r="B15" s="174" t="s">
        <v>408</v>
      </c>
      <c r="C15" s="174">
        <f>VLOOKUP(B15,PEP!$I$2:$AO$195,2,FALSE)</f>
        <v>3.3</v>
      </c>
      <c r="D15" s="174"/>
      <c r="E15" s="187">
        <v>3.3</v>
      </c>
      <c r="F15" s="304" t="str">
        <f>VLOOKUP($B15,PEP!$I$2:$AO$195,3,FALSE)</f>
        <v>iii) Fortalecimiento de los sistemas de gestión financiera-administrativa-recursos humanos y de la función directriz del CODICEN en relación a los mismos, que incluye;</v>
      </c>
      <c r="G15" s="188">
        <f>VLOOKUP($B15,PEP!$I$2:$AO$195,5,FALSE)/1000000</f>
        <v>2.8308352072476706</v>
      </c>
      <c r="H15" s="188">
        <f>VLOOKUP($B15,PEP!$I$2:$AO$195,6,FALSE)/1000000</f>
        <v>2.6760863779642561</v>
      </c>
      <c r="I15" s="188">
        <f>VLOOKUP($B15,PEP!$I$2:$AO$195,4,FALSE)/1000000</f>
        <v>5.5069215852119271</v>
      </c>
      <c r="J15" s="189"/>
      <c r="K15" s="175"/>
      <c r="L15" s="187">
        <v>3.3</v>
      </c>
      <c r="M15" s="304" t="str">
        <f t="shared" si="0"/>
        <v>iii) Fortalecimiento de los sistemas de gestión financiera-administrativa-recursos humanos y de la función directriz del CODICEN en relación a los mismos, que incluye;</v>
      </c>
      <c r="N15" s="188">
        <f>VLOOKUP($B15,PEP!$I$2:$AO$195,28,FALSE)/1000000</f>
        <v>1.0930434606438943</v>
      </c>
      <c r="O15" s="188">
        <f>VLOOKUP($B15,PEP!$I$2:$AO$195,29,FALSE)/1000000</f>
        <v>1.4525672814557586</v>
      </c>
      <c r="P15" s="188">
        <f>VLOOKUP($B15,PEP!$I$2:$AO$195,30,FALSE)/1000000</f>
        <v>1.0773053906683607</v>
      </c>
      <c r="Q15" s="188">
        <f>VLOOKUP($B15,PEP!$I$2:$AO$195,31,FALSE)/1000000</f>
        <v>0.92700259640186344</v>
      </c>
      <c r="R15" s="188">
        <f>VLOOKUP($B15,PEP!$I$2:$AO$195,32,FALSE)/1000000</f>
        <v>0.95700285604204982</v>
      </c>
      <c r="S15" s="188">
        <f t="shared" si="1"/>
        <v>5.5069215852119271</v>
      </c>
      <c r="T15" s="189"/>
    </row>
    <row r="16" spans="2:20" x14ac:dyDescent="0.25">
      <c r="B16" s="182" t="s">
        <v>409</v>
      </c>
      <c r="C16" s="172">
        <f>VLOOKUP(B16,PEP!$I$2:$AO$195,2,FALSE)</f>
        <v>0</v>
      </c>
      <c r="D16" s="177"/>
      <c r="E16" s="303" t="str">
        <f>VLOOKUP($B16,PEP!$I$2:$AO$195,3,FALSE)</f>
        <v xml:space="preserve">Componente 4: Infraestructura para la mejora educativa. </v>
      </c>
      <c r="F16" s="303"/>
      <c r="G16" s="185">
        <f>VLOOKUP($B16,PEP!$I$2:$AO$195,5,FALSE)/1000000</f>
        <v>36.474522730890051</v>
      </c>
      <c r="H16" s="185">
        <f>VLOOKUP($B16,PEP!$I$2:$AO$195,6,FALSE)/1000000</f>
        <v>12.817889418552639</v>
      </c>
      <c r="I16" s="185">
        <f>VLOOKUP($B16,PEP!$I$2:$AO$195,4,FALSE)/1000000</f>
        <v>49.292412149442704</v>
      </c>
      <c r="J16" s="186">
        <f>+I16/$I$24</f>
        <v>0.65987164975475343</v>
      </c>
      <c r="K16" s="173"/>
      <c r="L16" s="303" t="str">
        <f>+E16</f>
        <v xml:space="preserve">Componente 4: Infraestructura para la mejora educativa. </v>
      </c>
      <c r="M16" s="303"/>
      <c r="N16" s="185">
        <f>VLOOKUP($B16,PEP!$I$2:$AO$195,28,FALSE)/1000000</f>
        <v>11.568479895360916</v>
      </c>
      <c r="O16" s="185">
        <f>VLOOKUP($B16,PEP!$I$2:$AO$195,29,FALSE)/1000000</f>
        <v>6.5139279252859081</v>
      </c>
      <c r="P16" s="185">
        <f>VLOOKUP($B16,PEP!$I$2:$AO$195,30,FALSE)/1000000</f>
        <v>10.897801819995207</v>
      </c>
      <c r="Q16" s="185">
        <f>VLOOKUP($B16,PEP!$I$2:$AO$195,31,FALSE)/1000000</f>
        <v>10.16655513537768</v>
      </c>
      <c r="R16" s="185">
        <f>VLOOKUP($B16,PEP!$I$2:$AO$195,32,FALSE)/1000000</f>
        <v>10.145647373422985</v>
      </c>
      <c r="S16" s="185">
        <f t="shared" si="1"/>
        <v>49.292412149442697</v>
      </c>
      <c r="T16" s="186">
        <f>+S16/$S$24</f>
        <v>0.65987164975475343</v>
      </c>
    </row>
    <row r="17" spans="2:20" s="94" customFormat="1" x14ac:dyDescent="0.25">
      <c r="B17" s="174" t="s">
        <v>410</v>
      </c>
      <c r="C17" s="174">
        <f>VLOOKUP(B17,PEP!$I$2:$AO$195,2,FALSE)</f>
        <v>4.0999999999999996</v>
      </c>
      <c r="D17" s="174"/>
      <c r="E17" s="187">
        <v>4.0999999999999996</v>
      </c>
      <c r="F17" s="304" t="str">
        <f>VLOOKUP($B17,PEP!$I$2:$AO$195,3,FALSE)</f>
        <v>i) Diseño, construcción y equipamiento de nuevos centros educativos de enseñanza media</v>
      </c>
      <c r="G17" s="188">
        <f>VLOOKUP($B17,PEP!$I$2:$AO$195,5,FALSE)/1000000</f>
        <v>22.663702667687058</v>
      </c>
      <c r="H17" s="188">
        <f>VLOOKUP($B17,PEP!$I$2:$AO$195,6,FALSE)/1000000</f>
        <v>9.7631022717561091</v>
      </c>
      <c r="I17" s="188">
        <f>VLOOKUP($B17,PEP!$I$2:$AO$195,4,FALSE)/1000000</f>
        <v>32.426804939443173</v>
      </c>
      <c r="J17" s="189"/>
      <c r="K17" s="175"/>
      <c r="L17" s="187">
        <v>4.0999999999999996</v>
      </c>
      <c r="M17" s="304" t="str">
        <f t="shared" si="0"/>
        <v>i) Diseño, construcción y equipamiento de nuevos centros educativos de enseñanza media</v>
      </c>
      <c r="N17" s="188">
        <f>VLOOKUP($B17,PEP!$I$2:$AO$195,28,FALSE)/1000000</f>
        <v>7.7405611553646763</v>
      </c>
      <c r="O17" s="188">
        <f>VLOOKUP($B17,PEP!$I$2:$AO$195,29,FALSE)/1000000</f>
        <v>5.1582579316465136</v>
      </c>
      <c r="P17" s="188">
        <f>VLOOKUP($B17,PEP!$I$2:$AO$195,30,FALSE)/1000000</f>
        <v>7.5038924189463909</v>
      </c>
      <c r="Q17" s="188">
        <f>VLOOKUP($B17,PEP!$I$2:$AO$195,31,FALSE)/1000000</f>
        <v>5.8536578428768067</v>
      </c>
      <c r="R17" s="188">
        <f>VLOOKUP($B17,PEP!$I$2:$AO$195,32,FALSE)/1000000</f>
        <v>6.1704355906087809</v>
      </c>
      <c r="S17" s="188">
        <f t="shared" si="1"/>
        <v>32.426804939443173</v>
      </c>
      <c r="T17" s="189"/>
    </row>
    <row r="18" spans="2:20" s="94" customFormat="1" x14ac:dyDescent="0.25">
      <c r="B18" s="174" t="s">
        <v>411</v>
      </c>
      <c r="C18" s="174">
        <f>VLOOKUP(B18,PEP!$I$2:$AO$195,2,FALSE)</f>
        <v>4.2</v>
      </c>
      <c r="D18" s="174"/>
      <c r="E18" s="187">
        <v>4.2</v>
      </c>
      <c r="F18" s="304" t="str">
        <f>VLOOKUP($B18,PEP!$I$2:$AO$195,3,FALSE)</f>
        <v>ii) Ampliacion y equipamiento de centros educativo de enseñanza media</v>
      </c>
      <c r="G18" s="188">
        <f>VLOOKUP($B18,PEP!$I$2:$AO$195,5,FALSE)/1000000</f>
        <v>6.7602702837877082</v>
      </c>
      <c r="H18" s="188">
        <f>VLOOKUP($B18,PEP!$I$2:$AO$195,6,FALSE)/1000000</f>
        <v>1.8791717299980668</v>
      </c>
      <c r="I18" s="188">
        <f>VLOOKUP($B18,PEP!$I$2:$AO$195,4,FALSE)/1000000</f>
        <v>8.6394420137857733</v>
      </c>
      <c r="J18" s="189"/>
      <c r="K18" s="175"/>
      <c r="L18" s="187">
        <v>4.2</v>
      </c>
      <c r="M18" s="304" t="str">
        <f t="shared" si="0"/>
        <v>ii) Ampliacion y equipamiento de centros educativo de enseñanza media</v>
      </c>
      <c r="N18" s="188">
        <f>VLOOKUP($B18,PEP!$I$2:$AO$195,28,FALSE)/1000000</f>
        <v>3.7734027411658397</v>
      </c>
      <c r="O18" s="188">
        <f>VLOOKUP($B18,PEP!$I$2:$AO$195,29,FALSE)/1000000</f>
        <v>0.60816961273804382</v>
      </c>
      <c r="P18" s="188">
        <f>VLOOKUP($B18,PEP!$I$2:$AO$195,30,FALSE)/1000000</f>
        <v>2.3403522102001029</v>
      </c>
      <c r="Q18" s="188">
        <f>VLOOKUP($B18,PEP!$I$2:$AO$195,31,FALSE)/1000000</f>
        <v>1.2198873158456827</v>
      </c>
      <c r="R18" s="188">
        <f>VLOOKUP($B18,PEP!$I$2:$AO$195,32,FALSE)/1000000</f>
        <v>0.69763013383610528</v>
      </c>
      <c r="S18" s="188">
        <f t="shared" si="1"/>
        <v>8.639442013785775</v>
      </c>
      <c r="T18" s="189"/>
    </row>
    <row r="19" spans="2:20" s="94" customFormat="1" x14ac:dyDescent="0.25">
      <c r="B19" s="174" t="s">
        <v>412</v>
      </c>
      <c r="C19" s="174">
        <f>VLOOKUP(B19,PEP!$I$2:$AO$195,2,FALSE)</f>
        <v>4.3</v>
      </c>
      <c r="D19" s="174"/>
      <c r="E19" s="187">
        <v>4.3</v>
      </c>
      <c r="F19" s="304" t="str">
        <f>VLOOKUP($B19,PEP!$I$2:$AO$195,3,FALSE)</f>
        <v>iii) Ampliación y equipamiento de centros de formación inicial en educación</v>
      </c>
      <c r="G19" s="188">
        <f>VLOOKUP($B19,PEP!$I$2:$AO$195,5,FALSE)/1000000</f>
        <v>6.8613564073585191</v>
      </c>
      <c r="H19" s="188">
        <f>VLOOKUP($B19,PEP!$I$2:$AO$195,6,FALSE)/1000000</f>
        <v>1.1340851643957564</v>
      </c>
      <c r="I19" s="188">
        <f>VLOOKUP($B19,PEP!$I$2:$AO$195,4,FALSE)/1000000</f>
        <v>7.9954415717542764</v>
      </c>
      <c r="J19" s="189"/>
      <c r="K19" s="175"/>
      <c r="L19" s="187">
        <v>4.3</v>
      </c>
      <c r="M19" s="304" t="str">
        <f t="shared" si="0"/>
        <v>iii) Ampliación y equipamiento de centros de formación inicial en educación</v>
      </c>
      <c r="N19" s="188">
        <f>VLOOKUP($B19,PEP!$I$2:$AO$195,28,FALSE)/1000000</f>
        <v>0</v>
      </c>
      <c r="O19" s="188">
        <f>VLOOKUP($B19,PEP!$I$2:$AO$195,29,FALSE)/1000000</f>
        <v>0.70953278218791127</v>
      </c>
      <c r="P19" s="188">
        <f>VLOOKUP($B19,PEP!$I$2:$AO$195,30,FALSE)/1000000</f>
        <v>1.0117928322639298</v>
      </c>
      <c r="Q19" s="188">
        <f>VLOOKUP($B19,PEP!$I$2:$AO$195,31,FALSE)/1000000</f>
        <v>3.047069182211926</v>
      </c>
      <c r="R19" s="188">
        <f>VLOOKUP($B19,PEP!$I$2:$AO$195,32,FALSE)/1000000</f>
        <v>3.2270467750905105</v>
      </c>
      <c r="S19" s="188">
        <f t="shared" si="1"/>
        <v>7.9954415717542773</v>
      </c>
      <c r="T19" s="189"/>
    </row>
    <row r="20" spans="2:20" s="94" customFormat="1" x14ac:dyDescent="0.25">
      <c r="B20" s="174" t="s">
        <v>413</v>
      </c>
      <c r="C20" s="174">
        <f>VLOOKUP(B20,PEP!$I$2:$AO$195,2,FALSE)</f>
        <v>4.4000000000000004</v>
      </c>
      <c r="D20" s="174"/>
      <c r="E20" s="187">
        <v>4.4000000000000004</v>
      </c>
      <c r="F20" s="304" t="str">
        <f>VLOOKUP($B20,PEP!$I$2:$AO$195,3,FALSE)</f>
        <v>iv) Apoyo para el fortalecimiento de ANEP para gestionar Alianzas Público-Privadas en infraestructura escolar;</v>
      </c>
      <c r="G20" s="188">
        <f>VLOOKUP($B20,PEP!$I$2:$AO$195,5,FALSE)/1000000</f>
        <v>0.18919337205676959</v>
      </c>
      <c r="H20" s="188">
        <f>VLOOKUP($B20,PEP!$I$2:$AO$195,6,FALSE)/1000000</f>
        <v>4.1530252402705525E-2</v>
      </c>
      <c r="I20" s="188">
        <f>VLOOKUP($B20,PEP!$I$2:$AO$195,4,FALSE)/1000000</f>
        <v>0.23072362445947509</v>
      </c>
      <c r="J20" s="189"/>
      <c r="K20" s="175"/>
      <c r="L20" s="187">
        <v>4.4000000000000004</v>
      </c>
      <c r="M20" s="304" t="str">
        <f t="shared" si="0"/>
        <v>iv) Apoyo para el fortalecimiento de ANEP para gestionar Alianzas Público-Privadas en infraestructura escolar;</v>
      </c>
      <c r="N20" s="188">
        <f>VLOOKUP($B20,PEP!$I$2:$AO$195,28,FALSE)/1000000</f>
        <v>5.4515998830400009E-2</v>
      </c>
      <c r="O20" s="188">
        <f>VLOOKUP($B20,PEP!$I$2:$AO$195,29,FALSE)/1000000</f>
        <v>3.7967598713440007E-2</v>
      </c>
      <c r="P20" s="188">
        <f>VLOOKUP($B20,PEP!$I$2:$AO$195,30,FALSE)/1000000</f>
        <v>4.1764358584784014E-2</v>
      </c>
      <c r="Q20" s="188">
        <f>VLOOKUP($B20,PEP!$I$2:$AO$195,31,FALSE)/1000000</f>
        <v>4.5940794443262413E-2</v>
      </c>
      <c r="R20" s="188">
        <f>VLOOKUP($B20,PEP!$I$2:$AO$195,32,FALSE)/1000000</f>
        <v>5.0534873887588663E-2</v>
      </c>
      <c r="S20" s="188">
        <f t="shared" si="1"/>
        <v>0.23072362445947509</v>
      </c>
      <c r="T20" s="189"/>
    </row>
    <row r="21" spans="2:20" x14ac:dyDescent="0.25">
      <c r="B21" s="182" t="s">
        <v>414</v>
      </c>
      <c r="C21" s="176">
        <f>VLOOKUP(B21,PEP!$I$2:$AO$195,2,FALSE)</f>
        <v>0</v>
      </c>
      <c r="D21" s="178"/>
      <c r="E21" s="303" t="str">
        <f>VLOOKUP($B21,PEP!$I$2:$AO$195,3,FALSE)</f>
        <v>Administración del Programa</v>
      </c>
      <c r="F21" s="303"/>
      <c r="G21" s="185">
        <f>VLOOKUP($B21,PEP!$I$2:$AO$195,5,FALSE)/1000000</f>
        <v>1.1436363460294734</v>
      </c>
      <c r="H21" s="185">
        <f>VLOOKUP($B21,PEP!$I$2:$AO$195,6,FALSE)/1000000</f>
        <v>3.8226609950018235</v>
      </c>
      <c r="I21" s="185">
        <f>VLOOKUP($B21,PEP!$I$2:$AO$195,4,FALSE)/1000000</f>
        <v>4.9662973410312983</v>
      </c>
      <c r="J21" s="186">
        <f>+I21/$I$24</f>
        <v>6.6483230921293407E-2</v>
      </c>
      <c r="K21" s="173"/>
      <c r="L21" s="303" t="str">
        <f>+E21</f>
        <v>Administración del Programa</v>
      </c>
      <c r="M21" s="303"/>
      <c r="N21" s="185">
        <f>VLOOKUP($B21,PEP!$I$2:$AO$195,28,FALSE)/1000000</f>
        <v>0.80510141020315762</v>
      </c>
      <c r="O21" s="185">
        <f>VLOOKUP($B21,PEP!$I$2:$AO$195,29,FALSE)/1000000</f>
        <v>0.87506915122347328</v>
      </c>
      <c r="P21" s="185">
        <f>VLOOKUP($B21,PEP!$I$2:$AO$195,30,FALSE)/1000000</f>
        <v>1.0125760663458208</v>
      </c>
      <c r="Q21" s="185">
        <f>VLOOKUP($B21,PEP!$I$2:$AO$195,31,FALSE)/1000000</f>
        <v>1.0588336729804029</v>
      </c>
      <c r="R21" s="185">
        <f>VLOOKUP($B21,PEP!$I$2:$AO$195,32,FALSE)/1000000</f>
        <v>1.2147170402784433</v>
      </c>
      <c r="S21" s="185">
        <f t="shared" si="1"/>
        <v>4.9662973410312974</v>
      </c>
      <c r="T21" s="186">
        <f>+S21/$S$24</f>
        <v>6.6483230921293407E-2</v>
      </c>
    </row>
    <row r="22" spans="2:20" s="94" customFormat="1" x14ac:dyDescent="0.25">
      <c r="B22" s="174" t="s">
        <v>415</v>
      </c>
      <c r="C22" s="174">
        <f>VLOOKUP(B22,PEP!$I$2:$AO$195,2,FALSE)</f>
        <v>0</v>
      </c>
      <c r="D22" s="174"/>
      <c r="E22" s="187">
        <v>5.0999999999999996</v>
      </c>
      <c r="F22" s="304" t="str">
        <f>VLOOKUP($B22,PEP!$I$2:$AO$195,3,FALSE)</f>
        <v>i) UCP.</v>
      </c>
      <c r="G22" s="194">
        <f>VLOOKUP($B22,PEP!$I$2:$AO$195,5,FALSE)/1000000</f>
        <v>1.0189006460294736</v>
      </c>
      <c r="H22" s="188">
        <f>VLOOKUP($B22,PEP!$I$2:$AO$195,6,FALSE)/1000000</f>
        <v>3.1365360148897365</v>
      </c>
      <c r="I22" s="188">
        <f>VLOOKUP($B22,PEP!$I$2:$AO$195,4,FALSE)/1000000</f>
        <v>4.1554366609192117</v>
      </c>
      <c r="J22" s="189"/>
      <c r="K22" s="175"/>
      <c r="L22" s="187">
        <v>5.0999999999999996</v>
      </c>
      <c r="M22" s="304" t="str">
        <f t="shared" si="0"/>
        <v>i) UCP.</v>
      </c>
      <c r="N22" s="188">
        <f>VLOOKUP($B22,PEP!$I$2:$AO$195,28,FALSE)/1000000</f>
        <v>0.68065005666069522</v>
      </c>
      <c r="O22" s="188">
        <f>VLOOKUP($B22,PEP!$I$2:$AO$195,29,FALSE)/1000000</f>
        <v>0.74871506232676466</v>
      </c>
      <c r="P22" s="188">
        <f>VLOOKUP($B22,PEP!$I$2:$AO$195,30,FALSE)/1000000</f>
        <v>0.82358656855944123</v>
      </c>
      <c r="Q22" s="188">
        <f>VLOOKUP($B22,PEP!$I$2:$AO$195,31,FALSE)/1000000</f>
        <v>0.90594522541538536</v>
      </c>
      <c r="R22" s="188">
        <f>VLOOKUP($B22,PEP!$I$2:$AO$195,32,FALSE)/1000000</f>
        <v>0.99653974795692413</v>
      </c>
      <c r="S22" s="188">
        <f t="shared" si="1"/>
        <v>4.1554366609192108</v>
      </c>
      <c r="T22" s="189"/>
    </row>
    <row r="23" spans="2:20" s="94" customFormat="1" x14ac:dyDescent="0.25">
      <c r="B23" s="174" t="s">
        <v>416</v>
      </c>
      <c r="C23" s="174">
        <f>VLOOKUP(B23,PEP!$I$2:$AO$195,2,FALSE)</f>
        <v>0</v>
      </c>
      <c r="D23" s="174"/>
      <c r="E23" s="187">
        <v>5.2</v>
      </c>
      <c r="F23" s="304" t="str">
        <f>VLOOKUP($B23,PEP!$I$2:$AO$195,3,FALSE)</f>
        <v>ii) Gastos de administracion, auditoría y evaluacion</v>
      </c>
      <c r="G23" s="194">
        <f>VLOOKUP($B23,PEP!$I$2:$AO$195,5,FALSE)/1000000</f>
        <v>0.1247357</v>
      </c>
      <c r="H23" s="188">
        <f>VLOOKUP($B23,PEP!$I$2:$AO$195,6,FALSE)/1000000</f>
        <v>0.686124980112087</v>
      </c>
      <c r="I23" s="194">
        <f>VLOOKUP($B23,PEP!$I$2:$AO$195,4,FALSE)/1000000</f>
        <v>0.81086068011208701</v>
      </c>
      <c r="J23" s="189"/>
      <c r="K23" s="175"/>
      <c r="L23" s="187">
        <v>5.2</v>
      </c>
      <c r="M23" s="304" t="str">
        <f t="shared" si="0"/>
        <v>ii) Gastos de administracion, auditoría y evaluacion</v>
      </c>
      <c r="N23" s="188">
        <f>VLOOKUP($B23,PEP!$I$2:$AO$195,28,FALSE)/1000000</f>
        <v>0.12445135354246234</v>
      </c>
      <c r="O23" s="188">
        <f>VLOOKUP($B23,PEP!$I$2:$AO$195,29,FALSE)/1000000</f>
        <v>0.1263540888967086</v>
      </c>
      <c r="P23" s="188">
        <f>VLOOKUP($B23,PEP!$I$2:$AO$195,30,FALSE)/1000000</f>
        <v>0.18898949778637947</v>
      </c>
      <c r="Q23" s="188">
        <f>VLOOKUP($B23,PEP!$I$2:$AO$195,31,FALSE)/1000000</f>
        <v>0.15288844756501743</v>
      </c>
      <c r="R23" s="188">
        <f>VLOOKUP($B23,PEP!$I$2:$AO$195,32,FALSE)/1000000</f>
        <v>0.2181772923215192</v>
      </c>
      <c r="S23" s="188">
        <f t="shared" si="1"/>
        <v>0.81086068011208701</v>
      </c>
      <c r="T23" s="189"/>
    </row>
    <row r="24" spans="2:20" x14ac:dyDescent="0.25">
      <c r="B24" s="182"/>
      <c r="C24" s="176"/>
      <c r="D24" s="178"/>
      <c r="E24" s="305" t="s">
        <v>242</v>
      </c>
      <c r="F24" s="305"/>
      <c r="G24" s="190">
        <f>+G21+G16+G12+G8+G4</f>
        <v>50.000000172550344</v>
      </c>
      <c r="H24" s="190">
        <f t="shared" ref="H24:I24" si="2">+H21+H16+H12+H8+H4</f>
        <v>24.699999695246092</v>
      </c>
      <c r="I24" s="190">
        <f t="shared" si="2"/>
        <v>74.69999986779645</v>
      </c>
      <c r="J24" s="191">
        <v>1</v>
      </c>
      <c r="K24" s="173"/>
      <c r="L24" s="305" t="s">
        <v>124</v>
      </c>
      <c r="M24" s="305"/>
      <c r="N24" s="190">
        <f>+N21+N16+N12+N8+N4</f>
        <v>16.444407341594392</v>
      </c>
      <c r="O24" s="190">
        <f>+O21+O16+O12+O8+O4</f>
        <v>11.823921103392145</v>
      </c>
      <c r="P24" s="190">
        <f>+P21+P16+P12+P8+P4</f>
        <v>15.797010368355162</v>
      </c>
      <c r="Q24" s="190">
        <f>+Q21+Q16+Q12+Q8+Q4</f>
        <v>15.127065823081011</v>
      </c>
      <c r="R24" s="190">
        <f>+R21+R16+R12+R8+R4</f>
        <v>15.507595231373731</v>
      </c>
      <c r="S24" s="190">
        <f t="shared" si="1"/>
        <v>74.699999867796436</v>
      </c>
      <c r="T24" s="192">
        <f>+S24/$S$24</f>
        <v>1</v>
      </c>
    </row>
    <row r="25" spans="2:20" x14ac:dyDescent="0.25">
      <c r="I25" s="184">
        <f>+I21+I16+I12+I8+I4-I24</f>
        <v>0</v>
      </c>
    </row>
    <row r="27" spans="2:20" x14ac:dyDescent="0.25">
      <c r="E27" s="323" t="s">
        <v>596</v>
      </c>
      <c r="F27" s="323"/>
    </row>
    <row r="28" spans="2:20" x14ac:dyDescent="0.25">
      <c r="E28" s="302"/>
      <c r="F28" s="302"/>
      <c r="G28" s="193" t="s">
        <v>454</v>
      </c>
      <c r="H28" s="193" t="s">
        <v>455</v>
      </c>
      <c r="I28" s="301"/>
      <c r="J28" s="301"/>
      <c r="K28" s="101"/>
      <c r="L28" s="302"/>
      <c r="M28" s="302"/>
      <c r="N28" s="316">
        <v>2017</v>
      </c>
      <c r="O28" s="316">
        <v>2018</v>
      </c>
      <c r="P28" s="316">
        <v>2019</v>
      </c>
      <c r="Q28" s="316">
        <v>2020</v>
      </c>
      <c r="R28" s="316">
        <v>2021</v>
      </c>
      <c r="S28" s="301" t="s">
        <v>124</v>
      </c>
      <c r="T28" s="301" t="s">
        <v>428</v>
      </c>
    </row>
    <row r="29" spans="2:20" x14ac:dyDescent="0.25">
      <c r="E29" s="303" t="str">
        <f>+E4</f>
        <v>Componente 1: Mejora de la calidad educativa.</v>
      </c>
      <c r="F29" s="303"/>
      <c r="G29" s="185">
        <f>SUM(G30:G32)</f>
        <v>3.5</v>
      </c>
      <c r="H29" s="185">
        <f t="shared" ref="H29" si="3">SUM(H30:H32)</f>
        <v>0.96</v>
      </c>
      <c r="I29" s="185">
        <f>+G29+H29</f>
        <v>4.46</v>
      </c>
      <c r="J29" s="186">
        <v>5.9724812378294717E-2</v>
      </c>
      <c r="K29" s="173"/>
      <c r="L29" s="303" t="str">
        <f>+L4</f>
        <v>Componente 1: Mejora de la calidad educativa.</v>
      </c>
      <c r="M29" s="303"/>
      <c r="N29" s="185">
        <v>0.92562448659750329</v>
      </c>
      <c r="O29" s="185">
        <v>1.0918748140451326</v>
      </c>
      <c r="P29" s="185">
        <v>0.84779611363146401</v>
      </c>
      <c r="Q29" s="185">
        <v>0.76706292499461048</v>
      </c>
      <c r="R29" s="185">
        <v>0.82908513749407164</v>
      </c>
      <c r="S29" s="185">
        <v>4.4614434767627822</v>
      </c>
      <c r="T29" s="186">
        <v>5.9724812378294717E-2</v>
      </c>
    </row>
    <row r="30" spans="2:20" x14ac:dyDescent="0.25">
      <c r="E30" s="187">
        <v>1.1000000000000001</v>
      </c>
      <c r="F30" s="304" t="s">
        <v>435</v>
      </c>
      <c r="G30" s="188">
        <v>0.91</v>
      </c>
      <c r="H30" s="188">
        <v>0.18</v>
      </c>
      <c r="I30" s="188">
        <f>+G30+H30</f>
        <v>1.0900000000000001</v>
      </c>
      <c r="J30" s="189"/>
      <c r="K30" s="175"/>
      <c r="L30" s="187">
        <v>1.1000000000000001</v>
      </c>
      <c r="M30" s="304" t="s">
        <v>435</v>
      </c>
      <c r="N30" s="188">
        <v>0.46436363636363637</v>
      </c>
      <c r="O30" s="188">
        <v>0.51163636363636367</v>
      </c>
      <c r="P30" s="188">
        <v>0.12</v>
      </c>
      <c r="Q30" s="188">
        <v>0</v>
      </c>
      <c r="R30" s="188">
        <v>0</v>
      </c>
      <c r="S30" s="188">
        <v>1.0960000000000001</v>
      </c>
      <c r="T30" s="189"/>
    </row>
    <row r="31" spans="2:20" x14ac:dyDescent="0.25">
      <c r="E31" s="187">
        <v>1.2</v>
      </c>
      <c r="F31" s="304" t="s">
        <v>590</v>
      </c>
      <c r="G31" s="188">
        <v>1.77</v>
      </c>
      <c r="H31" s="188">
        <v>0.47</v>
      </c>
      <c r="I31" s="188">
        <f t="shared" ref="I31:I48" si="4">+G31+H31</f>
        <v>2.2400000000000002</v>
      </c>
      <c r="J31" s="189"/>
      <c r="K31" s="175"/>
      <c r="L31" s="187">
        <v>1.2</v>
      </c>
      <c r="M31" s="304" t="s">
        <v>590</v>
      </c>
      <c r="N31" s="188">
        <v>0.37023054720356385</v>
      </c>
      <c r="O31" s="188">
        <v>0.43605360192392029</v>
      </c>
      <c r="P31" s="188">
        <v>0.5119207802981306</v>
      </c>
      <c r="Q31" s="188">
        <v>0.47603045832794372</v>
      </c>
      <c r="R31" s="188">
        <v>0.44984286416073804</v>
      </c>
      <c r="S31" s="188">
        <v>2.2440782519142966</v>
      </c>
      <c r="T31" s="189"/>
    </row>
    <row r="32" spans="2:20" x14ac:dyDescent="0.25">
      <c r="E32" s="187">
        <v>1.3</v>
      </c>
      <c r="F32" s="304" t="s">
        <v>593</v>
      </c>
      <c r="G32" s="188">
        <v>0.82</v>
      </c>
      <c r="H32" s="188">
        <f t="shared" ref="H32" si="5">ROUNDUP(H7,2)</f>
        <v>0.31</v>
      </c>
      <c r="I32" s="188">
        <f t="shared" si="4"/>
        <v>1.1299999999999999</v>
      </c>
      <c r="J32" s="189"/>
      <c r="K32" s="175"/>
      <c r="L32" s="187">
        <v>1.3</v>
      </c>
      <c r="M32" s="304" t="s">
        <v>593</v>
      </c>
      <c r="N32" s="188">
        <v>9.1030303030303045E-2</v>
      </c>
      <c r="O32" s="188">
        <v>0.1441848484848485</v>
      </c>
      <c r="P32" s="188">
        <v>0.21587533333333339</v>
      </c>
      <c r="Q32" s="188">
        <v>0.29103246666666671</v>
      </c>
      <c r="R32" s="188">
        <v>0.37924227333333349</v>
      </c>
      <c r="S32" s="188">
        <v>1.1213652248484851</v>
      </c>
      <c r="T32" s="189"/>
    </row>
    <row r="33" spans="5:20" x14ac:dyDescent="0.25">
      <c r="E33" s="303" t="str">
        <f>+E8</f>
        <v>Componente 2: Formación en educación.</v>
      </c>
      <c r="F33" s="303"/>
      <c r="G33" s="185">
        <f>SUM(G34:G36)</f>
        <v>0.74</v>
      </c>
      <c r="H33" s="185">
        <f t="shared" ref="H33" si="6">SUM(H34:H36)</f>
        <v>2.6</v>
      </c>
      <c r="I33" s="185">
        <f t="shared" si="4"/>
        <v>3.34</v>
      </c>
      <c r="J33" s="186">
        <v>4.4611153125073383E-2</v>
      </c>
      <c r="K33" s="173"/>
      <c r="L33" s="303" t="str">
        <f>+L8</f>
        <v>Componente 2: Formación en educación.</v>
      </c>
      <c r="M33" s="303"/>
      <c r="N33" s="185">
        <v>0.50558039534624821</v>
      </c>
      <c r="O33" s="185">
        <v>0.5459275292009943</v>
      </c>
      <c r="P33" s="185">
        <v>0.60596343329514235</v>
      </c>
      <c r="Q33" s="185">
        <v>0.78764477022294754</v>
      </c>
      <c r="R33" s="185">
        <v>0.88733700447989683</v>
      </c>
      <c r="S33" s="185">
        <v>3.3324531325452291</v>
      </c>
      <c r="T33" s="186">
        <v>4.4611153125073397E-2</v>
      </c>
    </row>
    <row r="34" spans="5:20" x14ac:dyDescent="0.25">
      <c r="E34" s="187">
        <v>2.1</v>
      </c>
      <c r="F34" s="304" t="s">
        <v>436</v>
      </c>
      <c r="G34" s="188">
        <f t="shared" ref="G34:H34" si="7">ROUNDUP(G9,2)</f>
        <v>0.7</v>
      </c>
      <c r="H34" s="188">
        <f t="shared" si="7"/>
        <v>0.6</v>
      </c>
      <c r="I34" s="188">
        <f t="shared" si="4"/>
        <v>1.2999999999999998</v>
      </c>
      <c r="J34" s="189"/>
      <c r="K34" s="175"/>
      <c r="L34" s="187">
        <v>2.1</v>
      </c>
      <c r="M34" s="304" t="s">
        <v>436</v>
      </c>
      <c r="N34" s="188">
        <v>0.3207319104977634</v>
      </c>
      <c r="O34" s="188">
        <v>0.21072025306269124</v>
      </c>
      <c r="P34" s="188">
        <v>0.24209530867199072</v>
      </c>
      <c r="Q34" s="188">
        <v>0.23297150620585649</v>
      </c>
      <c r="R34" s="188">
        <v>0.2865716871294724</v>
      </c>
      <c r="S34" s="188">
        <v>1.2930906655677741</v>
      </c>
      <c r="T34" s="189"/>
    </row>
    <row r="35" spans="5:20" x14ac:dyDescent="0.25">
      <c r="E35" s="187">
        <v>2.2000000000000002</v>
      </c>
      <c r="F35" s="304" t="s">
        <v>437</v>
      </c>
      <c r="G35" s="188">
        <v>0.04</v>
      </c>
      <c r="H35" s="188">
        <f t="shared" ref="H35" si="8">ROUNDUP(H10,2)</f>
        <v>0.48</v>
      </c>
      <c r="I35" s="188">
        <f t="shared" si="4"/>
        <v>0.52</v>
      </c>
      <c r="J35" s="189"/>
      <c r="K35" s="175"/>
      <c r="L35" s="187">
        <v>2.2000000000000002</v>
      </c>
      <c r="M35" s="304" t="s">
        <v>437</v>
      </c>
      <c r="N35" s="188">
        <v>0.15757575757575756</v>
      </c>
      <c r="O35" s="188">
        <v>0.10909090909090909</v>
      </c>
      <c r="P35" s="188">
        <v>9.3939393939393948E-2</v>
      </c>
      <c r="Q35" s="188">
        <v>7.3333333333333334E-2</v>
      </c>
      <c r="R35" s="188">
        <v>8.0666666666666678E-2</v>
      </c>
      <c r="S35" s="188">
        <v>0.51460606060606062</v>
      </c>
      <c r="T35" s="189"/>
    </row>
    <row r="36" spans="5:20" x14ac:dyDescent="0.25">
      <c r="E36" s="187">
        <v>2.2999999999999998</v>
      </c>
      <c r="F36" s="304" t="s">
        <v>438</v>
      </c>
      <c r="G36" s="188">
        <f t="shared" ref="G36" si="9">ROUNDUP(G11,2)</f>
        <v>0</v>
      </c>
      <c r="H36" s="188">
        <v>1.52</v>
      </c>
      <c r="I36" s="188">
        <f t="shared" si="4"/>
        <v>1.52</v>
      </c>
      <c r="J36" s="189"/>
      <c r="K36" s="175"/>
      <c r="L36" s="187">
        <v>2.2999999999999998</v>
      </c>
      <c r="M36" s="304" t="s">
        <v>438</v>
      </c>
      <c r="N36" s="188">
        <v>2.7272727272727271E-2</v>
      </c>
      <c r="O36" s="188">
        <v>0.22611636704739393</v>
      </c>
      <c r="P36" s="188">
        <v>0.26992873068375761</v>
      </c>
      <c r="Q36" s="188">
        <v>0.48133993068375774</v>
      </c>
      <c r="R36" s="188">
        <v>0.52009865068375782</v>
      </c>
      <c r="S36" s="188">
        <v>1.5247564063713943</v>
      </c>
      <c r="T36" s="189"/>
    </row>
    <row r="37" spans="5:20" x14ac:dyDescent="0.25">
      <c r="E37" s="303" t="str">
        <f>+E12</f>
        <v>Componente 3: Integración territorial y gestión para la mejora educativa.</v>
      </c>
      <c r="F37" s="303"/>
      <c r="G37" s="185">
        <f>SUM(G38:G40)</f>
        <v>8.15</v>
      </c>
      <c r="H37" s="185">
        <f t="shared" ref="H37" si="10">SUM(H38:H40)</f>
        <v>4.5</v>
      </c>
      <c r="I37" s="185">
        <f t="shared" si="4"/>
        <v>12.65</v>
      </c>
      <c r="J37" s="186">
        <v>0.16930915382058506</v>
      </c>
      <c r="K37" s="173"/>
      <c r="L37" s="303" t="str">
        <f>+L12</f>
        <v>Componente 3: Integración territorial y gestión para la mejora educativa.</v>
      </c>
      <c r="M37" s="303"/>
      <c r="N37" s="185">
        <v>2.6396211540865653</v>
      </c>
      <c r="O37" s="185">
        <v>2.7971216836366355</v>
      </c>
      <c r="P37" s="185">
        <v>2.432872935087528</v>
      </c>
      <c r="Q37" s="185">
        <v>2.3469693195053716</v>
      </c>
      <c r="R37" s="185">
        <v>2.4308086756983336</v>
      </c>
      <c r="S37" s="185">
        <v>12.647393768014433</v>
      </c>
      <c r="T37" s="186">
        <v>0.16930915382058509</v>
      </c>
    </row>
    <row r="38" spans="5:20" x14ac:dyDescent="0.25">
      <c r="E38" s="187">
        <v>3.1</v>
      </c>
      <c r="F38" s="304" t="s">
        <v>439</v>
      </c>
      <c r="G38" s="188">
        <f t="shared" ref="G38" si="11">ROUNDUP(G13,2)</f>
        <v>2.86</v>
      </c>
      <c r="H38" s="188">
        <v>1.1100000000000001</v>
      </c>
      <c r="I38" s="188">
        <f t="shared" si="4"/>
        <v>3.9699999999999998</v>
      </c>
      <c r="J38" s="189"/>
      <c r="K38" s="175"/>
      <c r="L38" s="187">
        <v>3.1</v>
      </c>
      <c r="M38" s="304" t="s">
        <v>439</v>
      </c>
      <c r="N38" s="188">
        <v>1.0900751681901457</v>
      </c>
      <c r="O38" s="188">
        <v>0.65015920016067519</v>
      </c>
      <c r="P38" s="188">
        <v>0.70192663532825805</v>
      </c>
      <c r="Q38" s="188">
        <v>0.73787081401259891</v>
      </c>
      <c r="R38" s="188">
        <v>0.78840941056537406</v>
      </c>
      <c r="S38" s="188">
        <v>3.9684412282570518</v>
      </c>
      <c r="T38" s="189"/>
    </row>
    <row r="39" spans="5:20" x14ac:dyDescent="0.25">
      <c r="E39" s="187">
        <v>3.2</v>
      </c>
      <c r="F39" s="304" t="s">
        <v>594</v>
      </c>
      <c r="G39" s="188">
        <v>2.46</v>
      </c>
      <c r="H39" s="188">
        <v>0.71</v>
      </c>
      <c r="I39" s="188">
        <f t="shared" si="4"/>
        <v>3.17</v>
      </c>
      <c r="J39" s="189"/>
      <c r="K39" s="175"/>
      <c r="L39" s="187">
        <v>3.2</v>
      </c>
      <c r="M39" s="304" t="s">
        <v>594</v>
      </c>
      <c r="N39" s="188">
        <v>0.45650252525252522</v>
      </c>
      <c r="O39" s="188">
        <v>0.694395202020202</v>
      </c>
      <c r="P39" s="188">
        <v>0.65364090909090922</v>
      </c>
      <c r="Q39" s="188">
        <v>0.68209590909090922</v>
      </c>
      <c r="R39" s="188">
        <v>0.68539640909090938</v>
      </c>
      <c r="S39" s="188">
        <v>3.172030954545455</v>
      </c>
      <c r="T39" s="189"/>
    </row>
    <row r="40" spans="5:20" x14ac:dyDescent="0.25">
      <c r="E40" s="187">
        <v>3.3</v>
      </c>
      <c r="F40" s="304" t="s">
        <v>440</v>
      </c>
      <c r="G40" s="188">
        <v>2.83</v>
      </c>
      <c r="H40" s="188">
        <f t="shared" ref="H40" si="12">ROUNDUP(H15,2)</f>
        <v>2.6799999999999997</v>
      </c>
      <c r="I40" s="188">
        <f t="shared" si="4"/>
        <v>5.51</v>
      </c>
      <c r="J40" s="189"/>
      <c r="K40" s="175"/>
      <c r="L40" s="187">
        <v>3.3</v>
      </c>
      <c r="M40" s="304" t="s">
        <v>440</v>
      </c>
      <c r="N40" s="188">
        <v>1.0930434606438943</v>
      </c>
      <c r="O40" s="188">
        <v>1.4525672814557586</v>
      </c>
      <c r="P40" s="188">
        <v>1.0773053906683607</v>
      </c>
      <c r="Q40" s="188">
        <v>0.92700259640186344</v>
      </c>
      <c r="R40" s="188">
        <v>0.95700285604204982</v>
      </c>
      <c r="S40" s="188">
        <v>5.5069215852119271</v>
      </c>
      <c r="T40" s="189"/>
    </row>
    <row r="41" spans="5:20" x14ac:dyDescent="0.25">
      <c r="E41" s="303" t="str">
        <f>+E16</f>
        <v xml:space="preserve">Componente 4: Infraestructura para la mejora educativa. </v>
      </c>
      <c r="F41" s="303"/>
      <c r="G41" s="185">
        <f>SUM(G42:G45)</f>
        <v>36.47</v>
      </c>
      <c r="H41" s="185">
        <f t="shared" ref="H41" si="13">SUM(H42:H45)</f>
        <v>12.82</v>
      </c>
      <c r="I41" s="185">
        <f t="shared" si="4"/>
        <v>49.29</v>
      </c>
      <c r="J41" s="186">
        <v>0.65987164975475343</v>
      </c>
      <c r="K41" s="173"/>
      <c r="L41" s="303" t="str">
        <f>+L16</f>
        <v xml:space="preserve">Componente 4: Infraestructura para la mejora educativa. </v>
      </c>
      <c r="M41" s="303"/>
      <c r="N41" s="185">
        <v>11.568479895360916</v>
      </c>
      <c r="O41" s="185">
        <v>6.5139279252859081</v>
      </c>
      <c r="P41" s="185">
        <v>10.897801819995207</v>
      </c>
      <c r="Q41" s="185">
        <v>10.16655513537768</v>
      </c>
      <c r="R41" s="185">
        <v>10.145647373422985</v>
      </c>
      <c r="S41" s="185">
        <v>49.292412149442697</v>
      </c>
      <c r="T41" s="186">
        <v>0.65987164975475343</v>
      </c>
    </row>
    <row r="42" spans="5:20" x14ac:dyDescent="0.25">
      <c r="E42" s="187">
        <v>4.0999999999999996</v>
      </c>
      <c r="F42" s="304" t="s">
        <v>441</v>
      </c>
      <c r="G42" s="188">
        <v>22.66</v>
      </c>
      <c r="H42" s="188">
        <v>9.76</v>
      </c>
      <c r="I42" s="188">
        <f t="shared" si="4"/>
        <v>32.42</v>
      </c>
      <c r="J42" s="189"/>
      <c r="K42" s="175"/>
      <c r="L42" s="187">
        <v>4.0999999999999996</v>
      </c>
      <c r="M42" s="304" t="s">
        <v>441</v>
      </c>
      <c r="N42" s="188">
        <v>7.7405611553646763</v>
      </c>
      <c r="O42" s="188">
        <v>5.1582579316465136</v>
      </c>
      <c r="P42" s="188">
        <v>7.5038924189463909</v>
      </c>
      <c r="Q42" s="188">
        <v>5.8536578428768067</v>
      </c>
      <c r="R42" s="188">
        <v>6.1704355906087809</v>
      </c>
      <c r="S42" s="188">
        <v>32.426804939443173</v>
      </c>
      <c r="T42" s="189"/>
    </row>
    <row r="43" spans="5:20" x14ac:dyDescent="0.25">
      <c r="E43" s="187">
        <v>4.2</v>
      </c>
      <c r="F43" s="304" t="s">
        <v>341</v>
      </c>
      <c r="G43" s="188">
        <v>6.76</v>
      </c>
      <c r="H43" s="188">
        <f t="shared" ref="H43" si="14">ROUNDUP(H18,2)</f>
        <v>1.8800000000000001</v>
      </c>
      <c r="I43" s="188">
        <f t="shared" si="4"/>
        <v>8.64</v>
      </c>
      <c r="J43" s="189"/>
      <c r="K43" s="175"/>
      <c r="L43" s="187">
        <v>4.2</v>
      </c>
      <c r="M43" s="304" t="s">
        <v>341</v>
      </c>
      <c r="N43" s="188">
        <v>3.7734027411658397</v>
      </c>
      <c r="O43" s="188">
        <v>0.60816961273804382</v>
      </c>
      <c r="P43" s="188">
        <v>2.3403522102001029</v>
      </c>
      <c r="Q43" s="188">
        <v>1.2198873158456827</v>
      </c>
      <c r="R43" s="188">
        <v>0.69763013383610528</v>
      </c>
      <c r="S43" s="188">
        <v>8.639442013785775</v>
      </c>
      <c r="T43" s="189"/>
    </row>
    <row r="44" spans="5:20" x14ac:dyDescent="0.25">
      <c r="E44" s="187">
        <v>4.3</v>
      </c>
      <c r="F44" s="304" t="s">
        <v>375</v>
      </c>
      <c r="G44" s="188">
        <v>6.86</v>
      </c>
      <c r="H44" s="188">
        <v>1.1299999999999999</v>
      </c>
      <c r="I44" s="188">
        <f t="shared" si="4"/>
        <v>7.99</v>
      </c>
      <c r="J44" s="189"/>
      <c r="K44" s="175"/>
      <c r="L44" s="187">
        <v>4.3</v>
      </c>
      <c r="M44" s="304" t="s">
        <v>375</v>
      </c>
      <c r="N44" s="188">
        <v>0</v>
      </c>
      <c r="O44" s="188">
        <v>0.70953278218791127</v>
      </c>
      <c r="P44" s="188">
        <v>1.0117928322639298</v>
      </c>
      <c r="Q44" s="188">
        <v>3.047069182211926</v>
      </c>
      <c r="R44" s="188">
        <v>3.2270467750905105</v>
      </c>
      <c r="S44" s="188">
        <v>7.9954415717542773</v>
      </c>
      <c r="T44" s="189"/>
    </row>
    <row r="45" spans="5:20" x14ac:dyDescent="0.25">
      <c r="E45" s="187">
        <v>4.4000000000000004</v>
      </c>
      <c r="F45" s="304" t="s">
        <v>443</v>
      </c>
      <c r="G45" s="188">
        <f t="shared" ref="G45:H45" si="15">ROUNDUP(G20,2)</f>
        <v>0.19</v>
      </c>
      <c r="H45" s="188">
        <f t="shared" si="15"/>
        <v>0.05</v>
      </c>
      <c r="I45" s="188">
        <f t="shared" si="4"/>
        <v>0.24</v>
      </c>
      <c r="J45" s="189"/>
      <c r="K45" s="175"/>
      <c r="L45" s="187">
        <v>4.4000000000000004</v>
      </c>
      <c r="M45" s="304" t="s">
        <v>443</v>
      </c>
      <c r="N45" s="188">
        <v>5.4515998830400009E-2</v>
      </c>
      <c r="O45" s="188">
        <v>3.7967598713440007E-2</v>
      </c>
      <c r="P45" s="188">
        <v>4.1764358584784014E-2</v>
      </c>
      <c r="Q45" s="188">
        <v>4.5940794443262413E-2</v>
      </c>
      <c r="R45" s="188">
        <v>5.0534873887588663E-2</v>
      </c>
      <c r="S45" s="188">
        <v>0.23072362445947509</v>
      </c>
      <c r="T45" s="189"/>
    </row>
    <row r="46" spans="5:20" x14ac:dyDescent="0.25">
      <c r="E46" s="303" t="str">
        <f>+E21</f>
        <v>Administración del Programa</v>
      </c>
      <c r="F46" s="303"/>
      <c r="G46" s="185">
        <f>SUM(G47:G48)</f>
        <v>1.1400000000000001</v>
      </c>
      <c r="H46" s="185">
        <f t="shared" ref="H46" si="16">SUM(H47:H48)</f>
        <v>3.82</v>
      </c>
      <c r="I46" s="185">
        <f t="shared" si="4"/>
        <v>4.96</v>
      </c>
      <c r="J46" s="186">
        <v>6.6483230921293407E-2</v>
      </c>
      <c r="K46" s="173"/>
      <c r="L46" s="303" t="str">
        <f>+L21</f>
        <v>Administración del Programa</v>
      </c>
      <c r="M46" s="303"/>
      <c r="N46" s="185">
        <v>0.80510141020315762</v>
      </c>
      <c r="O46" s="185">
        <v>0.87506915122347328</v>
      </c>
      <c r="P46" s="185">
        <v>1.0125760663458208</v>
      </c>
      <c r="Q46" s="185">
        <v>1.0588336729804029</v>
      </c>
      <c r="R46" s="185">
        <v>1.2147170402784433</v>
      </c>
      <c r="S46" s="185">
        <v>4.9662973410312974</v>
      </c>
      <c r="T46" s="186">
        <v>6.6483230921293407E-2</v>
      </c>
    </row>
    <row r="47" spans="5:20" x14ac:dyDescent="0.25">
      <c r="E47" s="187">
        <v>5.0999999999999996</v>
      </c>
      <c r="F47" s="304" t="s">
        <v>178</v>
      </c>
      <c r="G47" s="188">
        <f t="shared" ref="G47" si="17">ROUNDUP(G22,2)</f>
        <v>1.02</v>
      </c>
      <c r="H47" s="188">
        <v>3.13</v>
      </c>
      <c r="I47" s="188">
        <f t="shared" si="4"/>
        <v>4.1500000000000004</v>
      </c>
      <c r="J47" s="189"/>
      <c r="K47" s="175"/>
      <c r="L47" s="187">
        <v>5.0999999999999996</v>
      </c>
      <c r="M47" s="304" t="s">
        <v>178</v>
      </c>
      <c r="N47" s="188">
        <v>0.68065005666069522</v>
      </c>
      <c r="O47" s="188">
        <v>0.74871506232676466</v>
      </c>
      <c r="P47" s="188">
        <v>0.82358656855944123</v>
      </c>
      <c r="Q47" s="188">
        <v>0.90594522541538536</v>
      </c>
      <c r="R47" s="188">
        <v>0.99653974795692413</v>
      </c>
      <c r="S47" s="188">
        <v>4.1554366609192108</v>
      </c>
      <c r="T47" s="189"/>
    </row>
    <row r="48" spans="5:20" x14ac:dyDescent="0.25">
      <c r="E48" s="187">
        <v>5.2</v>
      </c>
      <c r="F48" s="304" t="s">
        <v>417</v>
      </c>
      <c r="G48" s="188">
        <v>0.12</v>
      </c>
      <c r="H48" s="188">
        <f t="shared" ref="H48" si="18">ROUNDUP(H23,2)</f>
        <v>0.69000000000000006</v>
      </c>
      <c r="I48" s="194">
        <f t="shared" si="4"/>
        <v>0.81</v>
      </c>
      <c r="J48" s="189"/>
      <c r="K48" s="175"/>
      <c r="L48" s="187">
        <v>5.2</v>
      </c>
      <c r="M48" s="304" t="s">
        <v>417</v>
      </c>
      <c r="N48" s="188">
        <v>0.12445135354246234</v>
      </c>
      <c r="O48" s="188">
        <v>0.1263540888967086</v>
      </c>
      <c r="P48" s="188">
        <v>0.18898949778637947</v>
      </c>
      <c r="Q48" s="188">
        <v>0.15288844756501743</v>
      </c>
      <c r="R48" s="188">
        <v>0.2181772923215192</v>
      </c>
      <c r="S48" s="188">
        <v>0.81086068011208701</v>
      </c>
      <c r="T48" s="189"/>
    </row>
    <row r="49" spans="5:20" x14ac:dyDescent="0.25">
      <c r="E49" s="305" t="s">
        <v>242</v>
      </c>
      <c r="F49" s="305"/>
      <c r="G49" s="190">
        <f>+G46+G41+G37+G33+G29</f>
        <v>50</v>
      </c>
      <c r="H49" s="190">
        <f t="shared" ref="H49" si="19">+H46+H41+H37+H33+H29</f>
        <v>24.700000000000003</v>
      </c>
      <c r="I49" s="190">
        <f>+G49+H49</f>
        <v>74.7</v>
      </c>
      <c r="J49" s="191">
        <v>1</v>
      </c>
      <c r="K49" s="173"/>
      <c r="L49" s="305" t="s">
        <v>124</v>
      </c>
      <c r="M49" s="305"/>
      <c r="N49" s="190">
        <v>16.444407341594392</v>
      </c>
      <c r="O49" s="190">
        <v>11.823921103392145</v>
      </c>
      <c r="P49" s="190">
        <v>15.797010368355162</v>
      </c>
      <c r="Q49" s="190">
        <v>15.127065823081011</v>
      </c>
      <c r="R49" s="190">
        <v>15.507595231373731</v>
      </c>
      <c r="S49" s="190">
        <v>74.699999867796436</v>
      </c>
      <c r="T49" s="192">
        <v>1</v>
      </c>
    </row>
  </sheetData>
  <mergeCells count="1">
    <mergeCell ref="I2:I3"/>
  </mergeCell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B1:BD474"/>
  <sheetViews>
    <sheetView tabSelected="1" view="pageBreakPreview" zoomScale="98" zoomScaleNormal="80" zoomScaleSheetLayoutView="98" workbookViewId="0">
      <pane xSplit="11" ySplit="4" topLeftCell="L166" activePane="bottomRight" state="frozen"/>
      <selection activeCell="A16" sqref="A16"/>
      <selection pane="topRight" activeCell="K16" sqref="K16"/>
      <selection pane="bottomLeft" activeCell="A21" sqref="A21"/>
      <selection pane="bottomRight" activeCell="K182" sqref="K182"/>
    </sheetView>
  </sheetViews>
  <sheetFormatPr defaultColWidth="11.42578125" defaultRowHeight="12.75" x14ac:dyDescent="0.25"/>
  <cols>
    <col min="1" max="1" width="4" style="38" customWidth="1"/>
    <col min="2" max="2" width="8.7109375" style="38" hidden="1" customWidth="1"/>
    <col min="3" max="3" width="8.140625" style="38" hidden="1" customWidth="1"/>
    <col min="4" max="5" width="3.42578125" style="218" hidden="1" customWidth="1"/>
    <col min="6" max="6" width="3.42578125" style="199" hidden="1" customWidth="1"/>
    <col min="7" max="8" width="3.42578125" style="218" hidden="1" customWidth="1"/>
    <col min="9" max="9" width="8.85546875" style="35" customWidth="1"/>
    <col min="10" max="10" width="6" style="222" customWidth="1"/>
    <col min="11" max="11" width="44.140625" style="38" customWidth="1"/>
    <col min="12" max="12" width="14.5703125" style="43" customWidth="1"/>
    <col min="13" max="13" width="14" style="77" customWidth="1"/>
    <col min="14" max="14" width="14" style="235" customWidth="1"/>
    <col min="15" max="15" width="7.28515625" style="82" customWidth="1"/>
    <col min="16" max="16" width="8.28515625" style="83" customWidth="1"/>
    <col min="17" max="17" width="13.5703125" style="241" customWidth="1"/>
    <col min="18" max="21" width="15.140625" style="239" customWidth="1"/>
    <col min="22" max="22" width="15.140625" style="240" customWidth="1"/>
    <col min="23" max="23" width="14.28515625" style="222" hidden="1" customWidth="1"/>
    <col min="24" max="25" width="22.140625" style="397" hidden="1" customWidth="1"/>
    <col min="26" max="26" width="43.7109375" style="397" hidden="1" customWidth="1"/>
    <col min="27" max="27" width="13.85546875" style="43" hidden="1" customWidth="1"/>
    <col min="28" max="28" width="8.7109375" style="38" hidden="1" customWidth="1"/>
    <col min="29" max="29" width="10.140625" style="38" hidden="1" customWidth="1"/>
    <col min="30" max="30" width="11.140625" style="38" hidden="1" customWidth="1"/>
    <col min="31" max="35" width="11.140625" style="38" customWidth="1"/>
    <col min="36" max="36" width="12.85546875" style="251" customWidth="1"/>
    <col min="37" max="39" width="12.85546875" style="239" customWidth="1"/>
    <col min="40" max="40" width="12.85546875" style="240" customWidth="1"/>
    <col min="41" max="41" width="12.85546875" style="257" customWidth="1"/>
    <col min="42" max="42" width="2.140625" style="35" customWidth="1"/>
    <col min="43" max="43" width="12" style="252" customWidth="1"/>
    <col min="44" max="44" width="12" style="224" customWidth="1"/>
    <col min="45" max="45" width="12" style="223" customWidth="1"/>
    <col min="46" max="46" width="12" style="224" customWidth="1"/>
    <col min="47" max="47" width="12" style="223" customWidth="1"/>
    <col min="48" max="48" width="12" style="224" customWidth="1"/>
    <col min="49" max="49" width="12" style="223" customWidth="1"/>
    <col min="50" max="50" width="12" style="224" customWidth="1"/>
    <col min="51" max="51" width="12" style="223" customWidth="1"/>
    <col min="52" max="52" width="12" style="253" customWidth="1"/>
    <col min="53" max="53" width="12.7109375" style="252" customWidth="1"/>
    <col min="54" max="54" width="12.7109375" style="253" customWidth="1"/>
    <col min="55" max="55" width="37.42578125" style="38" hidden="1" customWidth="1"/>
    <col min="56" max="16384" width="11.42578125" style="38"/>
  </cols>
  <sheetData>
    <row r="1" spans="2:56" s="239" customFormat="1" ht="13.5" customHeight="1" x14ac:dyDescent="0.25">
      <c r="D1" s="382"/>
      <c r="E1" s="382"/>
      <c r="F1" s="383"/>
      <c r="G1" s="382"/>
      <c r="H1" s="382"/>
      <c r="I1" s="246"/>
      <c r="J1" s="235"/>
      <c r="K1" s="246"/>
      <c r="L1" s="255"/>
      <c r="M1" s="289"/>
      <c r="N1" s="289"/>
      <c r="O1" s="83"/>
      <c r="P1" s="83"/>
      <c r="Q1" s="387"/>
      <c r="R1" s="235">
        <v>33</v>
      </c>
      <c r="S1" s="235">
        <v>33</v>
      </c>
      <c r="T1" s="235">
        <v>33</v>
      </c>
      <c r="U1" s="235">
        <v>33</v>
      </c>
      <c r="V1" s="235">
        <v>33</v>
      </c>
      <c r="W1" s="235"/>
      <c r="X1" s="333"/>
      <c r="Y1" s="333"/>
      <c r="Z1" s="333"/>
      <c r="AA1" s="385"/>
      <c r="AJ1" s="235">
        <v>33</v>
      </c>
      <c r="AK1" s="235">
        <v>33</v>
      </c>
      <c r="AL1" s="235">
        <v>33</v>
      </c>
      <c r="AM1" s="235">
        <v>33</v>
      </c>
      <c r="AN1" s="235">
        <v>33</v>
      </c>
      <c r="AP1" s="246"/>
      <c r="AQ1" s="385"/>
      <c r="AR1" s="385"/>
      <c r="AS1" s="385"/>
      <c r="AT1" s="385"/>
      <c r="AU1" s="385"/>
      <c r="AV1" s="385"/>
      <c r="AW1" s="385"/>
      <c r="AX1" s="385"/>
      <c r="AY1" s="385"/>
      <c r="AZ1" s="385"/>
      <c r="BA1" s="385"/>
      <c r="BB1" s="385"/>
      <c r="BC1" s="246"/>
    </row>
    <row r="2" spans="2:56" ht="15" customHeight="1" x14ac:dyDescent="0.25">
      <c r="K2" s="391"/>
      <c r="L2" s="393"/>
      <c r="M2" s="246"/>
      <c r="N2" s="390"/>
      <c r="O2" s="408" t="s">
        <v>425</v>
      </c>
      <c r="P2" s="409"/>
      <c r="Q2" s="410" t="s">
        <v>14</v>
      </c>
      <c r="R2" s="411"/>
      <c r="S2" s="411"/>
      <c r="T2" s="411"/>
      <c r="U2" s="411"/>
      <c r="V2" s="412"/>
      <c r="W2" s="290"/>
      <c r="AA2" s="388"/>
      <c r="AD2" s="410" t="s">
        <v>582</v>
      </c>
      <c r="AE2" s="411"/>
      <c r="AF2" s="411"/>
      <c r="AG2" s="411"/>
      <c r="AH2" s="411"/>
      <c r="AI2" s="411"/>
      <c r="AJ2" s="410" t="s">
        <v>396</v>
      </c>
      <c r="AK2" s="411"/>
      <c r="AL2" s="411"/>
      <c r="AM2" s="411"/>
      <c r="AN2" s="412"/>
      <c r="BC2" s="392"/>
    </row>
    <row r="3" spans="2:56" s="68" customFormat="1" ht="31.5" customHeight="1" x14ac:dyDescent="0.25">
      <c r="B3" s="68" t="s">
        <v>15</v>
      </c>
      <c r="C3" s="68" t="s">
        <v>256</v>
      </c>
      <c r="D3" s="195"/>
      <c r="E3" s="195"/>
      <c r="F3" s="195"/>
      <c r="G3" s="195"/>
      <c r="H3" s="195"/>
      <c r="I3" s="69" t="s">
        <v>291</v>
      </c>
      <c r="J3" s="69" t="s">
        <v>326</v>
      </c>
      <c r="K3" s="68" t="s">
        <v>312</v>
      </c>
      <c r="L3" s="389" t="s">
        <v>588</v>
      </c>
      <c r="M3" s="296" t="s">
        <v>586</v>
      </c>
      <c r="N3" s="297" t="s">
        <v>587</v>
      </c>
      <c r="O3" s="294" t="s">
        <v>584</v>
      </c>
      <c r="P3" s="295" t="s">
        <v>585</v>
      </c>
      <c r="Q3" s="291">
        <v>2016</v>
      </c>
      <c r="R3" s="292">
        <v>2017</v>
      </c>
      <c r="S3" s="292">
        <v>2018</v>
      </c>
      <c r="T3" s="292">
        <v>2019</v>
      </c>
      <c r="U3" s="292">
        <v>2020</v>
      </c>
      <c r="V3" s="293">
        <v>2021</v>
      </c>
      <c r="W3" s="272" t="s">
        <v>202</v>
      </c>
      <c r="X3" s="68" t="s">
        <v>197</v>
      </c>
      <c r="Y3" s="68" t="s">
        <v>198</v>
      </c>
      <c r="Z3" s="398" t="s">
        <v>2</v>
      </c>
      <c r="AA3" s="70" t="s">
        <v>333</v>
      </c>
      <c r="AB3" s="268"/>
      <c r="AC3" s="68" t="s">
        <v>583</v>
      </c>
      <c r="AD3" s="273">
        <v>2016</v>
      </c>
      <c r="AE3" s="273">
        <v>2017</v>
      </c>
      <c r="AF3" s="273">
        <v>2018</v>
      </c>
      <c r="AG3" s="273">
        <v>2019</v>
      </c>
      <c r="AH3" s="273">
        <v>2020</v>
      </c>
      <c r="AI3" s="273">
        <v>2021</v>
      </c>
      <c r="AJ3" s="273">
        <v>2017</v>
      </c>
      <c r="AK3" s="273">
        <v>2018</v>
      </c>
      <c r="AL3" s="273">
        <v>2019</v>
      </c>
      <c r="AM3" s="273">
        <v>2020</v>
      </c>
      <c r="AN3" s="273">
        <v>2021</v>
      </c>
      <c r="AO3" s="273" t="s">
        <v>124</v>
      </c>
      <c r="AP3" s="326"/>
      <c r="AQ3" s="271" t="s">
        <v>426</v>
      </c>
      <c r="AR3" s="274" t="s">
        <v>427</v>
      </c>
      <c r="AS3" s="275" t="s">
        <v>426</v>
      </c>
      <c r="AT3" s="274" t="s">
        <v>427</v>
      </c>
      <c r="AU3" s="275" t="s">
        <v>426</v>
      </c>
      <c r="AV3" s="274" t="s">
        <v>427</v>
      </c>
      <c r="AW3" s="275" t="s">
        <v>426</v>
      </c>
      <c r="AX3" s="274" t="s">
        <v>427</v>
      </c>
      <c r="AY3" s="275" t="s">
        <v>426</v>
      </c>
      <c r="AZ3" s="276" t="s">
        <v>427</v>
      </c>
      <c r="BA3" s="277" t="s">
        <v>446</v>
      </c>
      <c r="BB3" s="278" t="s">
        <v>447</v>
      </c>
      <c r="BC3" s="68" t="s">
        <v>313</v>
      </c>
    </row>
    <row r="4" spans="2:56" s="31" customFormat="1" x14ac:dyDescent="0.25">
      <c r="B4" s="29" t="s">
        <v>16</v>
      </c>
      <c r="C4" s="29"/>
      <c r="D4" s="196">
        <v>1</v>
      </c>
      <c r="E4" s="196">
        <v>0</v>
      </c>
      <c r="F4" s="196">
        <v>0</v>
      </c>
      <c r="G4" s="196">
        <v>0</v>
      </c>
      <c r="H4" s="196">
        <v>0</v>
      </c>
      <c r="I4" s="225" t="str">
        <f>CONCATENATE(D4,".",E4,".",F4,".",G4)</f>
        <v>1.0.0.0</v>
      </c>
      <c r="J4" s="226"/>
      <c r="K4" s="30" t="s">
        <v>597</v>
      </c>
      <c r="L4" s="60">
        <f>SUM(Q4:V4)/$R$1</f>
        <v>4461443.4767627828</v>
      </c>
      <c r="M4" s="78">
        <f>+M5+M12+M24</f>
        <v>3497114.2990831486</v>
      </c>
      <c r="N4" s="281">
        <f t="shared" ref="N4:V4" si="0">+N5+N12+N24</f>
        <v>964329.17767963302</v>
      </c>
      <c r="O4" s="279"/>
      <c r="P4" s="280"/>
      <c r="Q4" s="78">
        <f t="shared" si="0"/>
        <v>0</v>
      </c>
      <c r="R4" s="281">
        <f t="shared" si="0"/>
        <v>30545608.057717606</v>
      </c>
      <c r="S4" s="281">
        <f t="shared" si="0"/>
        <v>36031868.863489375</v>
      </c>
      <c r="T4" s="281">
        <f t="shared" si="0"/>
        <v>27977271.749838315</v>
      </c>
      <c r="U4" s="281">
        <f t="shared" si="0"/>
        <v>25313076.524822146</v>
      </c>
      <c r="V4" s="66">
        <f t="shared" si="0"/>
        <v>27359809.537304364</v>
      </c>
      <c r="W4" s="32"/>
      <c r="AA4" s="228">
        <v>223613811.26635557</v>
      </c>
      <c r="AB4" s="229"/>
      <c r="AJ4" s="78">
        <f>+AJ5+AJ12+AJ24</f>
        <v>925624.4865975033</v>
      </c>
      <c r="AK4" s="281">
        <f t="shared" ref="AK4:BB4" si="1">+AK5+AK12+AK24</f>
        <v>1091874.8140451326</v>
      </c>
      <c r="AL4" s="281">
        <f t="shared" si="1"/>
        <v>847796.11363146396</v>
      </c>
      <c r="AM4" s="281">
        <f t="shared" si="1"/>
        <v>767062.92499461048</v>
      </c>
      <c r="AN4" s="66">
        <f t="shared" si="1"/>
        <v>829085.13749407162</v>
      </c>
      <c r="AO4" s="282">
        <f t="shared" si="1"/>
        <v>4461443.4767627809</v>
      </c>
      <c r="AP4" s="138"/>
      <c r="AQ4" s="283">
        <f t="shared" si="1"/>
        <v>728180.21077332704</v>
      </c>
      <c r="AR4" s="130">
        <f t="shared" si="1"/>
        <v>197444.27582417623</v>
      </c>
      <c r="AS4" s="131">
        <f t="shared" si="1"/>
        <v>875540.71669914469</v>
      </c>
      <c r="AT4" s="130">
        <f t="shared" si="1"/>
        <v>216334.0973459878</v>
      </c>
      <c r="AU4" s="131">
        <f t="shared" si="1"/>
        <v>660384.51927815017</v>
      </c>
      <c r="AV4" s="130">
        <f t="shared" si="1"/>
        <v>187411.59435331391</v>
      </c>
      <c r="AW4" s="131">
        <f t="shared" si="1"/>
        <v>592178.47520596511</v>
      </c>
      <c r="AX4" s="130">
        <f t="shared" si="1"/>
        <v>174884.44978864526</v>
      </c>
      <c r="AY4" s="131">
        <f t="shared" si="1"/>
        <v>640831.37712656171</v>
      </c>
      <c r="AZ4" s="284">
        <f t="shared" si="1"/>
        <v>188253.76036750979</v>
      </c>
      <c r="BA4" s="283">
        <f t="shared" si="1"/>
        <v>3497115.2990831486</v>
      </c>
      <c r="BB4" s="284">
        <f t="shared" si="1"/>
        <v>964328.17767963302</v>
      </c>
    </row>
    <row r="5" spans="2:56" s="46" customFormat="1" x14ac:dyDescent="0.25">
      <c r="B5" s="33"/>
      <c r="C5" s="33"/>
      <c r="D5" s="220">
        <v>1</v>
      </c>
      <c r="E5" s="220">
        <v>1</v>
      </c>
      <c r="F5" s="220">
        <v>0</v>
      </c>
      <c r="G5" s="220">
        <v>0</v>
      </c>
      <c r="H5" s="220">
        <v>0</v>
      </c>
      <c r="I5" s="33" t="str">
        <f t="shared" ref="I5:I49" si="2">CONCATENATE(D5,".",E5,".",F5,".",G5)</f>
        <v>1.1.0.0</v>
      </c>
      <c r="J5" s="33">
        <v>1.1000000000000001</v>
      </c>
      <c r="K5" s="46" t="s">
        <v>435</v>
      </c>
      <c r="L5" s="47">
        <f t="shared" ref="L5:L64" si="3">SUM(Q5:V5)/$R$1</f>
        <v>1096000</v>
      </c>
      <c r="M5" s="79">
        <f>+M6+M8-1</f>
        <v>911908.09090909094</v>
      </c>
      <c r="N5" s="236">
        <f>+N6+N8+1</f>
        <v>184091.90909090912</v>
      </c>
      <c r="O5" s="84"/>
      <c r="P5" s="85"/>
      <c r="Q5" s="79">
        <f t="shared" ref="Q5" si="4">+Q6+Q8</f>
        <v>0</v>
      </c>
      <c r="R5" s="236">
        <f>+R6+R8</f>
        <v>15324000</v>
      </c>
      <c r="S5" s="236">
        <f t="shared" ref="S5:BD5" si="5">+S6+S8</f>
        <v>16884000</v>
      </c>
      <c r="T5" s="236">
        <f t="shared" si="5"/>
        <v>3960000</v>
      </c>
      <c r="U5" s="236">
        <f t="shared" si="5"/>
        <v>0</v>
      </c>
      <c r="V5" s="67">
        <f t="shared" si="5"/>
        <v>0</v>
      </c>
      <c r="W5" s="48">
        <f t="shared" si="5"/>
        <v>0</v>
      </c>
      <c r="X5" s="399">
        <f t="shared" si="5"/>
        <v>0</v>
      </c>
      <c r="Y5" s="399">
        <f t="shared" si="5"/>
        <v>0</v>
      </c>
      <c r="Z5" s="399">
        <f t="shared" si="5"/>
        <v>0</v>
      </c>
      <c r="AA5" s="47"/>
      <c r="AC5" s="48">
        <f t="shared" si="5"/>
        <v>0</v>
      </c>
      <c r="AD5" s="48"/>
      <c r="AE5" s="48"/>
      <c r="AF5" s="48"/>
      <c r="AG5" s="48"/>
      <c r="AH5" s="48"/>
      <c r="AI5" s="48"/>
      <c r="AJ5" s="79">
        <f t="shared" si="5"/>
        <v>464363.63636363635</v>
      </c>
      <c r="AK5" s="236">
        <f t="shared" si="5"/>
        <v>511636.36363636365</v>
      </c>
      <c r="AL5" s="236">
        <f t="shared" si="5"/>
        <v>120000</v>
      </c>
      <c r="AM5" s="236">
        <f t="shared" si="5"/>
        <v>0</v>
      </c>
      <c r="AN5" s="67">
        <f t="shared" si="5"/>
        <v>0</v>
      </c>
      <c r="AO5" s="258">
        <f t="shared" ref="AO5:AO65" si="6">SUBTOTAL(9,AJ5:AN5)</f>
        <v>1096000</v>
      </c>
      <c r="AP5" s="139"/>
      <c r="AQ5" s="262">
        <f t="shared" ref="AQ5:AZ5" si="7">+AQ6+AQ8</f>
        <v>380778.18181818182</v>
      </c>
      <c r="AR5" s="133">
        <f t="shared" si="7"/>
        <v>83585.454545454573</v>
      </c>
      <c r="AS5" s="132">
        <f t="shared" si="7"/>
        <v>432730.90909090912</v>
      </c>
      <c r="AT5" s="133">
        <f t="shared" si="7"/>
        <v>78905.454545454559</v>
      </c>
      <c r="AU5" s="132">
        <f t="shared" si="7"/>
        <v>98400</v>
      </c>
      <c r="AV5" s="133">
        <f t="shared" si="7"/>
        <v>21600.000000000007</v>
      </c>
      <c r="AW5" s="132">
        <f t="shared" si="7"/>
        <v>0</v>
      </c>
      <c r="AX5" s="133">
        <f t="shared" si="7"/>
        <v>0</v>
      </c>
      <c r="AY5" s="132">
        <f t="shared" si="7"/>
        <v>0</v>
      </c>
      <c r="AZ5" s="263">
        <f t="shared" si="7"/>
        <v>0</v>
      </c>
      <c r="BA5" s="262">
        <f t="shared" ref="BA5:BA65" si="8">+AQ5+AS5+AU5+AW5+AY5</f>
        <v>911909.09090909094</v>
      </c>
      <c r="BB5" s="263">
        <f t="shared" ref="BB5:BB65" si="9">+AR5+AT5+AV5+AX5+AZ5</f>
        <v>184090.90909090912</v>
      </c>
      <c r="BD5" s="48">
        <f t="shared" si="5"/>
        <v>0</v>
      </c>
    </row>
    <row r="6" spans="2:56" s="51" customFormat="1" x14ac:dyDescent="0.25">
      <c r="B6" s="34"/>
      <c r="C6" s="34"/>
      <c r="D6" s="221">
        <v>1</v>
      </c>
      <c r="E6" s="221">
        <v>1</v>
      </c>
      <c r="F6" s="221" t="s">
        <v>270</v>
      </c>
      <c r="G6" s="221">
        <v>0</v>
      </c>
      <c r="H6" s="221">
        <v>0</v>
      </c>
      <c r="I6" s="34" t="str">
        <f t="shared" si="2"/>
        <v>1.1.a.0</v>
      </c>
      <c r="J6" s="34"/>
      <c r="K6" s="51" t="s">
        <v>327</v>
      </c>
      <c r="L6" s="45">
        <f t="shared" si="3"/>
        <v>360000</v>
      </c>
      <c r="M6" s="80">
        <f t="shared" ref="M6:Q6" si="10">SUM(M7)</f>
        <v>295200</v>
      </c>
      <c r="N6" s="237">
        <f t="shared" si="10"/>
        <v>64800.000000000015</v>
      </c>
      <c r="O6" s="86"/>
      <c r="P6" s="87"/>
      <c r="Q6" s="80">
        <f t="shared" si="10"/>
        <v>0</v>
      </c>
      <c r="R6" s="237">
        <f>SUM(R7)</f>
        <v>3960000</v>
      </c>
      <c r="S6" s="237">
        <f t="shared" ref="S6:V6" si="11">SUM(S7)</f>
        <v>3960000</v>
      </c>
      <c r="T6" s="237">
        <f t="shared" si="11"/>
        <v>3960000</v>
      </c>
      <c r="U6" s="237">
        <f t="shared" si="11"/>
        <v>0</v>
      </c>
      <c r="V6" s="75">
        <f t="shared" si="11"/>
        <v>0</v>
      </c>
      <c r="W6" s="53"/>
      <c r="X6" s="400"/>
      <c r="Y6" s="400"/>
      <c r="Z6" s="400"/>
      <c r="AA6" s="45"/>
      <c r="AJ6" s="80">
        <f t="shared" ref="AJ6:AZ6" si="12">SUM(AJ7)</f>
        <v>120000</v>
      </c>
      <c r="AK6" s="237">
        <f t="shared" si="12"/>
        <v>120000</v>
      </c>
      <c r="AL6" s="237">
        <f t="shared" si="12"/>
        <v>120000</v>
      </c>
      <c r="AM6" s="237">
        <f t="shared" si="12"/>
        <v>0</v>
      </c>
      <c r="AN6" s="75">
        <f t="shared" si="12"/>
        <v>0</v>
      </c>
      <c r="AO6" s="259">
        <f t="shared" si="6"/>
        <v>360000</v>
      </c>
      <c r="AP6" s="139"/>
      <c r="AQ6" s="264">
        <f t="shared" si="12"/>
        <v>98400</v>
      </c>
      <c r="AR6" s="135">
        <f t="shared" si="12"/>
        <v>21600.000000000007</v>
      </c>
      <c r="AS6" s="134">
        <f t="shared" si="12"/>
        <v>98400</v>
      </c>
      <c r="AT6" s="135">
        <f t="shared" si="12"/>
        <v>21600.000000000007</v>
      </c>
      <c r="AU6" s="134">
        <f t="shared" si="12"/>
        <v>98400</v>
      </c>
      <c r="AV6" s="135">
        <f t="shared" si="12"/>
        <v>21600.000000000007</v>
      </c>
      <c r="AW6" s="134">
        <f t="shared" si="12"/>
        <v>0</v>
      </c>
      <c r="AX6" s="135">
        <f t="shared" si="12"/>
        <v>0</v>
      </c>
      <c r="AY6" s="134">
        <f t="shared" si="12"/>
        <v>0</v>
      </c>
      <c r="AZ6" s="265">
        <f t="shared" si="12"/>
        <v>0</v>
      </c>
      <c r="BA6" s="264">
        <f t="shared" si="8"/>
        <v>295200</v>
      </c>
      <c r="BB6" s="265">
        <f t="shared" si="9"/>
        <v>64800.000000000022</v>
      </c>
    </row>
    <row r="7" spans="2:56" s="35" customFormat="1" ht="14.45" customHeight="1" x14ac:dyDescent="0.25">
      <c r="B7" s="72" t="s">
        <v>22</v>
      </c>
      <c r="C7" s="72"/>
      <c r="D7" s="199">
        <v>1</v>
      </c>
      <c r="E7" s="199">
        <v>1</v>
      </c>
      <c r="F7" s="199" t="s">
        <v>270</v>
      </c>
      <c r="G7" s="199">
        <v>0</v>
      </c>
      <c r="H7" s="199"/>
      <c r="I7" s="72" t="str">
        <f t="shared" si="2"/>
        <v>1.1.a.0</v>
      </c>
      <c r="J7" s="72"/>
      <c r="K7" s="35" t="s">
        <v>346</v>
      </c>
      <c r="L7" s="73">
        <f t="shared" si="3"/>
        <v>360000</v>
      </c>
      <c r="M7" s="310">
        <f>+O7*$L7</f>
        <v>295200</v>
      </c>
      <c r="N7" s="311">
        <f>+P7*$L7</f>
        <v>64800.000000000015</v>
      </c>
      <c r="O7" s="306">
        <v>0.82</v>
      </c>
      <c r="P7" s="307">
        <f>1-O7</f>
        <v>0.18000000000000005</v>
      </c>
      <c r="Q7" s="248"/>
      <c r="R7" s="39">
        <f>120000*R1</f>
        <v>3960000</v>
      </c>
      <c r="S7" s="39">
        <f>+R7</f>
        <v>3960000</v>
      </c>
      <c r="T7" s="39">
        <f>+S7</f>
        <v>3960000</v>
      </c>
      <c r="U7" s="39"/>
      <c r="V7" s="245"/>
      <c r="W7" s="231"/>
      <c r="X7" s="401" t="s">
        <v>348</v>
      </c>
      <c r="Y7" s="401" t="s">
        <v>336</v>
      </c>
      <c r="Z7" s="401"/>
      <c r="AA7" s="73"/>
      <c r="AE7" s="72">
        <v>1</v>
      </c>
      <c r="AF7" s="72">
        <v>1</v>
      </c>
      <c r="AG7" s="72">
        <v>1</v>
      </c>
      <c r="AH7" s="72"/>
      <c r="AI7" s="72"/>
      <c r="AJ7" s="249">
        <f>+(R7+Q7)/$AJ$1</f>
        <v>120000</v>
      </c>
      <c r="AK7" s="255">
        <f>+S7/$AK$1</f>
        <v>120000</v>
      </c>
      <c r="AL7" s="255">
        <f>+T7/$AL$1</f>
        <v>120000</v>
      </c>
      <c r="AM7" s="255">
        <f>+U7/$AM$1</f>
        <v>0</v>
      </c>
      <c r="AN7" s="256">
        <f>+V7/$AN$1</f>
        <v>0</v>
      </c>
      <c r="AO7" s="261">
        <f t="shared" si="6"/>
        <v>360000</v>
      </c>
      <c r="AQ7" s="249">
        <f>+AJ7*$O7</f>
        <v>98400</v>
      </c>
      <c r="AR7" s="151">
        <f>+AJ7*$P7</f>
        <v>21600.000000000007</v>
      </c>
      <c r="AS7" s="150">
        <f>+AK7*$O7</f>
        <v>98400</v>
      </c>
      <c r="AT7" s="151">
        <f>+AK7*$P7</f>
        <v>21600.000000000007</v>
      </c>
      <c r="AU7" s="150">
        <f>+AL7*$O7</f>
        <v>98400</v>
      </c>
      <c r="AV7" s="151">
        <f>+AL7*$P7</f>
        <v>21600.000000000007</v>
      </c>
      <c r="AW7" s="150">
        <f>+AM7*$O7</f>
        <v>0</v>
      </c>
      <c r="AX7" s="151">
        <f>+AM7*$P7</f>
        <v>0</v>
      </c>
      <c r="AY7" s="150">
        <f>+AN7*$O7</f>
        <v>0</v>
      </c>
      <c r="AZ7" s="256">
        <f>+AN7*$P7</f>
        <v>0</v>
      </c>
      <c r="BA7" s="249">
        <f t="shared" si="8"/>
        <v>295200</v>
      </c>
      <c r="BB7" s="256">
        <f t="shared" si="9"/>
        <v>64800.000000000022</v>
      </c>
    </row>
    <row r="8" spans="2:56" s="51" customFormat="1" x14ac:dyDescent="0.25">
      <c r="B8" s="34"/>
      <c r="C8" s="34"/>
      <c r="D8" s="221">
        <v>1</v>
      </c>
      <c r="E8" s="221">
        <v>1</v>
      </c>
      <c r="F8" s="221" t="s">
        <v>280</v>
      </c>
      <c r="G8" s="221">
        <v>0</v>
      </c>
      <c r="H8" s="221">
        <v>0</v>
      </c>
      <c r="I8" s="34" t="str">
        <f t="shared" si="2"/>
        <v>1.1.b.0</v>
      </c>
      <c r="J8" s="34"/>
      <c r="K8" s="51" t="s">
        <v>347</v>
      </c>
      <c r="L8" s="45">
        <f t="shared" si="3"/>
        <v>736000</v>
      </c>
      <c r="M8" s="80">
        <f t="shared" ref="M8:Q8" si="13">SUM(M9:M11)</f>
        <v>616709.09090909094</v>
      </c>
      <c r="N8" s="237">
        <f t="shared" si="13"/>
        <v>119290.90909090912</v>
      </c>
      <c r="O8" s="86"/>
      <c r="P8" s="87"/>
      <c r="Q8" s="80">
        <f t="shared" si="13"/>
        <v>0</v>
      </c>
      <c r="R8" s="237">
        <f>SUM(R9:R11)</f>
        <v>11364000</v>
      </c>
      <c r="S8" s="237">
        <f t="shared" ref="S8:V8" si="14">SUM(S9:S11)</f>
        <v>12924000</v>
      </c>
      <c r="T8" s="237">
        <f t="shared" si="14"/>
        <v>0</v>
      </c>
      <c r="U8" s="237">
        <f t="shared" si="14"/>
        <v>0</v>
      </c>
      <c r="V8" s="75">
        <f t="shared" si="14"/>
        <v>0</v>
      </c>
      <c r="W8" s="53"/>
      <c r="X8" s="400"/>
      <c r="Y8" s="400"/>
      <c r="Z8" s="400"/>
      <c r="AA8" s="45"/>
      <c r="AJ8" s="80">
        <f t="shared" ref="AJ8:AZ8" si="15">SUM(AJ9:AJ11)</f>
        <v>344363.63636363635</v>
      </c>
      <c r="AK8" s="237">
        <f t="shared" si="15"/>
        <v>391636.36363636365</v>
      </c>
      <c r="AL8" s="237">
        <f t="shared" si="15"/>
        <v>0</v>
      </c>
      <c r="AM8" s="237">
        <f t="shared" si="15"/>
        <v>0</v>
      </c>
      <c r="AN8" s="75">
        <f t="shared" si="15"/>
        <v>0</v>
      </c>
      <c r="AO8" s="259">
        <f t="shared" si="6"/>
        <v>736000</v>
      </c>
      <c r="AP8" s="139"/>
      <c r="AQ8" s="264">
        <f t="shared" si="15"/>
        <v>282378.18181818182</v>
      </c>
      <c r="AR8" s="135">
        <f t="shared" si="15"/>
        <v>61985.454545454566</v>
      </c>
      <c r="AS8" s="134">
        <f t="shared" si="15"/>
        <v>334330.90909090912</v>
      </c>
      <c r="AT8" s="135">
        <f t="shared" si="15"/>
        <v>57305.454545454559</v>
      </c>
      <c r="AU8" s="134">
        <f t="shared" si="15"/>
        <v>0</v>
      </c>
      <c r="AV8" s="135">
        <f t="shared" si="15"/>
        <v>0</v>
      </c>
      <c r="AW8" s="134">
        <f t="shared" si="15"/>
        <v>0</v>
      </c>
      <c r="AX8" s="135">
        <f t="shared" si="15"/>
        <v>0</v>
      </c>
      <c r="AY8" s="134">
        <f t="shared" si="15"/>
        <v>0</v>
      </c>
      <c r="AZ8" s="265">
        <f t="shared" si="15"/>
        <v>0</v>
      </c>
      <c r="BA8" s="264">
        <f t="shared" si="8"/>
        <v>616709.09090909094</v>
      </c>
      <c r="BB8" s="265">
        <f t="shared" si="9"/>
        <v>119290.90909090912</v>
      </c>
    </row>
    <row r="9" spans="2:56" s="35" customFormat="1" ht="14.45" customHeight="1" x14ac:dyDescent="0.25">
      <c r="B9" s="72" t="s">
        <v>343</v>
      </c>
      <c r="C9" s="72"/>
      <c r="D9" s="199">
        <v>1</v>
      </c>
      <c r="E9" s="199">
        <v>1</v>
      </c>
      <c r="F9" s="199" t="s">
        <v>280</v>
      </c>
      <c r="G9" s="199">
        <v>1</v>
      </c>
      <c r="H9" s="199"/>
      <c r="I9" s="72" t="str">
        <f t="shared" si="2"/>
        <v>1.1.b.1</v>
      </c>
      <c r="J9" s="72"/>
      <c r="K9" s="35" t="s">
        <v>328</v>
      </c>
      <c r="L9" s="73">
        <f t="shared" si="3"/>
        <v>153636.36363636365</v>
      </c>
      <c r="M9" s="310">
        <f t="shared" ref="M9:N11" si="16">+O9*$L9</f>
        <v>125981.81818181818</v>
      </c>
      <c r="N9" s="311">
        <f t="shared" si="16"/>
        <v>27654.545454545463</v>
      </c>
      <c r="O9" s="306">
        <v>0.82</v>
      </c>
      <c r="P9" s="307">
        <f t="shared" ref="P9:P11" si="17">1-O9</f>
        <v>0.18000000000000005</v>
      </c>
      <c r="Q9" s="248"/>
      <c r="R9" s="39">
        <f>2280000*1.3</f>
        <v>2964000</v>
      </c>
      <c r="S9" s="39">
        <f>1620000*1.3</f>
        <v>2106000</v>
      </c>
      <c r="T9" s="39"/>
      <c r="U9" s="39">
        <v>0</v>
      </c>
      <c r="V9" s="245">
        <v>0</v>
      </c>
      <c r="W9" s="231"/>
      <c r="X9" s="401" t="s">
        <v>342</v>
      </c>
      <c r="Y9" s="401" t="s">
        <v>345</v>
      </c>
      <c r="Z9" s="401" t="s">
        <v>344</v>
      </c>
      <c r="AA9" s="73"/>
      <c r="AE9" s="72">
        <v>1</v>
      </c>
      <c r="AF9" s="72">
        <v>1</v>
      </c>
      <c r="AG9" s="72"/>
      <c r="AH9" s="72"/>
      <c r="AI9" s="72"/>
      <c r="AJ9" s="249">
        <f>+(R9+Q9)/$AJ$1</f>
        <v>89818.181818181823</v>
      </c>
      <c r="AK9" s="255">
        <f>+S9/$AK$1</f>
        <v>63818.181818181816</v>
      </c>
      <c r="AL9" s="255">
        <f>+T9/$AL$1</f>
        <v>0</v>
      </c>
      <c r="AM9" s="255">
        <f>+U9/$AM$1</f>
        <v>0</v>
      </c>
      <c r="AN9" s="256">
        <f>+V9/$AN$1</f>
        <v>0</v>
      </c>
      <c r="AO9" s="261">
        <f t="shared" si="6"/>
        <v>153636.36363636365</v>
      </c>
      <c r="AQ9" s="249">
        <f>+AJ9*$O9</f>
        <v>73650.909090909088</v>
      </c>
      <c r="AR9" s="151">
        <f>+AJ9*$P9</f>
        <v>16167.272727272733</v>
      </c>
      <c r="AS9" s="150">
        <f>+AK9*$O9</f>
        <v>52330.909090909088</v>
      </c>
      <c r="AT9" s="151">
        <f>+AK9*$P9</f>
        <v>11487.27272727273</v>
      </c>
      <c r="AU9" s="150">
        <f>+AL9*$O9</f>
        <v>0</v>
      </c>
      <c r="AV9" s="151">
        <f>+AL9*$P9</f>
        <v>0</v>
      </c>
      <c r="AW9" s="150">
        <f>+AM9*$O9</f>
        <v>0</v>
      </c>
      <c r="AX9" s="151">
        <f>+AM9*$P9</f>
        <v>0</v>
      </c>
      <c r="AY9" s="150">
        <f>+AN9*$O9</f>
        <v>0</v>
      </c>
      <c r="AZ9" s="256">
        <f>+AN9*$P9</f>
        <v>0</v>
      </c>
      <c r="BA9" s="249">
        <f t="shared" si="8"/>
        <v>125981.81818181818</v>
      </c>
      <c r="BB9" s="256">
        <f t="shared" si="9"/>
        <v>27654.545454545463</v>
      </c>
      <c r="BC9" s="35" t="s">
        <v>18</v>
      </c>
    </row>
    <row r="10" spans="2:56" s="35" customFormat="1" x14ac:dyDescent="0.25">
      <c r="B10" s="72" t="s">
        <v>343</v>
      </c>
      <c r="C10" s="72"/>
      <c r="D10" s="199">
        <v>1</v>
      </c>
      <c r="E10" s="199">
        <v>1</v>
      </c>
      <c r="F10" s="199" t="s">
        <v>280</v>
      </c>
      <c r="G10" s="199">
        <v>2</v>
      </c>
      <c r="H10" s="199"/>
      <c r="I10" s="72" t="str">
        <f t="shared" si="2"/>
        <v>1.1.b.2</v>
      </c>
      <c r="J10" s="72"/>
      <c r="K10" s="35" t="s">
        <v>295</v>
      </c>
      <c r="L10" s="73">
        <f t="shared" si="3"/>
        <v>509090.90909090912</v>
      </c>
      <c r="M10" s="308">
        <f t="shared" si="16"/>
        <v>417454.54545454547</v>
      </c>
      <c r="N10" s="309">
        <f t="shared" si="16"/>
        <v>91636.363636363661</v>
      </c>
      <c r="O10" s="306">
        <v>0.82</v>
      </c>
      <c r="P10" s="307">
        <f t="shared" si="17"/>
        <v>0.18000000000000005</v>
      </c>
      <c r="Q10" s="248"/>
      <c r="R10" s="39">
        <f>7000000*1.2</f>
        <v>8400000</v>
      </c>
      <c r="S10" s="39">
        <f>7000000*1.2</f>
        <v>8400000</v>
      </c>
      <c r="T10" s="39">
        <v>0</v>
      </c>
      <c r="U10" s="39">
        <v>0</v>
      </c>
      <c r="V10" s="245">
        <v>0</v>
      </c>
      <c r="W10" s="231"/>
      <c r="X10" s="401" t="s">
        <v>200</v>
      </c>
      <c r="Y10" s="401" t="s">
        <v>199</v>
      </c>
      <c r="Z10" s="401"/>
      <c r="AA10" s="73"/>
      <c r="AE10" s="72">
        <v>1</v>
      </c>
      <c r="AF10" s="72">
        <v>1</v>
      </c>
      <c r="AG10" s="72"/>
      <c r="AH10" s="72"/>
      <c r="AI10" s="72"/>
      <c r="AJ10" s="249">
        <f>+(R10+Q10)/$AJ$1</f>
        <v>254545.45454545456</v>
      </c>
      <c r="AK10" s="255">
        <f>+S10/$AK$1</f>
        <v>254545.45454545456</v>
      </c>
      <c r="AL10" s="255">
        <f>+T10/$AL$1</f>
        <v>0</v>
      </c>
      <c r="AM10" s="255">
        <f>+U10/$AM$1</f>
        <v>0</v>
      </c>
      <c r="AN10" s="256">
        <f>+V10/$AN$1</f>
        <v>0</v>
      </c>
      <c r="AO10" s="261">
        <f t="shared" si="6"/>
        <v>509090.90909090912</v>
      </c>
      <c r="AQ10" s="249">
        <f>+AJ10*$O10</f>
        <v>208727.27272727274</v>
      </c>
      <c r="AR10" s="151">
        <f>+AJ10*$P10</f>
        <v>45818.181818181831</v>
      </c>
      <c r="AS10" s="150">
        <f>+AK10*$O10</f>
        <v>208727.27272727274</v>
      </c>
      <c r="AT10" s="151">
        <f>+AK10*$P10</f>
        <v>45818.181818181831</v>
      </c>
      <c r="AU10" s="150">
        <f>+AL10*$O10</f>
        <v>0</v>
      </c>
      <c r="AV10" s="151">
        <f>+AL10*$P10</f>
        <v>0</v>
      </c>
      <c r="AW10" s="150">
        <f>+AM10*$O10</f>
        <v>0</v>
      </c>
      <c r="AX10" s="151">
        <f>+AM10*$P10</f>
        <v>0</v>
      </c>
      <c r="AY10" s="150">
        <f>+AN10*$O10</f>
        <v>0</v>
      </c>
      <c r="AZ10" s="256">
        <f>+AN10*$P10</f>
        <v>0</v>
      </c>
      <c r="BA10" s="249">
        <f t="shared" si="8"/>
        <v>417454.54545454547</v>
      </c>
      <c r="BB10" s="256">
        <f t="shared" si="9"/>
        <v>91636.363636363661</v>
      </c>
      <c r="BC10" s="35" t="s">
        <v>20</v>
      </c>
    </row>
    <row r="11" spans="2:56" s="35" customFormat="1" x14ac:dyDescent="0.25">
      <c r="B11" s="72" t="s">
        <v>343</v>
      </c>
      <c r="C11" s="72"/>
      <c r="D11" s="199">
        <v>1</v>
      </c>
      <c r="E11" s="199">
        <v>1</v>
      </c>
      <c r="F11" s="199" t="s">
        <v>280</v>
      </c>
      <c r="G11" s="199">
        <v>3</v>
      </c>
      <c r="H11" s="199"/>
      <c r="I11" s="72" t="str">
        <f t="shared" si="2"/>
        <v>1.1.b.3</v>
      </c>
      <c r="J11" s="72"/>
      <c r="K11" s="35" t="s">
        <v>21</v>
      </c>
      <c r="L11" s="73">
        <f t="shared" si="3"/>
        <v>73272.727272727279</v>
      </c>
      <c r="M11" s="308">
        <f t="shared" si="16"/>
        <v>73272.727272727279</v>
      </c>
      <c r="N11" s="309">
        <f t="shared" si="16"/>
        <v>0</v>
      </c>
      <c r="O11" s="306">
        <v>1</v>
      </c>
      <c r="P11" s="307">
        <f t="shared" si="17"/>
        <v>0</v>
      </c>
      <c r="Q11" s="248"/>
      <c r="R11" s="39">
        <v>0</v>
      </c>
      <c r="S11" s="39">
        <f>(310*30*200)*1.3</f>
        <v>2418000</v>
      </c>
      <c r="T11" s="39">
        <v>0</v>
      </c>
      <c r="U11" s="39">
        <v>0</v>
      </c>
      <c r="V11" s="245">
        <v>0</v>
      </c>
      <c r="W11" s="231"/>
      <c r="X11" s="401" t="s">
        <v>201</v>
      </c>
      <c r="Y11" s="401"/>
      <c r="Z11" s="401"/>
      <c r="AA11" s="73"/>
      <c r="AE11" s="72"/>
      <c r="AF11" s="72">
        <v>1</v>
      </c>
      <c r="AG11" s="72"/>
      <c r="AH11" s="72"/>
      <c r="AI11" s="72"/>
      <c r="AJ11" s="249">
        <f>+(R11+Q11)/$AJ$1</f>
        <v>0</v>
      </c>
      <c r="AK11" s="255">
        <f>+S11/$AK$1</f>
        <v>73272.727272727279</v>
      </c>
      <c r="AL11" s="255">
        <f>+T11/$AL$1</f>
        <v>0</v>
      </c>
      <c r="AM11" s="255">
        <f>+U11/$AM$1</f>
        <v>0</v>
      </c>
      <c r="AN11" s="256">
        <f>+V11/$AN$1</f>
        <v>0</v>
      </c>
      <c r="AO11" s="261">
        <f t="shared" si="6"/>
        <v>73272.727272727279</v>
      </c>
      <c r="AQ11" s="249">
        <f>+AJ11*$O11</f>
        <v>0</v>
      </c>
      <c r="AR11" s="151">
        <f>+AJ11*$P11</f>
        <v>0</v>
      </c>
      <c r="AS11" s="150">
        <f>+AK11*$O11</f>
        <v>73272.727272727279</v>
      </c>
      <c r="AT11" s="151">
        <f>+AK11*$P11</f>
        <v>0</v>
      </c>
      <c r="AU11" s="150">
        <f>+AL11*$O11</f>
        <v>0</v>
      </c>
      <c r="AV11" s="151">
        <f>+AL11*$P11</f>
        <v>0</v>
      </c>
      <c r="AW11" s="150">
        <f>+AM11*$O11</f>
        <v>0</v>
      </c>
      <c r="AX11" s="151">
        <f>+AM11*$P11</f>
        <v>0</v>
      </c>
      <c r="AY11" s="150">
        <f>+AN11*$O11</f>
        <v>0</v>
      </c>
      <c r="AZ11" s="256">
        <f>+AN11*$P11</f>
        <v>0</v>
      </c>
      <c r="BA11" s="249">
        <f t="shared" si="8"/>
        <v>73272.727272727279</v>
      </c>
      <c r="BB11" s="256">
        <f t="shared" si="9"/>
        <v>0</v>
      </c>
      <c r="BC11" s="35" t="s">
        <v>21</v>
      </c>
    </row>
    <row r="12" spans="2:56" s="46" customFormat="1" x14ac:dyDescent="0.25">
      <c r="B12" s="33"/>
      <c r="C12" s="33"/>
      <c r="D12" s="220">
        <v>1</v>
      </c>
      <c r="E12" s="220">
        <v>2</v>
      </c>
      <c r="F12" s="220">
        <v>0</v>
      </c>
      <c r="G12" s="220">
        <v>0</v>
      </c>
      <c r="H12" s="220">
        <v>0</v>
      </c>
      <c r="I12" s="33" t="str">
        <f t="shared" si="2"/>
        <v>1.2.0.0</v>
      </c>
      <c r="J12" s="33">
        <v>1.2</v>
      </c>
      <c r="K12" s="46" t="s">
        <v>590</v>
      </c>
      <c r="L12" s="47">
        <f t="shared" si="3"/>
        <v>2244078.2519142968</v>
      </c>
      <c r="M12" s="79">
        <f t="shared" ref="M12:Q12" si="18">+M13+M22</f>
        <v>1772364.3007679968</v>
      </c>
      <c r="N12" s="236">
        <f>+N13+N22</f>
        <v>471713.95114629954</v>
      </c>
      <c r="O12" s="84"/>
      <c r="P12" s="85"/>
      <c r="Q12" s="79">
        <f t="shared" si="18"/>
        <v>0</v>
      </c>
      <c r="R12" s="236">
        <f>+R13+R22</f>
        <v>12217608.057717606</v>
      </c>
      <c r="S12" s="236">
        <f t="shared" ref="S12:V12" si="19">+S13+S22</f>
        <v>14389768.863489371</v>
      </c>
      <c r="T12" s="236">
        <f t="shared" si="19"/>
        <v>16893385.749838311</v>
      </c>
      <c r="U12" s="236">
        <f t="shared" si="19"/>
        <v>15709005.124822142</v>
      </c>
      <c r="V12" s="67">
        <f t="shared" si="19"/>
        <v>14844814.517304357</v>
      </c>
      <c r="W12" s="49"/>
      <c r="X12" s="402"/>
      <c r="Y12" s="402"/>
      <c r="Z12" s="402"/>
      <c r="AA12" s="47"/>
      <c r="AJ12" s="79">
        <f t="shared" ref="AJ12:AN12" si="20">+AJ13+AJ22</f>
        <v>370230.54720356385</v>
      </c>
      <c r="AK12" s="236">
        <f t="shared" si="20"/>
        <v>436053.60192392027</v>
      </c>
      <c r="AL12" s="236">
        <f t="shared" si="20"/>
        <v>511920.78029813059</v>
      </c>
      <c r="AM12" s="236">
        <f t="shared" si="20"/>
        <v>476030.45832794369</v>
      </c>
      <c r="AN12" s="67">
        <f t="shared" si="20"/>
        <v>449842.86416073807</v>
      </c>
      <c r="AO12" s="258">
        <f t="shared" si="6"/>
        <v>2244078.2519142963</v>
      </c>
      <c r="AP12" s="139"/>
      <c r="AQ12" s="262">
        <f t="shared" ref="AQ12:AZ12" si="21">+AQ13+AQ22</f>
        <v>292486.87743999372</v>
      </c>
      <c r="AR12" s="133">
        <f t="shared" si="21"/>
        <v>77743.669763570157</v>
      </c>
      <c r="AS12" s="132">
        <f t="shared" si="21"/>
        <v>345351.56518399314</v>
      </c>
      <c r="AT12" s="133">
        <f t="shared" si="21"/>
        <v>90702.036739927178</v>
      </c>
      <c r="AU12" s="132">
        <f t="shared" si="21"/>
        <v>406341.41261148342</v>
      </c>
      <c r="AV12" s="133">
        <f t="shared" si="21"/>
        <v>105579.36768664719</v>
      </c>
      <c r="AW12" s="132">
        <f t="shared" si="21"/>
        <v>375567.98587263172</v>
      </c>
      <c r="AX12" s="133">
        <f t="shared" si="21"/>
        <v>100462.4724553119</v>
      </c>
      <c r="AY12" s="132">
        <f t="shared" si="21"/>
        <v>352616.45965989493</v>
      </c>
      <c r="AZ12" s="263">
        <f t="shared" si="21"/>
        <v>97226.404500843084</v>
      </c>
      <c r="BA12" s="262">
        <f t="shared" si="8"/>
        <v>1772364.3007679968</v>
      </c>
      <c r="BB12" s="263">
        <f t="shared" si="9"/>
        <v>471713.95114629954</v>
      </c>
    </row>
    <row r="13" spans="2:56" s="51" customFormat="1" x14ac:dyDescent="0.25">
      <c r="B13" s="34"/>
      <c r="C13" s="34"/>
      <c r="D13" s="221">
        <v>1</v>
      </c>
      <c r="E13" s="221">
        <v>2</v>
      </c>
      <c r="F13" s="221" t="s">
        <v>270</v>
      </c>
      <c r="G13" s="221">
        <v>0</v>
      </c>
      <c r="H13" s="221">
        <v>0</v>
      </c>
      <c r="I13" s="34"/>
      <c r="J13" s="34"/>
      <c r="K13" s="51" t="s">
        <v>591</v>
      </c>
      <c r="L13" s="45">
        <f t="shared" si="3"/>
        <v>2164078.2519142968</v>
      </c>
      <c r="M13" s="80">
        <f t="shared" ref="M13:Q13" si="22">+M14+M18</f>
        <v>1706764.3007679968</v>
      </c>
      <c r="N13" s="237">
        <f>+N14+N18</f>
        <v>457313.95114629954</v>
      </c>
      <c r="O13" s="86"/>
      <c r="P13" s="87"/>
      <c r="Q13" s="80">
        <f t="shared" si="22"/>
        <v>0</v>
      </c>
      <c r="R13" s="237">
        <f>+R14+R18</f>
        <v>10897608.057717606</v>
      </c>
      <c r="S13" s="237">
        <f t="shared" ref="S13:V13" si="23">+S14+S18</f>
        <v>13069768.863489371</v>
      </c>
      <c r="T13" s="237">
        <f t="shared" si="23"/>
        <v>16893385.749838311</v>
      </c>
      <c r="U13" s="237">
        <f t="shared" si="23"/>
        <v>15709005.124822142</v>
      </c>
      <c r="V13" s="75">
        <f t="shared" si="23"/>
        <v>14844814.517304357</v>
      </c>
      <c r="W13" s="53"/>
      <c r="X13" s="400"/>
      <c r="Y13" s="400"/>
      <c r="Z13" s="400"/>
      <c r="AA13" s="45"/>
      <c r="AJ13" s="80">
        <f t="shared" ref="AJ13:AN13" si="24">+AJ14+AJ18</f>
        <v>330230.54720356385</v>
      </c>
      <c r="AK13" s="237">
        <f t="shared" si="24"/>
        <v>396053.60192392027</v>
      </c>
      <c r="AL13" s="237">
        <f t="shared" si="24"/>
        <v>511920.78029813059</v>
      </c>
      <c r="AM13" s="237">
        <f t="shared" si="24"/>
        <v>476030.45832794369</v>
      </c>
      <c r="AN13" s="75">
        <f t="shared" si="24"/>
        <v>449842.86416073807</v>
      </c>
      <c r="AO13" s="259">
        <f t="shared" si="6"/>
        <v>2164078.2519142963</v>
      </c>
      <c r="AP13" s="139"/>
      <c r="AQ13" s="264">
        <f t="shared" ref="AQ13:AZ13" si="25">+AQ14+AQ18</f>
        <v>259686.87743999372</v>
      </c>
      <c r="AR13" s="135">
        <f t="shared" si="25"/>
        <v>70543.669763570157</v>
      </c>
      <c r="AS13" s="134">
        <f t="shared" si="25"/>
        <v>312551.56518399314</v>
      </c>
      <c r="AT13" s="135">
        <f t="shared" si="25"/>
        <v>83502.036739927178</v>
      </c>
      <c r="AU13" s="134">
        <f t="shared" si="25"/>
        <v>406341.41261148342</v>
      </c>
      <c r="AV13" s="135">
        <f t="shared" si="25"/>
        <v>105579.36768664719</v>
      </c>
      <c r="AW13" s="134">
        <f t="shared" si="25"/>
        <v>375567.98587263172</v>
      </c>
      <c r="AX13" s="135">
        <f t="shared" si="25"/>
        <v>100462.4724553119</v>
      </c>
      <c r="AY13" s="134">
        <f t="shared" si="25"/>
        <v>352616.45965989493</v>
      </c>
      <c r="AZ13" s="265">
        <f t="shared" si="25"/>
        <v>97226.404500843084</v>
      </c>
      <c r="BA13" s="264">
        <f t="shared" si="8"/>
        <v>1706764.3007679968</v>
      </c>
      <c r="BB13" s="265">
        <f t="shared" si="9"/>
        <v>457313.95114629949</v>
      </c>
    </row>
    <row r="14" spans="2:56" s="54" customFormat="1" x14ac:dyDescent="0.25">
      <c r="B14" s="42"/>
      <c r="C14" s="42"/>
      <c r="D14" s="197">
        <v>1</v>
      </c>
      <c r="E14" s="197">
        <v>2</v>
      </c>
      <c r="F14" s="197" t="s">
        <v>270</v>
      </c>
      <c r="G14" s="197">
        <v>1</v>
      </c>
      <c r="H14" s="197">
        <v>0</v>
      </c>
      <c r="I14" s="42" t="str">
        <f t="shared" si="2"/>
        <v>1.2.a.1</v>
      </c>
      <c r="J14" s="42"/>
      <c r="K14" s="54" t="s">
        <v>330</v>
      </c>
      <c r="L14" s="55">
        <f t="shared" si="3"/>
        <v>1418040.5195956011</v>
      </c>
      <c r="M14" s="71">
        <f t="shared" ref="M14:N14" si="26">SUM(M15:M17)</f>
        <v>1095013.3602666669</v>
      </c>
      <c r="N14" s="71">
        <f t="shared" si="26"/>
        <v>323027.15932893439</v>
      </c>
      <c r="O14" s="88"/>
      <c r="P14" s="89"/>
      <c r="Q14" s="242"/>
      <c r="R14" s="243">
        <f>SUM(R15:R17)</f>
        <v>6461594.6973276157</v>
      </c>
      <c r="S14" s="243">
        <f t="shared" ref="S14:V14" si="27">SUM(S15:S17)</f>
        <v>8850154.1670603789</v>
      </c>
      <c r="T14" s="243">
        <f t="shared" si="27"/>
        <v>11651809.583766419</v>
      </c>
      <c r="U14" s="243">
        <f t="shared" si="27"/>
        <v>10603271.342143061</v>
      </c>
      <c r="V14" s="244">
        <f t="shared" si="27"/>
        <v>9228507.3563573677</v>
      </c>
      <c r="W14" s="57"/>
      <c r="X14" s="403" t="s">
        <v>355</v>
      </c>
      <c r="Y14" s="403"/>
      <c r="Z14" s="403"/>
      <c r="AA14" s="55"/>
      <c r="AJ14" s="254">
        <f t="shared" ref="AJ14:AN14" si="28">SUM(AJ15:AJ17)</f>
        <v>195805.89991901867</v>
      </c>
      <c r="AK14" s="243">
        <f t="shared" si="28"/>
        <v>268186.48991092056</v>
      </c>
      <c r="AL14" s="243">
        <f t="shared" si="28"/>
        <v>353085.13890201272</v>
      </c>
      <c r="AM14" s="243">
        <f t="shared" si="28"/>
        <v>321311.25279221399</v>
      </c>
      <c r="AN14" s="244">
        <f t="shared" si="28"/>
        <v>279651.73807143536</v>
      </c>
      <c r="AO14" s="260">
        <f t="shared" si="6"/>
        <v>1418040.5195956014</v>
      </c>
      <c r="AP14" s="140"/>
      <c r="AQ14" s="266">
        <f t="shared" ref="AQ14:AZ14" si="29">SUM(AQ15:AQ17)</f>
        <v>149458.66666666666</v>
      </c>
      <c r="AR14" s="137">
        <f t="shared" si="29"/>
        <v>46347.233252352009</v>
      </c>
      <c r="AS14" s="136">
        <f t="shared" si="29"/>
        <v>207700.53333333335</v>
      </c>
      <c r="AT14" s="137">
        <f t="shared" si="29"/>
        <v>60485.956577587218</v>
      </c>
      <c r="AU14" s="136">
        <f t="shared" si="29"/>
        <v>276096.18666666676</v>
      </c>
      <c r="AV14" s="137">
        <f t="shared" si="29"/>
        <v>76988.952235345962</v>
      </c>
      <c r="AW14" s="136">
        <f t="shared" si="29"/>
        <v>248698.23733333338</v>
      </c>
      <c r="AX14" s="137">
        <f t="shared" si="29"/>
        <v>72613.015458880545</v>
      </c>
      <c r="AY14" s="136">
        <f t="shared" si="29"/>
        <v>213059.73626666673</v>
      </c>
      <c r="AZ14" s="267">
        <f t="shared" si="29"/>
        <v>66592.001804768603</v>
      </c>
      <c r="BA14" s="266">
        <f t="shared" si="8"/>
        <v>1095013.3602666669</v>
      </c>
      <c r="BB14" s="267">
        <f t="shared" si="9"/>
        <v>323027.15932893433</v>
      </c>
    </row>
    <row r="15" spans="2:56" s="35" customFormat="1" ht="12.75" customHeight="1" x14ac:dyDescent="0.25">
      <c r="B15" s="72" t="s">
        <v>19</v>
      </c>
      <c r="C15" s="72"/>
      <c r="D15" s="199">
        <v>1</v>
      </c>
      <c r="E15" s="199">
        <v>2</v>
      </c>
      <c r="F15" s="199" t="s">
        <v>270</v>
      </c>
      <c r="G15" s="199">
        <v>1</v>
      </c>
      <c r="H15" s="199">
        <v>1</v>
      </c>
      <c r="I15" s="72" t="str">
        <f t="shared" si="2"/>
        <v>1.2.a.1</v>
      </c>
      <c r="J15" s="72"/>
      <c r="K15" s="35" t="s">
        <v>26</v>
      </c>
      <c r="L15" s="73">
        <f t="shared" si="3"/>
        <v>468057.6666666668</v>
      </c>
      <c r="M15" s="308">
        <f t="shared" ref="M15:N17" si="30">+O15*$L15</f>
        <v>383807.28666666674</v>
      </c>
      <c r="N15" s="309">
        <f t="shared" si="30"/>
        <v>84250.380000000048</v>
      </c>
      <c r="O15" s="306">
        <v>0.82</v>
      </c>
      <c r="P15" s="307">
        <f t="shared" ref="P15:P17" si="31">1-O15</f>
        <v>0.18000000000000005</v>
      </c>
      <c r="Q15" s="248"/>
      <c r="R15" s="39">
        <f>2300000*coef17</f>
        <v>2530000</v>
      </c>
      <c r="S15" s="39">
        <f>2300000*coef18</f>
        <v>2783000.0000000005</v>
      </c>
      <c r="T15" s="39">
        <f>2300000*coef19</f>
        <v>3061300.0000000009</v>
      </c>
      <c r="U15" s="39">
        <f>2300000*coef20</f>
        <v>3367430.0000000014</v>
      </c>
      <c r="V15" s="245">
        <f>2300000*coef21</f>
        <v>3704173.0000000019</v>
      </c>
      <c r="W15" s="231" t="s">
        <v>203</v>
      </c>
      <c r="X15" s="401" t="s">
        <v>205</v>
      </c>
      <c r="Y15" s="401" t="s">
        <v>302</v>
      </c>
      <c r="Z15" s="401"/>
      <c r="AA15" s="73"/>
      <c r="AB15" s="61"/>
      <c r="AE15" s="72">
        <v>1</v>
      </c>
      <c r="AF15" s="72">
        <v>1</v>
      </c>
      <c r="AG15" s="72">
        <v>1</v>
      </c>
      <c r="AH15" s="72">
        <v>1</v>
      </c>
      <c r="AI15" s="72">
        <v>1</v>
      </c>
      <c r="AJ15" s="249">
        <f>+(R15+Q15)/$AJ$1</f>
        <v>76666.666666666672</v>
      </c>
      <c r="AK15" s="255">
        <f>+S15/$AK$1</f>
        <v>84333.333333333343</v>
      </c>
      <c r="AL15" s="255">
        <f>+T15/$AL$1</f>
        <v>92766.666666666701</v>
      </c>
      <c r="AM15" s="255">
        <f>+U15/$AM$1</f>
        <v>102043.33333333337</v>
      </c>
      <c r="AN15" s="256">
        <f>+V15/$AN$1</f>
        <v>112247.66666666673</v>
      </c>
      <c r="AO15" s="261">
        <f t="shared" si="6"/>
        <v>468057.6666666668</v>
      </c>
      <c r="AQ15" s="249">
        <f>+AJ15*$O15</f>
        <v>62866.666666666664</v>
      </c>
      <c r="AR15" s="151">
        <f>+AJ15*$P15</f>
        <v>13800.000000000005</v>
      </c>
      <c r="AS15" s="150">
        <f>+AK15*$O15</f>
        <v>69153.333333333343</v>
      </c>
      <c r="AT15" s="151">
        <f>+AK15*$P15</f>
        <v>15180.000000000005</v>
      </c>
      <c r="AU15" s="150">
        <f>+AL15*$O15</f>
        <v>76068.666666666686</v>
      </c>
      <c r="AV15" s="151">
        <f>+AL15*$P15</f>
        <v>16698.000000000011</v>
      </c>
      <c r="AW15" s="150">
        <f>+AM15*$O15</f>
        <v>83675.533333333355</v>
      </c>
      <c r="AX15" s="151">
        <f>+AM15*$P15</f>
        <v>18367.80000000001</v>
      </c>
      <c r="AY15" s="150">
        <f>+AN15*$O15</f>
        <v>92043.086666666713</v>
      </c>
      <c r="AZ15" s="256">
        <f>+AN15*$P15</f>
        <v>20204.580000000016</v>
      </c>
      <c r="BA15" s="249">
        <f t="shared" si="8"/>
        <v>383807.2866666668</v>
      </c>
      <c r="BB15" s="256">
        <f t="shared" si="9"/>
        <v>84250.380000000048</v>
      </c>
      <c r="BC15" s="35" t="s">
        <v>26</v>
      </c>
    </row>
    <row r="16" spans="2:56" s="35" customFormat="1" x14ac:dyDescent="0.25">
      <c r="B16" s="72" t="s">
        <v>19</v>
      </c>
      <c r="C16" s="72"/>
      <c r="D16" s="199">
        <v>1</v>
      </c>
      <c r="E16" s="199">
        <v>2</v>
      </c>
      <c r="F16" s="199" t="s">
        <v>270</v>
      </c>
      <c r="G16" s="199">
        <v>1</v>
      </c>
      <c r="H16" s="199">
        <v>2</v>
      </c>
      <c r="I16" s="72" t="str">
        <f t="shared" si="2"/>
        <v>1.2.a.1</v>
      </c>
      <c r="J16" s="72"/>
      <c r="K16" s="35" t="s">
        <v>432</v>
      </c>
      <c r="L16" s="73">
        <f t="shared" si="3"/>
        <v>867324.48000000021</v>
      </c>
      <c r="M16" s="308">
        <f t="shared" si="30"/>
        <v>711206.07360000012</v>
      </c>
      <c r="N16" s="309">
        <f t="shared" si="30"/>
        <v>156118.40640000009</v>
      </c>
      <c r="O16" s="306">
        <v>0.82</v>
      </c>
      <c r="P16" s="307">
        <f t="shared" si="31"/>
        <v>0.18000000000000005</v>
      </c>
      <c r="Q16" s="248"/>
      <c r="R16" s="39">
        <f>(66/15)*60000*coef17*12</f>
        <v>3484800</v>
      </c>
      <c r="S16" s="39">
        <f>(96/15)*60000*coef18*12</f>
        <v>5575680.0000000009</v>
      </c>
      <c r="T16" s="39">
        <f>(126/15)*60000*coef19*12</f>
        <v>8049888.0000000028</v>
      </c>
      <c r="U16" s="39">
        <f>(126/15)*60000*coef20*12*0.75</f>
        <v>6641157.6000000015</v>
      </c>
      <c r="V16" s="245">
        <f>(126/15)*60000*coef21*12*0.5</f>
        <v>4870182.2400000021</v>
      </c>
      <c r="W16" s="231"/>
      <c r="X16" s="401" t="s">
        <v>293</v>
      </c>
      <c r="Y16" s="401"/>
      <c r="Z16" s="401" t="s">
        <v>28</v>
      </c>
      <c r="AA16" s="73"/>
      <c r="AB16" s="61"/>
      <c r="AE16" s="72">
        <v>1</v>
      </c>
      <c r="AF16" s="72">
        <v>1</v>
      </c>
      <c r="AG16" s="72">
        <v>1</v>
      </c>
      <c r="AH16" s="72">
        <v>1</v>
      </c>
      <c r="AI16" s="72">
        <v>1</v>
      </c>
      <c r="AJ16" s="249">
        <f>+(R16+Q16)/$AJ$1</f>
        <v>105600</v>
      </c>
      <c r="AK16" s="255">
        <f>+S16/$AK$1</f>
        <v>168960.00000000003</v>
      </c>
      <c r="AL16" s="255">
        <f>+T16/$AL$1</f>
        <v>243936.00000000009</v>
      </c>
      <c r="AM16" s="255">
        <f>+U16/$AM$1</f>
        <v>201247.20000000004</v>
      </c>
      <c r="AN16" s="256">
        <f>+V16/$AN$1</f>
        <v>147581.28000000006</v>
      </c>
      <c r="AO16" s="261">
        <f t="shared" si="6"/>
        <v>867324.48000000021</v>
      </c>
      <c r="AQ16" s="249">
        <f>+AJ16*$O16</f>
        <v>86592</v>
      </c>
      <c r="AR16" s="151">
        <f>+AJ16*$P16</f>
        <v>19008.000000000004</v>
      </c>
      <c r="AS16" s="150">
        <f>+AK16*$O16</f>
        <v>138547.20000000001</v>
      </c>
      <c r="AT16" s="151">
        <f>+AK16*$P16</f>
        <v>30412.800000000014</v>
      </c>
      <c r="AU16" s="150">
        <f>+AL16*$O16</f>
        <v>200027.52000000005</v>
      </c>
      <c r="AV16" s="151">
        <f>+AL16*$P16</f>
        <v>43908.480000000025</v>
      </c>
      <c r="AW16" s="150">
        <f>+AM16*$O16</f>
        <v>165022.70400000003</v>
      </c>
      <c r="AX16" s="151">
        <f>+AM16*$P16</f>
        <v>36224.496000000014</v>
      </c>
      <c r="AY16" s="150">
        <f>+AN16*$O16</f>
        <v>121016.64960000003</v>
      </c>
      <c r="AZ16" s="256">
        <f>+AN16*$P16</f>
        <v>26564.630400000016</v>
      </c>
      <c r="BA16" s="249">
        <f t="shared" si="8"/>
        <v>711206.07360000012</v>
      </c>
      <c r="BB16" s="256">
        <f t="shared" si="9"/>
        <v>156118.40640000007</v>
      </c>
      <c r="BC16" s="35" t="s">
        <v>27</v>
      </c>
    </row>
    <row r="17" spans="2:55" s="35" customFormat="1" x14ac:dyDescent="0.25">
      <c r="B17" s="72" t="s">
        <v>19</v>
      </c>
      <c r="C17" s="72"/>
      <c r="D17" s="199">
        <v>1</v>
      </c>
      <c r="E17" s="199">
        <v>2</v>
      </c>
      <c r="F17" s="199" t="s">
        <v>270</v>
      </c>
      <c r="G17" s="199">
        <v>1</v>
      </c>
      <c r="H17" s="199">
        <v>3</v>
      </c>
      <c r="I17" s="72" t="str">
        <f t="shared" si="2"/>
        <v>1.2.a.1</v>
      </c>
      <c r="J17" s="72"/>
      <c r="K17" s="35" t="s">
        <v>431</v>
      </c>
      <c r="L17" s="73">
        <f t="shared" si="3"/>
        <v>82658.37292893423</v>
      </c>
      <c r="M17" s="308">
        <f t="shared" si="30"/>
        <v>0</v>
      </c>
      <c r="N17" s="309">
        <f t="shared" si="30"/>
        <v>82658.37292893423</v>
      </c>
      <c r="O17" s="306">
        <v>0</v>
      </c>
      <c r="P17" s="307">
        <f t="shared" si="31"/>
        <v>1</v>
      </c>
      <c r="Q17" s="248"/>
      <c r="R17" s="39">
        <f>406176.99757056*coef17</f>
        <v>446794.69732761604</v>
      </c>
      <c r="S17" s="39">
        <f>406176.99757056*coef18</f>
        <v>491474.16706037772</v>
      </c>
      <c r="T17" s="39">
        <f>406176.99757056*coef19</f>
        <v>540621.5837664156</v>
      </c>
      <c r="U17" s="39">
        <f>406176.99757056*coef20</f>
        <v>594683.74214305717</v>
      </c>
      <c r="V17" s="245">
        <f>406176.99757056*coef21</f>
        <v>654152.11635736295</v>
      </c>
      <c r="W17" s="231"/>
      <c r="X17" s="401" t="s">
        <v>292</v>
      </c>
      <c r="Y17" s="401"/>
      <c r="Z17" s="401"/>
      <c r="AA17" s="73"/>
      <c r="AB17" s="61"/>
      <c r="AE17" s="72">
        <v>1</v>
      </c>
      <c r="AF17" s="72">
        <v>1</v>
      </c>
      <c r="AG17" s="72">
        <v>1</v>
      </c>
      <c r="AH17" s="72">
        <v>1</v>
      </c>
      <c r="AI17" s="72">
        <v>1</v>
      </c>
      <c r="AJ17" s="249">
        <f>+(R17+Q17)/$AJ$1</f>
        <v>13539.233252352002</v>
      </c>
      <c r="AK17" s="255">
        <f>+S17/$AK$1</f>
        <v>14893.156577587204</v>
      </c>
      <c r="AL17" s="255">
        <f>+T17/$AL$1</f>
        <v>16382.472235345927</v>
      </c>
      <c r="AM17" s="255">
        <f>+U17/$AM$1</f>
        <v>18020.719458880521</v>
      </c>
      <c r="AN17" s="256">
        <f>+V17/$AN$1</f>
        <v>19822.791404768574</v>
      </c>
      <c r="AO17" s="261">
        <f t="shared" si="6"/>
        <v>82658.37292893423</v>
      </c>
      <c r="AQ17" s="249">
        <f>+AJ17*$O17</f>
        <v>0</v>
      </c>
      <c r="AR17" s="151">
        <f>+AJ17*$P17</f>
        <v>13539.233252352002</v>
      </c>
      <c r="AS17" s="150">
        <f>+AK17*$O17</f>
        <v>0</v>
      </c>
      <c r="AT17" s="151">
        <f>+AK17*$P17</f>
        <v>14893.156577587204</v>
      </c>
      <c r="AU17" s="150">
        <f>+AL17*$O17</f>
        <v>0</v>
      </c>
      <c r="AV17" s="151">
        <f>+AL17*$P17</f>
        <v>16382.472235345927</v>
      </c>
      <c r="AW17" s="150">
        <f>+AM17*$O17</f>
        <v>0</v>
      </c>
      <c r="AX17" s="151">
        <f>+AM17*$P17</f>
        <v>18020.719458880521</v>
      </c>
      <c r="AY17" s="150">
        <f>+AN17*$O17</f>
        <v>0</v>
      </c>
      <c r="AZ17" s="256">
        <f>+AN17*$P17</f>
        <v>19822.791404768574</v>
      </c>
      <c r="BA17" s="249">
        <f t="shared" si="8"/>
        <v>0</v>
      </c>
      <c r="BB17" s="256">
        <f t="shared" si="9"/>
        <v>82658.37292893423</v>
      </c>
      <c r="BC17" s="35" t="s">
        <v>27</v>
      </c>
    </row>
    <row r="18" spans="2:55" s="54" customFormat="1" x14ac:dyDescent="0.25">
      <c r="B18" s="42"/>
      <c r="C18" s="42"/>
      <c r="D18" s="197">
        <v>1</v>
      </c>
      <c r="E18" s="197">
        <v>2</v>
      </c>
      <c r="F18" s="197" t="s">
        <v>270</v>
      </c>
      <c r="G18" s="197">
        <v>2</v>
      </c>
      <c r="H18" s="197">
        <v>0</v>
      </c>
      <c r="I18" s="42" t="str">
        <f t="shared" si="2"/>
        <v>1.2.a.2</v>
      </c>
      <c r="J18" s="42"/>
      <c r="K18" s="54" t="s">
        <v>306</v>
      </c>
      <c r="L18" s="55">
        <f t="shared" si="3"/>
        <v>746037.73231869517</v>
      </c>
      <c r="M18" s="56">
        <f>SUM(M19:M21)</f>
        <v>611750.94050132995</v>
      </c>
      <c r="N18" s="56">
        <f t="shared" ref="N18:AZ18" si="32">SUM(N19:N21)</f>
        <v>134286.79181736516</v>
      </c>
      <c r="O18" s="88"/>
      <c r="P18" s="89"/>
      <c r="Q18" s="242">
        <f t="shared" si="32"/>
        <v>0</v>
      </c>
      <c r="R18" s="243">
        <f t="shared" si="32"/>
        <v>4436013.3603899907</v>
      </c>
      <c r="S18" s="243">
        <f t="shared" si="32"/>
        <v>4219614.6964289909</v>
      </c>
      <c r="T18" s="243">
        <f t="shared" si="32"/>
        <v>5241576.1660718909</v>
      </c>
      <c r="U18" s="243">
        <f t="shared" si="32"/>
        <v>5105733.782679081</v>
      </c>
      <c r="V18" s="244">
        <f t="shared" si="32"/>
        <v>5616307.1609469885</v>
      </c>
      <c r="W18" s="57">
        <f t="shared" si="32"/>
        <v>0</v>
      </c>
      <c r="X18" s="403">
        <f t="shared" si="32"/>
        <v>0</v>
      </c>
      <c r="Y18" s="403">
        <f t="shared" si="32"/>
        <v>0</v>
      </c>
      <c r="Z18" s="403">
        <f t="shared" si="32"/>
        <v>0</v>
      </c>
      <c r="AA18" s="55">
        <f t="shared" si="32"/>
        <v>0</v>
      </c>
      <c r="AB18" s="54">
        <f t="shared" si="32"/>
        <v>0</v>
      </c>
      <c r="AC18" s="54">
        <f t="shared" si="32"/>
        <v>0</v>
      </c>
      <c r="AJ18" s="254">
        <f t="shared" si="32"/>
        <v>134424.64728454518</v>
      </c>
      <c r="AK18" s="243">
        <f t="shared" si="32"/>
        <v>127867.11201299973</v>
      </c>
      <c r="AL18" s="243">
        <f t="shared" si="32"/>
        <v>158835.64139611789</v>
      </c>
      <c r="AM18" s="243">
        <f t="shared" si="32"/>
        <v>154719.20553572971</v>
      </c>
      <c r="AN18" s="244">
        <f t="shared" si="32"/>
        <v>170191.12608930268</v>
      </c>
      <c r="AO18" s="260">
        <f t="shared" si="32"/>
        <v>746037.73231869517</v>
      </c>
      <c r="AP18" s="140"/>
      <c r="AQ18" s="266">
        <f t="shared" si="32"/>
        <v>110228.21077332705</v>
      </c>
      <c r="AR18" s="137">
        <f t="shared" si="32"/>
        <v>24196.43651121814</v>
      </c>
      <c r="AS18" s="136">
        <f t="shared" si="32"/>
        <v>104851.03185065977</v>
      </c>
      <c r="AT18" s="137">
        <f t="shared" si="32"/>
        <v>23016.080162339957</v>
      </c>
      <c r="AU18" s="136">
        <f t="shared" si="32"/>
        <v>130245.22594481667</v>
      </c>
      <c r="AV18" s="137">
        <f t="shared" si="32"/>
        <v>28590.415451301233</v>
      </c>
      <c r="AW18" s="136">
        <f t="shared" si="32"/>
        <v>126869.74853929835</v>
      </c>
      <c r="AX18" s="137">
        <f t="shared" si="32"/>
        <v>27849.456996431356</v>
      </c>
      <c r="AY18" s="136">
        <f t="shared" si="32"/>
        <v>139556.7233932282</v>
      </c>
      <c r="AZ18" s="267">
        <f t="shared" si="32"/>
        <v>30634.402696074489</v>
      </c>
      <c r="BA18" s="266">
        <f t="shared" si="8"/>
        <v>611750.94050133007</v>
      </c>
      <c r="BB18" s="267">
        <f t="shared" si="9"/>
        <v>134286.79181736519</v>
      </c>
    </row>
    <row r="19" spans="2:55" s="35" customFormat="1" x14ac:dyDescent="0.25">
      <c r="B19" s="72" t="s">
        <v>19</v>
      </c>
      <c r="C19" s="72"/>
      <c r="D19" s="199">
        <v>1</v>
      </c>
      <c r="E19" s="199">
        <v>2</v>
      </c>
      <c r="F19" s="199" t="s">
        <v>270</v>
      </c>
      <c r="G19" s="199">
        <v>2</v>
      </c>
      <c r="H19" s="199">
        <v>1</v>
      </c>
      <c r="I19" s="72" t="str">
        <f t="shared" si="2"/>
        <v>1.2.a.2</v>
      </c>
      <c r="J19" s="72"/>
      <c r="K19" s="35" t="s">
        <v>305</v>
      </c>
      <c r="L19" s="73">
        <f t="shared" si="3"/>
        <v>396831.50000000012</v>
      </c>
      <c r="M19" s="308">
        <f t="shared" ref="M19:N21" si="33">+O19*$L19</f>
        <v>325401.83000000007</v>
      </c>
      <c r="N19" s="309">
        <f t="shared" si="33"/>
        <v>71429.670000000042</v>
      </c>
      <c r="O19" s="306">
        <v>0.82</v>
      </c>
      <c r="P19" s="307">
        <f t="shared" ref="P19:P20" si="34">1-O19</f>
        <v>0.18000000000000005</v>
      </c>
      <c r="Q19" s="248"/>
      <c r="R19" s="39">
        <f>50000*(3)*13*coef17</f>
        <v>2145000</v>
      </c>
      <c r="S19" s="39">
        <f>50000*(3)*13*coef18</f>
        <v>2359500.0000000005</v>
      </c>
      <c r="T19" s="39">
        <f>50000*(3)*13*coef19</f>
        <v>2595450.0000000009</v>
      </c>
      <c r="U19" s="39">
        <f>50000*(3)*13*coef20</f>
        <v>2854995.0000000014</v>
      </c>
      <c r="V19" s="245">
        <f>50000*(3)*13*coef21</f>
        <v>3140494.5000000014</v>
      </c>
      <c r="W19" s="231"/>
      <c r="X19" s="401" t="s">
        <v>294</v>
      </c>
      <c r="Y19" s="401"/>
      <c r="Z19" s="401"/>
      <c r="AA19" s="73"/>
      <c r="AB19" s="61"/>
      <c r="AE19" s="72">
        <v>1</v>
      </c>
      <c r="AF19" s="72">
        <v>1</v>
      </c>
      <c r="AG19" s="72">
        <v>1</v>
      </c>
      <c r="AH19" s="72">
        <v>1</v>
      </c>
      <c r="AI19" s="72">
        <v>1</v>
      </c>
      <c r="AJ19" s="249">
        <f>+(R19+Q19)/$AJ$1</f>
        <v>65000</v>
      </c>
      <c r="AK19" s="255">
        <f>+S19/$AK$1</f>
        <v>71500.000000000015</v>
      </c>
      <c r="AL19" s="255">
        <f>+T19/$AL$1</f>
        <v>78650.000000000029</v>
      </c>
      <c r="AM19" s="255">
        <f>+U19/$AM$1</f>
        <v>86515.000000000044</v>
      </c>
      <c r="AN19" s="256">
        <f>+V19/$AN$1</f>
        <v>95166.500000000044</v>
      </c>
      <c r="AO19" s="261">
        <f t="shared" si="6"/>
        <v>396831.50000000012</v>
      </c>
      <c r="AQ19" s="249">
        <f>+AJ19*$O19</f>
        <v>53300</v>
      </c>
      <c r="AR19" s="151">
        <f>+AJ19*$P19</f>
        <v>11700.000000000004</v>
      </c>
      <c r="AS19" s="150">
        <f>+AK19*$O19</f>
        <v>58630.000000000007</v>
      </c>
      <c r="AT19" s="151">
        <f>+AK19*$P19</f>
        <v>12870.000000000005</v>
      </c>
      <c r="AU19" s="150">
        <f>+AL19*$O19</f>
        <v>64493.000000000022</v>
      </c>
      <c r="AV19" s="151">
        <f>+AL19*$P19</f>
        <v>14157.000000000009</v>
      </c>
      <c r="AW19" s="150">
        <f>+AM19*$O19</f>
        <v>70942.300000000032</v>
      </c>
      <c r="AX19" s="151">
        <f>+AM19*$P19</f>
        <v>15572.700000000012</v>
      </c>
      <c r="AY19" s="150">
        <f>+AN19*$O19</f>
        <v>78036.530000000028</v>
      </c>
      <c r="AZ19" s="256">
        <f>+AN19*$P19</f>
        <v>17129.970000000012</v>
      </c>
      <c r="BA19" s="249">
        <f t="shared" si="8"/>
        <v>325401.83000000007</v>
      </c>
      <c r="BB19" s="256">
        <f t="shared" si="9"/>
        <v>71429.670000000042</v>
      </c>
      <c r="BC19" s="35" t="s">
        <v>29</v>
      </c>
    </row>
    <row r="20" spans="2:55" s="35" customFormat="1" x14ac:dyDescent="0.25">
      <c r="B20" s="72" t="s">
        <v>19</v>
      </c>
      <c r="C20" s="72"/>
      <c r="D20" s="199">
        <v>1</v>
      </c>
      <c r="E20" s="199">
        <v>2</v>
      </c>
      <c r="F20" s="199" t="s">
        <v>270</v>
      </c>
      <c r="G20" s="199">
        <v>2</v>
      </c>
      <c r="H20" s="199">
        <v>2</v>
      </c>
      <c r="I20" s="72" t="str">
        <f t="shared" si="2"/>
        <v>1.2.a.2</v>
      </c>
      <c r="J20" s="72"/>
      <c r="K20" s="35" t="s">
        <v>304</v>
      </c>
      <c r="L20" s="73">
        <f t="shared" si="3"/>
        <v>36363.63636363636</v>
      </c>
      <c r="M20" s="308">
        <f t="shared" si="33"/>
        <v>29818.181818181813</v>
      </c>
      <c r="N20" s="309">
        <f t="shared" si="33"/>
        <v>6545.4545454545469</v>
      </c>
      <c r="O20" s="306">
        <v>0.82</v>
      </c>
      <c r="P20" s="307">
        <f t="shared" si="34"/>
        <v>0.18000000000000005</v>
      </c>
      <c r="Q20" s="248"/>
      <c r="R20" s="39">
        <v>600000</v>
      </c>
      <c r="S20" s="246"/>
      <c r="T20" s="39">
        <v>600000</v>
      </c>
      <c r="U20" s="39"/>
      <c r="V20" s="245"/>
      <c r="W20" s="231"/>
      <c r="X20" s="401" t="s">
        <v>353</v>
      </c>
      <c r="Y20" s="401" t="s">
        <v>303</v>
      </c>
      <c r="Z20" s="401"/>
      <c r="AA20" s="73"/>
      <c r="AB20" s="61"/>
      <c r="AE20" s="72">
        <v>1</v>
      </c>
      <c r="AF20" s="72"/>
      <c r="AG20" s="72">
        <v>1</v>
      </c>
      <c r="AH20" s="72"/>
      <c r="AI20" s="72"/>
      <c r="AJ20" s="249">
        <f>+(R20+Q20)/$AJ$1</f>
        <v>18181.81818181818</v>
      </c>
      <c r="AK20" s="255">
        <f>+S20/$AK$1</f>
        <v>0</v>
      </c>
      <c r="AL20" s="255">
        <f>+T20/$AL$1</f>
        <v>18181.81818181818</v>
      </c>
      <c r="AM20" s="255">
        <f>+U20/$AM$1</f>
        <v>0</v>
      </c>
      <c r="AN20" s="256">
        <f>+V20/$AN$1</f>
        <v>0</v>
      </c>
      <c r="AO20" s="261">
        <f t="shared" si="6"/>
        <v>36363.63636363636</v>
      </c>
      <c r="AQ20" s="249">
        <f>+AJ20*$O20</f>
        <v>14909.090909090906</v>
      </c>
      <c r="AR20" s="151">
        <f>+AJ20*$P20</f>
        <v>3272.7272727272734</v>
      </c>
      <c r="AS20" s="150">
        <f>+AK20*$O20</f>
        <v>0</v>
      </c>
      <c r="AT20" s="151">
        <f>+AK20*$P20</f>
        <v>0</v>
      </c>
      <c r="AU20" s="150">
        <f>+AL20*$O20</f>
        <v>14909.090909090906</v>
      </c>
      <c r="AV20" s="151">
        <f>+AL20*$P20</f>
        <v>3272.7272727272734</v>
      </c>
      <c r="AW20" s="150">
        <f>+AM20*$O20</f>
        <v>0</v>
      </c>
      <c r="AX20" s="151">
        <f>+AM20*$P20</f>
        <v>0</v>
      </c>
      <c r="AY20" s="150">
        <f>+AN20*$O20</f>
        <v>0</v>
      </c>
      <c r="AZ20" s="256">
        <f>+AN20*$P20</f>
        <v>0</v>
      </c>
      <c r="BA20" s="249">
        <f t="shared" si="8"/>
        <v>29818.181818181813</v>
      </c>
      <c r="BB20" s="256">
        <f t="shared" si="9"/>
        <v>6545.4545454545469</v>
      </c>
      <c r="BC20" s="35" t="s">
        <v>29</v>
      </c>
    </row>
    <row r="21" spans="2:55" s="35" customFormat="1" x14ac:dyDescent="0.25">
      <c r="B21" s="72" t="s">
        <v>19</v>
      </c>
      <c r="C21" s="72" t="s">
        <v>30</v>
      </c>
      <c r="D21" s="199">
        <v>1</v>
      </c>
      <c r="E21" s="199">
        <v>3</v>
      </c>
      <c r="F21" s="199">
        <v>2</v>
      </c>
      <c r="G21" s="199">
        <v>3</v>
      </c>
      <c r="H21" s="199"/>
      <c r="I21" s="72" t="str">
        <f>CONCATENATE(D21,".",E21,".",F21,".",G21)</f>
        <v>1.3.2.3</v>
      </c>
      <c r="J21" s="72"/>
      <c r="K21" s="35" t="s">
        <v>352</v>
      </c>
      <c r="L21" s="73">
        <f>SUM(Q21:V21)/$R$1</f>
        <v>312842.5959550587</v>
      </c>
      <c r="M21" s="308">
        <f t="shared" si="33"/>
        <v>256530.92868314811</v>
      </c>
      <c r="N21" s="309">
        <f t="shared" si="33"/>
        <v>56311.667271910585</v>
      </c>
      <c r="O21" s="306">
        <v>0.82</v>
      </c>
      <c r="P21" s="307">
        <f t="shared" ref="P21" si="35">1-O21</f>
        <v>0.18000000000000005</v>
      </c>
      <c r="Q21" s="248"/>
      <c r="R21" s="39">
        <f>1537284.87308181*coef17</f>
        <v>1691013.3603899912</v>
      </c>
      <c r="S21" s="39">
        <f>1537284.87308181*coef18</f>
        <v>1860114.6964289905</v>
      </c>
      <c r="T21" s="39">
        <f>1537284.87308181*coef19</f>
        <v>2046126.1660718899</v>
      </c>
      <c r="U21" s="39">
        <f>1537284.87308181*coef20</f>
        <v>2250738.7826790791</v>
      </c>
      <c r="V21" s="245">
        <f>1537284.87308181*coef21</f>
        <v>2475812.6609469871</v>
      </c>
      <c r="W21" s="231"/>
      <c r="X21" s="401" t="s">
        <v>354</v>
      </c>
      <c r="Y21" s="401" t="s">
        <v>207</v>
      </c>
      <c r="Z21" s="401" t="s">
        <v>32</v>
      </c>
      <c r="AA21" s="73"/>
      <c r="AE21" s="72">
        <v>1</v>
      </c>
      <c r="AF21" s="72">
        <v>1</v>
      </c>
      <c r="AG21" s="72">
        <v>1</v>
      </c>
      <c r="AH21" s="72">
        <v>1</v>
      </c>
      <c r="AI21" s="72">
        <v>1</v>
      </c>
      <c r="AJ21" s="249">
        <f>+(R21+Q21)/$AJ$1</f>
        <v>51242.829102727002</v>
      </c>
      <c r="AK21" s="255">
        <f>+S21/$AK$1</f>
        <v>56367.112012999714</v>
      </c>
      <c r="AL21" s="255">
        <f>+T21/$AL$1</f>
        <v>62003.823214299693</v>
      </c>
      <c r="AM21" s="255">
        <f>+U21/$AM$1</f>
        <v>68204.205535729663</v>
      </c>
      <c r="AN21" s="256">
        <f>+V21/$AN$1</f>
        <v>75024.626089302634</v>
      </c>
      <c r="AO21" s="261">
        <f>SUBTOTAL(9,AJ21:AN21)</f>
        <v>312842.5959550587</v>
      </c>
      <c r="AQ21" s="249">
        <f>+AJ21*$O21</f>
        <v>42019.119864236141</v>
      </c>
      <c r="AR21" s="151">
        <f>+AJ21*$P21</f>
        <v>9223.7092384908628</v>
      </c>
      <c r="AS21" s="150">
        <f>+AK21*$O21</f>
        <v>46221.031850659761</v>
      </c>
      <c r="AT21" s="151">
        <f>+AK21*$P21</f>
        <v>10146.080162339951</v>
      </c>
      <c r="AU21" s="150">
        <f>+AL21*$O21</f>
        <v>50843.135035725747</v>
      </c>
      <c r="AV21" s="151">
        <f>+AL21*$P21</f>
        <v>11160.688178573948</v>
      </c>
      <c r="AW21" s="150">
        <f>+AM21*$O21</f>
        <v>55927.448539298319</v>
      </c>
      <c r="AX21" s="151">
        <f>+AM21*$P21</f>
        <v>12276.756996431342</v>
      </c>
      <c r="AY21" s="150">
        <f>+AN21*$O21</f>
        <v>61520.193393228154</v>
      </c>
      <c r="AZ21" s="256">
        <f>+AN21*$P21</f>
        <v>13504.432696074478</v>
      </c>
      <c r="BA21" s="249">
        <f>+AQ21+AS21+AU21+AW21+AY21</f>
        <v>256530.92868314811</v>
      </c>
      <c r="BB21" s="256">
        <f>+AR21+AT21+AV21+AX21+AZ21</f>
        <v>56311.667271910585</v>
      </c>
      <c r="BC21" s="35" t="s">
        <v>31</v>
      </c>
    </row>
    <row r="22" spans="2:55" s="51" customFormat="1" x14ac:dyDescent="0.25">
      <c r="B22" s="34"/>
      <c r="C22" s="34"/>
      <c r="D22" s="221">
        <v>1</v>
      </c>
      <c r="E22" s="221">
        <v>2</v>
      </c>
      <c r="F22" s="221" t="s">
        <v>280</v>
      </c>
      <c r="G22" s="221">
        <v>0</v>
      </c>
      <c r="H22" s="221">
        <v>0</v>
      </c>
      <c r="I22" s="34" t="str">
        <f t="shared" si="2"/>
        <v>1.2.b.0</v>
      </c>
      <c r="J22" s="34"/>
      <c r="K22" s="51" t="s">
        <v>592</v>
      </c>
      <c r="L22" s="45">
        <f t="shared" si="3"/>
        <v>80000</v>
      </c>
      <c r="M22" s="80">
        <f t="shared" ref="M22:Q22" si="36">SUM(M23)</f>
        <v>65600</v>
      </c>
      <c r="N22" s="237">
        <f t="shared" si="36"/>
        <v>14400.000000000004</v>
      </c>
      <c r="O22" s="86"/>
      <c r="P22" s="87"/>
      <c r="Q22" s="80">
        <f t="shared" si="36"/>
        <v>0</v>
      </c>
      <c r="R22" s="237">
        <f>SUM(R23)</f>
        <v>1320000</v>
      </c>
      <c r="S22" s="237">
        <f t="shared" ref="S22:V22" si="37">SUM(S23)</f>
        <v>1320000</v>
      </c>
      <c r="T22" s="237">
        <f t="shared" si="37"/>
        <v>0</v>
      </c>
      <c r="U22" s="237">
        <f t="shared" si="37"/>
        <v>0</v>
      </c>
      <c r="V22" s="75">
        <f t="shared" si="37"/>
        <v>0</v>
      </c>
      <c r="W22" s="53"/>
      <c r="X22" s="400"/>
      <c r="Y22" s="400"/>
      <c r="Z22" s="400"/>
      <c r="AA22" s="45"/>
      <c r="AJ22" s="80">
        <f t="shared" ref="AJ22:AZ22" si="38">SUM(AJ23)</f>
        <v>40000</v>
      </c>
      <c r="AK22" s="237">
        <f t="shared" si="38"/>
        <v>40000</v>
      </c>
      <c r="AL22" s="237">
        <f t="shared" si="38"/>
        <v>0</v>
      </c>
      <c r="AM22" s="237">
        <f t="shared" si="38"/>
        <v>0</v>
      </c>
      <c r="AN22" s="75">
        <f t="shared" si="38"/>
        <v>0</v>
      </c>
      <c r="AO22" s="259">
        <f t="shared" si="6"/>
        <v>80000</v>
      </c>
      <c r="AP22" s="139"/>
      <c r="AQ22" s="264">
        <f t="shared" si="38"/>
        <v>32800</v>
      </c>
      <c r="AR22" s="135">
        <f t="shared" si="38"/>
        <v>7200.0000000000018</v>
      </c>
      <c r="AS22" s="134">
        <f t="shared" si="38"/>
        <v>32800</v>
      </c>
      <c r="AT22" s="135">
        <f t="shared" si="38"/>
        <v>7200.0000000000018</v>
      </c>
      <c r="AU22" s="134">
        <f t="shared" si="38"/>
        <v>0</v>
      </c>
      <c r="AV22" s="135">
        <f t="shared" si="38"/>
        <v>0</v>
      </c>
      <c r="AW22" s="134">
        <f t="shared" si="38"/>
        <v>0</v>
      </c>
      <c r="AX22" s="135">
        <f t="shared" si="38"/>
        <v>0</v>
      </c>
      <c r="AY22" s="134">
        <f t="shared" si="38"/>
        <v>0</v>
      </c>
      <c r="AZ22" s="265">
        <f t="shared" si="38"/>
        <v>0</v>
      </c>
      <c r="BA22" s="264">
        <f t="shared" si="8"/>
        <v>65600</v>
      </c>
      <c r="BB22" s="265">
        <f t="shared" si="9"/>
        <v>14400.000000000004</v>
      </c>
    </row>
    <row r="23" spans="2:55" s="35" customFormat="1" x14ac:dyDescent="0.25">
      <c r="B23" s="72" t="s">
        <v>33</v>
      </c>
      <c r="C23" s="72"/>
      <c r="D23" s="199">
        <v>1</v>
      </c>
      <c r="E23" s="199">
        <v>3</v>
      </c>
      <c r="F23" s="199" t="s">
        <v>280</v>
      </c>
      <c r="G23" s="199">
        <v>1</v>
      </c>
      <c r="H23" s="199"/>
      <c r="I23" s="72" t="str">
        <f t="shared" si="2"/>
        <v>1.3.b.1</v>
      </c>
      <c r="J23" s="72"/>
      <c r="K23" s="35" t="s">
        <v>290</v>
      </c>
      <c r="L23" s="73">
        <f t="shared" si="3"/>
        <v>80000</v>
      </c>
      <c r="M23" s="308">
        <f>+O23*$L23</f>
        <v>65600</v>
      </c>
      <c r="N23" s="309">
        <f>+P23*$L23</f>
        <v>14400.000000000004</v>
      </c>
      <c r="O23" s="306">
        <v>0.82</v>
      </c>
      <c r="P23" s="307">
        <f>1-O23</f>
        <v>0.18000000000000005</v>
      </c>
      <c r="Q23" s="248"/>
      <c r="R23" s="39">
        <f>40000*R1</f>
        <v>1320000</v>
      </c>
      <c r="S23" s="39">
        <f>40000*S1</f>
        <v>1320000</v>
      </c>
      <c r="T23" s="39"/>
      <c r="U23" s="39"/>
      <c r="V23" s="245"/>
      <c r="W23" s="231"/>
      <c r="X23" s="401"/>
      <c r="Y23" s="401"/>
      <c r="Z23" s="401"/>
      <c r="AA23" s="73"/>
      <c r="AE23" s="72">
        <v>1</v>
      </c>
      <c r="AF23" s="72">
        <v>1</v>
      </c>
      <c r="AG23" s="72"/>
      <c r="AH23" s="72"/>
      <c r="AI23" s="72"/>
      <c r="AJ23" s="249">
        <f>+(R23+Q23)/$AJ$1</f>
        <v>40000</v>
      </c>
      <c r="AK23" s="255">
        <f>+S23/$AK$1</f>
        <v>40000</v>
      </c>
      <c r="AL23" s="255">
        <f>+T23/$AL$1</f>
        <v>0</v>
      </c>
      <c r="AM23" s="255">
        <f>+U23/$AM$1</f>
        <v>0</v>
      </c>
      <c r="AN23" s="256">
        <f>+V23/$AN$1</f>
        <v>0</v>
      </c>
      <c r="AO23" s="261">
        <f t="shared" si="6"/>
        <v>80000</v>
      </c>
      <c r="AQ23" s="249">
        <f>+AJ23*$O23</f>
        <v>32800</v>
      </c>
      <c r="AR23" s="151">
        <f>+AJ23*$P23</f>
        <v>7200.0000000000018</v>
      </c>
      <c r="AS23" s="150">
        <f>+AK23*$O23</f>
        <v>32800</v>
      </c>
      <c r="AT23" s="151">
        <f>+AK23*$P23</f>
        <v>7200.0000000000018</v>
      </c>
      <c r="AU23" s="150">
        <f>+AL23*$O23</f>
        <v>0</v>
      </c>
      <c r="AV23" s="151">
        <f>+AL23*$P23</f>
        <v>0</v>
      </c>
      <c r="AW23" s="150">
        <f>+AM23*$O23</f>
        <v>0</v>
      </c>
      <c r="AX23" s="151">
        <f>+AM23*$P23</f>
        <v>0</v>
      </c>
      <c r="AY23" s="150">
        <f>+AN23*$O23</f>
        <v>0</v>
      </c>
      <c r="AZ23" s="256">
        <f>+AN23*$P23</f>
        <v>0</v>
      </c>
      <c r="BA23" s="249">
        <f t="shared" si="8"/>
        <v>65600</v>
      </c>
      <c r="BB23" s="256">
        <f t="shared" si="9"/>
        <v>14400.000000000004</v>
      </c>
    </row>
    <row r="24" spans="2:55" s="46" customFormat="1" x14ac:dyDescent="0.25">
      <c r="B24" s="33" t="s">
        <v>33</v>
      </c>
      <c r="C24" s="33"/>
      <c r="D24" s="220">
        <v>1</v>
      </c>
      <c r="E24" s="220">
        <v>3</v>
      </c>
      <c r="F24" s="220">
        <v>0</v>
      </c>
      <c r="G24" s="220">
        <v>0</v>
      </c>
      <c r="H24" s="220">
        <v>0</v>
      </c>
      <c r="I24" s="33" t="str">
        <f t="shared" si="2"/>
        <v>1.3.0.0</v>
      </c>
      <c r="J24" s="33">
        <v>1.3</v>
      </c>
      <c r="K24" s="46" t="s">
        <v>593</v>
      </c>
      <c r="L24" s="47">
        <f t="shared" si="3"/>
        <v>1121365.2248484851</v>
      </c>
      <c r="M24" s="79">
        <f t="shared" ref="M24:V24" si="39">SUM(M25:M28)</f>
        <v>812841.90740606084</v>
      </c>
      <c r="N24" s="236">
        <f t="shared" si="39"/>
        <v>308523.31744242436</v>
      </c>
      <c r="O24" s="84"/>
      <c r="P24" s="85"/>
      <c r="Q24" s="79">
        <f t="shared" si="39"/>
        <v>0</v>
      </c>
      <c r="R24" s="236">
        <f t="shared" si="39"/>
        <v>3004000</v>
      </c>
      <c r="S24" s="236">
        <f t="shared" si="39"/>
        <v>4758100</v>
      </c>
      <c r="T24" s="236">
        <f t="shared" si="39"/>
        <v>7123886.0000000019</v>
      </c>
      <c r="U24" s="236">
        <f t="shared" si="39"/>
        <v>9604071.4000000041</v>
      </c>
      <c r="V24" s="67">
        <f t="shared" si="39"/>
        <v>12514995.020000005</v>
      </c>
      <c r="W24" s="49"/>
      <c r="X24" s="402"/>
      <c r="Y24" s="402"/>
      <c r="Z24" s="402"/>
      <c r="AA24" s="47"/>
      <c r="AJ24" s="79">
        <f>SUM(AJ25:AJ28)</f>
        <v>91030.303030303039</v>
      </c>
      <c r="AK24" s="236">
        <f>SUM(AK25:AK28)</f>
        <v>144184.84848484851</v>
      </c>
      <c r="AL24" s="236">
        <f>SUM(AL25:AL28)</f>
        <v>215875.3333333334</v>
      </c>
      <c r="AM24" s="236">
        <f>SUM(AM25:AM28)</f>
        <v>291032.46666666673</v>
      </c>
      <c r="AN24" s="67">
        <f>SUM(AN25:AN28)</f>
        <v>379242.27333333349</v>
      </c>
      <c r="AO24" s="258">
        <f t="shared" si="6"/>
        <v>1121365.2248484851</v>
      </c>
      <c r="AP24" s="139"/>
      <c r="AQ24" s="262">
        <f t="shared" ref="AQ24:AZ24" si="40">SUM(AQ25:AQ28)</f>
        <v>54915.15151515152</v>
      </c>
      <c r="AR24" s="133">
        <f t="shared" si="40"/>
        <v>36115.15151515152</v>
      </c>
      <c r="AS24" s="132">
        <f t="shared" si="40"/>
        <v>97458.242424242431</v>
      </c>
      <c r="AT24" s="133">
        <f t="shared" si="40"/>
        <v>46726.606060606071</v>
      </c>
      <c r="AU24" s="132">
        <f t="shared" si="40"/>
        <v>155643.10666666672</v>
      </c>
      <c r="AV24" s="133">
        <f t="shared" si="40"/>
        <v>60232.226666666698</v>
      </c>
      <c r="AW24" s="132">
        <f t="shared" si="40"/>
        <v>216610.48933333339</v>
      </c>
      <c r="AX24" s="133">
        <f t="shared" si="40"/>
        <v>74421.977333333372</v>
      </c>
      <c r="AY24" s="132">
        <f t="shared" si="40"/>
        <v>288214.91746666678</v>
      </c>
      <c r="AZ24" s="263">
        <f t="shared" si="40"/>
        <v>91027.355866666723</v>
      </c>
      <c r="BA24" s="262">
        <f t="shared" si="8"/>
        <v>812841.90740606084</v>
      </c>
      <c r="BB24" s="263">
        <f t="shared" si="9"/>
        <v>308523.31744242442</v>
      </c>
      <c r="BC24" s="46" t="s">
        <v>265</v>
      </c>
    </row>
    <row r="25" spans="2:55" s="35" customFormat="1" x14ac:dyDescent="0.25">
      <c r="B25" s="72" t="s">
        <v>33</v>
      </c>
      <c r="C25" s="72"/>
      <c r="D25" s="199">
        <v>1</v>
      </c>
      <c r="E25" s="199">
        <v>3</v>
      </c>
      <c r="F25" s="199" t="s">
        <v>270</v>
      </c>
      <c r="G25" s="199">
        <v>1</v>
      </c>
      <c r="H25" s="199"/>
      <c r="I25" s="72" t="str">
        <f t="shared" si="2"/>
        <v>1.3.a.1</v>
      </c>
      <c r="J25" s="72"/>
      <c r="K25" s="35" t="s">
        <v>351</v>
      </c>
      <c r="L25" s="73">
        <f t="shared" si="3"/>
        <v>443045.39696969709</v>
      </c>
      <c r="M25" s="308">
        <f t="shared" ref="M25:N28" si="41">+O25*$L25</f>
        <v>363297.22551515157</v>
      </c>
      <c r="N25" s="309">
        <f t="shared" si="41"/>
        <v>79748.171454545503</v>
      </c>
      <c r="O25" s="306">
        <v>0.82</v>
      </c>
      <c r="P25" s="307">
        <f t="shared" ref="P25:P28" si="42">1-O25</f>
        <v>0.18000000000000005</v>
      </c>
      <c r="Q25" s="248"/>
      <c r="R25" s="39">
        <f>+(2*60000*13)+(1*50000*13)</f>
        <v>2210000</v>
      </c>
      <c r="S25" s="39">
        <f>+((2*60000*13)+(1*50000*13))*coef18</f>
        <v>2674100.0000000005</v>
      </c>
      <c r="T25" s="39">
        <f>+((2*60000*13)+(1*50000*13))*coef19</f>
        <v>2941510.0000000009</v>
      </c>
      <c r="U25" s="39">
        <f>+((2*60000*13)+(1*50000*13))*coef20</f>
        <v>3235661.0000000014</v>
      </c>
      <c r="V25" s="245">
        <f>+((2*60000*13)+(1*50000*13))*coef21</f>
        <v>3559227.1000000015</v>
      </c>
      <c r="W25" s="231"/>
      <c r="X25" s="401" t="s">
        <v>349</v>
      </c>
      <c r="Y25" s="401"/>
      <c r="Z25" s="401" t="s">
        <v>35</v>
      </c>
      <c r="AA25" s="73"/>
      <c r="AE25" s="72">
        <v>1</v>
      </c>
      <c r="AF25" s="72">
        <v>1</v>
      </c>
      <c r="AG25" s="72">
        <v>1</v>
      </c>
      <c r="AH25" s="72">
        <v>1</v>
      </c>
      <c r="AI25" s="72">
        <v>1</v>
      </c>
      <c r="AJ25" s="249">
        <f>+(R25+Q25)/$AJ$1</f>
        <v>66969.696969696975</v>
      </c>
      <c r="AK25" s="255">
        <f>+S25/$AK$1</f>
        <v>81033.333333333343</v>
      </c>
      <c r="AL25" s="255">
        <f>+T25/$AL$1</f>
        <v>89136.666666666701</v>
      </c>
      <c r="AM25" s="255">
        <f>+U25/$AM$1</f>
        <v>98050.333333333372</v>
      </c>
      <c r="AN25" s="256">
        <f>+V25/$AN$1</f>
        <v>107855.36666666671</v>
      </c>
      <c r="AO25" s="261">
        <f t="shared" si="6"/>
        <v>443045.39696969709</v>
      </c>
      <c r="AQ25" s="249">
        <f>+AJ25*$O25</f>
        <v>54915.15151515152</v>
      </c>
      <c r="AR25" s="151">
        <f>+AJ25*$P25</f>
        <v>12054.54545454546</v>
      </c>
      <c r="AS25" s="150">
        <f>+AK25*$O25</f>
        <v>66447.333333333343</v>
      </c>
      <c r="AT25" s="151">
        <f>+AK25*$P25</f>
        <v>14586.000000000005</v>
      </c>
      <c r="AU25" s="150">
        <f>+AL25*$O25</f>
        <v>73092.066666666695</v>
      </c>
      <c r="AV25" s="151">
        <f>+AL25*$P25</f>
        <v>16044.600000000011</v>
      </c>
      <c r="AW25" s="150">
        <f>+AM25*$O25</f>
        <v>80401.27333333336</v>
      </c>
      <c r="AX25" s="151">
        <f>+AM25*$P25</f>
        <v>17649.060000000012</v>
      </c>
      <c r="AY25" s="150">
        <f>+AN25*$O25</f>
        <v>88441.400666666697</v>
      </c>
      <c r="AZ25" s="256">
        <f>+AN25*$P25</f>
        <v>19413.966000000015</v>
      </c>
      <c r="BA25" s="249">
        <f t="shared" si="8"/>
        <v>363297.22551515163</v>
      </c>
      <c r="BB25" s="256">
        <f t="shared" si="9"/>
        <v>79748.171454545503</v>
      </c>
    </row>
    <row r="26" spans="2:55" s="35" customFormat="1" x14ac:dyDescent="0.25">
      <c r="B26" s="72" t="s">
        <v>33</v>
      </c>
      <c r="C26" s="72"/>
      <c r="D26" s="199">
        <v>1</v>
      </c>
      <c r="E26" s="199">
        <v>3</v>
      </c>
      <c r="F26" s="199" t="s">
        <v>270</v>
      </c>
      <c r="G26" s="199">
        <v>2</v>
      </c>
      <c r="H26" s="199"/>
      <c r="I26" s="72" t="str">
        <f t="shared" si="2"/>
        <v>1.3.a.2</v>
      </c>
      <c r="J26" s="72"/>
      <c r="K26" s="35" t="s">
        <v>350</v>
      </c>
      <c r="L26" s="73">
        <f t="shared" si="3"/>
        <v>90000</v>
      </c>
      <c r="M26" s="308">
        <f t="shared" si="41"/>
        <v>0</v>
      </c>
      <c r="N26" s="309">
        <f t="shared" si="41"/>
        <v>90000</v>
      </c>
      <c r="O26" s="306">
        <v>0</v>
      </c>
      <c r="P26" s="307">
        <f t="shared" si="42"/>
        <v>1</v>
      </c>
      <c r="Q26" s="248"/>
      <c r="R26" s="39">
        <f>6000*3*R1</f>
        <v>594000</v>
      </c>
      <c r="S26" s="39">
        <f>6000*3*S1</f>
        <v>594000</v>
      </c>
      <c r="T26" s="39">
        <f>6000*3*T1</f>
        <v>594000</v>
      </c>
      <c r="U26" s="39">
        <f>6000*3*U1</f>
        <v>594000</v>
      </c>
      <c r="V26" s="245">
        <f>6000*3*V1</f>
        <v>594000</v>
      </c>
      <c r="W26" s="231"/>
      <c r="X26" s="401"/>
      <c r="Y26" s="401"/>
      <c r="Z26" s="401"/>
      <c r="AA26" s="73"/>
      <c r="AE26" s="72">
        <v>1</v>
      </c>
      <c r="AF26" s="72">
        <v>1</v>
      </c>
      <c r="AG26" s="72">
        <v>1</v>
      </c>
      <c r="AH26" s="72">
        <v>1</v>
      </c>
      <c r="AI26" s="72">
        <v>1</v>
      </c>
      <c r="AJ26" s="249">
        <f>+(R26+Q26)/$AJ$1</f>
        <v>18000</v>
      </c>
      <c r="AK26" s="255">
        <f>+S26/$AK$1</f>
        <v>18000</v>
      </c>
      <c r="AL26" s="255">
        <f>+T26/$AL$1</f>
        <v>18000</v>
      </c>
      <c r="AM26" s="255">
        <f>+U26/$AM$1</f>
        <v>18000</v>
      </c>
      <c r="AN26" s="256">
        <f>+V26/$AN$1</f>
        <v>18000</v>
      </c>
      <c r="AO26" s="261">
        <f t="shared" si="6"/>
        <v>90000</v>
      </c>
      <c r="AQ26" s="249">
        <f>+AJ26*$O26</f>
        <v>0</v>
      </c>
      <c r="AR26" s="151">
        <f>+AJ26*$P26</f>
        <v>18000</v>
      </c>
      <c r="AS26" s="150">
        <f>+AK26*$O26</f>
        <v>0</v>
      </c>
      <c r="AT26" s="151">
        <f>+AK26*$P26</f>
        <v>18000</v>
      </c>
      <c r="AU26" s="150">
        <f>+AL26*$O26</f>
        <v>0</v>
      </c>
      <c r="AV26" s="151">
        <f>+AL26*$P26</f>
        <v>18000</v>
      </c>
      <c r="AW26" s="150">
        <f>+AM26*$O26</f>
        <v>0</v>
      </c>
      <c r="AX26" s="151">
        <f>+AM26*$P26</f>
        <v>18000</v>
      </c>
      <c r="AY26" s="150">
        <f>+AN26*$O26</f>
        <v>0</v>
      </c>
      <c r="AZ26" s="256">
        <f>+AN26*$P26</f>
        <v>18000</v>
      </c>
      <c r="BA26" s="249">
        <f t="shared" si="8"/>
        <v>0</v>
      </c>
      <c r="BB26" s="256">
        <f t="shared" si="9"/>
        <v>90000</v>
      </c>
    </row>
    <row r="27" spans="2:55" s="35" customFormat="1" x14ac:dyDescent="0.25">
      <c r="B27" s="72" t="s">
        <v>33</v>
      </c>
      <c r="C27" s="72"/>
      <c r="D27" s="199">
        <v>1</v>
      </c>
      <c r="E27" s="199">
        <v>3</v>
      </c>
      <c r="F27" s="199" t="s">
        <v>270</v>
      </c>
      <c r="G27" s="199">
        <v>3</v>
      </c>
      <c r="H27" s="199"/>
      <c r="I27" s="72" t="str">
        <f t="shared" si="2"/>
        <v>1.3.a.3</v>
      </c>
      <c r="J27" s="72"/>
      <c r="K27" s="35" t="s">
        <v>433</v>
      </c>
      <c r="L27" s="73">
        <f t="shared" si="3"/>
        <v>548225.22181818204</v>
      </c>
      <c r="M27" s="308">
        <f t="shared" si="41"/>
        <v>449544.68189090927</v>
      </c>
      <c r="N27" s="309">
        <f t="shared" si="41"/>
        <v>98680.539927272795</v>
      </c>
      <c r="O27" s="306">
        <v>0.82</v>
      </c>
      <c r="P27" s="307">
        <f t="shared" si="42"/>
        <v>0.18000000000000005</v>
      </c>
      <c r="Q27" s="248"/>
      <c r="R27" s="39"/>
      <c r="S27" s="39">
        <f>+'HS aulas digitales'!G6</f>
        <v>1248000</v>
      </c>
      <c r="T27" s="39">
        <f>+'HS aulas digitales'!H6*coef19</f>
        <v>3322176.0000000009</v>
      </c>
      <c r="U27" s="39">
        <f>+'HS aulas digitales'!I6*coef20</f>
        <v>5481590.4000000022</v>
      </c>
      <c r="V27" s="245">
        <f>+'HS aulas digitales'!J6*coef21</f>
        <v>8039665.9200000037</v>
      </c>
      <c r="W27" s="231"/>
      <c r="X27" s="401" t="s">
        <v>266</v>
      </c>
      <c r="Y27" s="401"/>
      <c r="Z27" s="401"/>
      <c r="AA27" s="73"/>
      <c r="AE27" s="72"/>
      <c r="AF27" s="72">
        <v>1</v>
      </c>
      <c r="AG27" s="72">
        <v>1</v>
      </c>
      <c r="AH27" s="72">
        <v>1</v>
      </c>
      <c r="AI27" s="72">
        <v>1</v>
      </c>
      <c r="AJ27" s="249">
        <f>+(R27+Q27)/$AJ$1</f>
        <v>0</v>
      </c>
      <c r="AK27" s="255">
        <f>+S27/$AK$1</f>
        <v>37818.181818181816</v>
      </c>
      <c r="AL27" s="255">
        <f>+T27/$AL$1</f>
        <v>100672.00000000003</v>
      </c>
      <c r="AM27" s="255">
        <f>+U27/$AM$1</f>
        <v>166108.80000000008</v>
      </c>
      <c r="AN27" s="256">
        <f>+V27/$AN$1</f>
        <v>243626.24000000011</v>
      </c>
      <c r="AO27" s="261">
        <f t="shared" si="6"/>
        <v>548225.22181818204</v>
      </c>
      <c r="AQ27" s="249">
        <f>+AJ27*$O27</f>
        <v>0</v>
      </c>
      <c r="AR27" s="151">
        <f>+AJ27*$P27</f>
        <v>0</v>
      </c>
      <c r="AS27" s="150">
        <f>+AK27*$O27</f>
        <v>31010.909090909088</v>
      </c>
      <c r="AT27" s="151">
        <f>+AK27*$P27</f>
        <v>6807.2727272727288</v>
      </c>
      <c r="AU27" s="150">
        <f>+AL27*$O27</f>
        <v>82551.040000000023</v>
      </c>
      <c r="AV27" s="151">
        <f>+AL27*$P27</f>
        <v>18120.96000000001</v>
      </c>
      <c r="AW27" s="150">
        <f>+AM27*$O27</f>
        <v>136209.21600000004</v>
      </c>
      <c r="AX27" s="151">
        <f>+AM27*$P27</f>
        <v>29899.584000000021</v>
      </c>
      <c r="AY27" s="150">
        <f>+AN27*$O27</f>
        <v>199773.51680000007</v>
      </c>
      <c r="AZ27" s="256">
        <f>+AN27*$P27</f>
        <v>43852.723200000029</v>
      </c>
      <c r="BA27" s="249">
        <f t="shared" si="8"/>
        <v>449544.68189090921</v>
      </c>
      <c r="BB27" s="256">
        <f t="shared" si="9"/>
        <v>98680.539927272795</v>
      </c>
    </row>
    <row r="28" spans="2:55" s="35" customFormat="1" x14ac:dyDescent="0.25">
      <c r="B28" s="72" t="s">
        <v>33</v>
      </c>
      <c r="C28" s="72"/>
      <c r="D28" s="199">
        <v>1</v>
      </c>
      <c r="E28" s="199">
        <v>3</v>
      </c>
      <c r="F28" s="199" t="s">
        <v>270</v>
      </c>
      <c r="G28" s="199">
        <v>4</v>
      </c>
      <c r="H28" s="199"/>
      <c r="I28" s="72" t="str">
        <f t="shared" si="2"/>
        <v>1.3.a.4</v>
      </c>
      <c r="J28" s="72"/>
      <c r="K28" s="35" t="s">
        <v>180</v>
      </c>
      <c r="L28" s="73">
        <f t="shared" si="3"/>
        <v>40094.606060606071</v>
      </c>
      <c r="M28" s="308">
        <f t="shared" si="41"/>
        <v>0</v>
      </c>
      <c r="N28" s="309">
        <f t="shared" si="41"/>
        <v>40094.606060606071</v>
      </c>
      <c r="O28" s="306">
        <v>0</v>
      </c>
      <c r="P28" s="307">
        <f t="shared" si="42"/>
        <v>1</v>
      </c>
      <c r="Q28" s="248"/>
      <c r="R28" s="39">
        <v>200000</v>
      </c>
      <c r="S28" s="39">
        <f>+R28*coef18</f>
        <v>242000.00000000003</v>
      </c>
      <c r="T28" s="39">
        <f>+R28*coef19</f>
        <v>266200.00000000006</v>
      </c>
      <c r="U28" s="39">
        <f>+R28*coef20</f>
        <v>292820.00000000012</v>
      </c>
      <c r="V28" s="245">
        <f>+R28*coef21</f>
        <v>322102.00000000017</v>
      </c>
      <c r="W28" s="231"/>
      <c r="X28" s="401"/>
      <c r="Y28" s="401"/>
      <c r="Z28" s="401"/>
      <c r="AA28" s="73"/>
      <c r="AE28" s="72">
        <v>1</v>
      </c>
      <c r="AF28" s="72">
        <v>1</v>
      </c>
      <c r="AG28" s="72">
        <v>1</v>
      </c>
      <c r="AH28" s="72">
        <v>1</v>
      </c>
      <c r="AI28" s="72">
        <v>1</v>
      </c>
      <c r="AJ28" s="249">
        <f>+(R28+Q28)/$AJ$1</f>
        <v>6060.606060606061</v>
      </c>
      <c r="AK28" s="255">
        <f>+S28/$AK$1</f>
        <v>7333.3333333333339</v>
      </c>
      <c r="AL28" s="255">
        <f>+T28/$AL$1</f>
        <v>8066.6666666666688</v>
      </c>
      <c r="AM28" s="255">
        <f>+U28/$AM$1</f>
        <v>8873.3333333333376</v>
      </c>
      <c r="AN28" s="256">
        <f>+V28/$AN$1</f>
        <v>9760.6666666666715</v>
      </c>
      <c r="AO28" s="261">
        <f t="shared" si="6"/>
        <v>40094.606060606071</v>
      </c>
      <c r="AQ28" s="249">
        <f>+AJ28*$O28</f>
        <v>0</v>
      </c>
      <c r="AR28" s="151">
        <f>+AJ28*$P28</f>
        <v>6060.606060606061</v>
      </c>
      <c r="AS28" s="150">
        <f>+AK28*$O28</f>
        <v>0</v>
      </c>
      <c r="AT28" s="151">
        <f>+AK28*$P28</f>
        <v>7333.3333333333339</v>
      </c>
      <c r="AU28" s="150">
        <f>+AL28*$O28</f>
        <v>0</v>
      </c>
      <c r="AV28" s="151">
        <f>+AL28*$P28</f>
        <v>8066.6666666666688</v>
      </c>
      <c r="AW28" s="150">
        <f>+AM28*$O28</f>
        <v>0</v>
      </c>
      <c r="AX28" s="151">
        <f>+AM28*$P28</f>
        <v>8873.3333333333376</v>
      </c>
      <c r="AY28" s="150">
        <f>+AN28*$O28</f>
        <v>0</v>
      </c>
      <c r="AZ28" s="256">
        <f>+AN28*$P28</f>
        <v>9760.6666666666715</v>
      </c>
      <c r="BA28" s="249">
        <f t="shared" si="8"/>
        <v>0</v>
      </c>
      <c r="BB28" s="256">
        <f t="shared" si="9"/>
        <v>40094.606060606071</v>
      </c>
    </row>
    <row r="29" spans="2:55" s="31" customFormat="1" x14ac:dyDescent="0.25">
      <c r="B29" s="29" t="s">
        <v>16</v>
      </c>
      <c r="C29" s="29"/>
      <c r="D29" s="196">
        <v>2</v>
      </c>
      <c r="E29" s="196">
        <v>0</v>
      </c>
      <c r="F29" s="196">
        <v>0</v>
      </c>
      <c r="G29" s="196">
        <v>0</v>
      </c>
      <c r="H29" s="196">
        <v>0</v>
      </c>
      <c r="I29" s="225" t="str">
        <f t="shared" si="2"/>
        <v>2.0.0.0</v>
      </c>
      <c r="J29" s="226"/>
      <c r="K29" s="30" t="s">
        <v>36</v>
      </c>
      <c r="L29" s="41">
        <f t="shared" si="3"/>
        <v>3332453.132545229</v>
      </c>
      <c r="M29" s="78">
        <f t="shared" ref="M29:Q29" si="43">+M30+M40+M45</f>
        <v>734309.84752315062</v>
      </c>
      <c r="N29" s="281">
        <f t="shared" si="43"/>
        <v>2598143.285022079</v>
      </c>
      <c r="O29" s="279"/>
      <c r="P29" s="280"/>
      <c r="Q29" s="78">
        <f t="shared" si="43"/>
        <v>0</v>
      </c>
      <c r="R29" s="281">
        <f>+R30+R40+R45</f>
        <v>16684153.046426192</v>
      </c>
      <c r="S29" s="281">
        <f t="shared" ref="S29:V29" si="44">+S30+S40+S45</f>
        <v>18015608.463632811</v>
      </c>
      <c r="T29" s="281">
        <f t="shared" si="44"/>
        <v>19996793.298739694</v>
      </c>
      <c r="U29" s="281">
        <f t="shared" si="44"/>
        <v>25992277.41735727</v>
      </c>
      <c r="V29" s="66">
        <f t="shared" si="44"/>
        <v>29282121.147836599</v>
      </c>
      <c r="W29" s="32"/>
      <c r="AA29" s="230"/>
      <c r="AB29" s="229"/>
      <c r="AJ29" s="78">
        <f t="shared" ref="AJ29:AN29" si="45">+AJ30+AJ40+AJ45</f>
        <v>505580.39534624823</v>
      </c>
      <c r="AK29" s="281">
        <f t="shared" si="45"/>
        <v>545927.52920099429</v>
      </c>
      <c r="AL29" s="281">
        <f t="shared" si="45"/>
        <v>605963.43329514237</v>
      </c>
      <c r="AM29" s="281">
        <f t="shared" si="45"/>
        <v>787644.77022294758</v>
      </c>
      <c r="AN29" s="66">
        <f t="shared" si="45"/>
        <v>887337.00447989686</v>
      </c>
      <c r="AO29" s="282">
        <f t="shared" si="6"/>
        <v>3332453.132545229</v>
      </c>
      <c r="AP29" s="138"/>
      <c r="AQ29" s="283">
        <f t="shared" ref="AQ29:AZ29" si="46">+AQ30+AQ40+AQ45</f>
        <v>245357.74236574169</v>
      </c>
      <c r="AR29" s="130">
        <f t="shared" si="46"/>
        <v>260222.65298050651</v>
      </c>
      <c r="AS29" s="131">
        <f t="shared" si="46"/>
        <v>106343.27417807349</v>
      </c>
      <c r="AT29" s="130">
        <f t="shared" si="46"/>
        <v>439584.25502292078</v>
      </c>
      <c r="AU29" s="131">
        <f t="shared" si="46"/>
        <v>125426.08644436569</v>
      </c>
      <c r="AV29" s="130">
        <f t="shared" si="46"/>
        <v>480537.34685077664</v>
      </c>
      <c r="AW29" s="131">
        <f t="shared" si="46"/>
        <v>110635.36175546894</v>
      </c>
      <c r="AX29" s="130">
        <f t="shared" si="46"/>
        <v>677009.40846747858</v>
      </c>
      <c r="AY29" s="131">
        <f t="shared" si="46"/>
        <v>146547.38277950068</v>
      </c>
      <c r="AZ29" s="284">
        <f t="shared" si="46"/>
        <v>740789.6217003963</v>
      </c>
      <c r="BA29" s="283">
        <f t="shared" si="8"/>
        <v>734309.8475231505</v>
      </c>
      <c r="BB29" s="284">
        <f t="shared" si="9"/>
        <v>2598143.285022079</v>
      </c>
    </row>
    <row r="30" spans="2:55" s="46" customFormat="1" x14ac:dyDescent="0.25">
      <c r="B30" s="33"/>
      <c r="C30" s="33"/>
      <c r="D30" s="220">
        <v>2</v>
      </c>
      <c r="E30" s="220">
        <v>1</v>
      </c>
      <c r="F30" s="220">
        <v>0</v>
      </c>
      <c r="G30" s="220">
        <v>0</v>
      </c>
      <c r="H30" s="220">
        <v>0</v>
      </c>
      <c r="I30" s="33" t="str">
        <f t="shared" si="2"/>
        <v>2.1.0.0</v>
      </c>
      <c r="J30" s="33">
        <v>2.1</v>
      </c>
      <c r="K30" s="46" t="s">
        <v>436</v>
      </c>
      <c r="L30" s="47">
        <f t="shared" si="3"/>
        <v>1293090.6655677743</v>
      </c>
      <c r="M30" s="79">
        <f t="shared" ref="M30:Q30" si="47">+M31+M36</f>
        <v>697037.12025042332</v>
      </c>
      <c r="N30" s="236">
        <f t="shared" si="47"/>
        <v>596053.545317351</v>
      </c>
      <c r="O30" s="84"/>
      <c r="P30" s="85"/>
      <c r="Q30" s="79">
        <f t="shared" si="47"/>
        <v>0</v>
      </c>
      <c r="R30" s="236">
        <f>+R31+R36</f>
        <v>10584153.046426192</v>
      </c>
      <c r="S30" s="236">
        <f t="shared" ref="S30:V30" si="48">+S31+S36</f>
        <v>6953768.3510688115</v>
      </c>
      <c r="T30" s="236">
        <f t="shared" si="48"/>
        <v>7989145.1861756938</v>
      </c>
      <c r="U30" s="236">
        <f t="shared" si="48"/>
        <v>7688059.7047932632</v>
      </c>
      <c r="V30" s="67">
        <f t="shared" si="48"/>
        <v>9456865.6752725914</v>
      </c>
      <c r="W30" s="49"/>
      <c r="X30" s="402"/>
      <c r="Y30" s="402"/>
      <c r="Z30" s="402"/>
      <c r="AA30" s="47"/>
      <c r="AJ30" s="79">
        <f t="shared" ref="AJ30:AN30" si="49">+AJ31+AJ36</f>
        <v>320731.91049776337</v>
      </c>
      <c r="AK30" s="236">
        <f t="shared" si="49"/>
        <v>210720.25306269125</v>
      </c>
      <c r="AL30" s="236">
        <f t="shared" si="49"/>
        <v>242095.30867199073</v>
      </c>
      <c r="AM30" s="236">
        <f t="shared" si="49"/>
        <v>232971.50620585648</v>
      </c>
      <c r="AN30" s="67">
        <f t="shared" si="49"/>
        <v>286571.68712947238</v>
      </c>
      <c r="AO30" s="258">
        <f t="shared" si="6"/>
        <v>1293090.6655677743</v>
      </c>
      <c r="AP30" s="139"/>
      <c r="AQ30" s="262">
        <f t="shared" ref="AQ30:AZ30" si="50">+AQ31+AQ36</f>
        <v>208085.01509301443</v>
      </c>
      <c r="AR30" s="133">
        <f t="shared" si="50"/>
        <v>112646.89540474895</v>
      </c>
      <c r="AS30" s="132">
        <f t="shared" si="50"/>
        <v>106343.27417807349</v>
      </c>
      <c r="AT30" s="133">
        <f t="shared" si="50"/>
        <v>104376.97888461777</v>
      </c>
      <c r="AU30" s="132">
        <f t="shared" si="50"/>
        <v>125426.08644436569</v>
      </c>
      <c r="AV30" s="133">
        <f t="shared" si="50"/>
        <v>116669.22222762504</v>
      </c>
      <c r="AW30" s="132">
        <f t="shared" si="50"/>
        <v>110635.36175546894</v>
      </c>
      <c r="AX30" s="133">
        <f t="shared" si="50"/>
        <v>122336.14445038754</v>
      </c>
      <c r="AY30" s="132">
        <f t="shared" si="50"/>
        <v>146547.38277950068</v>
      </c>
      <c r="AZ30" s="263">
        <f t="shared" si="50"/>
        <v>140024.30434997176</v>
      </c>
      <c r="BA30" s="262">
        <f t="shared" si="8"/>
        <v>697037.12025042321</v>
      </c>
      <c r="BB30" s="263">
        <f t="shared" si="9"/>
        <v>596053.54531735112</v>
      </c>
    </row>
    <row r="31" spans="2:55" s="51" customFormat="1" x14ac:dyDescent="0.25">
      <c r="B31" s="34"/>
      <c r="C31" s="34"/>
      <c r="D31" s="221">
        <v>2</v>
      </c>
      <c r="E31" s="221">
        <v>1</v>
      </c>
      <c r="F31" s="221" t="s">
        <v>270</v>
      </c>
      <c r="G31" s="221">
        <v>0</v>
      </c>
      <c r="H31" s="221">
        <v>0</v>
      </c>
      <c r="I31" s="34" t="str">
        <f t="shared" si="2"/>
        <v>2.1.a.0</v>
      </c>
      <c r="J31" s="34"/>
      <c r="K31" s="51" t="s">
        <v>334</v>
      </c>
      <c r="L31" s="45">
        <f t="shared" si="3"/>
        <v>150000</v>
      </c>
      <c r="M31" s="80">
        <f t="shared" ref="M31:Q31" si="51">SUM(M32:M35)</f>
        <v>123000</v>
      </c>
      <c r="N31" s="237">
        <f t="shared" si="51"/>
        <v>27000.000000000007</v>
      </c>
      <c r="O31" s="86"/>
      <c r="P31" s="87"/>
      <c r="Q31" s="80">
        <f t="shared" si="51"/>
        <v>0</v>
      </c>
      <c r="R31" s="237">
        <f>SUM(R32:R35)</f>
        <v>2950000</v>
      </c>
      <c r="S31" s="237">
        <f t="shared" ref="S31:V31" si="52">SUM(S32:S35)</f>
        <v>0</v>
      </c>
      <c r="T31" s="237">
        <f t="shared" si="52"/>
        <v>1000000</v>
      </c>
      <c r="U31" s="237">
        <f t="shared" si="52"/>
        <v>0</v>
      </c>
      <c r="V31" s="75">
        <f t="shared" si="52"/>
        <v>1000000</v>
      </c>
      <c r="W31" s="53"/>
      <c r="X31" s="400"/>
      <c r="Y31" s="400"/>
      <c r="Z31" s="400"/>
      <c r="AA31" s="45"/>
      <c r="AJ31" s="80">
        <f t="shared" ref="AJ31:AN31" si="53">SUM(AJ32:AJ35)</f>
        <v>89393.939393939392</v>
      </c>
      <c r="AK31" s="237">
        <f t="shared" si="53"/>
        <v>0</v>
      </c>
      <c r="AL31" s="237">
        <f t="shared" si="53"/>
        <v>30303.030303030304</v>
      </c>
      <c r="AM31" s="237">
        <f t="shared" si="53"/>
        <v>0</v>
      </c>
      <c r="AN31" s="75">
        <f t="shared" si="53"/>
        <v>30303.030303030304</v>
      </c>
      <c r="AO31" s="259">
        <f t="shared" si="6"/>
        <v>150000</v>
      </c>
      <c r="AP31" s="139"/>
      <c r="AQ31" s="264">
        <f t="shared" ref="AQ31:AZ31" si="54">SUM(AQ32:AQ35)</f>
        <v>73303.030303030304</v>
      </c>
      <c r="AR31" s="135">
        <f t="shared" si="54"/>
        <v>16090.909090909097</v>
      </c>
      <c r="AS31" s="134">
        <f t="shared" si="54"/>
        <v>0</v>
      </c>
      <c r="AT31" s="135">
        <f t="shared" si="54"/>
        <v>0</v>
      </c>
      <c r="AU31" s="134">
        <f t="shared" si="54"/>
        <v>24848.484848484848</v>
      </c>
      <c r="AV31" s="135">
        <f t="shared" si="54"/>
        <v>5454.5454545454559</v>
      </c>
      <c r="AW31" s="134">
        <f t="shared" si="54"/>
        <v>0</v>
      </c>
      <c r="AX31" s="135">
        <f t="shared" si="54"/>
        <v>0</v>
      </c>
      <c r="AY31" s="134">
        <f t="shared" si="54"/>
        <v>24848.484848484848</v>
      </c>
      <c r="AZ31" s="265">
        <f t="shared" si="54"/>
        <v>5454.5454545454559</v>
      </c>
      <c r="BA31" s="264">
        <f>+AQ31+AS31+AU31+AW31+AY31</f>
        <v>123000</v>
      </c>
      <c r="BB31" s="265">
        <f t="shared" si="9"/>
        <v>27000.000000000007</v>
      </c>
    </row>
    <row r="32" spans="2:55" s="35" customFormat="1" x14ac:dyDescent="0.25">
      <c r="B32" s="72" t="s">
        <v>34</v>
      </c>
      <c r="C32" s="72"/>
      <c r="D32" s="199">
        <v>2</v>
      </c>
      <c r="E32" s="199">
        <v>1</v>
      </c>
      <c r="F32" s="199" t="s">
        <v>270</v>
      </c>
      <c r="G32" s="199">
        <v>1</v>
      </c>
      <c r="H32" s="199"/>
      <c r="I32" s="72" t="str">
        <f t="shared" si="2"/>
        <v>2.1.a.1</v>
      </c>
      <c r="J32" s="72"/>
      <c r="K32" s="35" t="s">
        <v>37</v>
      </c>
      <c r="L32" s="73">
        <f t="shared" si="3"/>
        <v>45454.545454545456</v>
      </c>
      <c r="M32" s="308">
        <f t="shared" ref="M32:N35" si="55">+O32*$L32</f>
        <v>37272.727272727272</v>
      </c>
      <c r="N32" s="309">
        <f t="shared" si="55"/>
        <v>8181.8181818181847</v>
      </c>
      <c r="O32" s="306">
        <v>0.82</v>
      </c>
      <c r="P32" s="307">
        <f t="shared" ref="P32:P35" si="56">1-O32</f>
        <v>0.18000000000000005</v>
      </c>
      <c r="Q32" s="248"/>
      <c r="R32" s="39">
        <f>750000*2</f>
        <v>1500000</v>
      </c>
      <c r="S32" s="39"/>
      <c r="T32" s="39"/>
      <c r="U32" s="39"/>
      <c r="V32" s="245"/>
      <c r="W32" s="231"/>
      <c r="X32" s="401" t="s">
        <v>208</v>
      </c>
      <c r="Y32" s="401"/>
      <c r="Z32" s="401"/>
      <c r="AA32" s="73"/>
      <c r="AE32" s="72">
        <v>1</v>
      </c>
      <c r="AF32" s="72"/>
      <c r="AG32" s="72"/>
      <c r="AH32" s="72"/>
      <c r="AI32" s="72"/>
      <c r="AJ32" s="249">
        <f>+(R32+Q32)/$AJ$1</f>
        <v>45454.545454545456</v>
      </c>
      <c r="AK32" s="255">
        <f>+S32/$AK$1</f>
        <v>0</v>
      </c>
      <c r="AL32" s="255">
        <f>+T32/$AL$1</f>
        <v>0</v>
      </c>
      <c r="AM32" s="255">
        <f>+U32/$AM$1</f>
        <v>0</v>
      </c>
      <c r="AN32" s="256">
        <f>+V32/$AN$1</f>
        <v>0</v>
      </c>
      <c r="AO32" s="261">
        <f t="shared" si="6"/>
        <v>45454.545454545456</v>
      </c>
      <c r="AQ32" s="249">
        <f>+AJ32*$O32</f>
        <v>37272.727272727272</v>
      </c>
      <c r="AR32" s="151">
        <f>+AJ32*$P32</f>
        <v>8181.8181818181847</v>
      </c>
      <c r="AS32" s="150">
        <f>+AK32*$O32</f>
        <v>0</v>
      </c>
      <c r="AT32" s="151">
        <f>+AK32*$P32</f>
        <v>0</v>
      </c>
      <c r="AU32" s="150">
        <f>+AL32*$O32</f>
        <v>0</v>
      </c>
      <c r="AV32" s="151">
        <f>+AL32*$P32</f>
        <v>0</v>
      </c>
      <c r="AW32" s="150">
        <f>+AM32*$O32</f>
        <v>0</v>
      </c>
      <c r="AX32" s="151">
        <f>+AM32*$P32</f>
        <v>0</v>
      </c>
      <c r="AY32" s="150">
        <f>+AN32*$O32</f>
        <v>0</v>
      </c>
      <c r="AZ32" s="256">
        <f>+AN32*$P32</f>
        <v>0</v>
      </c>
      <c r="BA32" s="249">
        <f t="shared" si="8"/>
        <v>37272.727272727272</v>
      </c>
      <c r="BB32" s="256">
        <f t="shared" si="9"/>
        <v>8181.8181818181847</v>
      </c>
      <c r="BC32" s="35" t="s">
        <v>37</v>
      </c>
    </row>
    <row r="33" spans="2:55" s="35" customFormat="1" x14ac:dyDescent="0.25">
      <c r="B33" s="72" t="s">
        <v>34</v>
      </c>
      <c r="C33" s="72"/>
      <c r="D33" s="199">
        <v>2</v>
      </c>
      <c r="E33" s="199">
        <v>1</v>
      </c>
      <c r="F33" s="199" t="s">
        <v>270</v>
      </c>
      <c r="G33" s="199">
        <v>2</v>
      </c>
      <c r="H33" s="199"/>
      <c r="I33" s="72" t="str">
        <f t="shared" si="2"/>
        <v>2.1.a.2</v>
      </c>
      <c r="J33" s="72"/>
      <c r="K33" s="35" t="s">
        <v>38</v>
      </c>
      <c r="L33" s="73">
        <f t="shared" si="3"/>
        <v>22727.272727272728</v>
      </c>
      <c r="M33" s="308">
        <f t="shared" si="55"/>
        <v>18636.363636363636</v>
      </c>
      <c r="N33" s="309">
        <f t="shared" si="55"/>
        <v>4090.9090909090924</v>
      </c>
      <c r="O33" s="306">
        <v>0.82</v>
      </c>
      <c r="P33" s="307">
        <f t="shared" si="56"/>
        <v>0.18000000000000005</v>
      </c>
      <c r="Q33" s="248"/>
      <c r="R33" s="39">
        <v>750000</v>
      </c>
      <c r="S33" s="39"/>
      <c r="T33" s="39"/>
      <c r="U33" s="39"/>
      <c r="V33" s="245"/>
      <c r="W33" s="231"/>
      <c r="X33" s="401" t="s">
        <v>209</v>
      </c>
      <c r="Y33" s="401"/>
      <c r="Z33" s="401"/>
      <c r="AA33" s="73"/>
      <c r="AE33" s="72">
        <v>1</v>
      </c>
      <c r="AF33" s="72"/>
      <c r="AG33" s="72"/>
      <c r="AH33" s="72"/>
      <c r="AI33" s="72"/>
      <c r="AJ33" s="249">
        <f>+(R33+Q33)/$AJ$1</f>
        <v>22727.272727272728</v>
      </c>
      <c r="AK33" s="255">
        <f>+S33/$AK$1</f>
        <v>0</v>
      </c>
      <c r="AL33" s="255">
        <f>+T33/$AL$1</f>
        <v>0</v>
      </c>
      <c r="AM33" s="255">
        <f>+U33/$AM$1</f>
        <v>0</v>
      </c>
      <c r="AN33" s="256">
        <f>+V33/$AN$1</f>
        <v>0</v>
      </c>
      <c r="AO33" s="261">
        <f t="shared" si="6"/>
        <v>22727.272727272728</v>
      </c>
      <c r="AQ33" s="249">
        <f>+AJ33*$O33</f>
        <v>18636.363636363636</v>
      </c>
      <c r="AR33" s="151">
        <f>+AJ33*$P33</f>
        <v>4090.9090909090924</v>
      </c>
      <c r="AS33" s="150">
        <f>+AK33*$O33</f>
        <v>0</v>
      </c>
      <c r="AT33" s="151">
        <f>+AK33*$P33</f>
        <v>0</v>
      </c>
      <c r="AU33" s="150">
        <f>+AL33*$O33</f>
        <v>0</v>
      </c>
      <c r="AV33" s="151">
        <f>+AL33*$P33</f>
        <v>0</v>
      </c>
      <c r="AW33" s="150">
        <f>+AM33*$O33</f>
        <v>0</v>
      </c>
      <c r="AX33" s="151">
        <f>+AM33*$P33</f>
        <v>0</v>
      </c>
      <c r="AY33" s="150">
        <f>+AN33*$O33</f>
        <v>0</v>
      </c>
      <c r="AZ33" s="256">
        <f>+AN33*$P33</f>
        <v>0</v>
      </c>
      <c r="BA33" s="249">
        <f t="shared" si="8"/>
        <v>18636.363636363636</v>
      </c>
      <c r="BB33" s="256">
        <f t="shared" si="9"/>
        <v>4090.9090909090924</v>
      </c>
      <c r="BC33" s="35" t="s">
        <v>38</v>
      </c>
    </row>
    <row r="34" spans="2:55" s="35" customFormat="1" x14ac:dyDescent="0.25">
      <c r="B34" s="72" t="s">
        <v>34</v>
      </c>
      <c r="C34" s="72"/>
      <c r="D34" s="199">
        <v>2</v>
      </c>
      <c r="E34" s="199">
        <v>1</v>
      </c>
      <c r="F34" s="199" t="s">
        <v>270</v>
      </c>
      <c r="G34" s="199">
        <v>3</v>
      </c>
      <c r="H34" s="199"/>
      <c r="I34" s="72" t="str">
        <f t="shared" si="2"/>
        <v>2.1.a.3</v>
      </c>
      <c r="J34" s="72"/>
      <c r="K34" s="35" t="s">
        <v>244</v>
      </c>
      <c r="L34" s="73">
        <f t="shared" si="3"/>
        <v>21212.121212121212</v>
      </c>
      <c r="M34" s="308">
        <f t="shared" si="55"/>
        <v>17393.939393939392</v>
      </c>
      <c r="N34" s="309">
        <f t="shared" si="55"/>
        <v>3818.1818181818194</v>
      </c>
      <c r="O34" s="306">
        <v>0.82</v>
      </c>
      <c r="P34" s="307">
        <f t="shared" si="56"/>
        <v>0.18000000000000005</v>
      </c>
      <c r="Q34" s="248"/>
      <c r="R34" s="39">
        <v>700000</v>
      </c>
      <c r="S34" s="39"/>
      <c r="T34" s="39"/>
      <c r="U34" s="39"/>
      <c r="V34" s="245"/>
      <c r="W34" s="231"/>
      <c r="X34" s="401"/>
      <c r="Y34" s="401"/>
      <c r="Z34" s="401"/>
      <c r="AA34" s="73"/>
      <c r="AE34" s="72">
        <v>1</v>
      </c>
      <c r="AF34" s="72"/>
      <c r="AG34" s="72"/>
      <c r="AH34" s="72"/>
      <c r="AI34" s="72"/>
      <c r="AJ34" s="249">
        <f>+(R34+Q34)/$AJ$1</f>
        <v>21212.121212121212</v>
      </c>
      <c r="AK34" s="255">
        <f>+S34/$AK$1</f>
        <v>0</v>
      </c>
      <c r="AL34" s="255">
        <f>+T34/$AL$1</f>
        <v>0</v>
      </c>
      <c r="AM34" s="255">
        <f>+U34/$AM$1</f>
        <v>0</v>
      </c>
      <c r="AN34" s="256">
        <f>+V34/$AN$1</f>
        <v>0</v>
      </c>
      <c r="AO34" s="261">
        <f t="shared" si="6"/>
        <v>21212.121212121212</v>
      </c>
      <c r="AQ34" s="249">
        <f>+AJ34*$O34</f>
        <v>17393.939393939392</v>
      </c>
      <c r="AR34" s="151">
        <f>+AJ34*$P34</f>
        <v>3818.1818181818194</v>
      </c>
      <c r="AS34" s="150">
        <f>+AK34*$O34</f>
        <v>0</v>
      </c>
      <c r="AT34" s="151">
        <f>+AK34*$P34</f>
        <v>0</v>
      </c>
      <c r="AU34" s="150">
        <f>+AL34*$O34</f>
        <v>0</v>
      </c>
      <c r="AV34" s="151">
        <f>+AL34*$P34</f>
        <v>0</v>
      </c>
      <c r="AW34" s="150">
        <f>+AM34*$O34</f>
        <v>0</v>
      </c>
      <c r="AX34" s="151">
        <f>+AM34*$P34</f>
        <v>0</v>
      </c>
      <c r="AY34" s="150">
        <f>+AN34*$O34</f>
        <v>0</v>
      </c>
      <c r="AZ34" s="256">
        <f>+AN34*$P34</f>
        <v>0</v>
      </c>
      <c r="BA34" s="249">
        <f t="shared" si="8"/>
        <v>17393.939393939392</v>
      </c>
      <c r="BB34" s="256">
        <f t="shared" si="9"/>
        <v>3818.1818181818194</v>
      </c>
    </row>
    <row r="35" spans="2:55" s="35" customFormat="1" x14ac:dyDescent="0.25">
      <c r="B35" s="72" t="s">
        <v>34</v>
      </c>
      <c r="C35" s="72"/>
      <c r="D35" s="199">
        <v>2</v>
      </c>
      <c r="E35" s="199">
        <v>1</v>
      </c>
      <c r="F35" s="199" t="s">
        <v>270</v>
      </c>
      <c r="G35" s="199">
        <v>4</v>
      </c>
      <c r="H35" s="199"/>
      <c r="I35" s="72" t="str">
        <f t="shared" si="2"/>
        <v>2.1.a.4</v>
      </c>
      <c r="J35" s="72"/>
      <c r="K35" s="35" t="s">
        <v>245</v>
      </c>
      <c r="L35" s="73">
        <f t="shared" si="3"/>
        <v>60606.060606060608</v>
      </c>
      <c r="M35" s="308">
        <f t="shared" si="55"/>
        <v>49696.969696969696</v>
      </c>
      <c r="N35" s="309">
        <f t="shared" si="55"/>
        <v>10909.090909090912</v>
      </c>
      <c r="O35" s="306">
        <v>0.82</v>
      </c>
      <c r="P35" s="307">
        <f t="shared" si="56"/>
        <v>0.18000000000000005</v>
      </c>
      <c r="Q35" s="248"/>
      <c r="R35" s="39"/>
      <c r="S35" s="246"/>
      <c r="T35" s="39">
        <f>1000000</f>
        <v>1000000</v>
      </c>
      <c r="U35" s="246"/>
      <c r="V35" s="245">
        <f>1000000</f>
        <v>1000000</v>
      </c>
      <c r="W35" s="231"/>
      <c r="X35" s="401" t="s">
        <v>246</v>
      </c>
      <c r="Y35" s="401"/>
      <c r="Z35" s="401" t="s">
        <v>40</v>
      </c>
      <c r="AA35" s="73"/>
      <c r="AE35" s="72"/>
      <c r="AF35" s="72"/>
      <c r="AG35" s="72">
        <v>1</v>
      </c>
      <c r="AH35" s="72"/>
      <c r="AI35" s="72">
        <v>1</v>
      </c>
      <c r="AJ35" s="249">
        <f>+(R35+Q35)/$AJ$1</f>
        <v>0</v>
      </c>
      <c r="AK35" s="255">
        <f>+S35/$AK$1</f>
        <v>0</v>
      </c>
      <c r="AL35" s="255">
        <f>+T35/$AL$1</f>
        <v>30303.030303030304</v>
      </c>
      <c r="AM35" s="255">
        <f>+U35/$AM$1</f>
        <v>0</v>
      </c>
      <c r="AN35" s="256">
        <f>+V35/$AN$1</f>
        <v>30303.030303030304</v>
      </c>
      <c r="AO35" s="261">
        <f t="shared" si="6"/>
        <v>60606.060606060608</v>
      </c>
      <c r="AQ35" s="249">
        <f>+AJ35*$O35</f>
        <v>0</v>
      </c>
      <c r="AR35" s="151">
        <f>+AJ35*$P35</f>
        <v>0</v>
      </c>
      <c r="AS35" s="150">
        <f>+AK35*$O35</f>
        <v>0</v>
      </c>
      <c r="AT35" s="151">
        <f>+AK35*$P35</f>
        <v>0</v>
      </c>
      <c r="AU35" s="150">
        <f>+AL35*$O35</f>
        <v>24848.484848484848</v>
      </c>
      <c r="AV35" s="151">
        <f>+AL35*$P35</f>
        <v>5454.5454545454559</v>
      </c>
      <c r="AW35" s="150">
        <f>+AM35*$O35</f>
        <v>0</v>
      </c>
      <c r="AX35" s="151">
        <f>+AM35*$P35</f>
        <v>0</v>
      </c>
      <c r="AY35" s="150">
        <f>+AN35*$O35</f>
        <v>24848.484848484848</v>
      </c>
      <c r="AZ35" s="256">
        <f>+AN35*$P35</f>
        <v>5454.5454545454559</v>
      </c>
      <c r="BA35" s="249">
        <f t="shared" si="8"/>
        <v>49696.969696969696</v>
      </c>
      <c r="BB35" s="256">
        <f t="shared" si="9"/>
        <v>10909.090909090912</v>
      </c>
      <c r="BC35" s="35" t="s">
        <v>245</v>
      </c>
    </row>
    <row r="36" spans="2:55" s="51" customFormat="1" x14ac:dyDescent="0.25">
      <c r="B36" s="34"/>
      <c r="C36" s="34"/>
      <c r="D36" s="221">
        <v>2</v>
      </c>
      <c r="E36" s="221">
        <v>1</v>
      </c>
      <c r="F36" s="221" t="s">
        <v>280</v>
      </c>
      <c r="G36" s="221">
        <v>0</v>
      </c>
      <c r="H36" s="221">
        <v>0</v>
      </c>
      <c r="I36" s="34" t="str">
        <f t="shared" si="2"/>
        <v>2.1.b.0</v>
      </c>
      <c r="J36" s="34"/>
      <c r="K36" s="51" t="s">
        <v>335</v>
      </c>
      <c r="L36" s="45">
        <f>SUM(Q36:V36)/$R$1</f>
        <v>1143090.6655677743</v>
      </c>
      <c r="M36" s="80">
        <f>SUM(M37:M39)</f>
        <v>574037.12025042332</v>
      </c>
      <c r="N36" s="237">
        <f t="shared" ref="N36:AZ36" si="57">SUM(N37:N39)</f>
        <v>569053.545317351</v>
      </c>
      <c r="O36" s="86"/>
      <c r="P36" s="87"/>
      <c r="Q36" s="80">
        <f t="shared" si="57"/>
        <v>0</v>
      </c>
      <c r="R36" s="237">
        <f t="shared" si="57"/>
        <v>7634153.0464261919</v>
      </c>
      <c r="S36" s="237">
        <f t="shared" si="57"/>
        <v>6953768.3510688115</v>
      </c>
      <c r="T36" s="237">
        <f t="shared" si="57"/>
        <v>6989145.1861756938</v>
      </c>
      <c r="U36" s="237">
        <f t="shared" si="57"/>
        <v>7688059.7047932632</v>
      </c>
      <c r="V36" s="75">
        <f t="shared" si="57"/>
        <v>8456865.6752725914</v>
      </c>
      <c r="W36" s="53">
        <f t="shared" si="57"/>
        <v>0</v>
      </c>
      <c r="X36" s="400">
        <f t="shared" si="57"/>
        <v>0</v>
      </c>
      <c r="Y36" s="400">
        <f t="shared" si="57"/>
        <v>0</v>
      </c>
      <c r="Z36" s="400">
        <f t="shared" si="57"/>
        <v>0</v>
      </c>
      <c r="AA36" s="45"/>
      <c r="AC36" s="51">
        <f t="shared" si="57"/>
        <v>0</v>
      </c>
      <c r="AJ36" s="80">
        <f t="shared" si="57"/>
        <v>231337.97110382398</v>
      </c>
      <c r="AK36" s="237">
        <f t="shared" si="57"/>
        <v>210720.25306269125</v>
      </c>
      <c r="AL36" s="237">
        <f t="shared" si="57"/>
        <v>211792.27836896043</v>
      </c>
      <c r="AM36" s="237">
        <f t="shared" si="57"/>
        <v>232971.50620585648</v>
      </c>
      <c r="AN36" s="75">
        <f t="shared" si="57"/>
        <v>256268.65682644211</v>
      </c>
      <c r="AO36" s="259">
        <f t="shared" si="57"/>
        <v>1143090.6655677743</v>
      </c>
      <c r="AP36" s="139"/>
      <c r="AQ36" s="264">
        <f t="shared" si="57"/>
        <v>134781.98478998413</v>
      </c>
      <c r="AR36" s="135">
        <f t="shared" si="57"/>
        <v>96555.98631383985</v>
      </c>
      <c r="AS36" s="134">
        <f t="shared" si="57"/>
        <v>106343.27417807349</v>
      </c>
      <c r="AT36" s="135">
        <f t="shared" si="57"/>
        <v>104376.97888461777</v>
      </c>
      <c r="AU36" s="134">
        <f t="shared" si="57"/>
        <v>100577.60159588084</v>
      </c>
      <c r="AV36" s="135">
        <f t="shared" si="57"/>
        <v>111214.67677307958</v>
      </c>
      <c r="AW36" s="134">
        <f t="shared" si="57"/>
        <v>110635.36175546894</v>
      </c>
      <c r="AX36" s="135">
        <f t="shared" si="57"/>
        <v>122336.14445038754</v>
      </c>
      <c r="AY36" s="134">
        <f t="shared" si="57"/>
        <v>121698.89793101583</v>
      </c>
      <c r="AZ36" s="265">
        <f t="shared" si="57"/>
        <v>134569.75889542629</v>
      </c>
      <c r="BA36" s="264">
        <f t="shared" si="8"/>
        <v>574037.12025042332</v>
      </c>
      <c r="BB36" s="265">
        <f t="shared" si="9"/>
        <v>569053.545317351</v>
      </c>
    </row>
    <row r="37" spans="2:55" s="35" customFormat="1" x14ac:dyDescent="0.25">
      <c r="B37" s="72" t="s">
        <v>34</v>
      </c>
      <c r="C37" s="72"/>
      <c r="D37" s="199">
        <v>2</v>
      </c>
      <c r="E37" s="199">
        <v>1</v>
      </c>
      <c r="F37" s="199" t="s">
        <v>280</v>
      </c>
      <c r="G37" s="199">
        <v>1</v>
      </c>
      <c r="H37" s="199"/>
      <c r="I37" s="72" t="str">
        <f t="shared" si="2"/>
        <v>2.1.b.1</v>
      </c>
      <c r="J37" s="72"/>
      <c r="K37" s="35" t="s">
        <v>307</v>
      </c>
      <c r="L37" s="73">
        <f t="shared" si="3"/>
        <v>443045.39696969709</v>
      </c>
      <c r="M37" s="308">
        <f t="shared" ref="M37:N39" si="58">+O37*$L37</f>
        <v>0</v>
      </c>
      <c r="N37" s="309">
        <f t="shared" si="58"/>
        <v>443045.39696969709</v>
      </c>
      <c r="O37" s="306">
        <v>0</v>
      </c>
      <c r="P37" s="307">
        <f t="shared" ref="P37:P38" si="59">1-O37</f>
        <v>1</v>
      </c>
      <c r="Q37" s="248"/>
      <c r="R37" s="39">
        <f>85000*13*2</f>
        <v>2210000</v>
      </c>
      <c r="S37" s="39">
        <f>85000*13*2*coef18</f>
        <v>2674100.0000000005</v>
      </c>
      <c r="T37" s="39">
        <f>85000*13*2*coef19</f>
        <v>2941510.0000000009</v>
      </c>
      <c r="U37" s="39">
        <f>85000*13*2*coef20</f>
        <v>3235661.0000000014</v>
      </c>
      <c r="V37" s="245">
        <f>85000*13*2*coef21</f>
        <v>3559227.1000000015</v>
      </c>
      <c r="W37" s="231"/>
      <c r="X37" s="401" t="s">
        <v>308</v>
      </c>
      <c r="Y37" s="401"/>
      <c r="Z37" s="401"/>
      <c r="AA37" s="73"/>
      <c r="AE37" s="72">
        <v>1</v>
      </c>
      <c r="AF37" s="72">
        <v>1</v>
      </c>
      <c r="AG37" s="72">
        <v>1</v>
      </c>
      <c r="AH37" s="72">
        <v>1</v>
      </c>
      <c r="AI37" s="72">
        <v>1</v>
      </c>
      <c r="AJ37" s="249">
        <f>+(R37+Q37)/$AJ$1</f>
        <v>66969.696969696975</v>
      </c>
      <c r="AK37" s="255">
        <f>+S37/$AK$1</f>
        <v>81033.333333333343</v>
      </c>
      <c r="AL37" s="255">
        <f>+T37/$AL$1</f>
        <v>89136.666666666701</v>
      </c>
      <c r="AM37" s="255">
        <f>+U37/$AM$1</f>
        <v>98050.333333333372</v>
      </c>
      <c r="AN37" s="256">
        <f>+V37/$AN$1</f>
        <v>107855.36666666671</v>
      </c>
      <c r="AO37" s="261">
        <f t="shared" si="6"/>
        <v>443045.39696969709</v>
      </c>
      <c r="AQ37" s="249">
        <f>+AJ37*$O37</f>
        <v>0</v>
      </c>
      <c r="AR37" s="151">
        <f>+AJ37*$P37</f>
        <v>66969.696969696975</v>
      </c>
      <c r="AS37" s="150">
        <f>+AK37*$O37</f>
        <v>0</v>
      </c>
      <c r="AT37" s="151">
        <f>+AK37*$P37</f>
        <v>81033.333333333343</v>
      </c>
      <c r="AU37" s="150">
        <f>+AL37*$O37</f>
        <v>0</v>
      </c>
      <c r="AV37" s="151">
        <f>+AL37*$P37</f>
        <v>89136.666666666701</v>
      </c>
      <c r="AW37" s="150">
        <f>+AM37*$O37</f>
        <v>0</v>
      </c>
      <c r="AX37" s="151">
        <f>+AM37*$P37</f>
        <v>98050.333333333372</v>
      </c>
      <c r="AY37" s="150">
        <f>+AN37*$O37</f>
        <v>0</v>
      </c>
      <c r="AZ37" s="256">
        <f>+AN37*$P37</f>
        <v>107855.36666666671</v>
      </c>
      <c r="BA37" s="249">
        <f t="shared" si="8"/>
        <v>0</v>
      </c>
      <c r="BB37" s="256">
        <f t="shared" si="9"/>
        <v>443045.39696969709</v>
      </c>
    </row>
    <row r="38" spans="2:55" s="35" customFormat="1" x14ac:dyDescent="0.25">
      <c r="B38" s="72" t="s">
        <v>34</v>
      </c>
      <c r="C38" s="72"/>
      <c r="D38" s="199">
        <v>2</v>
      </c>
      <c r="E38" s="199">
        <v>1</v>
      </c>
      <c r="F38" s="199" t="s">
        <v>280</v>
      </c>
      <c r="G38" s="218">
        <v>2</v>
      </c>
      <c r="H38" s="218"/>
      <c r="I38" s="72" t="str">
        <f t="shared" si="2"/>
        <v>2.1.b.2</v>
      </c>
      <c r="J38" s="72"/>
      <c r="K38" s="35" t="s">
        <v>356</v>
      </c>
      <c r="L38" s="73">
        <f t="shared" si="3"/>
        <v>63000</v>
      </c>
      <c r="M38" s="308">
        <f t="shared" si="58"/>
        <v>51660</v>
      </c>
      <c r="N38" s="309">
        <f t="shared" si="58"/>
        <v>11340.000000000004</v>
      </c>
      <c r="O38" s="306">
        <v>0.82</v>
      </c>
      <c r="P38" s="307">
        <f t="shared" si="59"/>
        <v>0.18000000000000005</v>
      </c>
      <c r="Q38" s="248"/>
      <c r="R38" s="39">
        <f>+(2000*R1)*6*4+(1000*R1)*15</f>
        <v>2079000</v>
      </c>
      <c r="S38" s="39"/>
      <c r="T38" s="39"/>
      <c r="U38" s="39"/>
      <c r="V38" s="245"/>
      <c r="W38" s="72"/>
      <c r="X38" s="401" t="s">
        <v>357</v>
      </c>
      <c r="Y38" s="401"/>
      <c r="Z38" s="401"/>
      <c r="AA38" s="73"/>
      <c r="AE38" s="72">
        <v>1</v>
      </c>
      <c r="AF38" s="72"/>
      <c r="AG38" s="72"/>
      <c r="AH38" s="72"/>
      <c r="AI38" s="72"/>
      <c r="AJ38" s="249">
        <f>+(R38+Q38)/$AJ$1</f>
        <v>63000</v>
      </c>
      <c r="AK38" s="255">
        <f>+S38/$AK$1</f>
        <v>0</v>
      </c>
      <c r="AL38" s="255">
        <f>+T38/$AL$1</f>
        <v>0</v>
      </c>
      <c r="AM38" s="255">
        <f>+U38/$AM$1</f>
        <v>0</v>
      </c>
      <c r="AN38" s="256">
        <f>+V38/$AN$1</f>
        <v>0</v>
      </c>
      <c r="AO38" s="261">
        <f t="shared" si="6"/>
        <v>63000</v>
      </c>
      <c r="AQ38" s="249">
        <f>+AJ38*$O38</f>
        <v>51660</v>
      </c>
      <c r="AR38" s="151">
        <f>+AJ38*$P38</f>
        <v>11340.000000000004</v>
      </c>
      <c r="AS38" s="150">
        <f>+AK38*$O38</f>
        <v>0</v>
      </c>
      <c r="AT38" s="151">
        <f>+AK38*$P38</f>
        <v>0</v>
      </c>
      <c r="AU38" s="150">
        <f>+AL38*$O38</f>
        <v>0</v>
      </c>
      <c r="AV38" s="151">
        <f>+AL38*$P38</f>
        <v>0</v>
      </c>
      <c r="AW38" s="150">
        <f>+AM38*$O38</f>
        <v>0</v>
      </c>
      <c r="AX38" s="151">
        <f>+AM38*$P38</f>
        <v>0</v>
      </c>
      <c r="AY38" s="150">
        <f>+AN38*$O38</f>
        <v>0</v>
      </c>
      <c r="AZ38" s="256">
        <f>+AN38*$P38</f>
        <v>0</v>
      </c>
      <c r="BA38" s="249">
        <f t="shared" si="8"/>
        <v>51660</v>
      </c>
      <c r="BB38" s="256">
        <f t="shared" si="9"/>
        <v>11340.000000000004</v>
      </c>
    </row>
    <row r="39" spans="2:55" s="35" customFormat="1" x14ac:dyDescent="0.25">
      <c r="B39" s="72" t="s">
        <v>34</v>
      </c>
      <c r="C39" s="72" t="s">
        <v>30</v>
      </c>
      <c r="D39" s="199">
        <v>2</v>
      </c>
      <c r="E39" s="199">
        <v>1</v>
      </c>
      <c r="F39" s="199" t="s">
        <v>280</v>
      </c>
      <c r="G39" s="199">
        <v>3</v>
      </c>
      <c r="H39" s="199"/>
      <c r="I39" s="72" t="str">
        <f>CONCATENATE(D39,".",E39,".",F39,".",G39)</f>
        <v>2.1.b.3</v>
      </c>
      <c r="J39" s="72"/>
      <c r="K39" s="35" t="s">
        <v>41</v>
      </c>
      <c r="L39" s="73">
        <f>SUM(Q39:V39)/$R$1</f>
        <v>637045.26859807724</v>
      </c>
      <c r="M39" s="308">
        <f t="shared" si="58"/>
        <v>522377.12025042332</v>
      </c>
      <c r="N39" s="309">
        <f t="shared" si="58"/>
        <v>114668.14834765393</v>
      </c>
      <c r="O39" s="306">
        <v>0.82</v>
      </c>
      <c r="P39" s="307">
        <f>1-O39</f>
        <v>0.18000000000000005</v>
      </c>
      <c r="Q39" s="248"/>
      <c r="R39" s="39">
        <f>(1436837.22945357+537992.8215552)*coef17+1066218.17301504*coef17</f>
        <v>3345153.0464261915</v>
      </c>
      <c r="S39" s="39">
        <f>(1436837.22945357+537992.8215552)*coef18+1066218.17301504*coef18+600000</f>
        <v>4279668.3510688115</v>
      </c>
      <c r="T39" s="39">
        <f>(1436837.22945357+537992.8215552)*coef19+1066218.17301504*coef19</f>
        <v>4047635.1861756928</v>
      </c>
      <c r="U39" s="39">
        <f>(1436837.22945357+537992.8215552)*coef20+1066218.17301504*coef20</f>
        <v>4452398.7047932623</v>
      </c>
      <c r="V39" s="245">
        <f>(1436837.22945357+537992.8215552)*coef21+1066218.17301504*coef21</f>
        <v>4897638.575272589</v>
      </c>
      <c r="W39" s="231"/>
      <c r="X39" s="401" t="s">
        <v>210</v>
      </c>
      <c r="Y39" s="401"/>
      <c r="Z39" s="401" t="s">
        <v>42</v>
      </c>
      <c r="AA39" s="73"/>
      <c r="AE39" s="72">
        <v>1</v>
      </c>
      <c r="AF39" s="72">
        <v>1</v>
      </c>
      <c r="AG39" s="72">
        <v>1</v>
      </c>
      <c r="AH39" s="72">
        <v>1</v>
      </c>
      <c r="AI39" s="72">
        <v>1</v>
      </c>
      <c r="AJ39" s="249">
        <f>+(R39+Q39)/$AJ$1</f>
        <v>101368.27413412702</v>
      </c>
      <c r="AK39" s="255">
        <f>+S39/$AK$1</f>
        <v>129686.91972935792</v>
      </c>
      <c r="AL39" s="255">
        <f>+T39/$AL$1</f>
        <v>122655.61170229373</v>
      </c>
      <c r="AM39" s="255">
        <f>+U39/$AM$1</f>
        <v>134921.17287252311</v>
      </c>
      <c r="AN39" s="256">
        <f>+V39/$AN$1</f>
        <v>148413.29015977541</v>
      </c>
      <c r="AO39" s="261">
        <f>SUBTOTAL(9,AJ39:AN39)</f>
        <v>637045.26859807724</v>
      </c>
      <c r="AQ39" s="249">
        <f>+AJ39*$O39</f>
        <v>83121.984789984141</v>
      </c>
      <c r="AR39" s="151">
        <f>+AJ39*$P39</f>
        <v>18246.289344142868</v>
      </c>
      <c r="AS39" s="150">
        <f>+AK39*$O39</f>
        <v>106343.27417807349</v>
      </c>
      <c r="AT39" s="151">
        <f>+AK39*$P39</f>
        <v>23343.645551284433</v>
      </c>
      <c r="AU39" s="150">
        <f>+AL39*$O39</f>
        <v>100577.60159588084</v>
      </c>
      <c r="AV39" s="151">
        <f>+AL39*$P39</f>
        <v>22078.010106412876</v>
      </c>
      <c r="AW39" s="150">
        <f>+AM39*$O39</f>
        <v>110635.36175546894</v>
      </c>
      <c r="AX39" s="151">
        <f>+AM39*$P39</f>
        <v>24285.811117054167</v>
      </c>
      <c r="AY39" s="150">
        <f>+AN39*$O39</f>
        <v>121698.89793101583</v>
      </c>
      <c r="AZ39" s="256">
        <f>+AN39*$P39</f>
        <v>26714.392228759581</v>
      </c>
      <c r="BA39" s="249">
        <f>+AQ39+AS39+AU39+AW39+AY39</f>
        <v>522377.12025042326</v>
      </c>
      <c r="BB39" s="256">
        <f>+AR39+AT39+AV39+AX39+AZ39</f>
        <v>114668.14834765393</v>
      </c>
      <c r="BC39" s="35" t="s">
        <v>41</v>
      </c>
    </row>
    <row r="40" spans="2:55" s="46" customFormat="1" x14ac:dyDescent="0.25">
      <c r="B40" s="33"/>
      <c r="C40" s="33"/>
      <c r="D40" s="220">
        <v>2</v>
      </c>
      <c r="E40" s="220">
        <v>2</v>
      </c>
      <c r="F40" s="220">
        <v>0</v>
      </c>
      <c r="G40" s="220">
        <v>0</v>
      </c>
      <c r="H40" s="220">
        <v>0</v>
      </c>
      <c r="I40" s="33" t="str">
        <f t="shared" si="2"/>
        <v>2.2.0.0</v>
      </c>
      <c r="J40" s="33">
        <v>2.2000000000000002</v>
      </c>
      <c r="K40" s="46" t="s">
        <v>437</v>
      </c>
      <c r="L40" s="47">
        <f t="shared" si="3"/>
        <v>514606.06060606061</v>
      </c>
      <c r="M40" s="79">
        <f t="shared" ref="M40:Q40" si="60">SUM(M41:M44)</f>
        <v>37272.727272727265</v>
      </c>
      <c r="N40" s="236">
        <f t="shared" si="60"/>
        <v>477333.33333333331</v>
      </c>
      <c r="O40" s="84"/>
      <c r="P40" s="85"/>
      <c r="Q40" s="79">
        <f t="shared" si="60"/>
        <v>0</v>
      </c>
      <c r="R40" s="236">
        <f>SUM(R41:R44)</f>
        <v>5200000</v>
      </c>
      <c r="S40" s="236">
        <f t="shared" ref="S40:V40" si="61">SUM(S41:S44)</f>
        <v>3600000</v>
      </c>
      <c r="T40" s="236">
        <f t="shared" si="61"/>
        <v>3100000</v>
      </c>
      <c r="U40" s="236">
        <f t="shared" si="61"/>
        <v>2420000</v>
      </c>
      <c r="V40" s="67">
        <f t="shared" si="61"/>
        <v>2662000</v>
      </c>
      <c r="W40" s="49"/>
      <c r="X40" s="402"/>
      <c r="Y40" s="402"/>
      <c r="Z40" s="402"/>
      <c r="AA40" s="47"/>
      <c r="AJ40" s="79">
        <f t="shared" ref="AJ40:AZ40" si="62">SUM(AJ41:AJ44)</f>
        <v>157575.75757575757</v>
      </c>
      <c r="AK40" s="236">
        <f t="shared" si="62"/>
        <v>109090.90909090909</v>
      </c>
      <c r="AL40" s="236">
        <f t="shared" si="62"/>
        <v>93939.393939393951</v>
      </c>
      <c r="AM40" s="236">
        <f t="shared" si="62"/>
        <v>73333.333333333328</v>
      </c>
      <c r="AN40" s="67">
        <f t="shared" si="62"/>
        <v>80666.666666666672</v>
      </c>
      <c r="AO40" s="258">
        <f t="shared" si="6"/>
        <v>514606.06060606055</v>
      </c>
      <c r="AP40" s="139"/>
      <c r="AQ40" s="262">
        <f t="shared" si="62"/>
        <v>37272.727272727265</v>
      </c>
      <c r="AR40" s="133">
        <f t="shared" si="62"/>
        <v>120303.0303030303</v>
      </c>
      <c r="AS40" s="132">
        <f t="shared" si="62"/>
        <v>0</v>
      </c>
      <c r="AT40" s="133">
        <f t="shared" si="62"/>
        <v>109090.90909090909</v>
      </c>
      <c r="AU40" s="132">
        <f t="shared" si="62"/>
        <v>0</v>
      </c>
      <c r="AV40" s="133">
        <f t="shared" si="62"/>
        <v>93939.393939393951</v>
      </c>
      <c r="AW40" s="132">
        <f t="shared" si="62"/>
        <v>0</v>
      </c>
      <c r="AX40" s="133">
        <f t="shared" si="62"/>
        <v>73333.333333333328</v>
      </c>
      <c r="AY40" s="132">
        <f t="shared" si="62"/>
        <v>0</v>
      </c>
      <c r="AZ40" s="263">
        <f t="shared" si="62"/>
        <v>80666.666666666672</v>
      </c>
      <c r="BA40" s="262">
        <f t="shared" si="8"/>
        <v>37272.727272727265</v>
      </c>
      <c r="BB40" s="263">
        <f t="shared" si="9"/>
        <v>477333.33333333337</v>
      </c>
    </row>
    <row r="41" spans="2:55" s="35" customFormat="1" ht="14.45" customHeight="1" x14ac:dyDescent="0.25">
      <c r="B41" s="72" t="s">
        <v>34</v>
      </c>
      <c r="C41" s="72"/>
      <c r="D41" s="199">
        <v>2</v>
      </c>
      <c r="E41" s="199">
        <v>2</v>
      </c>
      <c r="F41" s="199" t="s">
        <v>270</v>
      </c>
      <c r="G41" s="199">
        <v>1</v>
      </c>
      <c r="H41" s="199"/>
      <c r="I41" s="72" t="str">
        <f t="shared" si="2"/>
        <v>2.2.a.1</v>
      </c>
      <c r="J41" s="72"/>
      <c r="K41" s="35" t="s">
        <v>46</v>
      </c>
      <c r="L41" s="73">
        <f t="shared" si="3"/>
        <v>332787.87878787878</v>
      </c>
      <c r="M41" s="308">
        <f t="shared" ref="M41:N44" si="63">+O41*$L41</f>
        <v>0</v>
      </c>
      <c r="N41" s="309">
        <f t="shared" si="63"/>
        <v>332787.87878787878</v>
      </c>
      <c r="O41" s="306">
        <v>0</v>
      </c>
      <c r="P41" s="307">
        <f t="shared" ref="P41:P44" si="64">1-O41</f>
        <v>1</v>
      </c>
      <c r="Q41" s="248"/>
      <c r="R41" s="39">
        <v>1700000</v>
      </c>
      <c r="S41" s="39">
        <f>500000+1500000</f>
        <v>2000000</v>
      </c>
      <c r="T41" s="39">
        <f>+S41*1.1</f>
        <v>2200000</v>
      </c>
      <c r="U41" s="39">
        <f>+T41*1.1</f>
        <v>2420000</v>
      </c>
      <c r="V41" s="245">
        <f>+U41*1.1</f>
        <v>2662000</v>
      </c>
      <c r="W41" s="231"/>
      <c r="X41" s="401" t="s">
        <v>250</v>
      </c>
      <c r="Y41" s="401"/>
      <c r="Z41" s="401" t="s">
        <v>47</v>
      </c>
      <c r="AA41" s="73"/>
      <c r="AE41" s="72">
        <v>1</v>
      </c>
      <c r="AF41" s="72">
        <v>1</v>
      </c>
      <c r="AG41" s="72">
        <v>1</v>
      </c>
      <c r="AH41" s="72">
        <v>1</v>
      </c>
      <c r="AI41" s="72">
        <v>1</v>
      </c>
      <c r="AJ41" s="249">
        <f>+(R41+Q41)/$AJ$1</f>
        <v>51515.151515151512</v>
      </c>
      <c r="AK41" s="255">
        <f>+S41/$AK$1</f>
        <v>60606.060606060608</v>
      </c>
      <c r="AL41" s="255">
        <f>+T41/$AL$1</f>
        <v>66666.666666666672</v>
      </c>
      <c r="AM41" s="255">
        <f>+U41/$AM$1</f>
        <v>73333.333333333328</v>
      </c>
      <c r="AN41" s="256">
        <f>+V41/$AN$1</f>
        <v>80666.666666666672</v>
      </c>
      <c r="AO41" s="261">
        <f t="shared" si="6"/>
        <v>332787.87878787878</v>
      </c>
      <c r="AQ41" s="249">
        <f>+AJ41*$O41</f>
        <v>0</v>
      </c>
      <c r="AR41" s="151">
        <f>+AJ41*$P41</f>
        <v>51515.151515151512</v>
      </c>
      <c r="AS41" s="150">
        <f>+AK41*$O41</f>
        <v>0</v>
      </c>
      <c r="AT41" s="151">
        <f>+AK41*$P41</f>
        <v>60606.060606060608</v>
      </c>
      <c r="AU41" s="150">
        <f>+AL41*$O41</f>
        <v>0</v>
      </c>
      <c r="AV41" s="151">
        <f>+AL41*$P41</f>
        <v>66666.666666666672</v>
      </c>
      <c r="AW41" s="150">
        <f>+AM41*$O41</f>
        <v>0</v>
      </c>
      <c r="AX41" s="151">
        <f>+AM41*$P41</f>
        <v>73333.333333333328</v>
      </c>
      <c r="AY41" s="150">
        <f>+AN41*$O41</f>
        <v>0</v>
      </c>
      <c r="AZ41" s="256">
        <f>+AN41*$P41</f>
        <v>80666.666666666672</v>
      </c>
      <c r="BA41" s="249">
        <f t="shared" si="8"/>
        <v>0</v>
      </c>
      <c r="BB41" s="256">
        <f t="shared" si="9"/>
        <v>332787.87878787878</v>
      </c>
      <c r="BC41" s="35" t="s">
        <v>46</v>
      </c>
    </row>
    <row r="42" spans="2:55" s="35" customFormat="1" ht="14.45" customHeight="1" x14ac:dyDescent="0.25">
      <c r="B42" s="72" t="s">
        <v>34</v>
      </c>
      <c r="C42" s="72"/>
      <c r="D42" s="199">
        <v>2</v>
      </c>
      <c r="E42" s="199">
        <v>2</v>
      </c>
      <c r="F42" s="199" t="s">
        <v>270</v>
      </c>
      <c r="G42" s="199">
        <v>2</v>
      </c>
      <c r="H42" s="199"/>
      <c r="I42" s="72" t="str">
        <f t="shared" si="2"/>
        <v>2.2.a.2</v>
      </c>
      <c r="J42" s="72"/>
      <c r="K42" s="35" t="s">
        <v>251</v>
      </c>
      <c r="L42" s="73">
        <f t="shared" si="3"/>
        <v>36363.63636363636</v>
      </c>
      <c r="M42" s="308">
        <f t="shared" si="63"/>
        <v>29818.181818181813</v>
      </c>
      <c r="N42" s="309">
        <f t="shared" si="63"/>
        <v>6545.4545454545469</v>
      </c>
      <c r="O42" s="306">
        <v>0.82</v>
      </c>
      <c r="P42" s="307">
        <f t="shared" si="64"/>
        <v>0.18000000000000005</v>
      </c>
      <c r="Q42" s="248"/>
      <c r="R42" s="39">
        <v>1200000</v>
      </c>
      <c r="S42" s="39"/>
      <c r="T42" s="39"/>
      <c r="U42" s="39"/>
      <c r="V42" s="245"/>
      <c r="W42" s="231"/>
      <c r="X42" s="401"/>
      <c r="Y42" s="401"/>
      <c r="Z42" s="401"/>
      <c r="AA42" s="73"/>
      <c r="AE42" s="72">
        <v>1</v>
      </c>
      <c r="AF42" s="72"/>
      <c r="AG42" s="72"/>
      <c r="AH42" s="72"/>
      <c r="AI42" s="72"/>
      <c r="AJ42" s="249">
        <f>+(R42+Q42)/$AJ$1</f>
        <v>36363.63636363636</v>
      </c>
      <c r="AK42" s="255">
        <f>+S42/$AK$1</f>
        <v>0</v>
      </c>
      <c r="AL42" s="255">
        <f>+T42/$AL$1</f>
        <v>0</v>
      </c>
      <c r="AM42" s="255">
        <f>+U42/$AM$1</f>
        <v>0</v>
      </c>
      <c r="AN42" s="256">
        <f>+V42/$AN$1</f>
        <v>0</v>
      </c>
      <c r="AO42" s="261">
        <f t="shared" si="6"/>
        <v>36363.63636363636</v>
      </c>
      <c r="AQ42" s="249">
        <f>+AJ42*$O42</f>
        <v>29818.181818181813</v>
      </c>
      <c r="AR42" s="151">
        <f>+AJ42*$P42</f>
        <v>6545.4545454545469</v>
      </c>
      <c r="AS42" s="150">
        <f>+AK42*$O42</f>
        <v>0</v>
      </c>
      <c r="AT42" s="151">
        <f>+AK42*$P42</f>
        <v>0</v>
      </c>
      <c r="AU42" s="150">
        <f>+AL42*$O42</f>
        <v>0</v>
      </c>
      <c r="AV42" s="151">
        <f>+AL42*$P42</f>
        <v>0</v>
      </c>
      <c r="AW42" s="150">
        <f>+AM42*$O42</f>
        <v>0</v>
      </c>
      <c r="AX42" s="151">
        <f>+AM42*$P42</f>
        <v>0</v>
      </c>
      <c r="AY42" s="150">
        <f>+AN42*$O42</f>
        <v>0</v>
      </c>
      <c r="AZ42" s="256">
        <f>+AN42*$P42</f>
        <v>0</v>
      </c>
      <c r="BA42" s="249">
        <f t="shared" si="8"/>
        <v>29818.181818181813</v>
      </c>
      <c r="BB42" s="256">
        <f t="shared" si="9"/>
        <v>6545.4545454545469</v>
      </c>
      <c r="BC42" s="35" t="s">
        <v>251</v>
      </c>
    </row>
    <row r="43" spans="2:55" s="35" customFormat="1" ht="14.45" customHeight="1" x14ac:dyDescent="0.25">
      <c r="B43" s="72" t="s">
        <v>34</v>
      </c>
      <c r="C43" s="72"/>
      <c r="D43" s="199">
        <v>2</v>
      </c>
      <c r="E43" s="199">
        <v>2</v>
      </c>
      <c r="F43" s="199" t="s">
        <v>270</v>
      </c>
      <c r="G43" s="199">
        <v>3</v>
      </c>
      <c r="H43" s="199"/>
      <c r="I43" s="72" t="str">
        <f t="shared" si="2"/>
        <v>2.2.a.3</v>
      </c>
      <c r="J43" s="72"/>
      <c r="K43" s="35" t="s">
        <v>247</v>
      </c>
      <c r="L43" s="73">
        <f t="shared" si="3"/>
        <v>9090.9090909090901</v>
      </c>
      <c r="M43" s="308">
        <f t="shared" si="63"/>
        <v>7454.5454545454531</v>
      </c>
      <c r="N43" s="309">
        <f t="shared" si="63"/>
        <v>1636.3636363636367</v>
      </c>
      <c r="O43" s="306">
        <v>0.82</v>
      </c>
      <c r="P43" s="307">
        <f t="shared" si="64"/>
        <v>0.18000000000000005</v>
      </c>
      <c r="Q43" s="248"/>
      <c r="R43" s="39">
        <v>300000</v>
      </c>
      <c r="S43" s="39"/>
      <c r="T43" s="39"/>
      <c r="U43" s="39"/>
      <c r="V43" s="245"/>
      <c r="W43" s="231"/>
      <c r="X43" s="401"/>
      <c r="Y43" s="401"/>
      <c r="Z43" s="401"/>
      <c r="AA43" s="73"/>
      <c r="AE43" s="72">
        <v>1</v>
      </c>
      <c r="AF43" s="72"/>
      <c r="AG43" s="72"/>
      <c r="AH43" s="72"/>
      <c r="AI43" s="72"/>
      <c r="AJ43" s="249">
        <f>+(R43+Q43)/$AJ$1</f>
        <v>9090.9090909090901</v>
      </c>
      <c r="AK43" s="255">
        <f>+S43/$AK$1</f>
        <v>0</v>
      </c>
      <c r="AL43" s="255">
        <f>+T43/$AL$1</f>
        <v>0</v>
      </c>
      <c r="AM43" s="255">
        <f>+U43/$AM$1</f>
        <v>0</v>
      </c>
      <c r="AN43" s="256">
        <f>+V43/$AN$1</f>
        <v>0</v>
      </c>
      <c r="AO43" s="261">
        <f t="shared" si="6"/>
        <v>9090.9090909090901</v>
      </c>
      <c r="AQ43" s="249">
        <f>+AJ43*$O43</f>
        <v>7454.5454545454531</v>
      </c>
      <c r="AR43" s="151">
        <f>+AJ43*$P43</f>
        <v>1636.3636363636367</v>
      </c>
      <c r="AS43" s="150">
        <f>+AK43*$O43</f>
        <v>0</v>
      </c>
      <c r="AT43" s="151">
        <f>+AK43*$P43</f>
        <v>0</v>
      </c>
      <c r="AU43" s="150">
        <f>+AL43*$O43</f>
        <v>0</v>
      </c>
      <c r="AV43" s="151">
        <f>+AL43*$P43</f>
        <v>0</v>
      </c>
      <c r="AW43" s="150">
        <f>+AM43*$O43</f>
        <v>0</v>
      </c>
      <c r="AX43" s="151">
        <f>+AM43*$P43</f>
        <v>0</v>
      </c>
      <c r="AY43" s="150">
        <f>+AN43*$O43</f>
        <v>0</v>
      </c>
      <c r="AZ43" s="256">
        <f>+AN43*$P43</f>
        <v>0</v>
      </c>
      <c r="BA43" s="249">
        <f t="shared" si="8"/>
        <v>7454.5454545454531</v>
      </c>
      <c r="BB43" s="256">
        <f t="shared" si="9"/>
        <v>1636.3636363636367</v>
      </c>
      <c r="BC43" s="35" t="s">
        <v>247</v>
      </c>
    </row>
    <row r="44" spans="2:55" s="35" customFormat="1" ht="14.45" customHeight="1" x14ac:dyDescent="0.25">
      <c r="B44" s="72" t="s">
        <v>34</v>
      </c>
      <c r="C44" s="72"/>
      <c r="D44" s="199">
        <v>2</v>
      </c>
      <c r="E44" s="199">
        <v>2</v>
      </c>
      <c r="F44" s="199" t="s">
        <v>270</v>
      </c>
      <c r="G44" s="199">
        <v>4</v>
      </c>
      <c r="H44" s="199"/>
      <c r="I44" s="72" t="str">
        <f t="shared" si="2"/>
        <v>2.2.a.4</v>
      </c>
      <c r="J44" s="72"/>
      <c r="K44" s="35" t="s">
        <v>248</v>
      </c>
      <c r="L44" s="73">
        <f t="shared" si="3"/>
        <v>136363.63636363635</v>
      </c>
      <c r="M44" s="308">
        <f t="shared" si="63"/>
        <v>0</v>
      </c>
      <c r="N44" s="309">
        <f t="shared" si="63"/>
        <v>136363.63636363635</v>
      </c>
      <c r="O44" s="306">
        <v>0</v>
      </c>
      <c r="P44" s="307">
        <f t="shared" si="64"/>
        <v>1</v>
      </c>
      <c r="Q44" s="248"/>
      <c r="R44" s="39">
        <v>2000000</v>
      </c>
      <c r="S44" s="39">
        <v>1600000</v>
      </c>
      <c r="T44" s="39">
        <v>900000</v>
      </c>
      <c r="U44" s="39"/>
      <c r="V44" s="245"/>
      <c r="W44" s="231"/>
      <c r="X44" s="401" t="s">
        <v>249</v>
      </c>
      <c r="Y44" s="401"/>
      <c r="Z44" s="401"/>
      <c r="AA44" s="73"/>
      <c r="AE44" s="72">
        <v>1</v>
      </c>
      <c r="AF44" s="72">
        <v>1</v>
      </c>
      <c r="AG44" s="72">
        <v>1</v>
      </c>
      <c r="AH44" s="72"/>
      <c r="AI44" s="72"/>
      <c r="AJ44" s="249">
        <f>+(R44+Q44)/$AJ$1</f>
        <v>60606.060606060608</v>
      </c>
      <c r="AK44" s="255">
        <f>+S44/$AK$1</f>
        <v>48484.848484848488</v>
      </c>
      <c r="AL44" s="255">
        <f>+T44/$AL$1</f>
        <v>27272.727272727272</v>
      </c>
      <c r="AM44" s="255">
        <f>+U44/$AM$1</f>
        <v>0</v>
      </c>
      <c r="AN44" s="256">
        <f>+V44/$AN$1</f>
        <v>0</v>
      </c>
      <c r="AO44" s="261">
        <f t="shared" si="6"/>
        <v>136363.63636363635</v>
      </c>
      <c r="AQ44" s="249">
        <f>+AJ44*$O44</f>
        <v>0</v>
      </c>
      <c r="AR44" s="151">
        <f>+AJ44*$P44</f>
        <v>60606.060606060608</v>
      </c>
      <c r="AS44" s="150">
        <f>+AK44*$O44</f>
        <v>0</v>
      </c>
      <c r="AT44" s="151">
        <f>+AK44*$P44</f>
        <v>48484.848484848488</v>
      </c>
      <c r="AU44" s="150">
        <f>+AL44*$O44</f>
        <v>0</v>
      </c>
      <c r="AV44" s="151">
        <f>+AL44*$P44</f>
        <v>27272.727272727272</v>
      </c>
      <c r="AW44" s="150">
        <f>+AM44*$O44</f>
        <v>0</v>
      </c>
      <c r="AX44" s="151">
        <f>+AM44*$P44</f>
        <v>0</v>
      </c>
      <c r="AY44" s="150">
        <f>+AN44*$O44</f>
        <v>0</v>
      </c>
      <c r="AZ44" s="256">
        <f>+AN44*$P44</f>
        <v>0</v>
      </c>
      <c r="BA44" s="249">
        <f t="shared" si="8"/>
        <v>0</v>
      </c>
      <c r="BB44" s="256">
        <f t="shared" si="9"/>
        <v>136363.63636363635</v>
      </c>
      <c r="BC44" s="35" t="s">
        <v>248</v>
      </c>
    </row>
    <row r="45" spans="2:55" s="46" customFormat="1" x14ac:dyDescent="0.25">
      <c r="B45" s="33"/>
      <c r="C45" s="33"/>
      <c r="D45" s="220">
        <v>2</v>
      </c>
      <c r="E45" s="220">
        <v>3</v>
      </c>
      <c r="F45" s="220">
        <v>0</v>
      </c>
      <c r="G45" s="220">
        <v>0</v>
      </c>
      <c r="H45" s="220">
        <v>0</v>
      </c>
      <c r="I45" s="33" t="str">
        <f t="shared" si="2"/>
        <v>2.3.0.0</v>
      </c>
      <c r="J45" s="33">
        <v>2.2999999999999998</v>
      </c>
      <c r="K45" s="46" t="s">
        <v>438</v>
      </c>
      <c r="L45" s="47">
        <f t="shared" si="3"/>
        <v>1524756.4063713944</v>
      </c>
      <c r="M45" s="79">
        <f t="shared" ref="M45:Q45" si="65">SUM(M46:M47)</f>
        <v>0</v>
      </c>
      <c r="N45" s="236">
        <f t="shared" si="65"/>
        <v>1524756.4063713944</v>
      </c>
      <c r="O45" s="84"/>
      <c r="P45" s="85"/>
      <c r="Q45" s="79">
        <f t="shared" si="65"/>
        <v>0</v>
      </c>
      <c r="R45" s="236">
        <f>SUM(R46:R47)</f>
        <v>900000</v>
      </c>
      <c r="S45" s="236">
        <f t="shared" ref="S45:V45" si="66">SUM(S46:S47)</f>
        <v>7461840.1125640003</v>
      </c>
      <c r="T45" s="236">
        <f t="shared" si="66"/>
        <v>8907648.1125640012</v>
      </c>
      <c r="U45" s="236">
        <f t="shared" si="66"/>
        <v>15884217.712564006</v>
      </c>
      <c r="V45" s="67">
        <f t="shared" si="66"/>
        <v>17163255.472564008</v>
      </c>
      <c r="W45" s="49"/>
      <c r="X45" s="402"/>
      <c r="Y45" s="402"/>
      <c r="Z45" s="402"/>
      <c r="AA45" s="47"/>
      <c r="AJ45" s="79">
        <f t="shared" ref="AJ45:AZ45" si="67">SUM(AJ46:AJ47)</f>
        <v>27272.727272727272</v>
      </c>
      <c r="AK45" s="236">
        <f t="shared" si="67"/>
        <v>226116.36704739393</v>
      </c>
      <c r="AL45" s="236">
        <f t="shared" si="67"/>
        <v>269928.73068375763</v>
      </c>
      <c r="AM45" s="236">
        <f t="shared" si="67"/>
        <v>481339.93068375776</v>
      </c>
      <c r="AN45" s="67">
        <f t="shared" si="67"/>
        <v>520098.65068375779</v>
      </c>
      <c r="AO45" s="258">
        <f t="shared" si="6"/>
        <v>1524756.4063713944</v>
      </c>
      <c r="AP45" s="139"/>
      <c r="AQ45" s="262">
        <f t="shared" si="67"/>
        <v>0</v>
      </c>
      <c r="AR45" s="133">
        <f t="shared" si="67"/>
        <v>27272.727272727272</v>
      </c>
      <c r="AS45" s="132">
        <f t="shared" si="67"/>
        <v>0</v>
      </c>
      <c r="AT45" s="133">
        <f t="shared" si="67"/>
        <v>226116.36704739393</v>
      </c>
      <c r="AU45" s="132">
        <f t="shared" si="67"/>
        <v>0</v>
      </c>
      <c r="AV45" s="133">
        <f t="shared" si="67"/>
        <v>269928.73068375763</v>
      </c>
      <c r="AW45" s="132">
        <f t="shared" si="67"/>
        <v>0</v>
      </c>
      <c r="AX45" s="133">
        <f t="shared" si="67"/>
        <v>481339.93068375776</v>
      </c>
      <c r="AY45" s="132">
        <f t="shared" si="67"/>
        <v>0</v>
      </c>
      <c r="AZ45" s="263">
        <f t="shared" si="67"/>
        <v>520098.65068375779</v>
      </c>
      <c r="BA45" s="262">
        <f t="shared" si="8"/>
        <v>0</v>
      </c>
      <c r="BB45" s="263">
        <f t="shared" si="9"/>
        <v>1524756.4063713944</v>
      </c>
    </row>
    <row r="46" spans="2:55" s="35" customFormat="1" ht="14.45" customHeight="1" x14ac:dyDescent="0.25">
      <c r="B46" s="72" t="s">
        <v>34</v>
      </c>
      <c r="C46" s="72"/>
      <c r="D46" s="199">
        <v>2</v>
      </c>
      <c r="E46" s="199">
        <v>3</v>
      </c>
      <c r="F46" s="199" t="s">
        <v>270</v>
      </c>
      <c r="G46" s="199">
        <v>1</v>
      </c>
      <c r="H46" s="199"/>
      <c r="I46" s="72" t="str">
        <f t="shared" si="2"/>
        <v>2.3.a.1</v>
      </c>
      <c r="J46" s="72"/>
      <c r="K46" s="35" t="s">
        <v>310</v>
      </c>
      <c r="L46" s="73">
        <f t="shared" si="3"/>
        <v>1149745.4836363641</v>
      </c>
      <c r="M46" s="308">
        <f>+O46*$L46</f>
        <v>0</v>
      </c>
      <c r="N46" s="309">
        <f>+P46*$L46</f>
        <v>1149745.4836363641</v>
      </c>
      <c r="O46" s="306">
        <v>0</v>
      </c>
      <c r="P46" s="307">
        <f t="shared" ref="P46:P47" si="68">1-O46</f>
        <v>1</v>
      </c>
      <c r="Q46" s="248"/>
      <c r="R46" s="39">
        <v>900000</v>
      </c>
      <c r="S46" s="39">
        <f>2*4*42000*13</f>
        <v>4368000</v>
      </c>
      <c r="T46" s="39">
        <f>2*4*42000*13*coef19</f>
        <v>5813808.0000000019</v>
      </c>
      <c r="U46" s="39">
        <f>2*8*42000*13*coef20</f>
        <v>12790377.600000005</v>
      </c>
      <c r="V46" s="245">
        <f>2*8*42000*13*coef21</f>
        <v>14069415.360000007</v>
      </c>
      <c r="W46" s="231" t="s">
        <v>214</v>
      </c>
      <c r="X46" s="401" t="s">
        <v>358</v>
      </c>
      <c r="Y46" s="401" t="s">
        <v>213</v>
      </c>
      <c r="Z46" s="401" t="s">
        <v>49</v>
      </c>
      <c r="AA46" s="73"/>
      <c r="AE46" s="72">
        <v>1</v>
      </c>
      <c r="AF46" s="72">
        <v>1</v>
      </c>
      <c r="AG46" s="72">
        <v>1</v>
      </c>
      <c r="AH46" s="72">
        <v>1</v>
      </c>
      <c r="AI46" s="72">
        <v>1</v>
      </c>
      <c r="AJ46" s="249">
        <f>+(R46+Q46)/$AJ$1</f>
        <v>27272.727272727272</v>
      </c>
      <c r="AK46" s="255">
        <f>+S46/$AK$1</f>
        <v>132363.63636363635</v>
      </c>
      <c r="AL46" s="255">
        <f>+T46/$AL$1</f>
        <v>176176.00000000006</v>
      </c>
      <c r="AM46" s="255">
        <f>+U46/$AM$1</f>
        <v>387587.20000000019</v>
      </c>
      <c r="AN46" s="256">
        <f>+V46/$AN$1</f>
        <v>426345.92000000022</v>
      </c>
      <c r="AO46" s="261">
        <f t="shared" si="6"/>
        <v>1149745.4836363641</v>
      </c>
      <c r="AQ46" s="249">
        <f>+AJ46*$O46</f>
        <v>0</v>
      </c>
      <c r="AR46" s="151">
        <f>+AJ46*$P46</f>
        <v>27272.727272727272</v>
      </c>
      <c r="AS46" s="150">
        <f>+AK46*$O46</f>
        <v>0</v>
      </c>
      <c r="AT46" s="151">
        <f>+AK46*$P46</f>
        <v>132363.63636363635</v>
      </c>
      <c r="AU46" s="150">
        <f>+AL46*$O46</f>
        <v>0</v>
      </c>
      <c r="AV46" s="151">
        <f>+AL46*$P46</f>
        <v>176176.00000000006</v>
      </c>
      <c r="AW46" s="150">
        <f>+AM46*$O46</f>
        <v>0</v>
      </c>
      <c r="AX46" s="151">
        <f>+AM46*$P46</f>
        <v>387587.20000000019</v>
      </c>
      <c r="AY46" s="150">
        <f>+AN46*$O46</f>
        <v>0</v>
      </c>
      <c r="AZ46" s="256">
        <f>+AN46*$P46</f>
        <v>426345.92000000022</v>
      </c>
      <c r="BA46" s="249">
        <f t="shared" si="8"/>
        <v>0</v>
      </c>
      <c r="BB46" s="256">
        <f t="shared" si="9"/>
        <v>1149745.4836363641</v>
      </c>
      <c r="BC46" s="35" t="s">
        <v>48</v>
      </c>
    </row>
    <row r="47" spans="2:55" s="35" customFormat="1" x14ac:dyDescent="0.25">
      <c r="B47" s="72" t="s">
        <v>33</v>
      </c>
      <c r="C47" s="72"/>
      <c r="D47" s="199">
        <v>2</v>
      </c>
      <c r="E47" s="199">
        <v>3</v>
      </c>
      <c r="F47" s="199" t="s">
        <v>270</v>
      </c>
      <c r="G47" s="199">
        <v>2</v>
      </c>
      <c r="H47" s="199"/>
      <c r="I47" s="72" t="str">
        <f t="shared" si="2"/>
        <v>2.3.a.2</v>
      </c>
      <c r="J47" s="72"/>
      <c r="K47" s="35" t="s">
        <v>311</v>
      </c>
      <c r="L47" s="73">
        <f t="shared" si="3"/>
        <v>375010.92273503036</v>
      </c>
      <c r="M47" s="308">
        <f>+O47*$L47</f>
        <v>0</v>
      </c>
      <c r="N47" s="309">
        <f>+P47*$L47</f>
        <v>375010.92273503036</v>
      </c>
      <c r="O47" s="306">
        <v>0</v>
      </c>
      <c r="P47" s="307">
        <f t="shared" si="68"/>
        <v>1</v>
      </c>
      <c r="Q47" s="248"/>
      <c r="R47" s="39"/>
      <c r="S47" s="39">
        <f>(9341281*coef18+450000+514388.7936*coef18)/4</f>
        <v>3093840.1125640003</v>
      </c>
      <c r="T47" s="39">
        <f>+S47</f>
        <v>3093840.1125640003</v>
      </c>
      <c r="U47" s="39">
        <f>+T47</f>
        <v>3093840.1125640003</v>
      </c>
      <c r="V47" s="245">
        <f>+U47</f>
        <v>3093840.1125640003</v>
      </c>
      <c r="W47" s="231" t="s">
        <v>203</v>
      </c>
      <c r="X47" s="401" t="s">
        <v>289</v>
      </c>
      <c r="Y47" s="401"/>
      <c r="Z47" s="401" t="s">
        <v>54</v>
      </c>
      <c r="AA47" s="73"/>
      <c r="AE47" s="72"/>
      <c r="AF47" s="72">
        <v>1</v>
      </c>
      <c r="AG47" s="72">
        <v>1</v>
      </c>
      <c r="AH47" s="72">
        <v>1</v>
      </c>
      <c r="AI47" s="72">
        <v>1</v>
      </c>
      <c r="AJ47" s="249">
        <f>+(R47+Q47)/$AJ$1</f>
        <v>0</v>
      </c>
      <c r="AK47" s="255">
        <f>+S47/$AK$1</f>
        <v>93752.730683757589</v>
      </c>
      <c r="AL47" s="255">
        <f>+T47/$AL$1</f>
        <v>93752.730683757589</v>
      </c>
      <c r="AM47" s="255">
        <f>+U47/$AM$1</f>
        <v>93752.730683757589</v>
      </c>
      <c r="AN47" s="256">
        <f>+V47/$AN$1</f>
        <v>93752.730683757589</v>
      </c>
      <c r="AO47" s="261">
        <f t="shared" si="6"/>
        <v>375010.92273503036</v>
      </c>
      <c r="AQ47" s="249">
        <f>+AJ47*$O47</f>
        <v>0</v>
      </c>
      <c r="AR47" s="151">
        <f>+AJ47*$P47</f>
        <v>0</v>
      </c>
      <c r="AS47" s="150">
        <f>+AK47*$O47</f>
        <v>0</v>
      </c>
      <c r="AT47" s="151">
        <f>+AK47*$P47</f>
        <v>93752.730683757589</v>
      </c>
      <c r="AU47" s="150">
        <f>+AL47*$O47</f>
        <v>0</v>
      </c>
      <c r="AV47" s="151">
        <f>+AL47*$P47</f>
        <v>93752.730683757589</v>
      </c>
      <c r="AW47" s="150">
        <f>+AM47*$O47</f>
        <v>0</v>
      </c>
      <c r="AX47" s="151">
        <f>+AM47*$P47</f>
        <v>93752.730683757589</v>
      </c>
      <c r="AY47" s="150">
        <f>+AN47*$O47</f>
        <v>0</v>
      </c>
      <c r="AZ47" s="256">
        <f>+AN47*$P47</f>
        <v>93752.730683757589</v>
      </c>
      <c r="BA47" s="249">
        <f t="shared" si="8"/>
        <v>0</v>
      </c>
      <c r="BB47" s="256">
        <f t="shared" si="9"/>
        <v>375010.92273503036</v>
      </c>
      <c r="BC47" s="35" t="s">
        <v>268</v>
      </c>
    </row>
    <row r="48" spans="2:55" s="31" customFormat="1" x14ac:dyDescent="0.25">
      <c r="B48" s="29" t="s">
        <v>16</v>
      </c>
      <c r="C48" s="29"/>
      <c r="D48" s="196">
        <v>3</v>
      </c>
      <c r="E48" s="196">
        <v>0</v>
      </c>
      <c r="F48" s="196">
        <v>0</v>
      </c>
      <c r="G48" s="196">
        <v>0</v>
      </c>
      <c r="H48" s="196">
        <v>0</v>
      </c>
      <c r="I48" s="225" t="str">
        <f t="shared" si="2"/>
        <v>3.0.0.0</v>
      </c>
      <c r="J48" s="226"/>
      <c r="K48" s="30" t="s">
        <v>598</v>
      </c>
      <c r="L48" s="41">
        <f t="shared" si="3"/>
        <v>12647393.768014433</v>
      </c>
      <c r="M48" s="78">
        <f t="shared" ref="M48:V48" si="69">+M70+M49+M81</f>
        <v>8150416.9490245134</v>
      </c>
      <c r="N48" s="281">
        <f t="shared" si="69"/>
        <v>4496976.8189899195</v>
      </c>
      <c r="O48" s="279"/>
      <c r="P48" s="280"/>
      <c r="Q48" s="78">
        <f t="shared" si="69"/>
        <v>0</v>
      </c>
      <c r="R48" s="281">
        <f t="shared" si="69"/>
        <v>87107498.084856659</v>
      </c>
      <c r="S48" s="281">
        <f t="shared" si="69"/>
        <v>92305015.560008973</v>
      </c>
      <c r="T48" s="281">
        <f t="shared" si="69"/>
        <v>80284806.857888415</v>
      </c>
      <c r="U48" s="281">
        <f t="shared" si="69"/>
        <v>77449987.54367727</v>
      </c>
      <c r="V48" s="66">
        <f t="shared" si="69"/>
        <v>80216686.298044994</v>
      </c>
      <c r="W48" s="32"/>
      <c r="AA48" s="230"/>
      <c r="AB48" s="229"/>
      <c r="AJ48" s="78">
        <f>+AJ70+AJ49+AJ81</f>
        <v>2639621.1540865651</v>
      </c>
      <c r="AK48" s="281">
        <f>+AK70+AK49+AK81</f>
        <v>2797121.6836366355</v>
      </c>
      <c r="AL48" s="281">
        <f>+AL70+AL49+AL81</f>
        <v>2432872.9350875281</v>
      </c>
      <c r="AM48" s="281">
        <f>+AM70+AM49+AM81</f>
        <v>2346969.3195053716</v>
      </c>
      <c r="AN48" s="66">
        <f>+AN70+AN49+AN81</f>
        <v>2430808.6756983334</v>
      </c>
      <c r="AO48" s="282">
        <f t="shared" si="6"/>
        <v>12647393.768014435</v>
      </c>
      <c r="AP48" s="138"/>
      <c r="AQ48" s="283">
        <f t="shared" ref="AQ48:AZ48" si="70">+AQ70+AQ49+AQ81</f>
        <v>1579039.1927796528</v>
      </c>
      <c r="AR48" s="130">
        <f t="shared" si="70"/>
        <v>1060581.9613069124</v>
      </c>
      <c r="AS48" s="131">
        <f t="shared" si="70"/>
        <v>1822636.6571081234</v>
      </c>
      <c r="AT48" s="130">
        <f t="shared" si="70"/>
        <v>974485.02652851271</v>
      </c>
      <c r="AU48" s="131">
        <f t="shared" si="70"/>
        <v>1642598.231909845</v>
      </c>
      <c r="AV48" s="130">
        <f t="shared" si="70"/>
        <v>790274.70317768306</v>
      </c>
      <c r="AW48" s="131">
        <f t="shared" si="70"/>
        <v>1537666.9641917385</v>
      </c>
      <c r="AX48" s="130">
        <f t="shared" si="70"/>
        <v>809302.35531363322</v>
      </c>
      <c r="AY48" s="131">
        <f t="shared" si="70"/>
        <v>1568475.903035155</v>
      </c>
      <c r="AZ48" s="284">
        <f t="shared" si="70"/>
        <v>862332.77266317839</v>
      </c>
      <c r="BA48" s="283">
        <f t="shared" si="8"/>
        <v>8150416.9490245152</v>
      </c>
      <c r="BB48" s="284">
        <f t="shared" si="9"/>
        <v>4496976.8189899195</v>
      </c>
    </row>
    <row r="49" spans="2:55" s="46" customFormat="1" x14ac:dyDescent="0.25">
      <c r="B49" s="33"/>
      <c r="C49" s="33"/>
      <c r="D49" s="220">
        <v>3</v>
      </c>
      <c r="E49" s="220">
        <v>1</v>
      </c>
      <c r="F49" s="220">
        <v>0</v>
      </c>
      <c r="G49" s="220">
        <v>0</v>
      </c>
      <c r="H49" s="220">
        <v>0</v>
      </c>
      <c r="I49" s="33" t="str">
        <f t="shared" si="2"/>
        <v>3.1.0.0</v>
      </c>
      <c r="J49" s="33">
        <v>3.1</v>
      </c>
      <c r="K49" s="46" t="s">
        <v>439</v>
      </c>
      <c r="L49" s="47">
        <f t="shared" si="3"/>
        <v>3968441.2282570517</v>
      </c>
      <c r="M49" s="79">
        <f t="shared" ref="M49:Q49" si="71">+M50+M60</f>
        <v>2858366.7378374487</v>
      </c>
      <c r="N49" s="236">
        <f t="shared" si="71"/>
        <v>1110074.490419603</v>
      </c>
      <c r="O49" s="84"/>
      <c r="P49" s="85"/>
      <c r="Q49" s="79">
        <f t="shared" si="71"/>
        <v>0</v>
      </c>
      <c r="R49" s="236">
        <f>+R50+R60</f>
        <v>35972480.550274804</v>
      </c>
      <c r="S49" s="236">
        <f t="shared" ref="S49:V49" si="72">+S50+S60</f>
        <v>21455253.605302282</v>
      </c>
      <c r="T49" s="236">
        <f t="shared" si="72"/>
        <v>23163578.965832513</v>
      </c>
      <c r="U49" s="236">
        <f t="shared" si="72"/>
        <v>24349736.862415768</v>
      </c>
      <c r="V49" s="67">
        <f t="shared" si="72"/>
        <v>26017510.548657343</v>
      </c>
      <c r="W49" s="49"/>
      <c r="X49" s="402"/>
      <c r="Y49" s="402"/>
      <c r="Z49" s="402"/>
      <c r="AA49" s="47"/>
      <c r="AJ49" s="79">
        <f t="shared" ref="AJ49:AN49" si="73">+AJ50+AJ60</f>
        <v>1090075.1681901456</v>
      </c>
      <c r="AK49" s="236">
        <f t="shared" si="73"/>
        <v>650159.20016067522</v>
      </c>
      <c r="AL49" s="236">
        <f t="shared" si="73"/>
        <v>701926.63532825804</v>
      </c>
      <c r="AM49" s="236">
        <f t="shared" si="73"/>
        <v>737870.81401259894</v>
      </c>
      <c r="AN49" s="67">
        <f t="shared" si="73"/>
        <v>788409.41056537407</v>
      </c>
      <c r="AO49" s="258">
        <f t="shared" si="6"/>
        <v>3968441.2282570521</v>
      </c>
      <c r="AP49" s="139"/>
      <c r="AQ49" s="262">
        <f t="shared" ref="AQ49:AZ49" si="74">+AQ50+AQ60</f>
        <v>699043.30458258581</v>
      </c>
      <c r="AR49" s="133">
        <f t="shared" si="74"/>
        <v>391031.86360755959</v>
      </c>
      <c r="AS49" s="132">
        <f t="shared" si="74"/>
        <v>489834.54413175362</v>
      </c>
      <c r="AT49" s="133">
        <f t="shared" si="74"/>
        <v>160324.65602892157</v>
      </c>
      <c r="AU49" s="132">
        <f t="shared" si="74"/>
        <v>527954.24096917151</v>
      </c>
      <c r="AV49" s="133">
        <f t="shared" si="74"/>
        <v>173972.39435908647</v>
      </c>
      <c r="AW49" s="132">
        <f t="shared" si="74"/>
        <v>552665.9074903311</v>
      </c>
      <c r="AX49" s="133">
        <f t="shared" si="74"/>
        <v>185204.90652226788</v>
      </c>
      <c r="AY49" s="132">
        <f t="shared" si="74"/>
        <v>588868.74066360667</v>
      </c>
      <c r="AZ49" s="263">
        <f t="shared" si="74"/>
        <v>199540.6699017674</v>
      </c>
      <c r="BA49" s="262">
        <f t="shared" si="8"/>
        <v>2858366.7378374487</v>
      </c>
      <c r="BB49" s="263">
        <f t="shared" si="9"/>
        <v>1110074.490419603</v>
      </c>
    </row>
    <row r="50" spans="2:55" s="51" customFormat="1" x14ac:dyDescent="0.25">
      <c r="B50" s="34"/>
      <c r="C50" s="34"/>
      <c r="D50" s="221">
        <v>3</v>
      </c>
      <c r="E50" s="221">
        <v>1</v>
      </c>
      <c r="F50" s="221" t="s">
        <v>270</v>
      </c>
      <c r="G50" s="221">
        <v>1</v>
      </c>
      <c r="H50" s="221">
        <v>0</v>
      </c>
      <c r="I50" s="34" t="str">
        <f t="shared" ref="I50:I69" si="75">CONCATENATE(D50,".",E50,".",F50,".",G50)</f>
        <v>3.1.a.1</v>
      </c>
      <c r="J50" s="34"/>
      <c r="K50" s="51" t="s">
        <v>368</v>
      </c>
      <c r="L50" s="45">
        <f t="shared" si="3"/>
        <v>2704769.6906666677</v>
      </c>
      <c r="M50" s="52">
        <f t="shared" ref="M50:N50" si="76">SUM(M51:M59)</f>
        <v>1822156.0770133333</v>
      </c>
      <c r="N50" s="52">
        <f t="shared" si="76"/>
        <v>882613.61365333362</v>
      </c>
      <c r="O50" s="86"/>
      <c r="P50" s="87"/>
      <c r="Q50" s="247"/>
      <c r="R50" s="237">
        <f>SUM(R51:R59)</f>
        <v>25445170</v>
      </c>
      <c r="S50" s="237">
        <f t="shared" ref="S50:V50" si="77">SUM(S51:S59)</f>
        <v>14058112.000000002</v>
      </c>
      <c r="T50" s="237">
        <f t="shared" si="77"/>
        <v>15519123.200000003</v>
      </c>
      <c r="U50" s="237">
        <f t="shared" si="77"/>
        <v>16433235.520000007</v>
      </c>
      <c r="V50" s="75">
        <f t="shared" si="77"/>
        <v>17801759.072000008</v>
      </c>
      <c r="W50" s="53"/>
      <c r="X50" s="400"/>
      <c r="Y50" s="400"/>
      <c r="Z50" s="400"/>
      <c r="AA50" s="45"/>
      <c r="AJ50" s="80">
        <f t="shared" ref="AJ50:AN50" si="78">SUM(AJ51:AJ59)</f>
        <v>771065.75757575769</v>
      </c>
      <c r="AK50" s="237">
        <f t="shared" si="78"/>
        <v>426003.39393939404</v>
      </c>
      <c r="AL50" s="237">
        <f t="shared" si="78"/>
        <v>470276.46060606075</v>
      </c>
      <c r="AM50" s="237">
        <f t="shared" si="78"/>
        <v>497976.8339393941</v>
      </c>
      <c r="AN50" s="75">
        <f t="shared" si="78"/>
        <v>539447.24460606079</v>
      </c>
      <c r="AO50" s="259">
        <f t="shared" si="6"/>
        <v>2704769.6906666677</v>
      </c>
      <c r="AP50" s="139"/>
      <c r="AQ50" s="264">
        <f t="shared" ref="AQ50:AZ50" si="79">SUM(AQ51:AQ59)</f>
        <v>437455.58787878783</v>
      </c>
      <c r="AR50" s="135">
        <f t="shared" si="79"/>
        <v>333610.16969696974</v>
      </c>
      <c r="AS50" s="134">
        <f t="shared" si="79"/>
        <v>306026.78303030302</v>
      </c>
      <c r="AT50" s="135">
        <f t="shared" si="79"/>
        <v>119976.61090909094</v>
      </c>
      <c r="AU50" s="134">
        <f t="shared" si="79"/>
        <v>338001.09769696975</v>
      </c>
      <c r="AV50" s="135">
        <f t="shared" si="79"/>
        <v>132275.36290909097</v>
      </c>
      <c r="AW50" s="134">
        <f t="shared" si="79"/>
        <v>355952.84383030311</v>
      </c>
      <c r="AX50" s="135">
        <f t="shared" si="79"/>
        <v>142023.99010909098</v>
      </c>
      <c r="AY50" s="134">
        <f t="shared" si="79"/>
        <v>384719.76457696978</v>
      </c>
      <c r="AZ50" s="265">
        <f t="shared" si="79"/>
        <v>154727.48002909101</v>
      </c>
      <c r="BA50" s="264">
        <f t="shared" si="8"/>
        <v>1822156.0770133333</v>
      </c>
      <c r="BB50" s="265">
        <f t="shared" si="9"/>
        <v>882613.61365333362</v>
      </c>
    </row>
    <row r="51" spans="2:55" s="35" customFormat="1" x14ac:dyDescent="0.25">
      <c r="B51" s="72"/>
      <c r="C51" s="72" t="s">
        <v>252</v>
      </c>
      <c r="D51" s="199">
        <v>3</v>
      </c>
      <c r="E51" s="199">
        <v>1</v>
      </c>
      <c r="F51" s="199" t="s">
        <v>270</v>
      </c>
      <c r="G51" s="199">
        <v>1</v>
      </c>
      <c r="H51" s="199"/>
      <c r="I51" s="72" t="str">
        <f t="shared" si="75"/>
        <v>3.1.a.1</v>
      </c>
      <c r="J51" s="72"/>
      <c r="K51" s="35" t="s">
        <v>275</v>
      </c>
      <c r="L51" s="73">
        <f t="shared" si="3"/>
        <v>70000</v>
      </c>
      <c r="M51" s="308">
        <f t="shared" ref="M51:M59" si="80">+O51*$L51</f>
        <v>57400</v>
      </c>
      <c r="N51" s="309">
        <f t="shared" ref="N51:N59" si="81">+P51*$L51</f>
        <v>12600.000000000004</v>
      </c>
      <c r="O51" s="306">
        <v>0.82</v>
      </c>
      <c r="P51" s="307">
        <f t="shared" ref="P51:P58" si="82">1-O51</f>
        <v>0.18000000000000005</v>
      </c>
      <c r="Q51" s="248"/>
      <c r="R51" s="39">
        <f>70000*R1</f>
        <v>2310000</v>
      </c>
      <c r="S51" s="39"/>
      <c r="T51" s="39"/>
      <c r="U51" s="39"/>
      <c r="V51" s="245"/>
      <c r="W51" s="231"/>
      <c r="X51" s="401" t="s">
        <v>253</v>
      </c>
      <c r="Y51" s="401"/>
      <c r="Z51" s="401"/>
      <c r="AA51" s="73"/>
      <c r="AE51" s="72">
        <v>1</v>
      </c>
      <c r="AF51" s="72"/>
      <c r="AG51" s="72"/>
      <c r="AH51" s="72"/>
      <c r="AI51" s="72"/>
      <c r="AJ51" s="249">
        <f t="shared" ref="AJ51:AJ59" si="83">+(R51+Q51)/$AJ$1</f>
        <v>70000</v>
      </c>
      <c r="AK51" s="255">
        <f t="shared" ref="AK51:AK59" si="84">+S51/$AK$1</f>
        <v>0</v>
      </c>
      <c r="AL51" s="255">
        <f t="shared" ref="AL51:AL59" si="85">+T51/$AL$1</f>
        <v>0</v>
      </c>
      <c r="AM51" s="255">
        <f t="shared" ref="AM51:AM59" si="86">+U51/$AM$1</f>
        <v>0</v>
      </c>
      <c r="AN51" s="256">
        <f t="shared" ref="AN51:AN59" si="87">+V51/$AN$1</f>
        <v>0</v>
      </c>
      <c r="AO51" s="261">
        <f t="shared" si="6"/>
        <v>70000</v>
      </c>
      <c r="AQ51" s="249">
        <f t="shared" ref="AQ51:AQ59" si="88">+AJ51*$O51</f>
        <v>57400</v>
      </c>
      <c r="AR51" s="151">
        <f t="shared" ref="AR51:AR59" si="89">+AJ51*$P51</f>
        <v>12600.000000000004</v>
      </c>
      <c r="AS51" s="150">
        <f t="shared" ref="AS51:AS59" si="90">+AK51*$O51</f>
        <v>0</v>
      </c>
      <c r="AT51" s="151">
        <f t="shared" ref="AT51:AT59" si="91">+AK51*$P51</f>
        <v>0</v>
      </c>
      <c r="AU51" s="150">
        <f t="shared" ref="AU51:AU59" si="92">+AL51*$O51</f>
        <v>0</v>
      </c>
      <c r="AV51" s="151">
        <f t="shared" ref="AV51:AV59" si="93">+AL51*$P51</f>
        <v>0</v>
      </c>
      <c r="AW51" s="150">
        <f t="shared" ref="AW51:AW59" si="94">+AM51*$O51</f>
        <v>0</v>
      </c>
      <c r="AX51" s="151">
        <f t="shared" ref="AX51:AX59" si="95">+AM51*$P51</f>
        <v>0</v>
      </c>
      <c r="AY51" s="150">
        <f t="shared" ref="AY51:AY59" si="96">+AN51*$O51</f>
        <v>0</v>
      </c>
      <c r="AZ51" s="256">
        <f t="shared" ref="AZ51:AZ59" si="97">+AN51*$P51</f>
        <v>0</v>
      </c>
      <c r="BA51" s="249">
        <f t="shared" si="8"/>
        <v>57400</v>
      </c>
      <c r="BB51" s="256">
        <f t="shared" si="9"/>
        <v>12600.000000000004</v>
      </c>
    </row>
    <row r="52" spans="2:55" s="35" customFormat="1" x14ac:dyDescent="0.25">
      <c r="B52" s="72" t="s">
        <v>58</v>
      </c>
      <c r="C52" s="72" t="s">
        <v>252</v>
      </c>
      <c r="D52" s="199">
        <v>3</v>
      </c>
      <c r="E52" s="199">
        <v>1</v>
      </c>
      <c r="F52" s="199" t="s">
        <v>270</v>
      </c>
      <c r="G52" s="199">
        <v>2</v>
      </c>
      <c r="H52" s="199"/>
      <c r="I52" s="72" t="str">
        <f t="shared" si="75"/>
        <v>3.1.a.2</v>
      </c>
      <c r="J52" s="72"/>
      <c r="K52" s="35" t="s">
        <v>331</v>
      </c>
      <c r="L52" s="73">
        <f t="shared" si="3"/>
        <v>740182.32400000014</v>
      </c>
      <c r="M52" s="308">
        <f t="shared" si="80"/>
        <v>606949.50568000006</v>
      </c>
      <c r="N52" s="309">
        <f t="shared" si="81"/>
        <v>133232.81832000005</v>
      </c>
      <c r="O52" s="306">
        <v>0.82</v>
      </c>
      <c r="P52" s="307">
        <f t="shared" si="82"/>
        <v>0.18000000000000005</v>
      </c>
      <c r="Q52" s="248"/>
      <c r="R52" s="39">
        <f>700*1.22*1800*coef17+(700000*3)*coef17</f>
        <v>4000920</v>
      </c>
      <c r="S52" s="39">
        <f>700*1.22*1800*coef18+(700000*3)*coef18</f>
        <v>4401012.0000000009</v>
      </c>
      <c r="T52" s="39">
        <f>700*1.22*1800*coef19+(700000*3)*coef19</f>
        <v>4841113.2000000011</v>
      </c>
      <c r="U52" s="39">
        <f>700*1.22*1800*coef20+(700000*3)*coef20</f>
        <v>5325224.5200000023</v>
      </c>
      <c r="V52" s="245">
        <f>700*1.22*1800*coef21+(700000*3)*coef21</f>
        <v>5857746.9720000029</v>
      </c>
      <c r="W52" s="231"/>
      <c r="X52" s="401" t="s">
        <v>254</v>
      </c>
      <c r="Y52" s="401" t="s">
        <v>318</v>
      </c>
      <c r="Z52" s="401" t="s">
        <v>81</v>
      </c>
      <c r="AA52" s="73"/>
      <c r="AE52" s="72">
        <v>1</v>
      </c>
      <c r="AF52" s="72">
        <v>1</v>
      </c>
      <c r="AG52" s="72">
        <v>1</v>
      </c>
      <c r="AH52" s="72">
        <v>1</v>
      </c>
      <c r="AI52" s="72">
        <v>1</v>
      </c>
      <c r="AJ52" s="249">
        <f t="shared" si="83"/>
        <v>121240</v>
      </c>
      <c r="AK52" s="255">
        <f t="shared" si="84"/>
        <v>133364.00000000003</v>
      </c>
      <c r="AL52" s="255">
        <f t="shared" si="85"/>
        <v>146700.40000000002</v>
      </c>
      <c r="AM52" s="255">
        <f t="shared" si="86"/>
        <v>161370.44000000006</v>
      </c>
      <c r="AN52" s="256">
        <f t="shared" si="87"/>
        <v>177507.48400000008</v>
      </c>
      <c r="AO52" s="261">
        <f t="shared" si="6"/>
        <v>740182.32400000014</v>
      </c>
      <c r="AQ52" s="249">
        <f t="shared" si="88"/>
        <v>99416.799999999988</v>
      </c>
      <c r="AR52" s="151">
        <f t="shared" si="89"/>
        <v>21823.200000000004</v>
      </c>
      <c r="AS52" s="150">
        <f t="shared" si="90"/>
        <v>109358.48000000001</v>
      </c>
      <c r="AT52" s="151">
        <f t="shared" si="91"/>
        <v>24005.520000000011</v>
      </c>
      <c r="AU52" s="150">
        <f t="shared" si="92"/>
        <v>120294.32800000001</v>
      </c>
      <c r="AV52" s="151">
        <f t="shared" si="93"/>
        <v>26406.072000000011</v>
      </c>
      <c r="AW52" s="150">
        <f t="shared" si="94"/>
        <v>132323.76080000005</v>
      </c>
      <c r="AX52" s="151">
        <f t="shared" si="95"/>
        <v>29046.679200000021</v>
      </c>
      <c r="AY52" s="150">
        <f t="shared" si="96"/>
        <v>145556.13688000006</v>
      </c>
      <c r="AZ52" s="256">
        <f t="shared" si="97"/>
        <v>31951.347120000024</v>
      </c>
      <c r="BA52" s="249">
        <f t="shared" si="8"/>
        <v>606949.50568000018</v>
      </c>
      <c r="BB52" s="256">
        <f t="shared" si="9"/>
        <v>133232.81832000008</v>
      </c>
      <c r="BC52" s="35" t="s">
        <v>80</v>
      </c>
    </row>
    <row r="53" spans="2:55" s="35" customFormat="1" x14ac:dyDescent="0.25">
      <c r="B53" s="72" t="s">
        <v>58</v>
      </c>
      <c r="C53" s="72" t="s">
        <v>252</v>
      </c>
      <c r="D53" s="199">
        <v>3</v>
      </c>
      <c r="E53" s="199">
        <v>1</v>
      </c>
      <c r="F53" s="199" t="s">
        <v>270</v>
      </c>
      <c r="G53" s="199">
        <v>3</v>
      </c>
      <c r="H53" s="199"/>
      <c r="I53" s="72" t="str">
        <f t="shared" si="75"/>
        <v>3.1.a.3</v>
      </c>
      <c r="J53" s="72"/>
      <c r="K53" s="35" t="s">
        <v>82</v>
      </c>
      <c r="L53" s="73">
        <f t="shared" si="3"/>
        <v>70909.090909090912</v>
      </c>
      <c r="M53" s="308">
        <f t="shared" si="80"/>
        <v>58145.454545454544</v>
      </c>
      <c r="N53" s="309">
        <f t="shared" si="81"/>
        <v>12763.636363636368</v>
      </c>
      <c r="O53" s="306">
        <v>0.82</v>
      </c>
      <c r="P53" s="307">
        <f t="shared" si="82"/>
        <v>0.18000000000000005</v>
      </c>
      <c r="Q53" s="248"/>
      <c r="R53" s="39">
        <f>3*65000*12</f>
        <v>2340000</v>
      </c>
      <c r="S53" s="39"/>
      <c r="T53" s="39"/>
      <c r="U53" s="39"/>
      <c r="V53" s="245"/>
      <c r="W53" s="231"/>
      <c r="X53" s="401" t="s">
        <v>226</v>
      </c>
      <c r="Y53" s="401"/>
      <c r="Z53" s="401" t="s">
        <v>83</v>
      </c>
      <c r="AA53" s="73"/>
      <c r="AE53" s="72">
        <v>1</v>
      </c>
      <c r="AF53" s="72"/>
      <c r="AG53" s="72"/>
      <c r="AH53" s="72"/>
      <c r="AI53" s="72"/>
      <c r="AJ53" s="249">
        <f t="shared" si="83"/>
        <v>70909.090909090912</v>
      </c>
      <c r="AK53" s="255">
        <f t="shared" si="84"/>
        <v>0</v>
      </c>
      <c r="AL53" s="255">
        <f t="shared" si="85"/>
        <v>0</v>
      </c>
      <c r="AM53" s="255">
        <f t="shared" si="86"/>
        <v>0</v>
      </c>
      <c r="AN53" s="256">
        <f t="shared" si="87"/>
        <v>0</v>
      </c>
      <c r="AO53" s="261">
        <f t="shared" si="6"/>
        <v>70909.090909090912</v>
      </c>
      <c r="AQ53" s="249">
        <f t="shared" si="88"/>
        <v>58145.454545454544</v>
      </c>
      <c r="AR53" s="151">
        <f t="shared" si="89"/>
        <v>12763.636363636368</v>
      </c>
      <c r="AS53" s="150">
        <f t="shared" si="90"/>
        <v>0</v>
      </c>
      <c r="AT53" s="151">
        <f t="shared" si="91"/>
        <v>0</v>
      </c>
      <c r="AU53" s="150">
        <f t="shared" si="92"/>
        <v>0</v>
      </c>
      <c r="AV53" s="151">
        <f t="shared" si="93"/>
        <v>0</v>
      </c>
      <c r="AW53" s="150">
        <f t="shared" si="94"/>
        <v>0</v>
      </c>
      <c r="AX53" s="151">
        <f t="shared" si="95"/>
        <v>0</v>
      </c>
      <c r="AY53" s="150">
        <f t="shared" si="96"/>
        <v>0</v>
      </c>
      <c r="AZ53" s="256">
        <f t="shared" si="97"/>
        <v>0</v>
      </c>
      <c r="BA53" s="249">
        <f t="shared" si="8"/>
        <v>58145.454545454544</v>
      </c>
      <c r="BB53" s="256">
        <f t="shared" si="9"/>
        <v>12763.636363636368</v>
      </c>
      <c r="BC53" s="35" t="s">
        <v>82</v>
      </c>
    </row>
    <row r="54" spans="2:55" s="35" customFormat="1" x14ac:dyDescent="0.25">
      <c r="B54" s="72" t="s">
        <v>22</v>
      </c>
      <c r="C54" s="72"/>
      <c r="D54" s="199">
        <v>3</v>
      </c>
      <c r="E54" s="199">
        <v>1</v>
      </c>
      <c r="F54" s="199" t="s">
        <v>270</v>
      </c>
      <c r="G54" s="199">
        <v>4</v>
      </c>
      <c r="H54" s="199"/>
      <c r="I54" s="72" t="str">
        <f t="shared" si="75"/>
        <v>3.1.a.4</v>
      </c>
      <c r="J54" s="72"/>
      <c r="K54" s="35" t="s">
        <v>279</v>
      </c>
      <c r="L54" s="73">
        <f t="shared" si="3"/>
        <v>130000</v>
      </c>
      <c r="M54" s="308">
        <f t="shared" si="80"/>
        <v>106600</v>
      </c>
      <c r="N54" s="309">
        <f t="shared" si="81"/>
        <v>23400.000000000007</v>
      </c>
      <c r="O54" s="306">
        <v>0.82</v>
      </c>
      <c r="P54" s="307">
        <f t="shared" si="82"/>
        <v>0.18000000000000005</v>
      </c>
      <c r="Q54" s="248"/>
      <c r="R54" s="39">
        <f>(60000*$R$1)*2</f>
        <v>3960000</v>
      </c>
      <c r="S54" s="39"/>
      <c r="T54" s="39">
        <f>10000*T1</f>
        <v>330000</v>
      </c>
      <c r="U54" s="39"/>
      <c r="V54" s="245"/>
      <c r="W54" s="231"/>
      <c r="X54" s="401" t="s">
        <v>316</v>
      </c>
      <c r="Y54" s="401"/>
      <c r="Z54" s="401" t="s">
        <v>84</v>
      </c>
      <c r="AA54" s="73"/>
      <c r="AE54" s="72">
        <v>1</v>
      </c>
      <c r="AF54" s="72"/>
      <c r="AG54" s="72">
        <v>1</v>
      </c>
      <c r="AH54" s="72"/>
      <c r="AI54" s="72"/>
      <c r="AJ54" s="249">
        <f t="shared" si="83"/>
        <v>120000</v>
      </c>
      <c r="AK54" s="255">
        <f t="shared" si="84"/>
        <v>0</v>
      </c>
      <c r="AL54" s="255">
        <f t="shared" si="85"/>
        <v>10000</v>
      </c>
      <c r="AM54" s="255">
        <f t="shared" si="86"/>
        <v>0</v>
      </c>
      <c r="AN54" s="256">
        <f t="shared" si="87"/>
        <v>0</v>
      </c>
      <c r="AO54" s="261">
        <f t="shared" si="6"/>
        <v>130000</v>
      </c>
      <c r="AQ54" s="249">
        <f t="shared" si="88"/>
        <v>98400</v>
      </c>
      <c r="AR54" s="151">
        <f t="shared" si="89"/>
        <v>21600.000000000007</v>
      </c>
      <c r="AS54" s="150">
        <f t="shared" si="90"/>
        <v>0</v>
      </c>
      <c r="AT54" s="151">
        <f t="shared" si="91"/>
        <v>0</v>
      </c>
      <c r="AU54" s="150">
        <f t="shared" si="92"/>
        <v>8200</v>
      </c>
      <c r="AV54" s="151">
        <f t="shared" si="93"/>
        <v>1800.0000000000005</v>
      </c>
      <c r="AW54" s="150">
        <f t="shared" si="94"/>
        <v>0</v>
      </c>
      <c r="AX54" s="151">
        <f t="shared" si="95"/>
        <v>0</v>
      </c>
      <c r="AY54" s="150">
        <f t="shared" si="96"/>
        <v>0</v>
      </c>
      <c r="AZ54" s="256">
        <f t="shared" si="97"/>
        <v>0</v>
      </c>
      <c r="BA54" s="249">
        <f t="shared" si="8"/>
        <v>106600</v>
      </c>
      <c r="BB54" s="256">
        <f t="shared" si="9"/>
        <v>23400.000000000007</v>
      </c>
      <c r="BC54" s="35" t="s">
        <v>315</v>
      </c>
    </row>
    <row r="55" spans="2:55" s="35" customFormat="1" x14ac:dyDescent="0.25">
      <c r="B55" s="72" t="s">
        <v>22</v>
      </c>
      <c r="C55" s="72" t="s">
        <v>278</v>
      </c>
      <c r="D55" s="199">
        <v>3</v>
      </c>
      <c r="E55" s="199">
        <v>1</v>
      </c>
      <c r="F55" s="199" t="s">
        <v>270</v>
      </c>
      <c r="G55" s="199">
        <v>5</v>
      </c>
      <c r="H55" s="199"/>
      <c r="I55" s="72" t="str">
        <f t="shared" si="75"/>
        <v>3.1.a.5</v>
      </c>
      <c r="J55" s="72"/>
      <c r="K55" s="35" t="s">
        <v>321</v>
      </c>
      <c r="L55" s="73">
        <f t="shared" si="3"/>
        <v>293044.80000000005</v>
      </c>
      <c r="M55" s="308">
        <f t="shared" si="80"/>
        <v>0</v>
      </c>
      <c r="N55" s="309">
        <f t="shared" si="81"/>
        <v>293044.80000000005</v>
      </c>
      <c r="O55" s="306">
        <v>0</v>
      </c>
      <c r="P55" s="307">
        <f t="shared" si="82"/>
        <v>1</v>
      </c>
      <c r="Q55" s="248"/>
      <c r="R55" s="39">
        <f>120000*(12)*coef17</f>
        <v>1584000.0000000002</v>
      </c>
      <c r="S55" s="39">
        <f>120000*(12)*coef18</f>
        <v>1742400.0000000002</v>
      </c>
      <c r="T55" s="39">
        <f>120000*(12)*coef19</f>
        <v>1916640.0000000007</v>
      </c>
      <c r="U55" s="39">
        <f>120000*(12)*coef20</f>
        <v>2108304.0000000009</v>
      </c>
      <c r="V55" s="245">
        <f>120000*(12)*coef21</f>
        <v>2319134.4000000013</v>
      </c>
      <c r="W55" s="231"/>
      <c r="X55" s="401" t="s">
        <v>319</v>
      </c>
      <c r="Y55" s="401"/>
      <c r="Z55" s="401" t="s">
        <v>74</v>
      </c>
      <c r="AA55" s="73"/>
      <c r="AE55" s="72">
        <v>1</v>
      </c>
      <c r="AF55" s="72">
        <v>1</v>
      </c>
      <c r="AG55" s="72">
        <v>1</v>
      </c>
      <c r="AH55" s="72">
        <v>1</v>
      </c>
      <c r="AI55" s="72">
        <v>1</v>
      </c>
      <c r="AJ55" s="249">
        <f t="shared" si="83"/>
        <v>48000.000000000007</v>
      </c>
      <c r="AK55" s="255">
        <f t="shared" si="84"/>
        <v>52800.000000000007</v>
      </c>
      <c r="AL55" s="255">
        <f t="shared" si="85"/>
        <v>58080.000000000022</v>
      </c>
      <c r="AM55" s="255">
        <f t="shared" si="86"/>
        <v>63888.000000000029</v>
      </c>
      <c r="AN55" s="256">
        <f t="shared" si="87"/>
        <v>70276.800000000047</v>
      </c>
      <c r="AO55" s="261">
        <f t="shared" si="6"/>
        <v>293044.8000000001</v>
      </c>
      <c r="AQ55" s="249">
        <f t="shared" si="88"/>
        <v>0</v>
      </c>
      <c r="AR55" s="151">
        <f t="shared" si="89"/>
        <v>48000.000000000007</v>
      </c>
      <c r="AS55" s="150">
        <f t="shared" si="90"/>
        <v>0</v>
      </c>
      <c r="AT55" s="151">
        <f t="shared" si="91"/>
        <v>52800.000000000007</v>
      </c>
      <c r="AU55" s="150">
        <f t="shared" si="92"/>
        <v>0</v>
      </c>
      <c r="AV55" s="151">
        <f t="shared" si="93"/>
        <v>58080.000000000022</v>
      </c>
      <c r="AW55" s="150">
        <f t="shared" si="94"/>
        <v>0</v>
      </c>
      <c r="AX55" s="151">
        <f t="shared" si="95"/>
        <v>63888.000000000029</v>
      </c>
      <c r="AY55" s="150">
        <f t="shared" si="96"/>
        <v>0</v>
      </c>
      <c r="AZ55" s="256">
        <f t="shared" si="97"/>
        <v>70276.800000000047</v>
      </c>
      <c r="BA55" s="249">
        <f t="shared" si="8"/>
        <v>0</v>
      </c>
      <c r="BB55" s="256">
        <f t="shared" si="9"/>
        <v>293044.8000000001</v>
      </c>
      <c r="BC55" s="35" t="s">
        <v>73</v>
      </c>
    </row>
    <row r="56" spans="2:55" s="35" customFormat="1" x14ac:dyDescent="0.25">
      <c r="B56" s="72" t="s">
        <v>22</v>
      </c>
      <c r="C56" s="72" t="s">
        <v>278</v>
      </c>
      <c r="D56" s="199">
        <v>3</v>
      </c>
      <c r="E56" s="199">
        <v>1</v>
      </c>
      <c r="F56" s="199" t="s">
        <v>270</v>
      </c>
      <c r="G56" s="199">
        <v>6</v>
      </c>
      <c r="H56" s="199"/>
      <c r="I56" s="72" t="str">
        <f t="shared" si="75"/>
        <v>3.1.a.6</v>
      </c>
      <c r="J56" s="72"/>
      <c r="K56" s="35" t="s">
        <v>322</v>
      </c>
      <c r="L56" s="73">
        <f t="shared" si="3"/>
        <v>868959.23333333351</v>
      </c>
      <c r="M56" s="308">
        <f t="shared" si="80"/>
        <v>712546.57133333338</v>
      </c>
      <c r="N56" s="309">
        <f t="shared" si="81"/>
        <v>156412.66200000007</v>
      </c>
      <c r="O56" s="306">
        <v>0.82</v>
      </c>
      <c r="P56" s="307">
        <f t="shared" si="82"/>
        <v>0.18000000000000005</v>
      </c>
      <c r="Q56" s="248"/>
      <c r="R56" s="39">
        <f>700*1.22*5000*coef17</f>
        <v>4697000</v>
      </c>
      <c r="S56" s="39">
        <f>700*1.22*5000*coef18</f>
        <v>5166700.0000000009</v>
      </c>
      <c r="T56" s="39">
        <f>700*1.22*5000*coef19</f>
        <v>5683370.0000000019</v>
      </c>
      <c r="U56" s="39">
        <f>700*1.22*5000*coef20</f>
        <v>6251707.0000000028</v>
      </c>
      <c r="V56" s="245">
        <f>700*1.22*5000*coef21</f>
        <v>6876877.700000003</v>
      </c>
      <c r="W56" s="231"/>
      <c r="X56" s="401" t="s">
        <v>320</v>
      </c>
      <c r="Y56" s="401"/>
      <c r="Z56" s="401"/>
      <c r="AA56" s="73"/>
      <c r="AE56" s="72">
        <v>1</v>
      </c>
      <c r="AF56" s="72">
        <v>1</v>
      </c>
      <c r="AG56" s="72">
        <v>1</v>
      </c>
      <c r="AH56" s="72">
        <v>1</v>
      </c>
      <c r="AI56" s="72">
        <v>1</v>
      </c>
      <c r="AJ56" s="249">
        <f t="shared" si="83"/>
        <v>142333.33333333334</v>
      </c>
      <c r="AK56" s="255">
        <f t="shared" si="84"/>
        <v>156566.66666666669</v>
      </c>
      <c r="AL56" s="255">
        <f t="shared" si="85"/>
        <v>172223.3333333334</v>
      </c>
      <c r="AM56" s="255">
        <f t="shared" si="86"/>
        <v>189445.66666666674</v>
      </c>
      <c r="AN56" s="256">
        <f t="shared" si="87"/>
        <v>208390.23333333342</v>
      </c>
      <c r="AO56" s="261">
        <f t="shared" si="6"/>
        <v>868959.23333333351</v>
      </c>
      <c r="AQ56" s="249">
        <f t="shared" si="88"/>
        <v>116713.33333333333</v>
      </c>
      <c r="AR56" s="151">
        <f t="shared" si="89"/>
        <v>25620.000000000007</v>
      </c>
      <c r="AS56" s="150">
        <f t="shared" si="90"/>
        <v>128384.66666666667</v>
      </c>
      <c r="AT56" s="151">
        <f t="shared" si="91"/>
        <v>28182.000000000011</v>
      </c>
      <c r="AU56" s="150">
        <f t="shared" si="92"/>
        <v>141223.13333333339</v>
      </c>
      <c r="AV56" s="151">
        <f t="shared" si="93"/>
        <v>31000.200000000019</v>
      </c>
      <c r="AW56" s="150">
        <f t="shared" si="94"/>
        <v>155345.44666666671</v>
      </c>
      <c r="AX56" s="151">
        <f t="shared" si="95"/>
        <v>34100.220000000023</v>
      </c>
      <c r="AY56" s="150">
        <f t="shared" si="96"/>
        <v>170879.9913333334</v>
      </c>
      <c r="AZ56" s="256">
        <f t="shared" si="97"/>
        <v>37510.242000000027</v>
      </c>
      <c r="BA56" s="249">
        <f t="shared" si="8"/>
        <v>712546.5713333335</v>
      </c>
      <c r="BB56" s="256">
        <f t="shared" si="9"/>
        <v>156412.6620000001</v>
      </c>
    </row>
    <row r="57" spans="2:55" s="35" customFormat="1" x14ac:dyDescent="0.25">
      <c r="B57" s="72"/>
      <c r="C57" s="72" t="s">
        <v>278</v>
      </c>
      <c r="D57" s="199">
        <v>3</v>
      </c>
      <c r="E57" s="199">
        <v>1</v>
      </c>
      <c r="F57" s="199" t="s">
        <v>270</v>
      </c>
      <c r="G57" s="199">
        <v>7</v>
      </c>
      <c r="H57" s="199"/>
      <c r="I57" s="72" t="str">
        <f t="shared" si="75"/>
        <v>3.1.a.7</v>
      </c>
      <c r="J57" s="72"/>
      <c r="K57" s="35" t="s">
        <v>75</v>
      </c>
      <c r="L57" s="73">
        <f t="shared" si="3"/>
        <v>189583.33333333334</v>
      </c>
      <c r="M57" s="308">
        <f t="shared" si="80"/>
        <v>0</v>
      </c>
      <c r="N57" s="309">
        <f t="shared" si="81"/>
        <v>189583.33333333334</v>
      </c>
      <c r="O57" s="306">
        <v>0</v>
      </c>
      <c r="P57" s="307">
        <f t="shared" si="82"/>
        <v>1</v>
      </c>
      <c r="Q57" s="248"/>
      <c r="R57" s="39">
        <f>50000/2*(50)*6*13/12*coef17*70%</f>
        <v>6256250</v>
      </c>
      <c r="S57" s="39"/>
      <c r="T57" s="39"/>
      <c r="U57" s="39"/>
      <c r="V57" s="245"/>
      <c r="W57" s="231"/>
      <c r="X57" s="401" t="s">
        <v>224</v>
      </c>
      <c r="Y57" s="401" t="s">
        <v>239</v>
      </c>
      <c r="Z57" s="401" t="s">
        <v>76</v>
      </c>
      <c r="AA57" s="73"/>
      <c r="AE57" s="72">
        <v>1</v>
      </c>
      <c r="AF57" s="72"/>
      <c r="AG57" s="72"/>
      <c r="AH57" s="72"/>
      <c r="AI57" s="72"/>
      <c r="AJ57" s="249">
        <f t="shared" si="83"/>
        <v>189583.33333333334</v>
      </c>
      <c r="AK57" s="255">
        <f t="shared" si="84"/>
        <v>0</v>
      </c>
      <c r="AL57" s="255">
        <f t="shared" si="85"/>
        <v>0</v>
      </c>
      <c r="AM57" s="255">
        <f t="shared" si="86"/>
        <v>0</v>
      </c>
      <c r="AN57" s="256">
        <f t="shared" si="87"/>
        <v>0</v>
      </c>
      <c r="AO57" s="261">
        <f t="shared" si="6"/>
        <v>189583.33333333334</v>
      </c>
      <c r="AQ57" s="249">
        <f t="shared" si="88"/>
        <v>0</v>
      </c>
      <c r="AR57" s="151">
        <f t="shared" si="89"/>
        <v>189583.33333333334</v>
      </c>
      <c r="AS57" s="150">
        <f t="shared" si="90"/>
        <v>0</v>
      </c>
      <c r="AT57" s="151">
        <f t="shared" si="91"/>
        <v>0</v>
      </c>
      <c r="AU57" s="150">
        <f t="shared" si="92"/>
        <v>0</v>
      </c>
      <c r="AV57" s="151">
        <f t="shared" si="93"/>
        <v>0</v>
      </c>
      <c r="AW57" s="150">
        <f t="shared" si="94"/>
        <v>0</v>
      </c>
      <c r="AX57" s="151">
        <f t="shared" si="95"/>
        <v>0</v>
      </c>
      <c r="AY57" s="150">
        <f t="shared" si="96"/>
        <v>0</v>
      </c>
      <c r="AZ57" s="256">
        <f t="shared" si="97"/>
        <v>0</v>
      </c>
      <c r="BA57" s="249">
        <f t="shared" si="8"/>
        <v>0</v>
      </c>
      <c r="BB57" s="256">
        <f t="shared" si="9"/>
        <v>189583.33333333334</v>
      </c>
      <c r="BC57" s="35" t="s">
        <v>75</v>
      </c>
    </row>
    <row r="58" spans="2:55" s="35" customFormat="1" x14ac:dyDescent="0.25">
      <c r="B58" s="72" t="s">
        <v>277</v>
      </c>
      <c r="C58" s="72" t="s">
        <v>252</v>
      </c>
      <c r="D58" s="199">
        <v>3</v>
      </c>
      <c r="E58" s="199">
        <v>1</v>
      </c>
      <c r="F58" s="199" t="s">
        <v>270</v>
      </c>
      <c r="G58" s="199">
        <v>9</v>
      </c>
      <c r="H58" s="199"/>
      <c r="I58" s="72" t="str">
        <f t="shared" si="75"/>
        <v>3.1.a.9</v>
      </c>
      <c r="J58" s="72"/>
      <c r="K58" s="35" t="s">
        <v>276</v>
      </c>
      <c r="L58" s="73">
        <f t="shared" si="3"/>
        <v>33000</v>
      </c>
      <c r="M58" s="308">
        <f t="shared" si="80"/>
        <v>27060</v>
      </c>
      <c r="N58" s="309">
        <f t="shared" si="81"/>
        <v>5940.0000000000018</v>
      </c>
      <c r="O58" s="306">
        <v>0.82</v>
      </c>
      <c r="P58" s="307">
        <f t="shared" si="82"/>
        <v>0.18000000000000005</v>
      </c>
      <c r="Q58" s="248"/>
      <c r="R58" s="39">
        <f>+(6000+3000)*R1</f>
        <v>297000</v>
      </c>
      <c r="S58" s="39">
        <f>(3000+3000)*S1</f>
        <v>198000</v>
      </c>
      <c r="T58" s="39">
        <f>(3000+3000)*T1</f>
        <v>198000</v>
      </c>
      <c r="U58" s="39">
        <f>(3000+3000)*U1</f>
        <v>198000</v>
      </c>
      <c r="V58" s="245">
        <f>(3000+3000)*V1</f>
        <v>198000</v>
      </c>
      <c r="W58" s="231"/>
      <c r="X58" s="401" t="s">
        <v>317</v>
      </c>
      <c r="Y58" s="401"/>
      <c r="Z58" s="401"/>
      <c r="AA58" s="73"/>
      <c r="AE58" s="72">
        <v>1</v>
      </c>
      <c r="AF58" s="72">
        <v>1</v>
      </c>
      <c r="AG58" s="72">
        <v>1</v>
      </c>
      <c r="AH58" s="72">
        <v>1</v>
      </c>
      <c r="AI58" s="72">
        <v>1</v>
      </c>
      <c r="AJ58" s="249">
        <f t="shared" si="83"/>
        <v>9000</v>
      </c>
      <c r="AK58" s="255">
        <f t="shared" si="84"/>
        <v>6000</v>
      </c>
      <c r="AL58" s="255">
        <f t="shared" si="85"/>
        <v>6000</v>
      </c>
      <c r="AM58" s="255">
        <f t="shared" si="86"/>
        <v>6000</v>
      </c>
      <c r="AN58" s="256">
        <f t="shared" si="87"/>
        <v>6000</v>
      </c>
      <c r="AO58" s="261">
        <f t="shared" si="6"/>
        <v>33000</v>
      </c>
      <c r="AQ58" s="249">
        <f t="shared" si="88"/>
        <v>7380</v>
      </c>
      <c r="AR58" s="151">
        <f t="shared" si="89"/>
        <v>1620.0000000000005</v>
      </c>
      <c r="AS58" s="150">
        <f t="shared" si="90"/>
        <v>4920</v>
      </c>
      <c r="AT58" s="151">
        <f t="shared" si="91"/>
        <v>1080.0000000000002</v>
      </c>
      <c r="AU58" s="150">
        <f t="shared" si="92"/>
        <v>4920</v>
      </c>
      <c r="AV58" s="151">
        <f t="shared" si="93"/>
        <v>1080.0000000000002</v>
      </c>
      <c r="AW58" s="150">
        <f t="shared" si="94"/>
        <v>4920</v>
      </c>
      <c r="AX58" s="151">
        <f t="shared" si="95"/>
        <v>1080.0000000000002</v>
      </c>
      <c r="AY58" s="150">
        <f t="shared" si="96"/>
        <v>4920</v>
      </c>
      <c r="AZ58" s="256">
        <f t="shared" si="97"/>
        <v>1080.0000000000002</v>
      </c>
      <c r="BA58" s="249">
        <f t="shared" si="8"/>
        <v>27060</v>
      </c>
      <c r="BB58" s="256">
        <f t="shared" si="9"/>
        <v>5940.0000000000009</v>
      </c>
      <c r="BC58" s="35" t="s">
        <v>77</v>
      </c>
    </row>
    <row r="59" spans="2:55" s="35" customFormat="1" x14ac:dyDescent="0.25">
      <c r="B59" s="72" t="s">
        <v>277</v>
      </c>
      <c r="C59" s="72" t="s">
        <v>252</v>
      </c>
      <c r="D59" s="199">
        <v>3</v>
      </c>
      <c r="E59" s="199">
        <v>1</v>
      </c>
      <c r="F59" s="199" t="s">
        <v>270</v>
      </c>
      <c r="G59" s="199">
        <v>10</v>
      </c>
      <c r="H59" s="199"/>
      <c r="I59" s="72" t="str">
        <f t="shared" si="75"/>
        <v>3.1.a.10</v>
      </c>
      <c r="J59" s="72"/>
      <c r="K59" s="35" t="s">
        <v>360</v>
      </c>
      <c r="L59" s="73">
        <f t="shared" si="3"/>
        <v>309090.90909090912</v>
      </c>
      <c r="M59" s="308">
        <f t="shared" si="80"/>
        <v>253454.54545454547</v>
      </c>
      <c r="N59" s="309">
        <f t="shared" si="81"/>
        <v>55636.363636363654</v>
      </c>
      <c r="O59" s="306">
        <v>0.82</v>
      </c>
      <c r="P59" s="307">
        <f>1-O59</f>
        <v>0.18000000000000005</v>
      </c>
      <c r="Q59" s="248"/>
      <c r="R59" s="39">
        <v>0</v>
      </c>
      <c r="S59" s="39">
        <v>2550000</v>
      </c>
      <c r="T59" s="39">
        <v>2550000</v>
      </c>
      <c r="U59" s="39">
        <v>2550000</v>
      </c>
      <c r="V59" s="245">
        <v>2550000</v>
      </c>
      <c r="W59" s="231"/>
      <c r="X59" s="401" t="s">
        <v>359</v>
      </c>
      <c r="Y59" s="401"/>
      <c r="Z59" s="401"/>
      <c r="AA59" s="73"/>
      <c r="AE59" s="72"/>
      <c r="AF59" s="72">
        <v>1</v>
      </c>
      <c r="AG59" s="72">
        <v>1</v>
      </c>
      <c r="AH59" s="72">
        <v>1</v>
      </c>
      <c r="AI59" s="72">
        <v>1</v>
      </c>
      <c r="AJ59" s="249">
        <f t="shared" si="83"/>
        <v>0</v>
      </c>
      <c r="AK59" s="255">
        <f t="shared" si="84"/>
        <v>77272.727272727279</v>
      </c>
      <c r="AL59" s="255">
        <f t="shared" si="85"/>
        <v>77272.727272727279</v>
      </c>
      <c r="AM59" s="255">
        <f t="shared" si="86"/>
        <v>77272.727272727279</v>
      </c>
      <c r="AN59" s="256">
        <f t="shared" si="87"/>
        <v>77272.727272727279</v>
      </c>
      <c r="AO59" s="261">
        <f t="shared" si="6"/>
        <v>309090.90909090912</v>
      </c>
      <c r="AQ59" s="249">
        <f t="shared" si="88"/>
        <v>0</v>
      </c>
      <c r="AR59" s="151">
        <f t="shared" si="89"/>
        <v>0</v>
      </c>
      <c r="AS59" s="150">
        <f t="shared" si="90"/>
        <v>63363.636363636368</v>
      </c>
      <c r="AT59" s="151">
        <f t="shared" si="91"/>
        <v>13909.090909090914</v>
      </c>
      <c r="AU59" s="150">
        <f t="shared" si="92"/>
        <v>63363.636363636368</v>
      </c>
      <c r="AV59" s="151">
        <f t="shared" si="93"/>
        <v>13909.090909090914</v>
      </c>
      <c r="AW59" s="150">
        <f t="shared" si="94"/>
        <v>63363.636363636368</v>
      </c>
      <c r="AX59" s="151">
        <f t="shared" si="95"/>
        <v>13909.090909090914</v>
      </c>
      <c r="AY59" s="150">
        <f t="shared" si="96"/>
        <v>63363.636363636368</v>
      </c>
      <c r="AZ59" s="256">
        <f t="shared" si="97"/>
        <v>13909.090909090914</v>
      </c>
      <c r="BA59" s="249">
        <f t="shared" si="8"/>
        <v>253454.54545454547</v>
      </c>
      <c r="BB59" s="256">
        <f t="shared" si="9"/>
        <v>55636.363636363654</v>
      </c>
      <c r="BC59" s="35" t="s">
        <v>78</v>
      </c>
    </row>
    <row r="60" spans="2:55" s="51" customFormat="1" x14ac:dyDescent="0.25">
      <c r="B60" s="34" t="s">
        <v>33</v>
      </c>
      <c r="C60" s="34"/>
      <c r="D60" s="221">
        <v>3</v>
      </c>
      <c r="E60" s="221">
        <v>1</v>
      </c>
      <c r="F60" s="221" t="s">
        <v>280</v>
      </c>
      <c r="G60" s="221">
        <v>2</v>
      </c>
      <c r="H60" s="221">
        <v>0</v>
      </c>
      <c r="I60" s="34" t="str">
        <f t="shared" si="75"/>
        <v>3.1.b.2</v>
      </c>
      <c r="J60" s="34"/>
      <c r="K60" s="51" t="s">
        <v>369</v>
      </c>
      <c r="L60" s="45">
        <f t="shared" si="3"/>
        <v>1263671.5375903845</v>
      </c>
      <c r="M60" s="52">
        <f t="shared" ref="M60:N60" si="98">SUM(M61:M69)</f>
        <v>1036210.6608241152</v>
      </c>
      <c r="N60" s="52">
        <f t="shared" si="98"/>
        <v>227460.87676626927</v>
      </c>
      <c r="O60" s="86"/>
      <c r="P60" s="87"/>
      <c r="Q60" s="247"/>
      <c r="R60" s="237">
        <f>SUM(R61:R69)</f>
        <v>10527310.550274801</v>
      </c>
      <c r="S60" s="237">
        <f t="shared" ref="S60:V60" si="99">SUM(S61:S69)</f>
        <v>7397141.6053022798</v>
      </c>
      <c r="T60" s="237">
        <f t="shared" si="99"/>
        <v>7644455.7658325089</v>
      </c>
      <c r="U60" s="237">
        <f t="shared" si="99"/>
        <v>7916501.3424157603</v>
      </c>
      <c r="V60" s="75">
        <f t="shared" si="99"/>
        <v>8215751.4766573366</v>
      </c>
      <c r="W60" s="53"/>
      <c r="X60" s="400"/>
      <c r="Y60" s="400"/>
      <c r="Z60" s="400"/>
      <c r="AA60" s="45"/>
      <c r="AJ60" s="80">
        <f t="shared" ref="AJ60:AZ60" si="100">SUM(AJ61:AJ69)</f>
        <v>319009.41061438789</v>
      </c>
      <c r="AK60" s="237">
        <f t="shared" si="100"/>
        <v>224155.80622128121</v>
      </c>
      <c r="AL60" s="237">
        <f t="shared" si="100"/>
        <v>231650.17472219726</v>
      </c>
      <c r="AM60" s="237">
        <f t="shared" si="100"/>
        <v>239893.98007320488</v>
      </c>
      <c r="AN60" s="75">
        <f t="shared" si="100"/>
        <v>248962.16595931325</v>
      </c>
      <c r="AO60" s="259">
        <f t="shared" si="6"/>
        <v>1263671.5375903845</v>
      </c>
      <c r="AP60" s="139"/>
      <c r="AQ60" s="264">
        <f t="shared" si="100"/>
        <v>261587.71670379804</v>
      </c>
      <c r="AR60" s="135">
        <f t="shared" si="100"/>
        <v>57421.693910589835</v>
      </c>
      <c r="AS60" s="134">
        <f t="shared" si="100"/>
        <v>183807.7611014506</v>
      </c>
      <c r="AT60" s="135">
        <f t="shared" si="100"/>
        <v>40348.045119830633</v>
      </c>
      <c r="AU60" s="134">
        <f t="shared" si="100"/>
        <v>189953.14327220176</v>
      </c>
      <c r="AV60" s="135">
        <f t="shared" si="100"/>
        <v>41697.031449995513</v>
      </c>
      <c r="AW60" s="134">
        <f t="shared" si="100"/>
        <v>196713.06366002798</v>
      </c>
      <c r="AX60" s="135">
        <f t="shared" si="100"/>
        <v>43180.916413176885</v>
      </c>
      <c r="AY60" s="134">
        <f t="shared" si="100"/>
        <v>204148.97608663683</v>
      </c>
      <c r="AZ60" s="265">
        <f t="shared" si="100"/>
        <v>44813.18987267639</v>
      </c>
      <c r="BA60" s="264">
        <f t="shared" si="8"/>
        <v>1036210.6608241152</v>
      </c>
      <c r="BB60" s="265">
        <f t="shared" si="9"/>
        <v>227460.87676626924</v>
      </c>
    </row>
    <row r="61" spans="2:55" s="35" customFormat="1" x14ac:dyDescent="0.25">
      <c r="B61" s="72" t="s">
        <v>33</v>
      </c>
      <c r="C61" s="72"/>
      <c r="D61" s="199">
        <v>3</v>
      </c>
      <c r="E61" s="199">
        <v>1</v>
      </c>
      <c r="F61" s="199" t="s">
        <v>280</v>
      </c>
      <c r="G61" s="199">
        <v>1</v>
      </c>
      <c r="H61" s="199"/>
      <c r="I61" s="72" t="str">
        <f t="shared" si="75"/>
        <v>3.1.b.1</v>
      </c>
      <c r="J61" s="72"/>
      <c r="K61" s="35" t="s">
        <v>260</v>
      </c>
      <c r="L61" s="73">
        <f t="shared" si="3"/>
        <v>432610.93152977835</v>
      </c>
      <c r="M61" s="308">
        <f t="shared" ref="M61:M69" si="101">+O61*$L61</f>
        <v>354740.96385441819</v>
      </c>
      <c r="N61" s="309">
        <f t="shared" ref="N61:N69" si="102">+P61*$L61</f>
        <v>77869.967675360123</v>
      </c>
      <c r="O61" s="306">
        <v>0.82</v>
      </c>
      <c r="P61" s="307">
        <f t="shared" ref="P61:P69" si="103">1-O61</f>
        <v>0.18000000000000005</v>
      </c>
      <c r="Q61" s="248"/>
      <c r="R61" s="39">
        <f>2043918.682068*coef17+50000*(2)*5*coef17</f>
        <v>2798310.5502748</v>
      </c>
      <c r="S61" s="39">
        <f>2043918.682068*coef18</f>
        <v>2473141.6053022803</v>
      </c>
      <c r="T61" s="39">
        <f>2043918.682068*coef19</f>
        <v>2720455.7658325089</v>
      </c>
      <c r="U61" s="39">
        <f>2043918.682068*coef20</f>
        <v>2992501.3424157603</v>
      </c>
      <c r="V61" s="245">
        <f>2043918.682068*coef21</f>
        <v>3291751.4766573366</v>
      </c>
      <c r="W61" s="231"/>
      <c r="X61" s="401" t="s">
        <v>223</v>
      </c>
      <c r="Y61" s="401"/>
      <c r="Z61" s="401" t="s">
        <v>70</v>
      </c>
      <c r="AA61" s="73"/>
      <c r="AE61" s="72">
        <v>1</v>
      </c>
      <c r="AF61" s="72">
        <v>1</v>
      </c>
      <c r="AG61" s="72">
        <v>1</v>
      </c>
      <c r="AH61" s="72">
        <v>1</v>
      </c>
      <c r="AI61" s="72">
        <v>1</v>
      </c>
      <c r="AJ61" s="249">
        <f t="shared" ref="AJ61:AJ69" si="104">+(R61+Q61)/$AJ$1</f>
        <v>84797.289402266673</v>
      </c>
      <c r="AK61" s="255">
        <f t="shared" ref="AK61:AK69" si="105">+S61/$AK$1</f>
        <v>74943.685009160006</v>
      </c>
      <c r="AL61" s="255">
        <f t="shared" ref="AL61:AL69" si="106">+T61/$AL$1</f>
        <v>82438.053510076032</v>
      </c>
      <c r="AM61" s="255">
        <f t="shared" ref="AM61:AM69" si="107">+U61/$AM$1</f>
        <v>90681.858861083645</v>
      </c>
      <c r="AN61" s="256">
        <f t="shared" ref="AN61:AN69" si="108">+V61/$AN$1</f>
        <v>99750.04474719202</v>
      </c>
      <c r="AO61" s="261">
        <f t="shared" si="6"/>
        <v>432610.93152977835</v>
      </c>
      <c r="AQ61" s="249">
        <f t="shared" ref="AQ61:AQ69" si="109">+AJ61*$O61</f>
        <v>69533.777309858662</v>
      </c>
      <c r="AR61" s="151">
        <f t="shared" ref="AR61:AR69" si="110">+AJ61*$P61</f>
        <v>15263.512092408006</v>
      </c>
      <c r="AS61" s="150">
        <f t="shared" ref="AS61:AS69" si="111">+AK61*$O61</f>
        <v>61453.821707511204</v>
      </c>
      <c r="AT61" s="151">
        <f t="shared" ref="AT61:AT69" si="112">+AK61*$P61</f>
        <v>13489.863301648806</v>
      </c>
      <c r="AU61" s="150">
        <f t="shared" ref="AU61:AU69" si="113">+AL61*$O61</f>
        <v>67599.203878262342</v>
      </c>
      <c r="AV61" s="151">
        <f t="shared" ref="AV61:AV69" si="114">+AL61*$P61</f>
        <v>14838.849631813689</v>
      </c>
      <c r="AW61" s="150">
        <f t="shared" ref="AW61:AW69" si="115">+AM61*$O61</f>
        <v>74359.124266088591</v>
      </c>
      <c r="AX61" s="151">
        <f t="shared" ref="AX61:AX69" si="116">+AM61*$P61</f>
        <v>16322.734594995061</v>
      </c>
      <c r="AY61" s="150">
        <f t="shared" ref="AY61:AY69" si="117">+AN61*$O61</f>
        <v>81795.036692697453</v>
      </c>
      <c r="AZ61" s="256">
        <f t="shared" ref="AZ61:AZ69" si="118">+AN61*$P61</f>
        <v>17955.008054494567</v>
      </c>
      <c r="BA61" s="249">
        <f t="shared" si="8"/>
        <v>354740.96385441825</v>
      </c>
      <c r="BB61" s="256">
        <f t="shared" si="9"/>
        <v>77869.967675360123</v>
      </c>
    </row>
    <row r="62" spans="2:55" s="35" customFormat="1" x14ac:dyDescent="0.25">
      <c r="B62" s="72" t="s">
        <v>33</v>
      </c>
      <c r="C62" s="72"/>
      <c r="D62" s="199">
        <v>3</v>
      </c>
      <c r="E62" s="199">
        <v>1</v>
      </c>
      <c r="F62" s="199" t="s">
        <v>280</v>
      </c>
      <c r="G62" s="199">
        <v>2</v>
      </c>
      <c r="H62" s="199"/>
      <c r="I62" s="72" t="str">
        <f t="shared" si="75"/>
        <v>3.1.b.2</v>
      </c>
      <c r="J62" s="72"/>
      <c r="K62" s="35" t="s">
        <v>283</v>
      </c>
      <c r="L62" s="73">
        <f t="shared" si="3"/>
        <v>454545.45454545453</v>
      </c>
      <c r="M62" s="308">
        <f t="shared" si="101"/>
        <v>372727.27272727271</v>
      </c>
      <c r="N62" s="309">
        <f t="shared" si="102"/>
        <v>81818.181818181838</v>
      </c>
      <c r="O62" s="306">
        <v>0.82</v>
      </c>
      <c r="P62" s="307">
        <f t="shared" si="103"/>
        <v>0.18000000000000005</v>
      </c>
      <c r="Q62" s="248"/>
      <c r="R62" s="39">
        <v>3000000</v>
      </c>
      <c r="S62" s="39">
        <v>3000000</v>
      </c>
      <c r="T62" s="39">
        <v>3000000</v>
      </c>
      <c r="U62" s="39">
        <v>3000000</v>
      </c>
      <c r="V62" s="245">
        <v>3000000</v>
      </c>
      <c r="W62" s="231"/>
      <c r="X62" s="401" t="s">
        <v>262</v>
      </c>
      <c r="Y62" s="401"/>
      <c r="Z62" s="401"/>
      <c r="AA62" s="73"/>
      <c r="AE62" s="72">
        <v>1</v>
      </c>
      <c r="AF62" s="72">
        <v>1</v>
      </c>
      <c r="AG62" s="72">
        <v>1</v>
      </c>
      <c r="AH62" s="72">
        <v>1</v>
      </c>
      <c r="AI62" s="72">
        <v>1</v>
      </c>
      <c r="AJ62" s="249">
        <f t="shared" si="104"/>
        <v>90909.090909090912</v>
      </c>
      <c r="AK62" s="255">
        <f t="shared" si="105"/>
        <v>90909.090909090912</v>
      </c>
      <c r="AL62" s="255">
        <f t="shared" si="106"/>
        <v>90909.090909090912</v>
      </c>
      <c r="AM62" s="255">
        <f t="shared" si="107"/>
        <v>90909.090909090912</v>
      </c>
      <c r="AN62" s="256">
        <f t="shared" si="108"/>
        <v>90909.090909090912</v>
      </c>
      <c r="AO62" s="261">
        <f t="shared" si="6"/>
        <v>454545.45454545459</v>
      </c>
      <c r="AQ62" s="249">
        <f t="shared" si="109"/>
        <v>74545.454545454544</v>
      </c>
      <c r="AR62" s="151">
        <f t="shared" si="110"/>
        <v>16363.636363636369</v>
      </c>
      <c r="AS62" s="150">
        <f t="shared" si="111"/>
        <v>74545.454545454544</v>
      </c>
      <c r="AT62" s="151">
        <f t="shared" si="112"/>
        <v>16363.636363636369</v>
      </c>
      <c r="AU62" s="150">
        <f t="shared" si="113"/>
        <v>74545.454545454544</v>
      </c>
      <c r="AV62" s="151">
        <f t="shared" si="114"/>
        <v>16363.636363636369</v>
      </c>
      <c r="AW62" s="150">
        <f t="shared" si="115"/>
        <v>74545.454545454544</v>
      </c>
      <c r="AX62" s="151">
        <f t="shared" si="116"/>
        <v>16363.636363636369</v>
      </c>
      <c r="AY62" s="150">
        <f t="shared" si="117"/>
        <v>74545.454545454544</v>
      </c>
      <c r="AZ62" s="256">
        <f t="shared" si="118"/>
        <v>16363.636363636369</v>
      </c>
      <c r="BA62" s="249">
        <f t="shared" si="8"/>
        <v>372727.27272727271</v>
      </c>
      <c r="BB62" s="256">
        <f t="shared" si="9"/>
        <v>81818.181818181853</v>
      </c>
    </row>
    <row r="63" spans="2:55" s="35" customFormat="1" x14ac:dyDescent="0.25">
      <c r="B63" s="72" t="s">
        <v>33</v>
      </c>
      <c r="C63" s="72"/>
      <c r="D63" s="199">
        <v>3</v>
      </c>
      <c r="E63" s="199">
        <v>1</v>
      </c>
      <c r="F63" s="199" t="s">
        <v>280</v>
      </c>
      <c r="G63" s="199">
        <v>3</v>
      </c>
      <c r="H63" s="199"/>
      <c r="I63" s="72" t="str">
        <f t="shared" si="75"/>
        <v>3.1.b.3</v>
      </c>
      <c r="J63" s="72"/>
      <c r="K63" s="35" t="s">
        <v>257</v>
      </c>
      <c r="L63" s="73">
        <f t="shared" si="3"/>
        <v>40000</v>
      </c>
      <c r="M63" s="308">
        <f t="shared" si="101"/>
        <v>32800</v>
      </c>
      <c r="N63" s="309">
        <f t="shared" si="102"/>
        <v>7200.0000000000018</v>
      </c>
      <c r="O63" s="306">
        <v>0.82</v>
      </c>
      <c r="P63" s="307">
        <f t="shared" si="103"/>
        <v>0.18000000000000005</v>
      </c>
      <c r="Q63" s="248"/>
      <c r="R63" s="39">
        <f>40000*R1</f>
        <v>1320000</v>
      </c>
      <c r="S63" s="39"/>
      <c r="T63" s="39"/>
      <c r="U63" s="39"/>
      <c r="V63" s="245"/>
      <c r="W63" s="231"/>
      <c r="X63" s="401" t="s">
        <v>259</v>
      </c>
      <c r="Y63" s="401"/>
      <c r="Z63" s="401"/>
      <c r="AA63" s="73"/>
      <c r="AE63" s="72">
        <v>1</v>
      </c>
      <c r="AF63" s="72"/>
      <c r="AG63" s="72"/>
      <c r="AH63" s="72"/>
      <c r="AI63" s="72"/>
      <c r="AJ63" s="249">
        <f t="shared" si="104"/>
        <v>40000</v>
      </c>
      <c r="AK63" s="255">
        <f t="shared" si="105"/>
        <v>0</v>
      </c>
      <c r="AL63" s="255">
        <f t="shared" si="106"/>
        <v>0</v>
      </c>
      <c r="AM63" s="255">
        <f t="shared" si="107"/>
        <v>0</v>
      </c>
      <c r="AN63" s="256">
        <f t="shared" si="108"/>
        <v>0</v>
      </c>
      <c r="AO63" s="261">
        <f t="shared" si="6"/>
        <v>40000</v>
      </c>
      <c r="AQ63" s="249">
        <f t="shared" si="109"/>
        <v>32800</v>
      </c>
      <c r="AR63" s="151">
        <f t="shared" si="110"/>
        <v>7200.0000000000018</v>
      </c>
      <c r="AS63" s="150">
        <f t="shared" si="111"/>
        <v>0</v>
      </c>
      <c r="AT63" s="151">
        <f t="shared" si="112"/>
        <v>0</v>
      </c>
      <c r="AU63" s="150">
        <f t="shared" si="113"/>
        <v>0</v>
      </c>
      <c r="AV63" s="151">
        <f t="shared" si="114"/>
        <v>0</v>
      </c>
      <c r="AW63" s="150">
        <f t="shared" si="115"/>
        <v>0</v>
      </c>
      <c r="AX63" s="151">
        <f t="shared" si="116"/>
        <v>0</v>
      </c>
      <c r="AY63" s="150">
        <f t="shared" si="117"/>
        <v>0</v>
      </c>
      <c r="AZ63" s="256">
        <f t="shared" si="118"/>
        <v>0</v>
      </c>
      <c r="BA63" s="249">
        <f t="shared" si="8"/>
        <v>32800</v>
      </c>
      <c r="BB63" s="256">
        <f t="shared" si="9"/>
        <v>7200.0000000000018</v>
      </c>
    </row>
    <row r="64" spans="2:55" s="35" customFormat="1" x14ac:dyDescent="0.25">
      <c r="B64" s="72" t="s">
        <v>33</v>
      </c>
      <c r="C64" s="72"/>
      <c r="D64" s="199">
        <v>3</v>
      </c>
      <c r="E64" s="199">
        <v>1</v>
      </c>
      <c r="F64" s="199" t="s">
        <v>280</v>
      </c>
      <c r="G64" s="199">
        <v>4</v>
      </c>
      <c r="H64" s="199"/>
      <c r="I64" s="72" t="str">
        <f t="shared" si="75"/>
        <v>3.1.b.4</v>
      </c>
      <c r="J64" s="72"/>
      <c r="K64" s="35" t="s">
        <v>284</v>
      </c>
      <c r="L64" s="73">
        <f t="shared" si="3"/>
        <v>90909.090909090912</v>
      </c>
      <c r="M64" s="308">
        <f t="shared" si="101"/>
        <v>74545.454545454544</v>
      </c>
      <c r="N64" s="309">
        <f t="shared" si="102"/>
        <v>16363.636363636369</v>
      </c>
      <c r="O64" s="306">
        <v>0.82</v>
      </c>
      <c r="P64" s="307">
        <f t="shared" si="103"/>
        <v>0.18000000000000005</v>
      </c>
      <c r="Q64" s="248"/>
      <c r="R64" s="39">
        <v>1000000</v>
      </c>
      <c r="S64" s="39">
        <v>1000000</v>
      </c>
      <c r="T64" s="246"/>
      <c r="U64" s="39">
        <v>1000000</v>
      </c>
      <c r="V64" s="312"/>
      <c r="W64" s="231"/>
      <c r="X64" s="401" t="s">
        <v>282</v>
      </c>
      <c r="Y64" s="401"/>
      <c r="Z64" s="401" t="s">
        <v>71</v>
      </c>
      <c r="AA64" s="73"/>
      <c r="AE64" s="72">
        <v>1</v>
      </c>
      <c r="AF64" s="72">
        <v>1</v>
      </c>
      <c r="AG64" s="72"/>
      <c r="AH64" s="72">
        <v>1</v>
      </c>
      <c r="AI64" s="72">
        <v>1</v>
      </c>
      <c r="AJ64" s="249">
        <f t="shared" si="104"/>
        <v>30303.030303030304</v>
      </c>
      <c r="AK64" s="255">
        <f t="shared" si="105"/>
        <v>30303.030303030304</v>
      </c>
      <c r="AL64" s="255">
        <f t="shared" si="106"/>
        <v>0</v>
      </c>
      <c r="AM64" s="255">
        <f t="shared" si="107"/>
        <v>30303.030303030304</v>
      </c>
      <c r="AN64" s="256">
        <f t="shared" si="108"/>
        <v>0</v>
      </c>
      <c r="AO64" s="261">
        <f t="shared" si="6"/>
        <v>90909.090909090912</v>
      </c>
      <c r="AQ64" s="249">
        <f t="shared" si="109"/>
        <v>24848.484848484848</v>
      </c>
      <c r="AR64" s="151">
        <f t="shared" si="110"/>
        <v>5454.5454545454559</v>
      </c>
      <c r="AS64" s="150">
        <f t="shared" si="111"/>
        <v>24848.484848484848</v>
      </c>
      <c r="AT64" s="151">
        <f t="shared" si="112"/>
        <v>5454.5454545454559</v>
      </c>
      <c r="AU64" s="150">
        <f t="shared" si="113"/>
        <v>0</v>
      </c>
      <c r="AV64" s="151">
        <f t="shared" si="114"/>
        <v>0</v>
      </c>
      <c r="AW64" s="150">
        <f t="shared" si="115"/>
        <v>24848.484848484848</v>
      </c>
      <c r="AX64" s="151">
        <f t="shared" si="116"/>
        <v>5454.5454545454559</v>
      </c>
      <c r="AY64" s="150">
        <f t="shared" si="117"/>
        <v>0</v>
      </c>
      <c r="AZ64" s="256">
        <f t="shared" si="118"/>
        <v>0</v>
      </c>
      <c r="BA64" s="249">
        <f t="shared" si="8"/>
        <v>74545.454545454544</v>
      </c>
      <c r="BB64" s="256">
        <f t="shared" si="9"/>
        <v>16363.636363636368</v>
      </c>
      <c r="BC64" s="35" t="s">
        <v>284</v>
      </c>
    </row>
    <row r="65" spans="2:55" s="35" customFormat="1" x14ac:dyDescent="0.25">
      <c r="B65" s="72" t="s">
        <v>33</v>
      </c>
      <c r="C65" s="72"/>
      <c r="D65" s="199">
        <v>3</v>
      </c>
      <c r="E65" s="199">
        <v>1</v>
      </c>
      <c r="F65" s="199" t="s">
        <v>280</v>
      </c>
      <c r="G65" s="199">
        <v>5</v>
      </c>
      <c r="H65" s="199"/>
      <c r="I65" s="72" t="str">
        <f t="shared" si="75"/>
        <v>3.1.b.5</v>
      </c>
      <c r="J65" s="72"/>
      <c r="K65" s="35" t="s">
        <v>258</v>
      </c>
      <c r="L65" s="73">
        <f t="shared" ref="L65:L120" si="119">SUM(Q65:V65)/$R$1</f>
        <v>60606.060606060608</v>
      </c>
      <c r="M65" s="308">
        <f t="shared" si="101"/>
        <v>49696.969696969696</v>
      </c>
      <c r="N65" s="309">
        <f t="shared" si="102"/>
        <v>10909.090909090912</v>
      </c>
      <c r="O65" s="306">
        <v>0.82</v>
      </c>
      <c r="P65" s="307">
        <f t="shared" si="103"/>
        <v>0.18000000000000005</v>
      </c>
      <c r="Q65" s="248"/>
      <c r="R65" s="39"/>
      <c r="S65" s="39"/>
      <c r="T65" s="39">
        <v>1000000</v>
      </c>
      <c r="U65" s="39"/>
      <c r="V65" s="245">
        <v>1000000</v>
      </c>
      <c r="W65" s="231"/>
      <c r="X65" s="401"/>
      <c r="Y65" s="401"/>
      <c r="Z65" s="401"/>
      <c r="AA65" s="73"/>
      <c r="AE65" s="72"/>
      <c r="AF65" s="72"/>
      <c r="AG65" s="72">
        <v>1</v>
      </c>
      <c r="AH65" s="72"/>
      <c r="AI65" s="72">
        <v>1</v>
      </c>
      <c r="AJ65" s="249">
        <f t="shared" si="104"/>
        <v>0</v>
      </c>
      <c r="AK65" s="255">
        <f t="shared" si="105"/>
        <v>0</v>
      </c>
      <c r="AL65" s="255">
        <f t="shared" si="106"/>
        <v>30303.030303030304</v>
      </c>
      <c r="AM65" s="255">
        <f t="shared" si="107"/>
        <v>0</v>
      </c>
      <c r="AN65" s="256">
        <f t="shared" si="108"/>
        <v>30303.030303030304</v>
      </c>
      <c r="AO65" s="261">
        <f t="shared" si="6"/>
        <v>60606.060606060608</v>
      </c>
      <c r="AQ65" s="249">
        <f t="shared" si="109"/>
        <v>0</v>
      </c>
      <c r="AR65" s="151">
        <f t="shared" si="110"/>
        <v>0</v>
      </c>
      <c r="AS65" s="150">
        <f t="shared" si="111"/>
        <v>0</v>
      </c>
      <c r="AT65" s="151">
        <f t="shared" si="112"/>
        <v>0</v>
      </c>
      <c r="AU65" s="150">
        <f t="shared" si="113"/>
        <v>24848.484848484848</v>
      </c>
      <c r="AV65" s="151">
        <f t="shared" si="114"/>
        <v>5454.5454545454559</v>
      </c>
      <c r="AW65" s="150">
        <f t="shared" si="115"/>
        <v>0</v>
      </c>
      <c r="AX65" s="151">
        <f t="shared" si="116"/>
        <v>0</v>
      </c>
      <c r="AY65" s="150">
        <f t="shared" si="117"/>
        <v>24848.484848484848</v>
      </c>
      <c r="AZ65" s="256">
        <f t="shared" si="118"/>
        <v>5454.5454545454559</v>
      </c>
      <c r="BA65" s="249">
        <f t="shared" si="8"/>
        <v>49696.969696969696</v>
      </c>
      <c r="BB65" s="256">
        <f t="shared" si="9"/>
        <v>10909.090909090912</v>
      </c>
      <c r="BC65" s="35" t="s">
        <v>258</v>
      </c>
    </row>
    <row r="66" spans="2:55" s="35" customFormat="1" x14ac:dyDescent="0.25">
      <c r="B66" s="72" t="s">
        <v>33</v>
      </c>
      <c r="C66" s="72"/>
      <c r="D66" s="199">
        <v>3</v>
      </c>
      <c r="E66" s="199">
        <v>1</v>
      </c>
      <c r="F66" s="199" t="s">
        <v>280</v>
      </c>
      <c r="G66" s="199">
        <v>6</v>
      </c>
      <c r="H66" s="199"/>
      <c r="I66" s="72" t="str">
        <f t="shared" si="75"/>
        <v>3.1.b.6</v>
      </c>
      <c r="J66" s="72"/>
      <c r="K66" s="35" t="s">
        <v>285</v>
      </c>
      <c r="L66" s="73">
        <f t="shared" si="119"/>
        <v>50000</v>
      </c>
      <c r="M66" s="308">
        <f t="shared" si="101"/>
        <v>41000</v>
      </c>
      <c r="N66" s="309">
        <f t="shared" si="102"/>
        <v>9000.0000000000018</v>
      </c>
      <c r="O66" s="306">
        <v>0.82</v>
      </c>
      <c r="P66" s="307">
        <f t="shared" si="103"/>
        <v>0.18000000000000005</v>
      </c>
      <c r="Q66" s="248"/>
      <c r="R66" s="39">
        <f>10000*R1</f>
        <v>330000</v>
      </c>
      <c r="S66" s="39">
        <f>10000*S1</f>
        <v>330000</v>
      </c>
      <c r="T66" s="39">
        <f>10000*T1</f>
        <v>330000</v>
      </c>
      <c r="U66" s="39">
        <f>10000*U1</f>
        <v>330000</v>
      </c>
      <c r="V66" s="245">
        <f>10000*V1</f>
        <v>330000</v>
      </c>
      <c r="W66" s="231"/>
      <c r="X66" s="401" t="s">
        <v>286</v>
      </c>
      <c r="Y66" s="401"/>
      <c r="Z66" s="401"/>
      <c r="AA66" s="73"/>
      <c r="AE66" s="72">
        <v>1</v>
      </c>
      <c r="AF66" s="72">
        <v>1</v>
      </c>
      <c r="AG66" s="72">
        <v>1</v>
      </c>
      <c r="AH66" s="72">
        <v>1</v>
      </c>
      <c r="AI66" s="72">
        <v>1</v>
      </c>
      <c r="AJ66" s="249">
        <f t="shared" si="104"/>
        <v>10000</v>
      </c>
      <c r="AK66" s="255">
        <f t="shared" si="105"/>
        <v>10000</v>
      </c>
      <c r="AL66" s="255">
        <f t="shared" si="106"/>
        <v>10000</v>
      </c>
      <c r="AM66" s="255">
        <f t="shared" si="107"/>
        <v>10000</v>
      </c>
      <c r="AN66" s="256">
        <f t="shared" si="108"/>
        <v>10000</v>
      </c>
      <c r="AO66" s="261">
        <f t="shared" ref="AO66:AO127" si="120">SUBTOTAL(9,AJ66:AN66)</f>
        <v>50000</v>
      </c>
      <c r="AQ66" s="249">
        <f t="shared" si="109"/>
        <v>8200</v>
      </c>
      <c r="AR66" s="151">
        <f t="shared" si="110"/>
        <v>1800.0000000000005</v>
      </c>
      <c r="AS66" s="150">
        <f t="shared" si="111"/>
        <v>8200</v>
      </c>
      <c r="AT66" s="151">
        <f t="shared" si="112"/>
        <v>1800.0000000000005</v>
      </c>
      <c r="AU66" s="150">
        <f t="shared" si="113"/>
        <v>8200</v>
      </c>
      <c r="AV66" s="151">
        <f t="shared" si="114"/>
        <v>1800.0000000000005</v>
      </c>
      <c r="AW66" s="150">
        <f t="shared" si="115"/>
        <v>8200</v>
      </c>
      <c r="AX66" s="151">
        <f t="shared" si="116"/>
        <v>1800.0000000000005</v>
      </c>
      <c r="AY66" s="150">
        <f t="shared" si="117"/>
        <v>8200</v>
      </c>
      <c r="AZ66" s="256">
        <f t="shared" si="118"/>
        <v>1800.0000000000005</v>
      </c>
      <c r="BA66" s="249">
        <f t="shared" ref="BA66:BA127" si="121">+AQ66+AS66+AU66+AW66+AY66</f>
        <v>41000</v>
      </c>
      <c r="BB66" s="256">
        <f t="shared" ref="BB66:BB127" si="122">+AR66+AT66+AV66+AX66+AZ66</f>
        <v>9000.0000000000018</v>
      </c>
      <c r="BC66" s="35" t="s">
        <v>285</v>
      </c>
    </row>
    <row r="67" spans="2:55" s="35" customFormat="1" x14ac:dyDescent="0.25">
      <c r="B67" s="72" t="s">
        <v>33</v>
      </c>
      <c r="C67" s="72"/>
      <c r="D67" s="199">
        <v>3</v>
      </c>
      <c r="E67" s="199">
        <v>1</v>
      </c>
      <c r="F67" s="199" t="s">
        <v>280</v>
      </c>
      <c r="G67" s="199">
        <v>7</v>
      </c>
      <c r="H67" s="199"/>
      <c r="I67" s="72" t="str">
        <f t="shared" si="75"/>
        <v>3.1.b.7</v>
      </c>
      <c r="J67" s="72"/>
      <c r="K67" s="35" t="s">
        <v>261</v>
      </c>
      <c r="L67" s="73">
        <f t="shared" si="119"/>
        <v>70000</v>
      </c>
      <c r="M67" s="308">
        <f t="shared" si="101"/>
        <v>57400</v>
      </c>
      <c r="N67" s="309">
        <f t="shared" si="102"/>
        <v>12600.000000000004</v>
      </c>
      <c r="O67" s="306">
        <v>0.82</v>
      </c>
      <c r="P67" s="307">
        <f t="shared" si="103"/>
        <v>0.18000000000000005</v>
      </c>
      <c r="Q67" s="248"/>
      <c r="R67" s="39">
        <v>1650000</v>
      </c>
      <c r="S67" s="39">
        <v>165000</v>
      </c>
      <c r="T67" s="39">
        <v>165000</v>
      </c>
      <c r="U67" s="39">
        <v>165000</v>
      </c>
      <c r="V67" s="245">
        <v>165000</v>
      </c>
      <c r="W67" s="231"/>
      <c r="X67" s="401" t="s">
        <v>264</v>
      </c>
      <c r="Y67" s="401" t="s">
        <v>337</v>
      </c>
      <c r="Z67" s="401"/>
      <c r="AA67" s="73"/>
      <c r="AE67" s="72">
        <v>1</v>
      </c>
      <c r="AF67" s="72">
        <v>1</v>
      </c>
      <c r="AG67" s="72">
        <v>1</v>
      </c>
      <c r="AH67" s="72">
        <v>1</v>
      </c>
      <c r="AI67" s="72">
        <v>1</v>
      </c>
      <c r="AJ67" s="249">
        <f t="shared" si="104"/>
        <v>50000</v>
      </c>
      <c r="AK67" s="255">
        <f t="shared" si="105"/>
        <v>5000</v>
      </c>
      <c r="AL67" s="255">
        <f t="shared" si="106"/>
        <v>5000</v>
      </c>
      <c r="AM67" s="255">
        <f t="shared" si="107"/>
        <v>5000</v>
      </c>
      <c r="AN67" s="256">
        <f t="shared" si="108"/>
        <v>5000</v>
      </c>
      <c r="AO67" s="261">
        <f t="shared" si="120"/>
        <v>70000</v>
      </c>
      <c r="AQ67" s="249">
        <f t="shared" si="109"/>
        <v>41000</v>
      </c>
      <c r="AR67" s="151">
        <f t="shared" si="110"/>
        <v>9000.0000000000018</v>
      </c>
      <c r="AS67" s="150">
        <f t="shared" si="111"/>
        <v>4100</v>
      </c>
      <c r="AT67" s="151">
        <f t="shared" si="112"/>
        <v>900.00000000000023</v>
      </c>
      <c r="AU67" s="150">
        <f t="shared" si="113"/>
        <v>4100</v>
      </c>
      <c r="AV67" s="151">
        <f t="shared" si="114"/>
        <v>900.00000000000023</v>
      </c>
      <c r="AW67" s="150">
        <f t="shared" si="115"/>
        <v>4100</v>
      </c>
      <c r="AX67" s="151">
        <f t="shared" si="116"/>
        <v>900.00000000000023</v>
      </c>
      <c r="AY67" s="150">
        <f t="shared" si="117"/>
        <v>4100</v>
      </c>
      <c r="AZ67" s="256">
        <f t="shared" si="118"/>
        <v>900.00000000000023</v>
      </c>
      <c r="BA67" s="249">
        <f t="shared" si="121"/>
        <v>57400</v>
      </c>
      <c r="BB67" s="256">
        <f t="shared" si="122"/>
        <v>12600.000000000002</v>
      </c>
      <c r="BC67" s="35" t="s">
        <v>261</v>
      </c>
    </row>
    <row r="68" spans="2:55" s="35" customFormat="1" x14ac:dyDescent="0.25">
      <c r="B68" s="72" t="s">
        <v>33</v>
      </c>
      <c r="C68" s="72"/>
      <c r="D68" s="199">
        <v>3</v>
      </c>
      <c r="E68" s="199">
        <v>1</v>
      </c>
      <c r="F68" s="199" t="s">
        <v>280</v>
      </c>
      <c r="G68" s="199">
        <v>8</v>
      </c>
      <c r="H68" s="199"/>
      <c r="I68" s="72" t="str">
        <f t="shared" si="75"/>
        <v>3.1.b.8</v>
      </c>
      <c r="J68" s="72"/>
      <c r="K68" s="35" t="s">
        <v>287</v>
      </c>
      <c r="L68" s="73">
        <f t="shared" si="119"/>
        <v>50000</v>
      </c>
      <c r="M68" s="308">
        <f t="shared" si="101"/>
        <v>41000</v>
      </c>
      <c r="N68" s="309">
        <f t="shared" si="102"/>
        <v>9000.0000000000018</v>
      </c>
      <c r="O68" s="306">
        <v>0.82</v>
      </c>
      <c r="P68" s="307">
        <f t="shared" si="103"/>
        <v>0.18000000000000005</v>
      </c>
      <c r="Q68" s="248"/>
      <c r="R68" s="39">
        <f>10000*R1</f>
        <v>330000</v>
      </c>
      <c r="S68" s="39">
        <f>10000*S1</f>
        <v>330000</v>
      </c>
      <c r="T68" s="39">
        <f>10000*T1</f>
        <v>330000</v>
      </c>
      <c r="U68" s="39">
        <f>10000*U1</f>
        <v>330000</v>
      </c>
      <c r="V68" s="245">
        <f>10000*V1</f>
        <v>330000</v>
      </c>
      <c r="W68" s="231"/>
      <c r="X68" s="401" t="s">
        <v>288</v>
      </c>
      <c r="Y68" s="401"/>
      <c r="Z68" s="401"/>
      <c r="AA68" s="73"/>
      <c r="AE68" s="72">
        <v>1</v>
      </c>
      <c r="AF68" s="72">
        <v>1</v>
      </c>
      <c r="AG68" s="72">
        <v>1</v>
      </c>
      <c r="AH68" s="72">
        <v>1</v>
      </c>
      <c r="AI68" s="72">
        <v>1</v>
      </c>
      <c r="AJ68" s="249">
        <f t="shared" si="104"/>
        <v>10000</v>
      </c>
      <c r="AK68" s="255">
        <f t="shared" si="105"/>
        <v>10000</v>
      </c>
      <c r="AL68" s="255">
        <f t="shared" si="106"/>
        <v>10000</v>
      </c>
      <c r="AM68" s="255">
        <f t="shared" si="107"/>
        <v>10000</v>
      </c>
      <c r="AN68" s="256">
        <f t="shared" si="108"/>
        <v>10000</v>
      </c>
      <c r="AO68" s="261">
        <f t="shared" si="120"/>
        <v>50000</v>
      </c>
      <c r="AQ68" s="249">
        <f t="shared" si="109"/>
        <v>8200</v>
      </c>
      <c r="AR68" s="151">
        <f t="shared" si="110"/>
        <v>1800.0000000000005</v>
      </c>
      <c r="AS68" s="150">
        <f t="shared" si="111"/>
        <v>8200</v>
      </c>
      <c r="AT68" s="151">
        <f t="shared" si="112"/>
        <v>1800.0000000000005</v>
      </c>
      <c r="AU68" s="150">
        <f t="shared" si="113"/>
        <v>8200</v>
      </c>
      <c r="AV68" s="151">
        <f t="shared" si="114"/>
        <v>1800.0000000000005</v>
      </c>
      <c r="AW68" s="150">
        <f t="shared" si="115"/>
        <v>8200</v>
      </c>
      <c r="AX68" s="151">
        <f t="shared" si="116"/>
        <v>1800.0000000000005</v>
      </c>
      <c r="AY68" s="150">
        <f t="shared" si="117"/>
        <v>8200</v>
      </c>
      <c r="AZ68" s="256">
        <f t="shared" si="118"/>
        <v>1800.0000000000005</v>
      </c>
      <c r="BA68" s="249">
        <f t="shared" si="121"/>
        <v>41000</v>
      </c>
      <c r="BB68" s="256">
        <f t="shared" si="122"/>
        <v>9000.0000000000018</v>
      </c>
      <c r="BC68" s="35" t="s">
        <v>287</v>
      </c>
    </row>
    <row r="69" spans="2:55" s="35" customFormat="1" x14ac:dyDescent="0.25">
      <c r="B69" s="72" t="s">
        <v>33</v>
      </c>
      <c r="C69" s="72"/>
      <c r="D69" s="199">
        <v>3</v>
      </c>
      <c r="E69" s="199">
        <v>1</v>
      </c>
      <c r="F69" s="199" t="s">
        <v>280</v>
      </c>
      <c r="G69" s="199">
        <v>9</v>
      </c>
      <c r="H69" s="199"/>
      <c r="I69" s="72" t="str">
        <f t="shared" si="75"/>
        <v>3.1.b.9</v>
      </c>
      <c r="J69" s="72"/>
      <c r="K69" s="35" t="s">
        <v>263</v>
      </c>
      <c r="L69" s="73">
        <f t="shared" si="119"/>
        <v>15000</v>
      </c>
      <c r="M69" s="308">
        <f t="shared" si="101"/>
        <v>12300</v>
      </c>
      <c r="N69" s="309">
        <f t="shared" si="102"/>
        <v>2700.0000000000009</v>
      </c>
      <c r="O69" s="306">
        <v>0.82</v>
      </c>
      <c r="P69" s="307">
        <f t="shared" si="103"/>
        <v>0.18000000000000005</v>
      </c>
      <c r="Q69" s="248"/>
      <c r="R69" s="39">
        <v>99000</v>
      </c>
      <c r="S69" s="39">
        <v>99000</v>
      </c>
      <c r="T69" s="39">
        <v>99000</v>
      </c>
      <c r="U69" s="39">
        <v>99000</v>
      </c>
      <c r="V69" s="245">
        <v>99000</v>
      </c>
      <c r="W69" s="231"/>
      <c r="X69" s="401"/>
      <c r="Y69" s="401"/>
      <c r="Z69" s="401"/>
      <c r="AA69" s="73"/>
      <c r="AE69" s="72">
        <v>1</v>
      </c>
      <c r="AF69" s="72">
        <v>1</v>
      </c>
      <c r="AG69" s="72">
        <v>1</v>
      </c>
      <c r="AH69" s="72">
        <v>1</v>
      </c>
      <c r="AI69" s="72">
        <v>1</v>
      </c>
      <c r="AJ69" s="249">
        <f t="shared" si="104"/>
        <v>3000</v>
      </c>
      <c r="AK69" s="255">
        <f t="shared" si="105"/>
        <v>3000</v>
      </c>
      <c r="AL69" s="255">
        <f t="shared" si="106"/>
        <v>3000</v>
      </c>
      <c r="AM69" s="255">
        <f t="shared" si="107"/>
        <v>3000</v>
      </c>
      <c r="AN69" s="256">
        <f t="shared" si="108"/>
        <v>3000</v>
      </c>
      <c r="AO69" s="261">
        <f t="shared" si="120"/>
        <v>15000</v>
      </c>
      <c r="AQ69" s="249">
        <f t="shared" si="109"/>
        <v>2460</v>
      </c>
      <c r="AR69" s="151">
        <f t="shared" si="110"/>
        <v>540.00000000000011</v>
      </c>
      <c r="AS69" s="150">
        <f t="shared" si="111"/>
        <v>2460</v>
      </c>
      <c r="AT69" s="151">
        <f t="shared" si="112"/>
        <v>540.00000000000011</v>
      </c>
      <c r="AU69" s="150">
        <f t="shared" si="113"/>
        <v>2460</v>
      </c>
      <c r="AV69" s="151">
        <f t="shared" si="114"/>
        <v>540.00000000000011</v>
      </c>
      <c r="AW69" s="150">
        <f t="shared" si="115"/>
        <v>2460</v>
      </c>
      <c r="AX69" s="151">
        <f t="shared" si="116"/>
        <v>540.00000000000011</v>
      </c>
      <c r="AY69" s="150">
        <f t="shared" si="117"/>
        <v>2460</v>
      </c>
      <c r="AZ69" s="256">
        <f t="shared" si="118"/>
        <v>540.00000000000011</v>
      </c>
      <c r="BA69" s="249">
        <f t="shared" si="121"/>
        <v>12300</v>
      </c>
      <c r="BB69" s="256">
        <f t="shared" si="122"/>
        <v>2700.0000000000005</v>
      </c>
      <c r="BC69" s="35" t="s">
        <v>263</v>
      </c>
    </row>
    <row r="70" spans="2:55" s="46" customFormat="1" x14ac:dyDescent="0.25">
      <c r="B70" s="33"/>
      <c r="C70" s="33"/>
      <c r="D70" s="220">
        <v>3</v>
      </c>
      <c r="E70" s="220">
        <v>2</v>
      </c>
      <c r="F70" s="220">
        <v>0</v>
      </c>
      <c r="G70" s="220">
        <v>0</v>
      </c>
      <c r="H70" s="220">
        <v>0</v>
      </c>
      <c r="I70" s="33" t="str">
        <f t="shared" ref="I70" si="123">CONCATENATE(D70,".",E70,".",F70,".",G70)</f>
        <v>3.2.0.0</v>
      </c>
      <c r="J70" s="33">
        <v>3.2</v>
      </c>
      <c r="K70" s="46" t="s">
        <v>594</v>
      </c>
      <c r="L70" s="47">
        <f t="shared" si="119"/>
        <v>3172030.9545454546</v>
      </c>
      <c r="M70" s="79">
        <f t="shared" ref="M70:V70" si="124">SUM(M71:M80)</f>
        <v>2461215.0039393944</v>
      </c>
      <c r="N70" s="236">
        <f t="shared" si="124"/>
        <v>710815.9506060608</v>
      </c>
      <c r="O70" s="84"/>
      <c r="P70" s="85"/>
      <c r="Q70" s="79">
        <f t="shared" si="124"/>
        <v>0</v>
      </c>
      <c r="R70" s="236">
        <f t="shared" si="124"/>
        <v>15064583.333333334</v>
      </c>
      <c r="S70" s="236">
        <f t="shared" si="124"/>
        <v>22915041.666666668</v>
      </c>
      <c r="T70" s="236">
        <f t="shared" si="124"/>
        <v>21570150</v>
      </c>
      <c r="U70" s="236">
        <f t="shared" si="124"/>
        <v>22509165.000000007</v>
      </c>
      <c r="V70" s="67">
        <f t="shared" si="124"/>
        <v>22618081.500000007</v>
      </c>
      <c r="W70" s="49"/>
      <c r="X70" s="402"/>
      <c r="Y70" s="402"/>
      <c r="Z70" s="402"/>
      <c r="AA70" s="47"/>
      <c r="AJ70" s="79">
        <f>SUM(AJ71:AJ80)</f>
        <v>456502.52525252523</v>
      </c>
      <c r="AK70" s="236">
        <f>SUM(AK71:AK80)</f>
        <v>694395.20202020195</v>
      </c>
      <c r="AL70" s="236">
        <f>SUM(AL71:AL80)</f>
        <v>653640.90909090918</v>
      </c>
      <c r="AM70" s="236">
        <f>SUM(AM71:AM80)</f>
        <v>682095.90909090918</v>
      </c>
      <c r="AN70" s="67">
        <f>SUM(AN71:AN80)</f>
        <v>685396.40909090941</v>
      </c>
      <c r="AO70" s="258">
        <f t="shared" si="120"/>
        <v>3172030.9545454551</v>
      </c>
      <c r="AP70" s="139"/>
      <c r="AQ70" s="262">
        <f t="shared" ref="AQ70:AZ70" si="125">SUM(AQ71:AQ80)</f>
        <v>317439.39393939392</v>
      </c>
      <c r="AR70" s="133">
        <f t="shared" si="125"/>
        <v>139063.13131313137</v>
      </c>
      <c r="AS70" s="132">
        <f t="shared" si="125"/>
        <v>508810.00000000006</v>
      </c>
      <c r="AT70" s="133">
        <f t="shared" si="125"/>
        <v>185585.20202020206</v>
      </c>
      <c r="AU70" s="132">
        <f t="shared" si="125"/>
        <v>528531.00000000012</v>
      </c>
      <c r="AV70" s="133">
        <f t="shared" si="125"/>
        <v>125109.90909090915</v>
      </c>
      <c r="AW70" s="132">
        <f t="shared" si="125"/>
        <v>551864.10000000009</v>
      </c>
      <c r="AX70" s="133">
        <f t="shared" si="125"/>
        <v>130231.80909090917</v>
      </c>
      <c r="AY70" s="132">
        <f t="shared" si="125"/>
        <v>554570.51000000024</v>
      </c>
      <c r="AZ70" s="263">
        <f t="shared" si="125"/>
        <v>130825.89909090917</v>
      </c>
      <c r="BA70" s="262">
        <f t="shared" si="121"/>
        <v>2461215.0039393944</v>
      </c>
      <c r="BB70" s="263">
        <f t="shared" si="122"/>
        <v>710815.95060606091</v>
      </c>
    </row>
    <row r="71" spans="2:55" s="35" customFormat="1" ht="14.45" customHeight="1" x14ac:dyDescent="0.25">
      <c r="B71" s="72" t="s">
        <v>274</v>
      </c>
      <c r="C71" s="72"/>
      <c r="D71" s="199">
        <v>3</v>
      </c>
      <c r="E71" s="199">
        <v>2</v>
      </c>
      <c r="F71" s="199" t="s">
        <v>270</v>
      </c>
      <c r="G71" s="199">
        <v>1</v>
      </c>
      <c r="H71" s="199"/>
      <c r="I71" s="72" t="str">
        <f>CONCATENATE(D71,".",E71,".",F71,".",G71)</f>
        <v>3.2.a.1</v>
      </c>
      <c r="J71" s="72"/>
      <c r="K71" s="35" t="s">
        <v>423</v>
      </c>
      <c r="L71" s="73">
        <f t="shared" si="119"/>
        <v>600000</v>
      </c>
      <c r="M71" s="308">
        <f t="shared" ref="M71:M80" si="126">+O71*$L71</f>
        <v>491999.99999999994</v>
      </c>
      <c r="N71" s="309">
        <f t="shared" ref="N71:N80" si="127">+P71*$L71</f>
        <v>108000.00000000003</v>
      </c>
      <c r="O71" s="306">
        <v>0.82</v>
      </c>
      <c r="P71" s="307">
        <f t="shared" ref="P71:P80" si="128">1-O71</f>
        <v>0.18000000000000005</v>
      </c>
      <c r="Q71" s="248"/>
      <c r="R71" s="39">
        <f>30000*R1</f>
        <v>990000</v>
      </c>
      <c r="S71" s="39">
        <f>180000*S1</f>
        <v>5940000</v>
      </c>
      <c r="T71" s="39">
        <f>160000*T1</f>
        <v>5280000</v>
      </c>
      <c r="U71" s="39">
        <f>140000*U1</f>
        <v>4620000</v>
      </c>
      <c r="V71" s="245">
        <f>90000*V1</f>
        <v>2970000</v>
      </c>
      <c r="W71" s="231"/>
      <c r="X71" s="401" t="s">
        <v>581</v>
      </c>
      <c r="Y71" s="401" t="s">
        <v>424</v>
      </c>
      <c r="Z71" s="401"/>
      <c r="AA71" s="73"/>
      <c r="AE71" s="72">
        <v>1</v>
      </c>
      <c r="AF71" s="72">
        <v>1</v>
      </c>
      <c r="AG71" s="72">
        <v>1</v>
      </c>
      <c r="AH71" s="72">
        <v>1</v>
      </c>
      <c r="AI71" s="72">
        <v>1</v>
      </c>
      <c r="AJ71" s="249">
        <f t="shared" ref="AJ71:AJ80" si="129">+(R71+Q71)/$AJ$1</f>
        <v>30000</v>
      </c>
      <c r="AK71" s="255">
        <f t="shared" ref="AK71:AK80" si="130">+S71/$AK$1</f>
        <v>180000</v>
      </c>
      <c r="AL71" s="255">
        <f t="shared" ref="AL71:AL80" si="131">+T71/$AL$1</f>
        <v>160000</v>
      </c>
      <c r="AM71" s="255">
        <f t="shared" ref="AM71:AM80" si="132">+U71/$AM$1</f>
        <v>140000</v>
      </c>
      <c r="AN71" s="256">
        <f t="shared" ref="AN71:AN80" si="133">+V71/$AN$1</f>
        <v>90000</v>
      </c>
      <c r="AO71" s="261">
        <f t="shared" si="120"/>
        <v>600000</v>
      </c>
      <c r="AQ71" s="249">
        <f t="shared" ref="AQ71:AQ80" si="134">+AJ71*$O71</f>
        <v>24600</v>
      </c>
      <c r="AR71" s="151">
        <f t="shared" ref="AR71:AR80" si="135">+AJ71*$P71</f>
        <v>5400.0000000000018</v>
      </c>
      <c r="AS71" s="150">
        <f t="shared" ref="AS71:AS80" si="136">+AK71*$O71</f>
        <v>147600</v>
      </c>
      <c r="AT71" s="151">
        <f t="shared" ref="AT71:AT80" si="137">+AK71*$P71</f>
        <v>32400.000000000007</v>
      </c>
      <c r="AU71" s="150">
        <f t="shared" ref="AU71:AU80" si="138">+AL71*$O71</f>
        <v>131200</v>
      </c>
      <c r="AV71" s="151">
        <f t="shared" ref="AV71:AV80" si="139">+AL71*$P71</f>
        <v>28800.000000000007</v>
      </c>
      <c r="AW71" s="150">
        <f t="shared" ref="AW71:AW80" si="140">+AM71*$O71</f>
        <v>114800</v>
      </c>
      <c r="AX71" s="151">
        <f t="shared" ref="AX71:AX80" si="141">+AM71*$P71</f>
        <v>25200.000000000007</v>
      </c>
      <c r="AY71" s="150">
        <f t="shared" ref="AY71:AY80" si="142">+AN71*$O71</f>
        <v>73800</v>
      </c>
      <c r="AZ71" s="256">
        <f t="shared" ref="AZ71:AZ80" si="143">+AN71*$P71</f>
        <v>16200.000000000004</v>
      </c>
      <c r="BA71" s="249">
        <f t="shared" si="121"/>
        <v>492000</v>
      </c>
      <c r="BB71" s="256">
        <f t="shared" si="122"/>
        <v>108000.00000000003</v>
      </c>
    </row>
    <row r="72" spans="2:55" s="35" customFormat="1" ht="14.45" customHeight="1" x14ac:dyDescent="0.25">
      <c r="B72" s="72" t="s">
        <v>22</v>
      </c>
      <c r="C72" s="72" t="s">
        <v>58</v>
      </c>
      <c r="D72" s="199">
        <v>3</v>
      </c>
      <c r="E72" s="199">
        <v>2</v>
      </c>
      <c r="F72" s="199" t="s">
        <v>270</v>
      </c>
      <c r="G72" s="199">
        <v>2</v>
      </c>
      <c r="H72" s="199"/>
      <c r="I72" s="72" t="str">
        <f t="shared" ref="I72:I80" si="144">CONCATENATE(D72,".",E72,".",F72,".",G72)</f>
        <v>3.2.a.2</v>
      </c>
      <c r="J72" s="72"/>
      <c r="K72" s="35" t="s">
        <v>339</v>
      </c>
      <c r="L72" s="73">
        <f t="shared" si="119"/>
        <v>221221.00000000009</v>
      </c>
      <c r="M72" s="308">
        <f t="shared" si="126"/>
        <v>181401.22000000006</v>
      </c>
      <c r="N72" s="309">
        <f t="shared" si="127"/>
        <v>39819.780000000028</v>
      </c>
      <c r="O72" s="306">
        <v>0.82</v>
      </c>
      <c r="P72" s="307">
        <f t="shared" si="128"/>
        <v>0.18000000000000005</v>
      </c>
      <c r="Q72" s="248"/>
      <c r="R72" s="39"/>
      <c r="S72" s="39">
        <f>50000*13*coef18*2</f>
        <v>1573000.0000000002</v>
      </c>
      <c r="T72" s="39">
        <f>50000*13*coef19*2</f>
        <v>1730300.0000000005</v>
      </c>
      <c r="U72" s="39">
        <f>50000*13*coef20*2</f>
        <v>1903330.0000000007</v>
      </c>
      <c r="V72" s="245">
        <f>50000*13*coef21*2</f>
        <v>2093663.0000000009</v>
      </c>
      <c r="W72" s="231"/>
      <c r="X72" s="401" t="s">
        <v>340</v>
      </c>
      <c r="Y72" s="401"/>
      <c r="Z72" s="401"/>
      <c r="AA72" s="73"/>
      <c r="AE72" s="72"/>
      <c r="AF72" s="72">
        <v>1</v>
      </c>
      <c r="AG72" s="72">
        <v>1</v>
      </c>
      <c r="AH72" s="72">
        <v>1</v>
      </c>
      <c r="AI72" s="72">
        <v>1</v>
      </c>
      <c r="AJ72" s="249">
        <f t="shared" si="129"/>
        <v>0</v>
      </c>
      <c r="AK72" s="255">
        <f t="shared" si="130"/>
        <v>47666.666666666672</v>
      </c>
      <c r="AL72" s="255">
        <f t="shared" si="131"/>
        <v>52433.33333333335</v>
      </c>
      <c r="AM72" s="255">
        <f t="shared" si="132"/>
        <v>57676.666666666686</v>
      </c>
      <c r="AN72" s="256">
        <f t="shared" si="133"/>
        <v>63444.333333333365</v>
      </c>
      <c r="AO72" s="261">
        <f t="shared" si="120"/>
        <v>221221.00000000009</v>
      </c>
      <c r="AQ72" s="249">
        <f t="shared" si="134"/>
        <v>0</v>
      </c>
      <c r="AR72" s="151">
        <f t="shared" si="135"/>
        <v>0</v>
      </c>
      <c r="AS72" s="150">
        <f t="shared" si="136"/>
        <v>39086.666666666672</v>
      </c>
      <c r="AT72" s="151">
        <f t="shared" si="137"/>
        <v>8580.0000000000036</v>
      </c>
      <c r="AU72" s="150">
        <f t="shared" si="138"/>
        <v>42995.333333333343</v>
      </c>
      <c r="AV72" s="151">
        <f t="shared" si="139"/>
        <v>9438.0000000000055</v>
      </c>
      <c r="AW72" s="150">
        <f t="shared" si="140"/>
        <v>47294.866666666683</v>
      </c>
      <c r="AX72" s="151">
        <f t="shared" si="141"/>
        <v>10381.800000000007</v>
      </c>
      <c r="AY72" s="150">
        <f t="shared" si="142"/>
        <v>52024.353333333354</v>
      </c>
      <c r="AZ72" s="256">
        <f t="shared" si="143"/>
        <v>11419.980000000009</v>
      </c>
      <c r="BA72" s="249">
        <f t="shared" si="121"/>
        <v>181401.22000000006</v>
      </c>
      <c r="BB72" s="256">
        <f t="shared" si="122"/>
        <v>39819.780000000021</v>
      </c>
    </row>
    <row r="73" spans="2:55" s="35" customFormat="1" x14ac:dyDescent="0.25">
      <c r="B73" s="72" t="s">
        <v>22</v>
      </c>
      <c r="C73" s="72" t="s">
        <v>58</v>
      </c>
      <c r="D73" s="199">
        <v>3</v>
      </c>
      <c r="E73" s="199">
        <v>2</v>
      </c>
      <c r="F73" s="199" t="s">
        <v>270</v>
      </c>
      <c r="G73" s="199">
        <v>3</v>
      </c>
      <c r="H73" s="199"/>
      <c r="I73" s="72" t="str">
        <f t="shared" si="144"/>
        <v>3.2.a.3</v>
      </c>
      <c r="J73" s="72"/>
      <c r="K73" s="35" t="s">
        <v>301</v>
      </c>
      <c r="L73" s="73">
        <f t="shared" si="119"/>
        <v>814013.33333333349</v>
      </c>
      <c r="M73" s="308">
        <f t="shared" si="126"/>
        <v>667490.93333333347</v>
      </c>
      <c r="N73" s="309">
        <f t="shared" si="127"/>
        <v>146522.40000000008</v>
      </c>
      <c r="O73" s="306">
        <v>0.82</v>
      </c>
      <c r="P73" s="307">
        <f t="shared" si="128"/>
        <v>0.18000000000000005</v>
      </c>
      <c r="Q73" s="248"/>
      <c r="R73" s="39">
        <f>(200000+0)*22</f>
        <v>4400000</v>
      </c>
      <c r="S73" s="39">
        <f>(200000+0)*22/coef17*coef18</f>
        <v>4840000</v>
      </c>
      <c r="T73" s="39">
        <f>(200000+0)*22/coef17*coef19</f>
        <v>5324000.0000000009</v>
      </c>
      <c r="U73" s="39">
        <f>(200000+0)*22/coef17*coef20</f>
        <v>5856400.0000000019</v>
      </c>
      <c r="V73" s="245">
        <f>(200000+0)*22/coef17*coef21</f>
        <v>6442040.0000000028</v>
      </c>
      <c r="W73" s="231"/>
      <c r="X73" s="401" t="s">
        <v>215</v>
      </c>
      <c r="Y73" s="401"/>
      <c r="Z73" s="401" t="s">
        <v>59</v>
      </c>
      <c r="AA73" s="73"/>
      <c r="AE73" s="72">
        <v>1</v>
      </c>
      <c r="AF73" s="72">
        <v>1</v>
      </c>
      <c r="AG73" s="72">
        <v>1</v>
      </c>
      <c r="AH73" s="72">
        <v>1</v>
      </c>
      <c r="AI73" s="72">
        <v>1</v>
      </c>
      <c r="AJ73" s="249">
        <f t="shared" si="129"/>
        <v>133333.33333333334</v>
      </c>
      <c r="AK73" s="255">
        <f t="shared" si="130"/>
        <v>146666.66666666666</v>
      </c>
      <c r="AL73" s="255">
        <f t="shared" si="131"/>
        <v>161333.33333333337</v>
      </c>
      <c r="AM73" s="255">
        <f t="shared" si="132"/>
        <v>177466.66666666672</v>
      </c>
      <c r="AN73" s="256">
        <f t="shared" si="133"/>
        <v>195213.33333333343</v>
      </c>
      <c r="AO73" s="261">
        <f t="shared" si="120"/>
        <v>814013.33333333349</v>
      </c>
      <c r="AQ73" s="249">
        <f t="shared" si="134"/>
        <v>109333.33333333333</v>
      </c>
      <c r="AR73" s="151">
        <f t="shared" si="135"/>
        <v>24000.000000000007</v>
      </c>
      <c r="AS73" s="150">
        <f t="shared" si="136"/>
        <v>120266.66666666666</v>
      </c>
      <c r="AT73" s="151">
        <f t="shared" si="137"/>
        <v>26400.000000000004</v>
      </c>
      <c r="AU73" s="150">
        <f t="shared" si="138"/>
        <v>132293.33333333334</v>
      </c>
      <c r="AV73" s="151">
        <f t="shared" si="139"/>
        <v>29040.000000000015</v>
      </c>
      <c r="AW73" s="150">
        <f t="shared" si="140"/>
        <v>145522.66666666669</v>
      </c>
      <c r="AX73" s="151">
        <f t="shared" si="141"/>
        <v>31944.000000000018</v>
      </c>
      <c r="AY73" s="150">
        <f t="shared" si="142"/>
        <v>160074.93333333341</v>
      </c>
      <c r="AZ73" s="256">
        <f t="shared" si="143"/>
        <v>35138.400000000031</v>
      </c>
      <c r="BA73" s="249">
        <f t="shared" si="121"/>
        <v>667490.93333333347</v>
      </c>
      <c r="BB73" s="256">
        <f t="shared" si="122"/>
        <v>146522.40000000008</v>
      </c>
    </row>
    <row r="74" spans="2:55" s="35" customFormat="1" x14ac:dyDescent="0.25">
      <c r="B74" s="72" t="s">
        <v>22</v>
      </c>
      <c r="C74" s="72" t="s">
        <v>58</v>
      </c>
      <c r="D74" s="199">
        <v>3</v>
      </c>
      <c r="E74" s="199">
        <v>2</v>
      </c>
      <c r="F74" s="199" t="s">
        <v>270</v>
      </c>
      <c r="G74" s="199">
        <v>4</v>
      </c>
      <c r="H74" s="199"/>
      <c r="I74" s="72" t="str">
        <f t="shared" si="144"/>
        <v>3.2.a.4</v>
      </c>
      <c r="J74" s="72"/>
      <c r="K74" s="35" t="s">
        <v>300</v>
      </c>
      <c r="L74" s="73">
        <f t="shared" si="119"/>
        <v>1110018.1818181821</v>
      </c>
      <c r="M74" s="308">
        <f t="shared" si="126"/>
        <v>910214.90909090929</v>
      </c>
      <c r="N74" s="309">
        <f t="shared" si="127"/>
        <v>199803.27272727282</v>
      </c>
      <c r="O74" s="306">
        <v>0.82</v>
      </c>
      <c r="P74" s="307">
        <f t="shared" si="128"/>
        <v>0.18000000000000005</v>
      </c>
      <c r="Q74" s="248"/>
      <c r="R74" s="39">
        <f>240000*25</f>
        <v>6000000</v>
      </c>
      <c r="S74" s="39">
        <f>240000*25/coef17*coef18</f>
        <v>6600000.0000000009</v>
      </c>
      <c r="T74" s="39">
        <f>240000*25/coef17*coef19</f>
        <v>7260000.0000000019</v>
      </c>
      <c r="U74" s="39">
        <f>240000*25/coef17*coef20</f>
        <v>7986000.0000000028</v>
      </c>
      <c r="V74" s="245">
        <f>240000*25/coef17*coef21</f>
        <v>8784600.0000000037</v>
      </c>
      <c r="W74" s="231"/>
      <c r="X74" s="401" t="s">
        <v>216</v>
      </c>
      <c r="Y74" s="401"/>
      <c r="Z74" s="401" t="s">
        <v>60</v>
      </c>
      <c r="AA74" s="73"/>
      <c r="AE74" s="72">
        <v>1</v>
      </c>
      <c r="AF74" s="72">
        <v>1</v>
      </c>
      <c r="AG74" s="72">
        <v>1</v>
      </c>
      <c r="AH74" s="72">
        <v>1</v>
      </c>
      <c r="AI74" s="72">
        <v>1</v>
      </c>
      <c r="AJ74" s="249">
        <f t="shared" si="129"/>
        <v>181818.18181818182</v>
      </c>
      <c r="AK74" s="255">
        <f t="shared" si="130"/>
        <v>200000.00000000003</v>
      </c>
      <c r="AL74" s="255">
        <f t="shared" si="131"/>
        <v>220000.00000000006</v>
      </c>
      <c r="AM74" s="255">
        <f t="shared" si="132"/>
        <v>242000.00000000009</v>
      </c>
      <c r="AN74" s="256">
        <f t="shared" si="133"/>
        <v>266200.00000000012</v>
      </c>
      <c r="AO74" s="261">
        <f t="shared" si="120"/>
        <v>1110018.1818181821</v>
      </c>
      <c r="AQ74" s="249">
        <f t="shared" si="134"/>
        <v>149090.90909090909</v>
      </c>
      <c r="AR74" s="151">
        <f t="shared" si="135"/>
        <v>32727.272727272739</v>
      </c>
      <c r="AS74" s="150">
        <f t="shared" si="136"/>
        <v>164000</v>
      </c>
      <c r="AT74" s="151">
        <f t="shared" si="137"/>
        <v>36000.000000000015</v>
      </c>
      <c r="AU74" s="150">
        <f t="shared" si="138"/>
        <v>180400.00000000003</v>
      </c>
      <c r="AV74" s="151">
        <f t="shared" si="139"/>
        <v>39600.000000000022</v>
      </c>
      <c r="AW74" s="150">
        <f t="shared" si="140"/>
        <v>198440.00000000006</v>
      </c>
      <c r="AX74" s="151">
        <f t="shared" si="141"/>
        <v>43560.000000000029</v>
      </c>
      <c r="AY74" s="150">
        <f t="shared" si="142"/>
        <v>218284.00000000009</v>
      </c>
      <c r="AZ74" s="256">
        <f t="shared" si="143"/>
        <v>47916.000000000036</v>
      </c>
      <c r="BA74" s="249">
        <f t="shared" si="121"/>
        <v>910214.90909090929</v>
      </c>
      <c r="BB74" s="256">
        <f t="shared" si="122"/>
        <v>199803.27272727282</v>
      </c>
    </row>
    <row r="75" spans="2:55" s="35" customFormat="1" x14ac:dyDescent="0.25">
      <c r="B75" s="72" t="s">
        <v>22</v>
      </c>
      <c r="C75" s="72" t="s">
        <v>58</v>
      </c>
      <c r="D75" s="199">
        <v>3</v>
      </c>
      <c r="E75" s="199">
        <v>2</v>
      </c>
      <c r="F75" s="199" t="s">
        <v>270</v>
      </c>
      <c r="G75" s="199">
        <v>5</v>
      </c>
      <c r="H75" s="199"/>
      <c r="I75" s="72" t="str">
        <f t="shared" si="144"/>
        <v>3.2.a.5</v>
      </c>
      <c r="J75" s="72"/>
      <c r="K75" s="35" t="s">
        <v>61</v>
      </c>
      <c r="L75" s="73">
        <f t="shared" si="119"/>
        <v>94791.666666666686</v>
      </c>
      <c r="M75" s="308">
        <f t="shared" si="126"/>
        <v>0</v>
      </c>
      <c r="N75" s="309">
        <f t="shared" si="127"/>
        <v>94791.666666666686</v>
      </c>
      <c r="O75" s="306">
        <v>0</v>
      </c>
      <c r="P75" s="307">
        <f t="shared" si="128"/>
        <v>1</v>
      </c>
      <c r="Q75" s="248"/>
      <c r="R75" s="39">
        <f>50000*(1*25)*13/12*coef17</f>
        <v>1489583.3333333335</v>
      </c>
      <c r="S75" s="39">
        <f>50000*(1*25)*13/12*coef18</f>
        <v>1638541.666666667</v>
      </c>
      <c r="T75" s="39">
        <v>0</v>
      </c>
      <c r="U75" s="39">
        <v>0</v>
      </c>
      <c r="V75" s="245">
        <v>0</v>
      </c>
      <c r="W75" s="231"/>
      <c r="X75" s="401" t="s">
        <v>217</v>
      </c>
      <c r="Y75" s="401" t="s">
        <v>296</v>
      </c>
      <c r="Z75" s="401" t="s">
        <v>62</v>
      </c>
      <c r="AA75" s="73"/>
      <c r="AE75" s="72">
        <v>1</v>
      </c>
      <c r="AF75" s="72">
        <v>1</v>
      </c>
      <c r="AG75" s="72"/>
      <c r="AH75" s="72"/>
      <c r="AI75" s="72"/>
      <c r="AJ75" s="249">
        <f t="shared" si="129"/>
        <v>45138.888888888891</v>
      </c>
      <c r="AK75" s="255">
        <f t="shared" si="130"/>
        <v>49652.777777777788</v>
      </c>
      <c r="AL75" s="255">
        <f t="shared" si="131"/>
        <v>0</v>
      </c>
      <c r="AM75" s="255">
        <f t="shared" si="132"/>
        <v>0</v>
      </c>
      <c r="AN75" s="256">
        <f t="shared" si="133"/>
        <v>0</v>
      </c>
      <c r="AO75" s="261">
        <f t="shared" si="120"/>
        <v>94791.666666666686</v>
      </c>
      <c r="AQ75" s="249">
        <f t="shared" si="134"/>
        <v>0</v>
      </c>
      <c r="AR75" s="151">
        <f t="shared" si="135"/>
        <v>45138.888888888891</v>
      </c>
      <c r="AS75" s="150">
        <f t="shared" si="136"/>
        <v>0</v>
      </c>
      <c r="AT75" s="151">
        <f t="shared" si="137"/>
        <v>49652.777777777788</v>
      </c>
      <c r="AU75" s="150">
        <f t="shared" si="138"/>
        <v>0</v>
      </c>
      <c r="AV75" s="151">
        <f t="shared" si="139"/>
        <v>0</v>
      </c>
      <c r="AW75" s="150">
        <f t="shared" si="140"/>
        <v>0</v>
      </c>
      <c r="AX75" s="151">
        <f t="shared" si="141"/>
        <v>0</v>
      </c>
      <c r="AY75" s="150">
        <f t="shared" si="142"/>
        <v>0</v>
      </c>
      <c r="AZ75" s="256">
        <f t="shared" si="143"/>
        <v>0</v>
      </c>
      <c r="BA75" s="249">
        <f t="shared" si="121"/>
        <v>0</v>
      </c>
      <c r="BB75" s="256">
        <f t="shared" si="122"/>
        <v>94791.666666666686</v>
      </c>
      <c r="BC75" s="35" t="s">
        <v>61</v>
      </c>
    </row>
    <row r="76" spans="2:55" s="35" customFormat="1" x14ac:dyDescent="0.25">
      <c r="B76" s="72" t="s">
        <v>22</v>
      </c>
      <c r="C76" s="72" t="s">
        <v>58</v>
      </c>
      <c r="D76" s="199">
        <v>3</v>
      </c>
      <c r="E76" s="199">
        <v>2</v>
      </c>
      <c r="F76" s="199" t="s">
        <v>270</v>
      </c>
      <c r="G76" s="199">
        <v>6</v>
      </c>
      <c r="H76" s="199"/>
      <c r="I76" s="72" t="str">
        <f t="shared" si="144"/>
        <v>3.2.a.6</v>
      </c>
      <c r="J76" s="72"/>
      <c r="K76" s="35" t="s">
        <v>63</v>
      </c>
      <c r="L76" s="73">
        <f t="shared" si="119"/>
        <v>45454.545454545456</v>
      </c>
      <c r="M76" s="308">
        <f t="shared" si="126"/>
        <v>0</v>
      </c>
      <c r="N76" s="309">
        <f t="shared" si="127"/>
        <v>45454.545454545456</v>
      </c>
      <c r="O76" s="306">
        <v>0</v>
      </c>
      <c r="P76" s="307">
        <f t="shared" si="128"/>
        <v>1</v>
      </c>
      <c r="Q76" s="248"/>
      <c r="R76" s="39">
        <v>300000</v>
      </c>
      <c r="S76" s="39">
        <f>R76</f>
        <v>300000</v>
      </c>
      <c r="T76" s="39">
        <f>S76</f>
        <v>300000</v>
      </c>
      <c r="U76" s="39">
        <v>300000</v>
      </c>
      <c r="V76" s="245">
        <v>300000</v>
      </c>
      <c r="W76" s="231"/>
      <c r="X76" s="401" t="s">
        <v>219</v>
      </c>
      <c r="Y76" s="401" t="s">
        <v>297</v>
      </c>
      <c r="Z76" s="401" t="s">
        <v>64</v>
      </c>
      <c r="AA76" s="73"/>
      <c r="AE76" s="72">
        <v>1</v>
      </c>
      <c r="AF76" s="72">
        <v>1</v>
      </c>
      <c r="AG76" s="72">
        <v>1</v>
      </c>
      <c r="AH76" s="72">
        <v>1</v>
      </c>
      <c r="AI76" s="72">
        <v>1</v>
      </c>
      <c r="AJ76" s="249">
        <f t="shared" si="129"/>
        <v>9090.9090909090901</v>
      </c>
      <c r="AK76" s="255">
        <f t="shared" si="130"/>
        <v>9090.9090909090901</v>
      </c>
      <c r="AL76" s="255">
        <f t="shared" si="131"/>
        <v>9090.9090909090901</v>
      </c>
      <c r="AM76" s="255">
        <f t="shared" si="132"/>
        <v>9090.9090909090901</v>
      </c>
      <c r="AN76" s="256">
        <f t="shared" si="133"/>
        <v>9090.9090909090901</v>
      </c>
      <c r="AO76" s="261">
        <f t="shared" si="120"/>
        <v>45454.545454545449</v>
      </c>
      <c r="AQ76" s="249">
        <f t="shared" si="134"/>
        <v>0</v>
      </c>
      <c r="AR76" s="151">
        <f t="shared" si="135"/>
        <v>9090.9090909090901</v>
      </c>
      <c r="AS76" s="150">
        <f t="shared" si="136"/>
        <v>0</v>
      </c>
      <c r="AT76" s="151">
        <f t="shared" si="137"/>
        <v>9090.9090909090901</v>
      </c>
      <c r="AU76" s="150">
        <f t="shared" si="138"/>
        <v>0</v>
      </c>
      <c r="AV76" s="151">
        <f t="shared" si="139"/>
        <v>9090.9090909090901</v>
      </c>
      <c r="AW76" s="150">
        <f t="shared" si="140"/>
        <v>0</v>
      </c>
      <c r="AX76" s="151">
        <f t="shared" si="141"/>
        <v>9090.9090909090901</v>
      </c>
      <c r="AY76" s="150">
        <f t="shared" si="142"/>
        <v>0</v>
      </c>
      <c r="AZ76" s="256">
        <f t="shared" si="143"/>
        <v>9090.9090909090901</v>
      </c>
      <c r="BA76" s="249">
        <f t="shared" si="121"/>
        <v>0</v>
      </c>
      <c r="BB76" s="256">
        <f t="shared" si="122"/>
        <v>45454.545454545449</v>
      </c>
      <c r="BC76" s="35" t="s">
        <v>63</v>
      </c>
    </row>
    <row r="77" spans="2:55" s="35" customFormat="1" x14ac:dyDescent="0.25">
      <c r="B77" s="72" t="s">
        <v>22</v>
      </c>
      <c r="C77" s="72" t="s">
        <v>58</v>
      </c>
      <c r="D77" s="199">
        <v>3</v>
      </c>
      <c r="E77" s="199">
        <v>2</v>
      </c>
      <c r="F77" s="199" t="s">
        <v>270</v>
      </c>
      <c r="G77" s="199">
        <v>7</v>
      </c>
      <c r="H77" s="199"/>
      <c r="I77" s="72" t="str">
        <f t="shared" si="144"/>
        <v>3.2.a.7</v>
      </c>
      <c r="J77" s="72"/>
      <c r="K77" s="35" t="s">
        <v>65</v>
      </c>
      <c r="L77" s="73">
        <f t="shared" si="119"/>
        <v>30303.030303030304</v>
      </c>
      <c r="M77" s="308">
        <f t="shared" si="126"/>
        <v>0</v>
      </c>
      <c r="N77" s="309">
        <f t="shared" si="127"/>
        <v>30303.030303030304</v>
      </c>
      <c r="O77" s="306">
        <v>0</v>
      </c>
      <c r="P77" s="307">
        <f t="shared" si="128"/>
        <v>1</v>
      </c>
      <c r="Q77" s="248"/>
      <c r="R77" s="39">
        <v>500000</v>
      </c>
      <c r="S77" s="39">
        <f>R77</f>
        <v>500000</v>
      </c>
      <c r="T77" s="39">
        <v>0</v>
      </c>
      <c r="U77" s="39">
        <v>0</v>
      </c>
      <c r="V77" s="245">
        <v>0</v>
      </c>
      <c r="W77" s="231"/>
      <c r="X77" s="401" t="s">
        <v>218</v>
      </c>
      <c r="Y77" s="401" t="s">
        <v>298</v>
      </c>
      <c r="Z77" s="401" t="s">
        <v>64</v>
      </c>
      <c r="AA77" s="73"/>
      <c r="AE77" s="72">
        <v>1</v>
      </c>
      <c r="AF77" s="72">
        <v>1</v>
      </c>
      <c r="AG77" s="72"/>
      <c r="AH77" s="72"/>
      <c r="AI77" s="72"/>
      <c r="AJ77" s="249">
        <f t="shared" si="129"/>
        <v>15151.515151515152</v>
      </c>
      <c r="AK77" s="255">
        <f t="shared" si="130"/>
        <v>15151.515151515152</v>
      </c>
      <c r="AL77" s="255">
        <f t="shared" si="131"/>
        <v>0</v>
      </c>
      <c r="AM77" s="255">
        <f t="shared" si="132"/>
        <v>0</v>
      </c>
      <c r="AN77" s="256">
        <f t="shared" si="133"/>
        <v>0</v>
      </c>
      <c r="AO77" s="261">
        <f t="shared" si="120"/>
        <v>30303.030303030304</v>
      </c>
      <c r="AQ77" s="249">
        <f t="shared" si="134"/>
        <v>0</v>
      </c>
      <c r="AR77" s="151">
        <f t="shared" si="135"/>
        <v>15151.515151515152</v>
      </c>
      <c r="AS77" s="150">
        <f t="shared" si="136"/>
        <v>0</v>
      </c>
      <c r="AT77" s="151">
        <f t="shared" si="137"/>
        <v>15151.515151515152</v>
      </c>
      <c r="AU77" s="150">
        <f t="shared" si="138"/>
        <v>0</v>
      </c>
      <c r="AV77" s="151">
        <f t="shared" si="139"/>
        <v>0</v>
      </c>
      <c r="AW77" s="150">
        <f t="shared" si="140"/>
        <v>0</v>
      </c>
      <c r="AX77" s="151">
        <f t="shared" si="141"/>
        <v>0</v>
      </c>
      <c r="AY77" s="150">
        <f t="shared" si="142"/>
        <v>0</v>
      </c>
      <c r="AZ77" s="256">
        <f t="shared" si="143"/>
        <v>0</v>
      </c>
      <c r="BA77" s="249">
        <f t="shared" si="121"/>
        <v>0</v>
      </c>
      <c r="BB77" s="256">
        <f t="shared" si="122"/>
        <v>30303.030303030304</v>
      </c>
      <c r="BC77" s="35" t="s">
        <v>65</v>
      </c>
    </row>
    <row r="78" spans="2:55" s="35" customFormat="1" x14ac:dyDescent="0.25">
      <c r="B78" s="72" t="s">
        <v>22</v>
      </c>
      <c r="C78" s="72" t="s">
        <v>58</v>
      </c>
      <c r="D78" s="199">
        <v>3</v>
      </c>
      <c r="E78" s="199">
        <v>2</v>
      </c>
      <c r="F78" s="199" t="s">
        <v>270</v>
      </c>
      <c r="G78" s="199">
        <v>8</v>
      </c>
      <c r="H78" s="199"/>
      <c r="I78" s="72" t="str">
        <f t="shared" si="144"/>
        <v>3.2.a.8</v>
      </c>
      <c r="J78" s="72"/>
      <c r="K78" s="35" t="s">
        <v>66</v>
      </c>
      <c r="L78" s="73">
        <f t="shared" si="119"/>
        <v>99901.636363636382</v>
      </c>
      <c r="M78" s="308">
        <f t="shared" si="126"/>
        <v>81919.341818181827</v>
      </c>
      <c r="N78" s="309">
        <f t="shared" si="127"/>
        <v>17982.294545454555</v>
      </c>
      <c r="O78" s="306">
        <v>0.82</v>
      </c>
      <c r="P78" s="307">
        <f t="shared" si="128"/>
        <v>0.18000000000000005</v>
      </c>
      <c r="Q78" s="248"/>
      <c r="R78" s="39">
        <f>45000*12</f>
        <v>540000</v>
      </c>
      <c r="S78" s="39">
        <f>45000*12/coef17*coef18</f>
        <v>594000.00000000012</v>
      </c>
      <c r="T78" s="39">
        <f>45000*12/coef17*coef19</f>
        <v>653400.00000000012</v>
      </c>
      <c r="U78" s="39">
        <f>45000*12/coef17*coef20</f>
        <v>718740.00000000023</v>
      </c>
      <c r="V78" s="245">
        <f>45000*12/coef17*coef21</f>
        <v>790614.00000000035</v>
      </c>
      <c r="W78" s="231"/>
      <c r="X78" s="401" t="s">
        <v>220</v>
      </c>
      <c r="Y78" s="401"/>
      <c r="Z78" s="401" t="s">
        <v>67</v>
      </c>
      <c r="AA78" s="73"/>
      <c r="AE78" s="72">
        <v>1</v>
      </c>
      <c r="AF78" s="72">
        <v>1</v>
      </c>
      <c r="AG78" s="72">
        <v>1</v>
      </c>
      <c r="AH78" s="72">
        <v>1</v>
      </c>
      <c r="AI78" s="72">
        <v>1</v>
      </c>
      <c r="AJ78" s="249">
        <f t="shared" si="129"/>
        <v>16363.636363636364</v>
      </c>
      <c r="AK78" s="255">
        <f t="shared" si="130"/>
        <v>18000.000000000004</v>
      </c>
      <c r="AL78" s="255">
        <f t="shared" si="131"/>
        <v>19800.000000000004</v>
      </c>
      <c r="AM78" s="255">
        <f t="shared" si="132"/>
        <v>21780.000000000007</v>
      </c>
      <c r="AN78" s="256">
        <f t="shared" si="133"/>
        <v>23958.000000000011</v>
      </c>
      <c r="AO78" s="261">
        <f t="shared" si="120"/>
        <v>99901.636363636397</v>
      </c>
      <c r="AQ78" s="249">
        <f t="shared" si="134"/>
        <v>13418.181818181818</v>
      </c>
      <c r="AR78" s="151">
        <f t="shared" si="135"/>
        <v>2945.4545454545464</v>
      </c>
      <c r="AS78" s="150">
        <f t="shared" si="136"/>
        <v>14760.000000000002</v>
      </c>
      <c r="AT78" s="151">
        <f t="shared" si="137"/>
        <v>3240.0000000000014</v>
      </c>
      <c r="AU78" s="150">
        <f t="shared" si="138"/>
        <v>16236.000000000002</v>
      </c>
      <c r="AV78" s="151">
        <f t="shared" si="139"/>
        <v>3564.0000000000018</v>
      </c>
      <c r="AW78" s="150">
        <f t="shared" si="140"/>
        <v>17859.600000000006</v>
      </c>
      <c r="AX78" s="151">
        <f t="shared" si="141"/>
        <v>3920.4000000000024</v>
      </c>
      <c r="AY78" s="150">
        <f t="shared" si="142"/>
        <v>19645.560000000009</v>
      </c>
      <c r="AZ78" s="256">
        <f t="shared" si="143"/>
        <v>4312.4400000000032</v>
      </c>
      <c r="BA78" s="249">
        <f t="shared" si="121"/>
        <v>81919.341818181842</v>
      </c>
      <c r="BB78" s="256">
        <f t="shared" si="122"/>
        <v>17982.294545454555</v>
      </c>
      <c r="BC78" s="35" t="s">
        <v>66</v>
      </c>
    </row>
    <row r="79" spans="2:55" s="35" customFormat="1" x14ac:dyDescent="0.25">
      <c r="B79" s="72" t="s">
        <v>22</v>
      </c>
      <c r="C79" s="72" t="s">
        <v>58</v>
      </c>
      <c r="D79" s="199">
        <v>3</v>
      </c>
      <c r="E79" s="199">
        <v>2</v>
      </c>
      <c r="F79" s="199" t="s">
        <v>270</v>
      </c>
      <c r="G79" s="199">
        <v>9</v>
      </c>
      <c r="H79" s="199"/>
      <c r="I79" s="72" t="str">
        <f t="shared" si="144"/>
        <v>3.2.a.9</v>
      </c>
      <c r="J79" s="72"/>
      <c r="K79" s="35" t="s">
        <v>68</v>
      </c>
      <c r="L79" s="73">
        <f t="shared" si="119"/>
        <v>13875.227272727274</v>
      </c>
      <c r="M79" s="308">
        <f t="shared" si="126"/>
        <v>11377.686363636363</v>
      </c>
      <c r="N79" s="309">
        <f t="shared" si="127"/>
        <v>2497.5409090909102</v>
      </c>
      <c r="O79" s="306">
        <v>0.82</v>
      </c>
      <c r="P79" s="307">
        <f t="shared" si="128"/>
        <v>0.18000000000000005</v>
      </c>
      <c r="Q79" s="248"/>
      <c r="R79" s="39">
        <v>75000</v>
      </c>
      <c r="S79" s="39">
        <f>75000/coef17*coef18</f>
        <v>82500</v>
      </c>
      <c r="T79" s="39">
        <f>75000/coef17*coef19</f>
        <v>90750.000000000015</v>
      </c>
      <c r="U79" s="39">
        <f>75000/coef17*coef20</f>
        <v>99825.000000000029</v>
      </c>
      <c r="V79" s="245">
        <f>75000/coef17*coef21</f>
        <v>109807.50000000004</v>
      </c>
      <c r="W79" s="231"/>
      <c r="X79" s="401" t="s">
        <v>221</v>
      </c>
      <c r="Y79" s="401"/>
      <c r="Z79" s="401"/>
      <c r="AA79" s="73"/>
      <c r="AE79" s="72">
        <v>1</v>
      </c>
      <c r="AF79" s="72">
        <v>1</v>
      </c>
      <c r="AG79" s="72">
        <v>1</v>
      </c>
      <c r="AH79" s="72">
        <v>1</v>
      </c>
      <c r="AI79" s="72">
        <v>1</v>
      </c>
      <c r="AJ79" s="249">
        <f t="shared" si="129"/>
        <v>2272.7272727272725</v>
      </c>
      <c r="AK79" s="255">
        <f t="shared" si="130"/>
        <v>2500</v>
      </c>
      <c r="AL79" s="255">
        <f t="shared" si="131"/>
        <v>2750.0000000000005</v>
      </c>
      <c r="AM79" s="255">
        <f t="shared" si="132"/>
        <v>3025.0000000000009</v>
      </c>
      <c r="AN79" s="256">
        <f t="shared" si="133"/>
        <v>3327.5000000000014</v>
      </c>
      <c r="AO79" s="261">
        <f t="shared" si="120"/>
        <v>13875.227272727274</v>
      </c>
      <c r="AQ79" s="249">
        <f t="shared" si="134"/>
        <v>1863.6363636363633</v>
      </c>
      <c r="AR79" s="151">
        <f t="shared" si="135"/>
        <v>409.09090909090918</v>
      </c>
      <c r="AS79" s="150">
        <f t="shared" si="136"/>
        <v>2050</v>
      </c>
      <c r="AT79" s="151">
        <f t="shared" si="137"/>
        <v>450.00000000000011</v>
      </c>
      <c r="AU79" s="150">
        <f t="shared" si="138"/>
        <v>2255.0000000000005</v>
      </c>
      <c r="AV79" s="151">
        <f t="shared" si="139"/>
        <v>495.00000000000023</v>
      </c>
      <c r="AW79" s="150">
        <f t="shared" si="140"/>
        <v>2480.5000000000005</v>
      </c>
      <c r="AX79" s="151">
        <f t="shared" si="141"/>
        <v>544.50000000000034</v>
      </c>
      <c r="AY79" s="150">
        <f t="shared" si="142"/>
        <v>2728.5500000000011</v>
      </c>
      <c r="AZ79" s="256">
        <f t="shared" si="143"/>
        <v>598.95000000000039</v>
      </c>
      <c r="BA79" s="249">
        <f t="shared" si="121"/>
        <v>11377.686363636365</v>
      </c>
      <c r="BB79" s="256">
        <f t="shared" si="122"/>
        <v>2497.5409090909102</v>
      </c>
      <c r="BC79" s="35" t="s">
        <v>68</v>
      </c>
    </row>
    <row r="80" spans="2:55" s="35" customFormat="1" x14ac:dyDescent="0.25">
      <c r="C80" s="72" t="s">
        <v>58</v>
      </c>
      <c r="D80" s="199">
        <v>3</v>
      </c>
      <c r="E80" s="199">
        <v>2</v>
      </c>
      <c r="F80" s="199" t="s">
        <v>270</v>
      </c>
      <c r="G80" s="199">
        <v>10</v>
      </c>
      <c r="H80" s="199"/>
      <c r="I80" s="72" t="str">
        <f t="shared" si="144"/>
        <v>3.2.a.10</v>
      </c>
      <c r="J80" s="72"/>
      <c r="K80" s="35" t="s">
        <v>79</v>
      </c>
      <c r="L80" s="73">
        <f t="shared" si="119"/>
        <v>142452.3333333334</v>
      </c>
      <c r="M80" s="308">
        <f t="shared" si="126"/>
        <v>116810.91333333339</v>
      </c>
      <c r="N80" s="309">
        <f t="shared" si="127"/>
        <v>25641.42000000002</v>
      </c>
      <c r="O80" s="306">
        <v>0.82</v>
      </c>
      <c r="P80" s="307">
        <f t="shared" si="128"/>
        <v>0.18000000000000005</v>
      </c>
      <c r="Q80" s="248"/>
      <c r="R80" s="39">
        <f>700000*coef17</f>
        <v>770000.00000000012</v>
      </c>
      <c r="S80" s="39">
        <f>700000*coef18</f>
        <v>847000.00000000012</v>
      </c>
      <c r="T80" s="39">
        <f>700000*coef19</f>
        <v>931700.00000000023</v>
      </c>
      <c r="U80" s="39">
        <f>700000*coef20</f>
        <v>1024870.0000000005</v>
      </c>
      <c r="V80" s="245">
        <f>700000*coef21</f>
        <v>1127357.0000000005</v>
      </c>
      <c r="W80" s="231"/>
      <c r="X80" s="401" t="s">
        <v>225</v>
      </c>
      <c r="Y80" s="401" t="s">
        <v>299</v>
      </c>
      <c r="Z80" s="401"/>
      <c r="AA80" s="73"/>
      <c r="AE80" s="72">
        <v>1</v>
      </c>
      <c r="AF80" s="72">
        <v>1</v>
      </c>
      <c r="AG80" s="72">
        <v>1</v>
      </c>
      <c r="AH80" s="72">
        <v>1</v>
      </c>
      <c r="AI80" s="72">
        <v>1</v>
      </c>
      <c r="AJ80" s="249">
        <f t="shared" si="129"/>
        <v>23333.333333333336</v>
      </c>
      <c r="AK80" s="255">
        <f t="shared" si="130"/>
        <v>25666.666666666672</v>
      </c>
      <c r="AL80" s="255">
        <f t="shared" si="131"/>
        <v>28233.333333333339</v>
      </c>
      <c r="AM80" s="255">
        <f t="shared" si="132"/>
        <v>31056.666666666682</v>
      </c>
      <c r="AN80" s="256">
        <f t="shared" si="133"/>
        <v>34162.33333333335</v>
      </c>
      <c r="AO80" s="261">
        <f t="shared" si="120"/>
        <v>142452.33333333337</v>
      </c>
      <c r="AQ80" s="249">
        <f t="shared" si="134"/>
        <v>19133.333333333336</v>
      </c>
      <c r="AR80" s="151">
        <f t="shared" si="135"/>
        <v>4200.0000000000018</v>
      </c>
      <c r="AS80" s="150">
        <f t="shared" si="136"/>
        <v>21046.666666666668</v>
      </c>
      <c r="AT80" s="151">
        <f t="shared" si="137"/>
        <v>4620.0000000000018</v>
      </c>
      <c r="AU80" s="150">
        <f t="shared" si="138"/>
        <v>23151.333333333336</v>
      </c>
      <c r="AV80" s="151">
        <f t="shared" si="139"/>
        <v>5082.0000000000027</v>
      </c>
      <c r="AW80" s="150">
        <f t="shared" si="140"/>
        <v>25466.466666666678</v>
      </c>
      <c r="AX80" s="151">
        <f t="shared" si="141"/>
        <v>5590.2000000000044</v>
      </c>
      <c r="AY80" s="150">
        <f t="shared" si="142"/>
        <v>28013.113333333346</v>
      </c>
      <c r="AZ80" s="256">
        <f t="shared" si="143"/>
        <v>6149.2200000000048</v>
      </c>
      <c r="BA80" s="249">
        <f t="shared" si="121"/>
        <v>116810.91333333336</v>
      </c>
      <c r="BB80" s="256">
        <f t="shared" si="122"/>
        <v>25641.420000000016</v>
      </c>
      <c r="BC80" s="35" t="s">
        <v>79</v>
      </c>
    </row>
    <row r="81" spans="2:55" s="46" customFormat="1" x14ac:dyDescent="0.25">
      <c r="B81" s="33"/>
      <c r="C81" s="33"/>
      <c r="D81" s="220">
        <v>3</v>
      </c>
      <c r="E81" s="220">
        <v>3</v>
      </c>
      <c r="F81" s="220">
        <v>0</v>
      </c>
      <c r="G81" s="220">
        <v>0</v>
      </c>
      <c r="H81" s="220">
        <v>0</v>
      </c>
      <c r="I81" s="33" t="str">
        <f t="shared" ref="I81:I121" si="145">CONCATENATE(D81,".",E81,".",F81,".",G81)</f>
        <v>3.3.0.0</v>
      </c>
      <c r="J81" s="33">
        <v>3.3</v>
      </c>
      <c r="K81" s="46" t="s">
        <v>440</v>
      </c>
      <c r="L81" s="47">
        <f t="shared" si="119"/>
        <v>5506921.5852119271</v>
      </c>
      <c r="M81" s="79">
        <f t="shared" ref="M81:Q81" si="146">+M82+M85+M101+M110+M114</f>
        <v>2830835.2072476707</v>
      </c>
      <c r="N81" s="236">
        <f t="shared" si="146"/>
        <v>2676086.3779642559</v>
      </c>
      <c r="O81" s="84"/>
      <c r="P81" s="85"/>
      <c r="Q81" s="79">
        <f t="shared" si="146"/>
        <v>0</v>
      </c>
      <c r="R81" s="236">
        <f>+R82+R85+R101+R110+R114</f>
        <v>36070434.201248519</v>
      </c>
      <c r="S81" s="236">
        <f t="shared" ref="S81:V81" si="147">+S82+S85+S101+S110+S114</f>
        <v>47934720.288040034</v>
      </c>
      <c r="T81" s="236">
        <f t="shared" si="147"/>
        <v>35551077.892055899</v>
      </c>
      <c r="U81" s="236">
        <f t="shared" si="147"/>
        <v>30591085.681261495</v>
      </c>
      <c r="V81" s="67">
        <f t="shared" si="147"/>
        <v>31581094.249387644</v>
      </c>
      <c r="W81" s="49"/>
      <c r="X81" s="402"/>
      <c r="Y81" s="402"/>
      <c r="Z81" s="402"/>
      <c r="AA81" s="47"/>
      <c r="AJ81" s="79">
        <f t="shared" ref="AJ81:AN81" si="148">+AJ82+AJ85+AJ101+AJ110+AJ114</f>
        <v>1093043.4606438943</v>
      </c>
      <c r="AK81" s="236">
        <f t="shared" si="148"/>
        <v>1452567.2814557587</v>
      </c>
      <c r="AL81" s="236">
        <f t="shared" si="148"/>
        <v>1077305.3906683607</v>
      </c>
      <c r="AM81" s="236">
        <f t="shared" si="148"/>
        <v>927002.5964018635</v>
      </c>
      <c r="AN81" s="67">
        <f t="shared" si="148"/>
        <v>957002.85604204983</v>
      </c>
      <c r="AO81" s="258">
        <f t="shared" si="120"/>
        <v>5506921.5852119271</v>
      </c>
      <c r="AP81" s="139"/>
      <c r="AQ81" s="262">
        <f t="shared" ref="AQ81:AZ81" si="149">+AQ82+AQ85+AQ101+AQ110+AQ114</f>
        <v>562556.49425767292</v>
      </c>
      <c r="AR81" s="133">
        <f t="shared" si="149"/>
        <v>530486.96638622147</v>
      </c>
      <c r="AS81" s="132">
        <f t="shared" si="149"/>
        <v>823992.11297636956</v>
      </c>
      <c r="AT81" s="133">
        <f t="shared" si="149"/>
        <v>628575.16847938905</v>
      </c>
      <c r="AU81" s="132">
        <f t="shared" si="149"/>
        <v>586112.99094067328</v>
      </c>
      <c r="AV81" s="133">
        <f t="shared" si="149"/>
        <v>491192.39972768741</v>
      </c>
      <c r="AW81" s="132">
        <f t="shared" si="149"/>
        <v>433136.95670140727</v>
      </c>
      <c r="AX81" s="133">
        <f t="shared" si="149"/>
        <v>493865.63970045617</v>
      </c>
      <c r="AY81" s="132">
        <f t="shared" si="149"/>
        <v>425036.652371548</v>
      </c>
      <c r="AZ81" s="263">
        <f t="shared" si="149"/>
        <v>531966.20367050183</v>
      </c>
      <c r="BA81" s="262">
        <f t="shared" si="121"/>
        <v>2830835.2072476712</v>
      </c>
      <c r="BB81" s="263">
        <f t="shared" si="122"/>
        <v>2676086.3779642559</v>
      </c>
    </row>
    <row r="82" spans="2:55" s="51" customFormat="1" x14ac:dyDescent="0.25">
      <c r="B82" s="34"/>
      <c r="C82" s="34"/>
      <c r="D82" s="221">
        <v>3</v>
      </c>
      <c r="E82" s="221">
        <v>3</v>
      </c>
      <c r="F82" s="221" t="s">
        <v>270</v>
      </c>
      <c r="G82" s="221">
        <v>0</v>
      </c>
      <c r="H82" s="221">
        <v>0</v>
      </c>
      <c r="I82" s="34" t="str">
        <f t="shared" si="145"/>
        <v>3.3.a.0</v>
      </c>
      <c r="J82" s="34"/>
      <c r="K82" s="51" t="s">
        <v>370</v>
      </c>
      <c r="L82" s="45">
        <f t="shared" si="119"/>
        <v>3348413.8627295387</v>
      </c>
      <c r="M82" s="80">
        <f t="shared" ref="M82:Q82" si="150">SUM(M83:M84)</f>
        <v>1245775.0415911053</v>
      </c>
      <c r="N82" s="237">
        <f t="shared" si="150"/>
        <v>2102638.8211384336</v>
      </c>
      <c r="O82" s="86"/>
      <c r="P82" s="87"/>
      <c r="Q82" s="80">
        <f t="shared" si="150"/>
        <v>0</v>
      </c>
      <c r="R82" s="237">
        <f>SUM(R83:R84)</f>
        <v>18099237.927318923</v>
      </c>
      <c r="S82" s="237">
        <f t="shared" ref="S82:V82" si="151">SUM(S83:S84)</f>
        <v>19909161.720050815</v>
      </c>
      <c r="T82" s="237">
        <f t="shared" si="151"/>
        <v>21900077.892055899</v>
      </c>
      <c r="U82" s="237">
        <f t="shared" si="151"/>
        <v>24090085.681261495</v>
      </c>
      <c r="V82" s="75">
        <f t="shared" si="151"/>
        <v>26499094.249387644</v>
      </c>
      <c r="W82" s="53"/>
      <c r="X82" s="400"/>
      <c r="Y82" s="400"/>
      <c r="Z82" s="400"/>
      <c r="AA82" s="45"/>
      <c r="AJ82" s="80">
        <f t="shared" ref="AJ82:AN82" si="152">SUM(AJ83:AJ84)</f>
        <v>548461.75537330064</v>
      </c>
      <c r="AK82" s="237">
        <f t="shared" si="152"/>
        <v>603307.93091063085</v>
      </c>
      <c r="AL82" s="237">
        <f t="shared" si="152"/>
        <v>663638.724001694</v>
      </c>
      <c r="AM82" s="237">
        <f t="shared" si="152"/>
        <v>730002.5964018635</v>
      </c>
      <c r="AN82" s="75">
        <f t="shared" si="152"/>
        <v>803002.85604204983</v>
      </c>
      <c r="AO82" s="259">
        <f t="shared" si="120"/>
        <v>3348413.8627295392</v>
      </c>
      <c r="AP82" s="139"/>
      <c r="AQ82" s="264">
        <f t="shared" ref="AQ82:AZ82" si="153">SUM(AQ83:AQ84)</f>
        <v>204054.81344959215</v>
      </c>
      <c r="AR82" s="135">
        <f t="shared" si="153"/>
        <v>344406.94192370854</v>
      </c>
      <c r="AS82" s="134">
        <f t="shared" si="153"/>
        <v>224460.29479455139</v>
      </c>
      <c r="AT82" s="135">
        <f t="shared" si="153"/>
        <v>378847.6361160794</v>
      </c>
      <c r="AU82" s="134">
        <f t="shared" si="153"/>
        <v>246906.32427400656</v>
      </c>
      <c r="AV82" s="135">
        <f t="shared" si="153"/>
        <v>416732.39972768741</v>
      </c>
      <c r="AW82" s="134">
        <f t="shared" si="153"/>
        <v>271596.95670140727</v>
      </c>
      <c r="AX82" s="135">
        <f t="shared" si="153"/>
        <v>458405.63970045617</v>
      </c>
      <c r="AY82" s="134">
        <f t="shared" si="153"/>
        <v>298756.652371548</v>
      </c>
      <c r="AZ82" s="265">
        <f t="shared" si="153"/>
        <v>504246.20367050183</v>
      </c>
      <c r="BA82" s="264">
        <f t="shared" si="121"/>
        <v>1245775.0415911055</v>
      </c>
      <c r="BB82" s="265">
        <f t="shared" si="122"/>
        <v>2102638.8211384332</v>
      </c>
    </row>
    <row r="83" spans="2:55" s="35" customFormat="1" x14ac:dyDescent="0.25">
      <c r="B83" s="72"/>
      <c r="C83" s="72" t="s">
        <v>85</v>
      </c>
      <c r="D83" s="199">
        <v>3</v>
      </c>
      <c r="E83" s="199">
        <v>3</v>
      </c>
      <c r="F83" s="199" t="s">
        <v>270</v>
      </c>
      <c r="G83" s="199">
        <v>1</v>
      </c>
      <c r="H83" s="199"/>
      <c r="I83" s="72" t="str">
        <f t="shared" si="145"/>
        <v>3.3.a.1</v>
      </c>
      <c r="J83" s="72"/>
      <c r="K83" s="35" t="s">
        <v>86</v>
      </c>
      <c r="L83" s="73">
        <f t="shared" si="119"/>
        <v>2586076.4238743386</v>
      </c>
      <c r="M83" s="308">
        <f>+O83*$L83</f>
        <v>620658.3417298412</v>
      </c>
      <c r="N83" s="309">
        <f>+P83*$L83</f>
        <v>1965418.0821444974</v>
      </c>
      <c r="O83" s="306">
        <v>0.24</v>
      </c>
      <c r="P83" s="307">
        <f t="shared" ref="P83:P84" si="154">1-O83</f>
        <v>0.76</v>
      </c>
      <c r="Q83" s="248"/>
      <c r="R83" s="39">
        <f>10662316.6264547*coef17+1133225.57703168*coef17+912241.89771264*coef17</f>
        <v>13978562.511318922</v>
      </c>
      <c r="S83" s="39">
        <f>10662316.6264547*coef18+1133225.57703168*coef18+912241.89771264*coef18</f>
        <v>15376418.762450816</v>
      </c>
      <c r="T83" s="39">
        <f>10662316.6264547*coef19+1133225.57703168*coef19+912241.89771264*coef19</f>
        <v>16914060.638695899</v>
      </c>
      <c r="U83" s="39">
        <f>10662316.6264547*coef20+1133225.57703168*coef20+912241.89771264*coef20</f>
        <v>18605466.702565491</v>
      </c>
      <c r="V83" s="245">
        <f>10662316.6264547*coef21+1133225.57703168*coef21+912241.89771264*coef21</f>
        <v>20466013.372822043</v>
      </c>
      <c r="W83" s="231"/>
      <c r="X83" s="401" t="s">
        <v>232</v>
      </c>
      <c r="Y83" s="401" t="s">
        <v>230</v>
      </c>
      <c r="Z83" s="401"/>
      <c r="AA83" s="73"/>
      <c r="AE83" s="72">
        <v>1</v>
      </c>
      <c r="AF83" s="72">
        <v>1</v>
      </c>
      <c r="AG83" s="72">
        <v>1</v>
      </c>
      <c r="AH83" s="72">
        <v>1</v>
      </c>
      <c r="AI83" s="72">
        <v>1</v>
      </c>
      <c r="AJ83" s="249">
        <f>+(R83+Q83)/$AJ$1</f>
        <v>423592.80337330065</v>
      </c>
      <c r="AK83" s="255">
        <f>+S83/$AK$1</f>
        <v>465952.08371063077</v>
      </c>
      <c r="AL83" s="255">
        <f>+T83/$AL$1</f>
        <v>512547.29208169394</v>
      </c>
      <c r="AM83" s="255">
        <f>+U83/$AM$1</f>
        <v>563802.02128986339</v>
      </c>
      <c r="AN83" s="256">
        <f>+V83/$AN$1</f>
        <v>620182.22341884975</v>
      </c>
      <c r="AO83" s="261">
        <f t="shared" si="120"/>
        <v>2586076.4238743382</v>
      </c>
      <c r="AQ83" s="249">
        <f>+AJ83*$O83</f>
        <v>101662.27280959215</v>
      </c>
      <c r="AR83" s="151">
        <f>+AJ83*$P83</f>
        <v>321930.53056370851</v>
      </c>
      <c r="AS83" s="150">
        <f>+AK83*$O83</f>
        <v>111828.50009055139</v>
      </c>
      <c r="AT83" s="151">
        <f>+AK83*$P83</f>
        <v>354123.58362007939</v>
      </c>
      <c r="AU83" s="150">
        <f>+AL83*$O83</f>
        <v>123011.35009960654</v>
      </c>
      <c r="AV83" s="151">
        <f>+AL83*$P83</f>
        <v>389535.94198208739</v>
      </c>
      <c r="AW83" s="150">
        <f>+AM83*$O83</f>
        <v>135312.48510956721</v>
      </c>
      <c r="AX83" s="151">
        <f>+AM83*$P83</f>
        <v>428489.53618029616</v>
      </c>
      <c r="AY83" s="150">
        <f>+AN83*$O83</f>
        <v>148843.73362052394</v>
      </c>
      <c r="AZ83" s="256">
        <f>+AN83*$P83</f>
        <v>471338.48979832581</v>
      </c>
      <c r="BA83" s="249">
        <f t="shared" si="121"/>
        <v>620658.3417298412</v>
      </c>
      <c r="BB83" s="256">
        <f t="shared" si="122"/>
        <v>1965418.0821444974</v>
      </c>
      <c r="BC83" s="35" t="s">
        <v>86</v>
      </c>
    </row>
    <row r="84" spans="2:55" s="35" customFormat="1" x14ac:dyDescent="0.25">
      <c r="B84" s="72"/>
      <c r="C84" s="72" t="s">
        <v>85</v>
      </c>
      <c r="D84" s="199">
        <v>3</v>
      </c>
      <c r="E84" s="199">
        <v>3</v>
      </c>
      <c r="F84" s="199" t="s">
        <v>270</v>
      </c>
      <c r="G84" s="199">
        <v>2</v>
      </c>
      <c r="H84" s="199"/>
      <c r="I84" s="72" t="str">
        <f t="shared" si="145"/>
        <v>3.3.a.2</v>
      </c>
      <c r="J84" s="72"/>
      <c r="K84" s="35" t="s">
        <v>87</v>
      </c>
      <c r="L84" s="73">
        <f t="shared" si="119"/>
        <v>762337.43885520019</v>
      </c>
      <c r="M84" s="308">
        <f>+O84*$L84</f>
        <v>625116.69986126409</v>
      </c>
      <c r="N84" s="309">
        <f>+P84*$L84</f>
        <v>137220.73899393607</v>
      </c>
      <c r="O84" s="306">
        <v>0.82</v>
      </c>
      <c r="P84" s="307">
        <f t="shared" si="154"/>
        <v>0.18000000000000005</v>
      </c>
      <c r="Q84" s="248"/>
      <c r="R84" s="39">
        <f>(52558*2+32735*3+52558)*1.22*12*coef17</f>
        <v>4120675.4160000002</v>
      </c>
      <c r="S84" s="39">
        <f>(52558*2+32735*3+52558)*1.22*12*coef18</f>
        <v>4532742.9576000003</v>
      </c>
      <c r="T84" s="39">
        <f>(52558*2+32735*3+52558)*1.22*12*coef19</f>
        <v>4986017.2533600014</v>
      </c>
      <c r="U84" s="39">
        <f>(52558*2+32735*3+52558)*1.22*12*coef20</f>
        <v>5484618.9786960026</v>
      </c>
      <c r="V84" s="245">
        <f>(52558*2+32735*3+52558)*1.22*12*coef21</f>
        <v>6033080.8765656026</v>
      </c>
      <c r="W84" s="231"/>
      <c r="X84" s="401" t="s">
        <v>227</v>
      </c>
      <c r="Y84" s="401"/>
      <c r="Z84" s="401"/>
      <c r="AA84" s="73"/>
      <c r="AE84" s="72">
        <v>1</v>
      </c>
      <c r="AF84" s="72">
        <v>1</v>
      </c>
      <c r="AG84" s="72">
        <v>1</v>
      </c>
      <c r="AH84" s="72">
        <v>1</v>
      </c>
      <c r="AI84" s="72">
        <v>1</v>
      </c>
      <c r="AJ84" s="249">
        <f>+(R84+Q84)/$AJ$1</f>
        <v>124868.952</v>
      </c>
      <c r="AK84" s="255">
        <f>+S84/$AK$1</f>
        <v>137355.84720000002</v>
      </c>
      <c r="AL84" s="255">
        <f>+T84/$AL$1</f>
        <v>151091.43192000003</v>
      </c>
      <c r="AM84" s="255">
        <f>+U84/$AM$1</f>
        <v>166200.57511200008</v>
      </c>
      <c r="AN84" s="256">
        <f>+V84/$AN$1</f>
        <v>182820.63262320007</v>
      </c>
      <c r="AO84" s="261">
        <f t="shared" si="120"/>
        <v>762337.43885520019</v>
      </c>
      <c r="AQ84" s="249">
        <f>+AJ84*$O84</f>
        <v>102392.54063999999</v>
      </c>
      <c r="AR84" s="151">
        <f>+AJ84*$P84</f>
        <v>22476.411360000006</v>
      </c>
      <c r="AS84" s="150">
        <f>+AK84*$O84</f>
        <v>112631.79470400001</v>
      </c>
      <c r="AT84" s="151">
        <f>+AK84*$P84</f>
        <v>24724.052496000011</v>
      </c>
      <c r="AU84" s="150">
        <f>+AL84*$O84</f>
        <v>123894.97417440002</v>
      </c>
      <c r="AV84" s="151">
        <f>+AL84*$P84</f>
        <v>27196.457745600012</v>
      </c>
      <c r="AW84" s="150">
        <f>+AM84*$O84</f>
        <v>136284.47159184006</v>
      </c>
      <c r="AX84" s="151">
        <f>+AM84*$P84</f>
        <v>29916.103520160021</v>
      </c>
      <c r="AY84" s="150">
        <f>+AN84*$O84</f>
        <v>149912.91875102406</v>
      </c>
      <c r="AZ84" s="256">
        <f>+AN84*$P84</f>
        <v>32907.71387217602</v>
      </c>
      <c r="BA84" s="249">
        <f t="shared" si="121"/>
        <v>625116.69986126421</v>
      </c>
      <c r="BB84" s="256">
        <f t="shared" si="122"/>
        <v>137220.73899393607</v>
      </c>
      <c r="BC84" s="35" t="s">
        <v>87</v>
      </c>
    </row>
    <row r="85" spans="2:55" s="51" customFormat="1" x14ac:dyDescent="0.25">
      <c r="B85" s="34" t="s">
        <v>19</v>
      </c>
      <c r="C85" s="34"/>
      <c r="D85" s="221">
        <v>3</v>
      </c>
      <c r="E85" s="221">
        <v>3</v>
      </c>
      <c r="F85" s="221" t="s">
        <v>280</v>
      </c>
      <c r="G85" s="221">
        <v>0</v>
      </c>
      <c r="H85" s="221">
        <v>0</v>
      </c>
      <c r="I85" s="34" t="str">
        <f t="shared" si="145"/>
        <v>3.3.b.0</v>
      </c>
      <c r="J85" s="34"/>
      <c r="K85" s="51" t="s">
        <v>371</v>
      </c>
      <c r="L85" s="45">
        <f t="shared" si="119"/>
        <v>891894.1414141414</v>
      </c>
      <c r="M85" s="80">
        <f t="shared" ref="M85:Q85" si="155">SUM(M86:M100)</f>
        <v>731353.19595959596</v>
      </c>
      <c r="N85" s="237">
        <f t="shared" si="155"/>
        <v>160540.94545454546</v>
      </c>
      <c r="O85" s="86"/>
      <c r="P85" s="87"/>
      <c r="Q85" s="80">
        <f t="shared" si="155"/>
        <v>0</v>
      </c>
      <c r="R85" s="237">
        <f>SUM(R86:R100)</f>
        <v>7735006.666666667</v>
      </c>
      <c r="S85" s="237">
        <f t="shared" ref="S85:V85" si="156">SUM(S86:S100)</f>
        <v>12815000</v>
      </c>
      <c r="T85" s="237">
        <f t="shared" si="156"/>
        <v>6341500</v>
      </c>
      <c r="U85" s="237">
        <f t="shared" si="156"/>
        <v>1270500</v>
      </c>
      <c r="V85" s="75">
        <f t="shared" si="156"/>
        <v>1270500</v>
      </c>
      <c r="W85" s="53"/>
      <c r="X85" s="400"/>
      <c r="Y85" s="400"/>
      <c r="Z85" s="400"/>
      <c r="AA85" s="45"/>
      <c r="AJ85" s="80">
        <f t="shared" ref="AJ85:AZ85" si="157">SUM(AJ86:AJ100)</f>
        <v>234394.14141414143</v>
      </c>
      <c r="AK85" s="237">
        <f t="shared" si="157"/>
        <v>388333.33333333337</v>
      </c>
      <c r="AL85" s="237">
        <f t="shared" si="157"/>
        <v>192166.66666666669</v>
      </c>
      <c r="AM85" s="237">
        <f t="shared" si="157"/>
        <v>38500</v>
      </c>
      <c r="AN85" s="75">
        <f t="shared" si="157"/>
        <v>38500</v>
      </c>
      <c r="AO85" s="259">
        <f t="shared" si="120"/>
        <v>891894.14141414152</v>
      </c>
      <c r="AP85" s="139"/>
      <c r="AQ85" s="264">
        <f t="shared" si="157"/>
        <v>192203.19595959596</v>
      </c>
      <c r="AR85" s="135">
        <f t="shared" si="157"/>
        <v>42190.945454545465</v>
      </c>
      <c r="AS85" s="134">
        <f t="shared" si="157"/>
        <v>318433.33333333331</v>
      </c>
      <c r="AT85" s="135">
        <f t="shared" si="157"/>
        <v>69900.000000000015</v>
      </c>
      <c r="AU85" s="134">
        <f t="shared" si="157"/>
        <v>157576.66666666666</v>
      </c>
      <c r="AV85" s="135">
        <f t="shared" si="157"/>
        <v>34590.000000000007</v>
      </c>
      <c r="AW85" s="134">
        <f t="shared" si="157"/>
        <v>31570</v>
      </c>
      <c r="AX85" s="135">
        <f t="shared" si="157"/>
        <v>6930.0000000000018</v>
      </c>
      <c r="AY85" s="134">
        <f t="shared" si="157"/>
        <v>31570</v>
      </c>
      <c r="AZ85" s="265">
        <f t="shared" si="157"/>
        <v>6930.0000000000018</v>
      </c>
      <c r="BA85" s="264">
        <f t="shared" si="121"/>
        <v>731353.19595959596</v>
      </c>
      <c r="BB85" s="265">
        <f t="shared" si="122"/>
        <v>160540.94545454549</v>
      </c>
    </row>
    <row r="86" spans="2:55" s="35" customFormat="1" x14ac:dyDescent="0.25">
      <c r="B86" s="72" t="s">
        <v>19</v>
      </c>
      <c r="C86" s="72" t="s">
        <v>85</v>
      </c>
      <c r="D86" s="199">
        <v>3</v>
      </c>
      <c r="E86" s="199">
        <v>3</v>
      </c>
      <c r="F86" s="199" t="s">
        <v>280</v>
      </c>
      <c r="G86" s="199">
        <v>1</v>
      </c>
      <c r="H86" s="199"/>
      <c r="I86" s="72" t="str">
        <f t="shared" si="145"/>
        <v>3.3.b.1</v>
      </c>
      <c r="J86" s="72"/>
      <c r="K86" s="35" t="s">
        <v>91</v>
      </c>
      <c r="L86" s="73">
        <f t="shared" si="119"/>
        <v>21000</v>
      </c>
      <c r="M86" s="308">
        <f t="shared" ref="M86:M100" si="158">+O86*$L86</f>
        <v>17220</v>
      </c>
      <c r="N86" s="309">
        <f t="shared" ref="N86:N100" si="159">+P86*$L86</f>
        <v>3780.0000000000009</v>
      </c>
      <c r="O86" s="306">
        <v>0.82</v>
      </c>
      <c r="P86" s="307">
        <f t="shared" ref="P86:P100" si="160">1-O86</f>
        <v>0.18000000000000005</v>
      </c>
      <c r="Q86" s="248"/>
      <c r="R86" s="39">
        <v>693000</v>
      </c>
      <c r="S86" s="39"/>
      <c r="T86" s="39"/>
      <c r="U86" s="39"/>
      <c r="V86" s="245"/>
      <c r="W86" s="231"/>
      <c r="X86" s="401"/>
      <c r="Y86" s="401"/>
      <c r="Z86" s="401"/>
      <c r="AA86" s="73"/>
      <c r="AE86" s="72">
        <v>1</v>
      </c>
      <c r="AF86" s="72"/>
      <c r="AG86" s="72"/>
      <c r="AH86" s="72"/>
      <c r="AI86" s="72"/>
      <c r="AJ86" s="249">
        <f t="shared" ref="AJ86:AJ100" si="161">+(R86+Q86)/$AJ$1</f>
        <v>21000</v>
      </c>
      <c r="AK86" s="255">
        <f t="shared" ref="AK86:AK100" si="162">+S86/$AK$1</f>
        <v>0</v>
      </c>
      <c r="AL86" s="255">
        <f t="shared" ref="AL86:AL100" si="163">+T86/$AL$1</f>
        <v>0</v>
      </c>
      <c r="AM86" s="255">
        <f t="shared" ref="AM86:AM100" si="164">+U86/$AM$1</f>
        <v>0</v>
      </c>
      <c r="AN86" s="256">
        <f t="shared" ref="AN86:AN100" si="165">+V86/$AN$1</f>
        <v>0</v>
      </c>
      <c r="AO86" s="261">
        <f t="shared" si="120"/>
        <v>21000</v>
      </c>
      <c r="AQ86" s="249">
        <f t="shared" ref="AQ86:AQ100" si="166">+AJ86*$O86</f>
        <v>17220</v>
      </c>
      <c r="AR86" s="151">
        <f t="shared" ref="AR86:AR100" si="167">+AJ86*$P86</f>
        <v>3780.0000000000009</v>
      </c>
      <c r="AS86" s="150">
        <f t="shared" ref="AS86:AS100" si="168">+AK86*$O86</f>
        <v>0</v>
      </c>
      <c r="AT86" s="151">
        <f t="shared" ref="AT86:AT100" si="169">+AK86*$P86</f>
        <v>0</v>
      </c>
      <c r="AU86" s="150">
        <f t="shared" ref="AU86:AU100" si="170">+AL86*$O86</f>
        <v>0</v>
      </c>
      <c r="AV86" s="151">
        <f t="shared" ref="AV86:AV100" si="171">+AL86*$P86</f>
        <v>0</v>
      </c>
      <c r="AW86" s="150">
        <f t="shared" ref="AW86:AW100" si="172">+AM86*$O86</f>
        <v>0</v>
      </c>
      <c r="AX86" s="151">
        <f t="shared" ref="AX86:AX100" si="173">+AM86*$P86</f>
        <v>0</v>
      </c>
      <c r="AY86" s="150">
        <f t="shared" ref="AY86:AY100" si="174">+AN86*$O86</f>
        <v>0</v>
      </c>
      <c r="AZ86" s="256">
        <f t="shared" ref="AZ86:AZ100" si="175">+AN86*$P86</f>
        <v>0</v>
      </c>
      <c r="BA86" s="249">
        <f t="shared" si="121"/>
        <v>17220</v>
      </c>
      <c r="BB86" s="256">
        <f t="shared" si="122"/>
        <v>3780.0000000000009</v>
      </c>
      <c r="BC86" s="35" t="s">
        <v>91</v>
      </c>
    </row>
    <row r="87" spans="2:55" s="35" customFormat="1" x14ac:dyDescent="0.25">
      <c r="B87" s="72" t="s">
        <v>19</v>
      </c>
      <c r="C87" s="72" t="s">
        <v>85</v>
      </c>
      <c r="D87" s="199">
        <v>3</v>
      </c>
      <c r="E87" s="199">
        <v>3</v>
      </c>
      <c r="F87" s="199" t="s">
        <v>280</v>
      </c>
      <c r="G87" s="199">
        <v>2</v>
      </c>
      <c r="H87" s="199"/>
      <c r="I87" s="72" t="str">
        <f t="shared" si="145"/>
        <v>3.3.b.2</v>
      </c>
      <c r="J87" s="72"/>
      <c r="K87" s="35" t="s">
        <v>92</v>
      </c>
      <c r="L87" s="73">
        <f t="shared" si="119"/>
        <v>21000</v>
      </c>
      <c r="M87" s="308">
        <f t="shared" si="158"/>
        <v>17220</v>
      </c>
      <c r="N87" s="309">
        <f t="shared" si="159"/>
        <v>3780.0000000000009</v>
      </c>
      <c r="O87" s="306">
        <v>0.82</v>
      </c>
      <c r="P87" s="307">
        <f t="shared" si="160"/>
        <v>0.18000000000000005</v>
      </c>
      <c r="Q87" s="248"/>
      <c r="R87" s="39">
        <v>693000</v>
      </c>
      <c r="S87" s="39"/>
      <c r="T87" s="39"/>
      <c r="U87" s="39"/>
      <c r="V87" s="245"/>
      <c r="W87" s="231"/>
      <c r="X87" s="401"/>
      <c r="Y87" s="401"/>
      <c r="Z87" s="401"/>
      <c r="AA87" s="73"/>
      <c r="AE87" s="72">
        <v>1</v>
      </c>
      <c r="AF87" s="72"/>
      <c r="AG87" s="72"/>
      <c r="AH87" s="72"/>
      <c r="AI87" s="72"/>
      <c r="AJ87" s="249">
        <f t="shared" si="161"/>
        <v>21000</v>
      </c>
      <c r="AK87" s="255">
        <f t="shared" si="162"/>
        <v>0</v>
      </c>
      <c r="AL87" s="255">
        <f t="shared" si="163"/>
        <v>0</v>
      </c>
      <c r="AM87" s="255">
        <f t="shared" si="164"/>
        <v>0</v>
      </c>
      <c r="AN87" s="256">
        <f t="shared" si="165"/>
        <v>0</v>
      </c>
      <c r="AO87" s="261">
        <f t="shared" si="120"/>
        <v>21000</v>
      </c>
      <c r="AQ87" s="249">
        <f t="shared" si="166"/>
        <v>17220</v>
      </c>
      <c r="AR87" s="151">
        <f t="shared" si="167"/>
        <v>3780.0000000000009</v>
      </c>
      <c r="AS87" s="150">
        <f t="shared" si="168"/>
        <v>0</v>
      </c>
      <c r="AT87" s="151">
        <f t="shared" si="169"/>
        <v>0</v>
      </c>
      <c r="AU87" s="150">
        <f t="shared" si="170"/>
        <v>0</v>
      </c>
      <c r="AV87" s="151">
        <f t="shared" si="171"/>
        <v>0</v>
      </c>
      <c r="AW87" s="150">
        <f t="shared" si="172"/>
        <v>0</v>
      </c>
      <c r="AX87" s="151">
        <f t="shared" si="173"/>
        <v>0</v>
      </c>
      <c r="AY87" s="150">
        <f t="shared" si="174"/>
        <v>0</v>
      </c>
      <c r="AZ87" s="256">
        <f t="shared" si="175"/>
        <v>0</v>
      </c>
      <c r="BA87" s="249">
        <f t="shared" si="121"/>
        <v>17220</v>
      </c>
      <c r="BB87" s="256">
        <f t="shared" si="122"/>
        <v>3780.0000000000009</v>
      </c>
      <c r="BC87" s="35" t="s">
        <v>92</v>
      </c>
    </row>
    <row r="88" spans="2:55" s="35" customFormat="1" x14ac:dyDescent="0.25">
      <c r="B88" s="72" t="s">
        <v>19</v>
      </c>
      <c r="C88" s="72" t="s">
        <v>85</v>
      </c>
      <c r="D88" s="199">
        <v>3</v>
      </c>
      <c r="E88" s="199">
        <v>3</v>
      </c>
      <c r="F88" s="199" t="s">
        <v>280</v>
      </c>
      <c r="G88" s="199">
        <v>3</v>
      </c>
      <c r="H88" s="199"/>
      <c r="I88" s="72" t="str">
        <f t="shared" si="145"/>
        <v>3.3.b.3</v>
      </c>
      <c r="J88" s="72"/>
      <c r="K88" s="35" t="s">
        <v>93</v>
      </c>
      <c r="L88" s="73">
        <f t="shared" si="119"/>
        <v>125894.14141414143</v>
      </c>
      <c r="M88" s="308">
        <f t="shared" si="158"/>
        <v>103233.19595959596</v>
      </c>
      <c r="N88" s="309">
        <f t="shared" si="159"/>
        <v>22660.945454545465</v>
      </c>
      <c r="O88" s="306">
        <v>0.82</v>
      </c>
      <c r="P88" s="307">
        <f t="shared" si="160"/>
        <v>0.18000000000000005</v>
      </c>
      <c r="Q88" s="248"/>
      <c r="R88" s="39">
        <f>7478112/18*(18-8)</f>
        <v>4154506.666666667</v>
      </c>
      <c r="S88" s="39"/>
      <c r="T88" s="39"/>
      <c r="U88" s="39"/>
      <c r="V88" s="245"/>
      <c r="W88" s="231"/>
      <c r="X88" s="401" t="s">
        <v>231</v>
      </c>
      <c r="Y88" s="401"/>
      <c r="Z88" s="401"/>
      <c r="AA88" s="73"/>
      <c r="AE88" s="72">
        <v>1</v>
      </c>
      <c r="AF88" s="72"/>
      <c r="AG88" s="72"/>
      <c r="AH88" s="72"/>
      <c r="AI88" s="72"/>
      <c r="AJ88" s="249">
        <f t="shared" si="161"/>
        <v>125894.14141414143</v>
      </c>
      <c r="AK88" s="255">
        <f t="shared" si="162"/>
        <v>0</v>
      </c>
      <c r="AL88" s="255">
        <f t="shared" si="163"/>
        <v>0</v>
      </c>
      <c r="AM88" s="255">
        <f t="shared" si="164"/>
        <v>0</v>
      </c>
      <c r="AN88" s="256">
        <f t="shared" si="165"/>
        <v>0</v>
      </c>
      <c r="AO88" s="261">
        <f t="shared" si="120"/>
        <v>125894.14141414143</v>
      </c>
      <c r="AQ88" s="249">
        <f t="shared" si="166"/>
        <v>103233.19595959596</v>
      </c>
      <c r="AR88" s="151">
        <f t="shared" si="167"/>
        <v>22660.945454545465</v>
      </c>
      <c r="AS88" s="150">
        <f t="shared" si="168"/>
        <v>0</v>
      </c>
      <c r="AT88" s="151">
        <f t="shared" si="169"/>
        <v>0</v>
      </c>
      <c r="AU88" s="150">
        <f t="shared" si="170"/>
        <v>0</v>
      </c>
      <c r="AV88" s="151">
        <f t="shared" si="171"/>
        <v>0</v>
      </c>
      <c r="AW88" s="150">
        <f t="shared" si="172"/>
        <v>0</v>
      </c>
      <c r="AX88" s="151">
        <f t="shared" si="173"/>
        <v>0</v>
      </c>
      <c r="AY88" s="150">
        <f t="shared" si="174"/>
        <v>0</v>
      </c>
      <c r="AZ88" s="256">
        <f t="shared" si="175"/>
        <v>0</v>
      </c>
      <c r="BA88" s="249">
        <f t="shared" si="121"/>
        <v>103233.19595959596</v>
      </c>
      <c r="BB88" s="256">
        <f t="shared" si="122"/>
        <v>22660.945454545465</v>
      </c>
      <c r="BC88" s="35" t="s">
        <v>93</v>
      </c>
    </row>
    <row r="89" spans="2:55" s="35" customFormat="1" x14ac:dyDescent="0.25">
      <c r="B89" s="72" t="s">
        <v>19</v>
      </c>
      <c r="C89" s="72" t="s">
        <v>85</v>
      </c>
      <c r="D89" s="199">
        <v>3</v>
      </c>
      <c r="E89" s="199">
        <v>3</v>
      </c>
      <c r="F89" s="199" t="s">
        <v>280</v>
      </c>
      <c r="G89" s="199">
        <v>4</v>
      </c>
      <c r="H89" s="199"/>
      <c r="I89" s="72" t="str">
        <f t="shared" si="145"/>
        <v>3.3.b.4</v>
      </c>
      <c r="J89" s="72"/>
      <c r="K89" s="35" t="s">
        <v>94</v>
      </c>
      <c r="L89" s="73">
        <f t="shared" si="119"/>
        <v>35000</v>
      </c>
      <c r="M89" s="308">
        <f t="shared" si="158"/>
        <v>28700</v>
      </c>
      <c r="N89" s="309">
        <f t="shared" si="159"/>
        <v>6300.0000000000018</v>
      </c>
      <c r="O89" s="306">
        <v>0.82</v>
      </c>
      <c r="P89" s="307">
        <f t="shared" si="160"/>
        <v>0.18000000000000005</v>
      </c>
      <c r="Q89" s="248"/>
      <c r="R89" s="39">
        <v>1155000</v>
      </c>
      <c r="S89" s="39"/>
      <c r="T89" s="39"/>
      <c r="U89" s="39"/>
      <c r="V89" s="245"/>
      <c r="W89" s="231"/>
      <c r="X89" s="401" t="s">
        <v>229</v>
      </c>
      <c r="Y89" s="401"/>
      <c r="Z89" s="401"/>
      <c r="AA89" s="73"/>
      <c r="AE89" s="72">
        <v>1</v>
      </c>
      <c r="AF89" s="72"/>
      <c r="AG89" s="72"/>
      <c r="AH89" s="72"/>
      <c r="AI89" s="72"/>
      <c r="AJ89" s="249">
        <f t="shared" si="161"/>
        <v>35000</v>
      </c>
      <c r="AK89" s="255">
        <f t="shared" si="162"/>
        <v>0</v>
      </c>
      <c r="AL89" s="255">
        <f t="shared" si="163"/>
        <v>0</v>
      </c>
      <c r="AM89" s="255">
        <f t="shared" si="164"/>
        <v>0</v>
      </c>
      <c r="AN89" s="256">
        <f t="shared" si="165"/>
        <v>0</v>
      </c>
      <c r="AO89" s="261">
        <f t="shared" si="120"/>
        <v>35000</v>
      </c>
      <c r="AQ89" s="249">
        <f t="shared" si="166"/>
        <v>28700</v>
      </c>
      <c r="AR89" s="151">
        <f t="shared" si="167"/>
        <v>6300.0000000000018</v>
      </c>
      <c r="AS89" s="150">
        <f t="shared" si="168"/>
        <v>0</v>
      </c>
      <c r="AT89" s="151">
        <f t="shared" si="169"/>
        <v>0</v>
      </c>
      <c r="AU89" s="150">
        <f t="shared" si="170"/>
        <v>0</v>
      </c>
      <c r="AV89" s="151">
        <f t="shared" si="171"/>
        <v>0</v>
      </c>
      <c r="AW89" s="150">
        <f t="shared" si="172"/>
        <v>0</v>
      </c>
      <c r="AX89" s="151">
        <f t="shared" si="173"/>
        <v>0</v>
      </c>
      <c r="AY89" s="150">
        <f t="shared" si="174"/>
        <v>0</v>
      </c>
      <c r="AZ89" s="256">
        <f t="shared" si="175"/>
        <v>0</v>
      </c>
      <c r="BA89" s="249">
        <f t="shared" si="121"/>
        <v>28700</v>
      </c>
      <c r="BB89" s="256">
        <f t="shared" si="122"/>
        <v>6300.0000000000018</v>
      </c>
      <c r="BC89" s="35" t="s">
        <v>94</v>
      </c>
    </row>
    <row r="90" spans="2:55" s="35" customFormat="1" x14ac:dyDescent="0.25">
      <c r="B90" s="72" t="s">
        <v>19</v>
      </c>
      <c r="C90" s="72" t="s">
        <v>85</v>
      </c>
      <c r="D90" s="199">
        <v>3</v>
      </c>
      <c r="E90" s="199">
        <v>3</v>
      </c>
      <c r="F90" s="199" t="s">
        <v>280</v>
      </c>
      <c r="G90" s="199">
        <v>5</v>
      </c>
      <c r="H90" s="199"/>
      <c r="I90" s="72" t="str">
        <f t="shared" si="145"/>
        <v>3.3.b.5</v>
      </c>
      <c r="J90" s="72"/>
      <c r="K90" s="35" t="s">
        <v>95</v>
      </c>
      <c r="L90" s="73">
        <f t="shared" si="119"/>
        <v>95000</v>
      </c>
      <c r="M90" s="308">
        <f t="shared" si="158"/>
        <v>77900</v>
      </c>
      <c r="N90" s="309">
        <f t="shared" si="159"/>
        <v>17100.000000000004</v>
      </c>
      <c r="O90" s="306">
        <v>0.82</v>
      </c>
      <c r="P90" s="307">
        <f t="shared" si="160"/>
        <v>0.18000000000000005</v>
      </c>
      <c r="Q90" s="248"/>
      <c r="R90" s="39"/>
      <c r="S90" s="39">
        <v>1650000</v>
      </c>
      <c r="T90" s="39">
        <v>495000</v>
      </c>
      <c r="U90" s="39">
        <v>495000</v>
      </c>
      <c r="V90" s="245">
        <v>495000</v>
      </c>
      <c r="W90" s="231"/>
      <c r="X90" s="401"/>
      <c r="Y90" s="401"/>
      <c r="Z90" s="401"/>
      <c r="AA90" s="73"/>
      <c r="AE90" s="72"/>
      <c r="AF90" s="72">
        <v>1</v>
      </c>
      <c r="AG90" s="72">
        <v>1</v>
      </c>
      <c r="AH90" s="72">
        <v>1</v>
      </c>
      <c r="AI90" s="72">
        <v>1</v>
      </c>
      <c r="AJ90" s="249">
        <f t="shared" si="161"/>
        <v>0</v>
      </c>
      <c r="AK90" s="255">
        <f t="shared" si="162"/>
        <v>50000</v>
      </c>
      <c r="AL90" s="255">
        <f t="shared" si="163"/>
        <v>15000</v>
      </c>
      <c r="AM90" s="255">
        <f t="shared" si="164"/>
        <v>15000</v>
      </c>
      <c r="AN90" s="256">
        <f t="shared" si="165"/>
        <v>15000</v>
      </c>
      <c r="AO90" s="261">
        <f t="shared" si="120"/>
        <v>95000</v>
      </c>
      <c r="AQ90" s="249">
        <f t="shared" si="166"/>
        <v>0</v>
      </c>
      <c r="AR90" s="151">
        <f t="shared" si="167"/>
        <v>0</v>
      </c>
      <c r="AS90" s="150">
        <f t="shared" si="168"/>
        <v>41000</v>
      </c>
      <c r="AT90" s="151">
        <f t="shared" si="169"/>
        <v>9000.0000000000018</v>
      </c>
      <c r="AU90" s="150">
        <f t="shared" si="170"/>
        <v>12300</v>
      </c>
      <c r="AV90" s="151">
        <f t="shared" si="171"/>
        <v>2700.0000000000009</v>
      </c>
      <c r="AW90" s="150">
        <f t="shared" si="172"/>
        <v>12300</v>
      </c>
      <c r="AX90" s="151">
        <f t="shared" si="173"/>
        <v>2700.0000000000009</v>
      </c>
      <c r="AY90" s="150">
        <f t="shared" si="174"/>
        <v>12300</v>
      </c>
      <c r="AZ90" s="256">
        <f t="shared" si="175"/>
        <v>2700.0000000000009</v>
      </c>
      <c r="BA90" s="249">
        <f t="shared" si="121"/>
        <v>77900</v>
      </c>
      <c r="BB90" s="256">
        <f t="shared" si="122"/>
        <v>17100.000000000004</v>
      </c>
      <c r="BC90" s="35" t="s">
        <v>95</v>
      </c>
    </row>
    <row r="91" spans="2:55" s="35" customFormat="1" x14ac:dyDescent="0.25">
      <c r="B91" s="72" t="s">
        <v>19</v>
      </c>
      <c r="C91" s="72" t="s">
        <v>85</v>
      </c>
      <c r="D91" s="199">
        <v>3</v>
      </c>
      <c r="E91" s="199">
        <v>3</v>
      </c>
      <c r="F91" s="199" t="s">
        <v>280</v>
      </c>
      <c r="G91" s="199">
        <v>6</v>
      </c>
      <c r="H91" s="199"/>
      <c r="I91" s="72" t="str">
        <f t="shared" si="145"/>
        <v>3.3.b.6</v>
      </c>
      <c r="J91" s="72"/>
      <c r="K91" s="35" t="s">
        <v>99</v>
      </c>
      <c r="L91" s="73">
        <f t="shared" si="119"/>
        <v>13999.999999999998</v>
      </c>
      <c r="M91" s="308">
        <f t="shared" si="158"/>
        <v>11479.999999999998</v>
      </c>
      <c r="N91" s="309">
        <f t="shared" si="159"/>
        <v>2520.0000000000005</v>
      </c>
      <c r="O91" s="306">
        <v>0.82</v>
      </c>
      <c r="P91" s="307">
        <f t="shared" si="160"/>
        <v>0.18000000000000005</v>
      </c>
      <c r="Q91" s="248"/>
      <c r="R91" s="39">
        <v>461999.99999999994</v>
      </c>
      <c r="S91" s="39"/>
      <c r="T91" s="39"/>
      <c r="U91" s="39"/>
      <c r="V91" s="245"/>
      <c r="W91" s="231"/>
      <c r="X91" s="401"/>
      <c r="Y91" s="401"/>
      <c r="Z91" s="401"/>
      <c r="AA91" s="73"/>
      <c r="AE91" s="72">
        <v>1</v>
      </c>
      <c r="AF91" s="72"/>
      <c r="AG91" s="72"/>
      <c r="AH91" s="72"/>
      <c r="AI91" s="72"/>
      <c r="AJ91" s="249">
        <f t="shared" si="161"/>
        <v>13999.999999999998</v>
      </c>
      <c r="AK91" s="255">
        <f t="shared" si="162"/>
        <v>0</v>
      </c>
      <c r="AL91" s="255">
        <f t="shared" si="163"/>
        <v>0</v>
      </c>
      <c r="AM91" s="255">
        <f t="shared" si="164"/>
        <v>0</v>
      </c>
      <c r="AN91" s="256">
        <f t="shared" si="165"/>
        <v>0</v>
      </c>
      <c r="AO91" s="261">
        <f t="shared" si="120"/>
        <v>13999.999999999998</v>
      </c>
      <c r="AQ91" s="249">
        <f t="shared" si="166"/>
        <v>11479.999999999998</v>
      </c>
      <c r="AR91" s="151">
        <f t="shared" si="167"/>
        <v>2520.0000000000005</v>
      </c>
      <c r="AS91" s="150">
        <f t="shared" si="168"/>
        <v>0</v>
      </c>
      <c r="AT91" s="151">
        <f t="shared" si="169"/>
        <v>0</v>
      </c>
      <c r="AU91" s="150">
        <f t="shared" si="170"/>
        <v>0</v>
      </c>
      <c r="AV91" s="151">
        <f t="shared" si="171"/>
        <v>0</v>
      </c>
      <c r="AW91" s="150">
        <f t="shared" si="172"/>
        <v>0</v>
      </c>
      <c r="AX91" s="151">
        <f t="shared" si="173"/>
        <v>0</v>
      </c>
      <c r="AY91" s="150">
        <f t="shared" si="174"/>
        <v>0</v>
      </c>
      <c r="AZ91" s="256">
        <f t="shared" si="175"/>
        <v>0</v>
      </c>
      <c r="BA91" s="249">
        <f t="shared" si="121"/>
        <v>11479.999999999998</v>
      </c>
      <c r="BB91" s="256">
        <f t="shared" si="122"/>
        <v>2520.0000000000005</v>
      </c>
      <c r="BC91" s="35" t="s">
        <v>99</v>
      </c>
    </row>
    <row r="92" spans="2:55" s="35" customFormat="1" x14ac:dyDescent="0.25">
      <c r="B92" s="72" t="s">
        <v>19</v>
      </c>
      <c r="C92" s="72" t="s">
        <v>85</v>
      </c>
      <c r="D92" s="199">
        <v>3</v>
      </c>
      <c r="E92" s="199">
        <v>3</v>
      </c>
      <c r="F92" s="199" t="s">
        <v>280</v>
      </c>
      <c r="G92" s="199">
        <v>7</v>
      </c>
      <c r="H92" s="199"/>
      <c r="I92" s="72" t="str">
        <f t="shared" si="145"/>
        <v>3.3.b.7</v>
      </c>
      <c r="J92" s="72"/>
      <c r="K92" s="35" t="s">
        <v>100</v>
      </c>
      <c r="L92" s="73">
        <f t="shared" si="119"/>
        <v>17500</v>
      </c>
      <c r="M92" s="308">
        <f t="shared" si="158"/>
        <v>14350</v>
      </c>
      <c r="N92" s="309">
        <f t="shared" si="159"/>
        <v>3150.0000000000009</v>
      </c>
      <c r="O92" s="306">
        <v>0.82</v>
      </c>
      <c r="P92" s="307">
        <f t="shared" si="160"/>
        <v>0.18000000000000005</v>
      </c>
      <c r="Q92" s="248"/>
      <c r="R92" s="39">
        <v>577500</v>
      </c>
      <c r="S92" s="39"/>
      <c r="T92" s="39"/>
      <c r="U92" s="39"/>
      <c r="V92" s="245"/>
      <c r="W92" s="231"/>
      <c r="X92" s="401"/>
      <c r="Y92" s="401"/>
      <c r="Z92" s="401"/>
      <c r="AA92" s="73"/>
      <c r="AE92" s="72">
        <v>1</v>
      </c>
      <c r="AF92" s="72"/>
      <c r="AG92" s="72"/>
      <c r="AH92" s="72"/>
      <c r="AI92" s="72"/>
      <c r="AJ92" s="249">
        <f t="shared" si="161"/>
        <v>17500</v>
      </c>
      <c r="AK92" s="255">
        <f t="shared" si="162"/>
        <v>0</v>
      </c>
      <c r="AL92" s="255">
        <f t="shared" si="163"/>
        <v>0</v>
      </c>
      <c r="AM92" s="255">
        <f t="shared" si="164"/>
        <v>0</v>
      </c>
      <c r="AN92" s="256">
        <f t="shared" si="165"/>
        <v>0</v>
      </c>
      <c r="AO92" s="261">
        <f t="shared" si="120"/>
        <v>17500</v>
      </c>
      <c r="AQ92" s="249">
        <f t="shared" si="166"/>
        <v>14350</v>
      </c>
      <c r="AR92" s="151">
        <f t="shared" si="167"/>
        <v>3150.0000000000009</v>
      </c>
      <c r="AS92" s="150">
        <f t="shared" si="168"/>
        <v>0</v>
      </c>
      <c r="AT92" s="151">
        <f t="shared" si="169"/>
        <v>0</v>
      </c>
      <c r="AU92" s="150">
        <f t="shared" si="170"/>
        <v>0</v>
      </c>
      <c r="AV92" s="151">
        <f t="shared" si="171"/>
        <v>0</v>
      </c>
      <c r="AW92" s="150">
        <f t="shared" si="172"/>
        <v>0</v>
      </c>
      <c r="AX92" s="151">
        <f t="shared" si="173"/>
        <v>0</v>
      </c>
      <c r="AY92" s="150">
        <f t="shared" si="174"/>
        <v>0</v>
      </c>
      <c r="AZ92" s="256">
        <f t="shared" si="175"/>
        <v>0</v>
      </c>
      <c r="BA92" s="249">
        <f t="shared" si="121"/>
        <v>14350</v>
      </c>
      <c r="BB92" s="256">
        <f t="shared" si="122"/>
        <v>3150.0000000000009</v>
      </c>
      <c r="BC92" s="35" t="s">
        <v>100</v>
      </c>
    </row>
    <row r="93" spans="2:55" s="35" customFormat="1" x14ac:dyDescent="0.25">
      <c r="B93" s="72" t="s">
        <v>19</v>
      </c>
      <c r="C93" s="72" t="s">
        <v>85</v>
      </c>
      <c r="D93" s="199">
        <v>3</v>
      </c>
      <c r="E93" s="199">
        <v>3</v>
      </c>
      <c r="F93" s="199" t="s">
        <v>280</v>
      </c>
      <c r="G93" s="199">
        <v>8</v>
      </c>
      <c r="H93" s="199"/>
      <c r="I93" s="72" t="str">
        <f t="shared" si="145"/>
        <v>3.3.b.8</v>
      </c>
      <c r="J93" s="72"/>
      <c r="K93" s="35" t="s">
        <v>101</v>
      </c>
      <c r="L93" s="73">
        <f t="shared" si="119"/>
        <v>200000</v>
      </c>
      <c r="M93" s="308">
        <f t="shared" si="158"/>
        <v>164000</v>
      </c>
      <c r="N93" s="309">
        <f t="shared" si="159"/>
        <v>36000.000000000007</v>
      </c>
      <c r="O93" s="306">
        <v>0.82</v>
      </c>
      <c r="P93" s="307">
        <f t="shared" si="160"/>
        <v>0.18000000000000005</v>
      </c>
      <c r="Q93" s="248"/>
      <c r="R93" s="39"/>
      <c r="S93" s="39">
        <v>4400000</v>
      </c>
      <c r="T93" s="39">
        <v>2200000</v>
      </c>
      <c r="U93" s="39"/>
      <c r="V93" s="245"/>
      <c r="W93" s="231"/>
      <c r="X93" s="401"/>
      <c r="Y93" s="401"/>
      <c r="Z93" s="401"/>
      <c r="AA93" s="73"/>
      <c r="AE93" s="72"/>
      <c r="AF93" s="72">
        <v>1</v>
      </c>
      <c r="AG93" s="72">
        <v>1</v>
      </c>
      <c r="AH93" s="72"/>
      <c r="AI93" s="72"/>
      <c r="AJ93" s="249">
        <f t="shared" si="161"/>
        <v>0</v>
      </c>
      <c r="AK93" s="255">
        <f t="shared" si="162"/>
        <v>133333.33333333334</v>
      </c>
      <c r="AL93" s="255">
        <f t="shared" si="163"/>
        <v>66666.666666666672</v>
      </c>
      <c r="AM93" s="255">
        <f t="shared" si="164"/>
        <v>0</v>
      </c>
      <c r="AN93" s="256">
        <f t="shared" si="165"/>
        <v>0</v>
      </c>
      <c r="AO93" s="261">
        <f t="shared" si="120"/>
        <v>200000</v>
      </c>
      <c r="AQ93" s="249">
        <f t="shared" si="166"/>
        <v>0</v>
      </c>
      <c r="AR93" s="151">
        <f t="shared" si="167"/>
        <v>0</v>
      </c>
      <c r="AS93" s="150">
        <f t="shared" si="168"/>
        <v>109333.33333333333</v>
      </c>
      <c r="AT93" s="151">
        <f t="shared" si="169"/>
        <v>24000.000000000007</v>
      </c>
      <c r="AU93" s="150">
        <f t="shared" si="170"/>
        <v>54666.666666666664</v>
      </c>
      <c r="AV93" s="151">
        <f t="shared" si="171"/>
        <v>12000.000000000004</v>
      </c>
      <c r="AW93" s="150">
        <f t="shared" si="172"/>
        <v>0</v>
      </c>
      <c r="AX93" s="151">
        <f t="shared" si="173"/>
        <v>0</v>
      </c>
      <c r="AY93" s="150">
        <f t="shared" si="174"/>
        <v>0</v>
      </c>
      <c r="AZ93" s="256">
        <f t="shared" si="175"/>
        <v>0</v>
      </c>
      <c r="BA93" s="249">
        <f t="shared" si="121"/>
        <v>164000</v>
      </c>
      <c r="BB93" s="256">
        <f t="shared" si="122"/>
        <v>36000.000000000015</v>
      </c>
      <c r="BC93" s="35" t="s">
        <v>101</v>
      </c>
    </row>
    <row r="94" spans="2:55" s="35" customFormat="1" x14ac:dyDescent="0.25">
      <c r="B94" s="72" t="s">
        <v>19</v>
      </c>
      <c r="C94" s="72" t="s">
        <v>85</v>
      </c>
      <c r="D94" s="199">
        <v>3</v>
      </c>
      <c r="E94" s="199">
        <v>3</v>
      </c>
      <c r="F94" s="199" t="s">
        <v>280</v>
      </c>
      <c r="G94" s="199">
        <v>9</v>
      </c>
      <c r="H94" s="199"/>
      <c r="I94" s="72" t="str">
        <f t="shared" si="145"/>
        <v>3.3.b.9</v>
      </c>
      <c r="J94" s="72"/>
      <c r="K94" s="35" t="s">
        <v>102</v>
      </c>
      <c r="L94" s="73">
        <f t="shared" si="119"/>
        <v>200000</v>
      </c>
      <c r="M94" s="308">
        <f t="shared" si="158"/>
        <v>164000</v>
      </c>
      <c r="N94" s="309">
        <f t="shared" si="159"/>
        <v>36000.000000000007</v>
      </c>
      <c r="O94" s="306">
        <v>0.82</v>
      </c>
      <c r="P94" s="307">
        <f t="shared" si="160"/>
        <v>0.18000000000000005</v>
      </c>
      <c r="Q94" s="248"/>
      <c r="R94" s="39"/>
      <c r="S94" s="39">
        <v>3300000</v>
      </c>
      <c r="T94" s="39">
        <v>3300000</v>
      </c>
      <c r="U94" s="39"/>
      <c r="V94" s="245"/>
      <c r="W94" s="231"/>
      <c r="X94" s="401"/>
      <c r="Y94" s="401"/>
      <c r="Z94" s="401"/>
      <c r="AA94" s="73"/>
      <c r="AE94" s="72"/>
      <c r="AF94" s="72">
        <v>1</v>
      </c>
      <c r="AG94" s="72">
        <v>1</v>
      </c>
      <c r="AH94" s="72"/>
      <c r="AI94" s="72"/>
      <c r="AJ94" s="249">
        <f t="shared" si="161"/>
        <v>0</v>
      </c>
      <c r="AK94" s="255">
        <f t="shared" si="162"/>
        <v>100000</v>
      </c>
      <c r="AL94" s="255">
        <f t="shared" si="163"/>
        <v>100000</v>
      </c>
      <c r="AM94" s="255">
        <f t="shared" si="164"/>
        <v>0</v>
      </c>
      <c r="AN94" s="256">
        <f t="shared" si="165"/>
        <v>0</v>
      </c>
      <c r="AO94" s="261">
        <f t="shared" si="120"/>
        <v>200000</v>
      </c>
      <c r="AQ94" s="249">
        <f t="shared" si="166"/>
        <v>0</v>
      </c>
      <c r="AR94" s="151">
        <f t="shared" si="167"/>
        <v>0</v>
      </c>
      <c r="AS94" s="150">
        <f t="shared" si="168"/>
        <v>82000</v>
      </c>
      <c r="AT94" s="151">
        <f t="shared" si="169"/>
        <v>18000.000000000004</v>
      </c>
      <c r="AU94" s="150">
        <f t="shared" si="170"/>
        <v>82000</v>
      </c>
      <c r="AV94" s="151">
        <f t="shared" si="171"/>
        <v>18000.000000000004</v>
      </c>
      <c r="AW94" s="150">
        <f t="shared" si="172"/>
        <v>0</v>
      </c>
      <c r="AX94" s="151">
        <f t="shared" si="173"/>
        <v>0</v>
      </c>
      <c r="AY94" s="150">
        <f t="shared" si="174"/>
        <v>0</v>
      </c>
      <c r="AZ94" s="256">
        <f t="shared" si="175"/>
        <v>0</v>
      </c>
      <c r="BA94" s="249">
        <f t="shared" si="121"/>
        <v>164000</v>
      </c>
      <c r="BB94" s="256">
        <f t="shared" si="122"/>
        <v>36000.000000000007</v>
      </c>
      <c r="BC94" s="35" t="s">
        <v>102</v>
      </c>
    </row>
    <row r="95" spans="2:55" s="35" customFormat="1" x14ac:dyDescent="0.25">
      <c r="B95" s="72" t="s">
        <v>19</v>
      </c>
      <c r="C95" s="72" t="s">
        <v>85</v>
      </c>
      <c r="D95" s="199">
        <v>3</v>
      </c>
      <c r="E95" s="199">
        <v>3</v>
      </c>
      <c r="F95" s="199" t="s">
        <v>280</v>
      </c>
      <c r="G95" s="199">
        <v>10</v>
      </c>
      <c r="H95" s="199"/>
      <c r="I95" s="72" t="str">
        <f t="shared" si="145"/>
        <v>3.3.b.10</v>
      </c>
      <c r="J95" s="72"/>
      <c r="K95" s="35" t="s">
        <v>103</v>
      </c>
      <c r="L95" s="73">
        <f t="shared" si="119"/>
        <v>40000</v>
      </c>
      <c r="M95" s="308">
        <f t="shared" si="158"/>
        <v>32800</v>
      </c>
      <c r="N95" s="309">
        <f t="shared" si="159"/>
        <v>7200.0000000000018</v>
      </c>
      <c r="O95" s="306">
        <v>0.82</v>
      </c>
      <c r="P95" s="307">
        <f t="shared" si="160"/>
        <v>0.18000000000000005</v>
      </c>
      <c r="Q95" s="248"/>
      <c r="R95" s="39"/>
      <c r="S95" s="39"/>
      <c r="T95" s="39"/>
      <c r="U95" s="39">
        <v>660000</v>
      </c>
      <c r="V95" s="245">
        <v>660000</v>
      </c>
      <c r="W95" s="231"/>
      <c r="X95" s="401"/>
      <c r="Y95" s="401"/>
      <c r="Z95" s="401"/>
      <c r="AA95" s="73"/>
      <c r="AE95" s="72"/>
      <c r="AF95" s="72"/>
      <c r="AG95" s="72"/>
      <c r="AH95" s="72">
        <v>1</v>
      </c>
      <c r="AI95" s="72">
        <v>1</v>
      </c>
      <c r="AJ95" s="249">
        <f t="shared" si="161"/>
        <v>0</v>
      </c>
      <c r="AK95" s="255">
        <f t="shared" si="162"/>
        <v>0</v>
      </c>
      <c r="AL95" s="255">
        <f t="shared" si="163"/>
        <v>0</v>
      </c>
      <c r="AM95" s="255">
        <f t="shared" si="164"/>
        <v>20000</v>
      </c>
      <c r="AN95" s="256">
        <f t="shared" si="165"/>
        <v>20000</v>
      </c>
      <c r="AO95" s="261">
        <f t="shared" si="120"/>
        <v>40000</v>
      </c>
      <c r="AQ95" s="249">
        <f t="shared" si="166"/>
        <v>0</v>
      </c>
      <c r="AR95" s="151">
        <f t="shared" si="167"/>
        <v>0</v>
      </c>
      <c r="AS95" s="150">
        <f t="shared" si="168"/>
        <v>0</v>
      </c>
      <c r="AT95" s="151">
        <f t="shared" si="169"/>
        <v>0</v>
      </c>
      <c r="AU95" s="150">
        <f t="shared" si="170"/>
        <v>0</v>
      </c>
      <c r="AV95" s="151">
        <f t="shared" si="171"/>
        <v>0</v>
      </c>
      <c r="AW95" s="150">
        <f t="shared" si="172"/>
        <v>16400</v>
      </c>
      <c r="AX95" s="151">
        <f t="shared" si="173"/>
        <v>3600.0000000000009</v>
      </c>
      <c r="AY95" s="150">
        <f t="shared" si="174"/>
        <v>16400</v>
      </c>
      <c r="AZ95" s="256">
        <f t="shared" si="175"/>
        <v>3600.0000000000009</v>
      </c>
      <c r="BA95" s="249">
        <f t="shared" si="121"/>
        <v>32800</v>
      </c>
      <c r="BB95" s="256">
        <f t="shared" si="122"/>
        <v>7200.0000000000018</v>
      </c>
      <c r="BC95" s="35" t="s">
        <v>103</v>
      </c>
    </row>
    <row r="96" spans="2:55" s="35" customFormat="1" x14ac:dyDescent="0.25">
      <c r="B96" s="72" t="s">
        <v>19</v>
      </c>
      <c r="C96" s="72" t="s">
        <v>85</v>
      </c>
      <c r="D96" s="199">
        <v>3</v>
      </c>
      <c r="E96" s="199">
        <v>3</v>
      </c>
      <c r="F96" s="199" t="s">
        <v>280</v>
      </c>
      <c r="G96" s="199">
        <v>11</v>
      </c>
      <c r="H96" s="199"/>
      <c r="I96" s="72" t="str">
        <f t="shared" si="145"/>
        <v>3.3.b.11</v>
      </c>
      <c r="J96" s="72"/>
      <c r="K96" s="35" t="s">
        <v>113</v>
      </c>
      <c r="L96" s="73">
        <f t="shared" si="119"/>
        <v>21000</v>
      </c>
      <c r="M96" s="308">
        <f t="shared" si="158"/>
        <v>17220</v>
      </c>
      <c r="N96" s="309">
        <f t="shared" si="159"/>
        <v>3780.0000000000009</v>
      </c>
      <c r="O96" s="306">
        <v>0.82</v>
      </c>
      <c r="P96" s="307">
        <f t="shared" si="160"/>
        <v>0.18000000000000005</v>
      </c>
      <c r="Q96" s="248"/>
      <c r="R96" s="39"/>
      <c r="S96" s="39">
        <v>693000</v>
      </c>
      <c r="T96" s="39"/>
      <c r="U96" s="39"/>
      <c r="V96" s="245"/>
      <c r="W96" s="231"/>
      <c r="X96" s="401"/>
      <c r="Y96" s="401"/>
      <c r="Z96" s="401"/>
      <c r="AA96" s="73"/>
      <c r="AE96" s="72"/>
      <c r="AF96" s="72">
        <v>1</v>
      </c>
      <c r="AG96" s="72"/>
      <c r="AH96" s="72"/>
      <c r="AI96" s="72"/>
      <c r="AJ96" s="249">
        <f t="shared" si="161"/>
        <v>0</v>
      </c>
      <c r="AK96" s="255">
        <f t="shared" si="162"/>
        <v>21000</v>
      </c>
      <c r="AL96" s="255">
        <f t="shared" si="163"/>
        <v>0</v>
      </c>
      <c r="AM96" s="255">
        <f t="shared" si="164"/>
        <v>0</v>
      </c>
      <c r="AN96" s="256">
        <f t="shared" si="165"/>
        <v>0</v>
      </c>
      <c r="AO96" s="261">
        <f t="shared" si="120"/>
        <v>21000</v>
      </c>
      <c r="AQ96" s="249">
        <f t="shared" si="166"/>
        <v>0</v>
      </c>
      <c r="AR96" s="151">
        <f t="shared" si="167"/>
        <v>0</v>
      </c>
      <c r="AS96" s="150">
        <f t="shared" si="168"/>
        <v>17220</v>
      </c>
      <c r="AT96" s="151">
        <f t="shared" si="169"/>
        <v>3780.0000000000009</v>
      </c>
      <c r="AU96" s="150">
        <f t="shared" si="170"/>
        <v>0</v>
      </c>
      <c r="AV96" s="151">
        <f t="shared" si="171"/>
        <v>0</v>
      </c>
      <c r="AW96" s="150">
        <f t="shared" si="172"/>
        <v>0</v>
      </c>
      <c r="AX96" s="151">
        <f t="shared" si="173"/>
        <v>0</v>
      </c>
      <c r="AY96" s="150">
        <f t="shared" si="174"/>
        <v>0</v>
      </c>
      <c r="AZ96" s="256">
        <f t="shared" si="175"/>
        <v>0</v>
      </c>
      <c r="BA96" s="249">
        <f t="shared" si="121"/>
        <v>17220</v>
      </c>
      <c r="BB96" s="256">
        <f t="shared" si="122"/>
        <v>3780.0000000000009</v>
      </c>
      <c r="BC96" s="35" t="s">
        <v>113</v>
      </c>
    </row>
    <row r="97" spans="2:55" s="35" customFormat="1" x14ac:dyDescent="0.25">
      <c r="B97" s="72" t="s">
        <v>19</v>
      </c>
      <c r="C97" s="72" t="s">
        <v>85</v>
      </c>
      <c r="D97" s="199">
        <v>3</v>
      </c>
      <c r="E97" s="199">
        <v>3</v>
      </c>
      <c r="F97" s="199" t="s">
        <v>280</v>
      </c>
      <c r="G97" s="199">
        <v>12</v>
      </c>
      <c r="H97" s="199"/>
      <c r="I97" s="72" t="str">
        <f t="shared" si="145"/>
        <v>3.3.b.12</v>
      </c>
      <c r="J97" s="72"/>
      <c r="K97" s="35" t="s">
        <v>114</v>
      </c>
      <c r="L97" s="73">
        <f t="shared" si="119"/>
        <v>21000</v>
      </c>
      <c r="M97" s="308">
        <f t="shared" si="158"/>
        <v>17220</v>
      </c>
      <c r="N97" s="309">
        <f t="shared" si="159"/>
        <v>3780.0000000000009</v>
      </c>
      <c r="O97" s="306">
        <v>0.82</v>
      </c>
      <c r="P97" s="307">
        <f t="shared" si="160"/>
        <v>0.18000000000000005</v>
      </c>
      <c r="Q97" s="248"/>
      <c r="R97" s="39"/>
      <c r="S97" s="39">
        <v>693000</v>
      </c>
      <c r="T97" s="39"/>
      <c r="U97" s="39"/>
      <c r="V97" s="245"/>
      <c r="W97" s="231"/>
      <c r="X97" s="401"/>
      <c r="Y97" s="401"/>
      <c r="Z97" s="401"/>
      <c r="AA97" s="73"/>
      <c r="AE97" s="72"/>
      <c r="AF97" s="72">
        <v>1</v>
      </c>
      <c r="AG97" s="72"/>
      <c r="AH97" s="72"/>
      <c r="AI97" s="72"/>
      <c r="AJ97" s="249">
        <f t="shared" si="161"/>
        <v>0</v>
      </c>
      <c r="AK97" s="255">
        <f t="shared" si="162"/>
        <v>21000</v>
      </c>
      <c r="AL97" s="255">
        <f t="shared" si="163"/>
        <v>0</v>
      </c>
      <c r="AM97" s="255">
        <f t="shared" si="164"/>
        <v>0</v>
      </c>
      <c r="AN97" s="256">
        <f t="shared" si="165"/>
        <v>0</v>
      </c>
      <c r="AO97" s="261">
        <f t="shared" si="120"/>
        <v>21000</v>
      </c>
      <c r="AQ97" s="249">
        <f t="shared" si="166"/>
        <v>0</v>
      </c>
      <c r="AR97" s="151">
        <f t="shared" si="167"/>
        <v>0</v>
      </c>
      <c r="AS97" s="150">
        <f t="shared" si="168"/>
        <v>17220</v>
      </c>
      <c r="AT97" s="151">
        <f t="shared" si="169"/>
        <v>3780.0000000000009</v>
      </c>
      <c r="AU97" s="150">
        <f t="shared" si="170"/>
        <v>0</v>
      </c>
      <c r="AV97" s="151">
        <f t="shared" si="171"/>
        <v>0</v>
      </c>
      <c r="AW97" s="150">
        <f t="shared" si="172"/>
        <v>0</v>
      </c>
      <c r="AX97" s="151">
        <f t="shared" si="173"/>
        <v>0</v>
      </c>
      <c r="AY97" s="150">
        <f t="shared" si="174"/>
        <v>0</v>
      </c>
      <c r="AZ97" s="256">
        <f t="shared" si="175"/>
        <v>0</v>
      </c>
      <c r="BA97" s="249">
        <f t="shared" si="121"/>
        <v>17220</v>
      </c>
      <c r="BB97" s="256">
        <f t="shared" si="122"/>
        <v>3780.0000000000009</v>
      </c>
      <c r="BC97" s="35" t="s">
        <v>114</v>
      </c>
    </row>
    <row r="98" spans="2:55" s="35" customFormat="1" x14ac:dyDescent="0.25">
      <c r="B98" s="72" t="s">
        <v>19</v>
      </c>
      <c r="C98" s="72" t="s">
        <v>85</v>
      </c>
      <c r="D98" s="199">
        <v>3</v>
      </c>
      <c r="E98" s="199">
        <v>3</v>
      </c>
      <c r="F98" s="199" t="s">
        <v>280</v>
      </c>
      <c r="G98" s="199">
        <v>13</v>
      </c>
      <c r="H98" s="199"/>
      <c r="I98" s="72" t="str">
        <f t="shared" si="145"/>
        <v>3.3.b.13</v>
      </c>
      <c r="J98" s="72"/>
      <c r="K98" s="35" t="s">
        <v>115</v>
      </c>
      <c r="L98" s="73">
        <f t="shared" si="119"/>
        <v>10500</v>
      </c>
      <c r="M98" s="308">
        <f t="shared" si="158"/>
        <v>8610</v>
      </c>
      <c r="N98" s="309">
        <f t="shared" si="159"/>
        <v>1890.0000000000005</v>
      </c>
      <c r="O98" s="306">
        <v>0.82</v>
      </c>
      <c r="P98" s="307">
        <f t="shared" si="160"/>
        <v>0.18000000000000005</v>
      </c>
      <c r="Q98" s="248"/>
      <c r="R98" s="39"/>
      <c r="S98" s="39">
        <v>346500</v>
      </c>
      <c r="T98" s="39"/>
      <c r="U98" s="39"/>
      <c r="V98" s="245"/>
      <c r="W98" s="231"/>
      <c r="X98" s="401"/>
      <c r="Y98" s="401"/>
      <c r="Z98" s="401"/>
      <c r="AA98" s="73"/>
      <c r="AE98" s="72"/>
      <c r="AF98" s="72">
        <v>1</v>
      </c>
      <c r="AG98" s="72"/>
      <c r="AH98" s="72"/>
      <c r="AI98" s="72"/>
      <c r="AJ98" s="249">
        <f t="shared" si="161"/>
        <v>0</v>
      </c>
      <c r="AK98" s="255">
        <f t="shared" si="162"/>
        <v>10500</v>
      </c>
      <c r="AL98" s="255">
        <f t="shared" si="163"/>
        <v>0</v>
      </c>
      <c r="AM98" s="255">
        <f t="shared" si="164"/>
        <v>0</v>
      </c>
      <c r="AN98" s="256">
        <f t="shared" si="165"/>
        <v>0</v>
      </c>
      <c r="AO98" s="261">
        <f t="shared" si="120"/>
        <v>10500</v>
      </c>
      <c r="AQ98" s="249">
        <f t="shared" si="166"/>
        <v>0</v>
      </c>
      <c r="AR98" s="151">
        <f t="shared" si="167"/>
        <v>0</v>
      </c>
      <c r="AS98" s="150">
        <f t="shared" si="168"/>
        <v>8610</v>
      </c>
      <c r="AT98" s="151">
        <f t="shared" si="169"/>
        <v>1890.0000000000005</v>
      </c>
      <c r="AU98" s="150">
        <f t="shared" si="170"/>
        <v>0</v>
      </c>
      <c r="AV98" s="151">
        <f t="shared" si="171"/>
        <v>0</v>
      </c>
      <c r="AW98" s="150">
        <f t="shared" si="172"/>
        <v>0</v>
      </c>
      <c r="AX98" s="151">
        <f t="shared" si="173"/>
        <v>0</v>
      </c>
      <c r="AY98" s="150">
        <f t="shared" si="174"/>
        <v>0</v>
      </c>
      <c r="AZ98" s="256">
        <f t="shared" si="175"/>
        <v>0</v>
      </c>
      <c r="BA98" s="249">
        <f t="shared" si="121"/>
        <v>8610</v>
      </c>
      <c r="BB98" s="256">
        <f t="shared" si="122"/>
        <v>1890.0000000000005</v>
      </c>
      <c r="BC98" s="35" t="s">
        <v>115</v>
      </c>
    </row>
    <row r="99" spans="2:55" s="35" customFormat="1" x14ac:dyDescent="0.25">
      <c r="B99" s="72" t="s">
        <v>19</v>
      </c>
      <c r="C99" s="72" t="s">
        <v>85</v>
      </c>
      <c r="D99" s="199">
        <v>3</v>
      </c>
      <c r="E99" s="199">
        <v>3</v>
      </c>
      <c r="F99" s="199" t="s">
        <v>280</v>
      </c>
      <c r="G99" s="199">
        <v>14</v>
      </c>
      <c r="H99" s="199"/>
      <c r="I99" s="72" t="str">
        <f t="shared" si="145"/>
        <v>3.3.b.14</v>
      </c>
      <c r="J99" s="72"/>
      <c r="K99" s="35" t="s">
        <v>116</v>
      </c>
      <c r="L99" s="73">
        <f t="shared" si="119"/>
        <v>35000</v>
      </c>
      <c r="M99" s="308">
        <f t="shared" si="158"/>
        <v>28700</v>
      </c>
      <c r="N99" s="309">
        <f t="shared" si="159"/>
        <v>6300.0000000000018</v>
      </c>
      <c r="O99" s="306">
        <v>0.82</v>
      </c>
      <c r="P99" s="307">
        <f t="shared" si="160"/>
        <v>0.18000000000000005</v>
      </c>
      <c r="Q99" s="248"/>
      <c r="R99" s="39"/>
      <c r="S99" s="39">
        <v>577500</v>
      </c>
      <c r="T99" s="39">
        <v>346500</v>
      </c>
      <c r="U99" s="39">
        <v>115499.99999999999</v>
      </c>
      <c r="V99" s="245">
        <v>115499.99999999999</v>
      </c>
      <c r="W99" s="231"/>
      <c r="X99" s="401"/>
      <c r="Y99" s="401"/>
      <c r="Z99" s="401"/>
      <c r="AA99" s="73"/>
      <c r="AE99" s="72"/>
      <c r="AF99" s="72">
        <v>1</v>
      </c>
      <c r="AG99" s="72">
        <v>1</v>
      </c>
      <c r="AH99" s="72">
        <v>1</v>
      </c>
      <c r="AI99" s="72">
        <v>1</v>
      </c>
      <c r="AJ99" s="249">
        <f t="shared" si="161"/>
        <v>0</v>
      </c>
      <c r="AK99" s="255">
        <f t="shared" si="162"/>
        <v>17500</v>
      </c>
      <c r="AL99" s="255">
        <f t="shared" si="163"/>
        <v>10500</v>
      </c>
      <c r="AM99" s="255">
        <f t="shared" si="164"/>
        <v>3499.9999999999995</v>
      </c>
      <c r="AN99" s="256">
        <f t="shared" si="165"/>
        <v>3499.9999999999995</v>
      </c>
      <c r="AO99" s="261">
        <f t="shared" si="120"/>
        <v>35000</v>
      </c>
      <c r="AQ99" s="249">
        <f t="shared" si="166"/>
        <v>0</v>
      </c>
      <c r="AR99" s="151">
        <f t="shared" si="167"/>
        <v>0</v>
      </c>
      <c r="AS99" s="150">
        <f t="shared" si="168"/>
        <v>14350</v>
      </c>
      <c r="AT99" s="151">
        <f t="shared" si="169"/>
        <v>3150.0000000000009</v>
      </c>
      <c r="AU99" s="150">
        <f t="shared" si="170"/>
        <v>8610</v>
      </c>
      <c r="AV99" s="151">
        <f t="shared" si="171"/>
        <v>1890.0000000000005</v>
      </c>
      <c r="AW99" s="150">
        <f t="shared" si="172"/>
        <v>2869.9999999999995</v>
      </c>
      <c r="AX99" s="151">
        <f t="shared" si="173"/>
        <v>630.00000000000011</v>
      </c>
      <c r="AY99" s="150">
        <f t="shared" si="174"/>
        <v>2869.9999999999995</v>
      </c>
      <c r="AZ99" s="256">
        <f t="shared" si="175"/>
        <v>630.00000000000011</v>
      </c>
      <c r="BA99" s="249">
        <f t="shared" si="121"/>
        <v>28700</v>
      </c>
      <c r="BB99" s="256">
        <f t="shared" si="122"/>
        <v>6300.0000000000018</v>
      </c>
      <c r="BC99" s="35" t="s">
        <v>116</v>
      </c>
    </row>
    <row r="100" spans="2:55" s="35" customFormat="1" x14ac:dyDescent="0.25">
      <c r="B100" s="72" t="s">
        <v>19</v>
      </c>
      <c r="C100" s="72" t="s">
        <v>85</v>
      </c>
      <c r="D100" s="199">
        <v>3</v>
      </c>
      <c r="E100" s="199">
        <v>3</v>
      </c>
      <c r="F100" s="199" t="s">
        <v>280</v>
      </c>
      <c r="G100" s="199">
        <v>15</v>
      </c>
      <c r="H100" s="199"/>
      <c r="I100" s="72" t="str">
        <f t="shared" si="145"/>
        <v>3.3.b.15</v>
      </c>
      <c r="J100" s="72"/>
      <c r="K100" s="35" t="s">
        <v>117</v>
      </c>
      <c r="L100" s="73">
        <f t="shared" si="119"/>
        <v>35000</v>
      </c>
      <c r="M100" s="308">
        <f t="shared" si="158"/>
        <v>28700</v>
      </c>
      <c r="N100" s="309">
        <f t="shared" si="159"/>
        <v>6300.0000000000018</v>
      </c>
      <c r="O100" s="306">
        <v>0.82</v>
      </c>
      <c r="P100" s="307">
        <f t="shared" si="160"/>
        <v>0.18000000000000005</v>
      </c>
      <c r="Q100" s="248"/>
      <c r="R100" s="39"/>
      <c r="S100" s="39">
        <v>1155000</v>
      </c>
      <c r="T100" s="39"/>
      <c r="U100" s="39"/>
      <c r="V100" s="245"/>
      <c r="W100" s="231"/>
      <c r="X100" s="401"/>
      <c r="Y100" s="401"/>
      <c r="Z100" s="401"/>
      <c r="AA100" s="73"/>
      <c r="AE100" s="72"/>
      <c r="AF100" s="72">
        <v>1</v>
      </c>
      <c r="AG100" s="72"/>
      <c r="AH100" s="72"/>
      <c r="AI100" s="72"/>
      <c r="AJ100" s="249">
        <f t="shared" si="161"/>
        <v>0</v>
      </c>
      <c r="AK100" s="255">
        <f t="shared" si="162"/>
        <v>35000</v>
      </c>
      <c r="AL100" s="255">
        <f t="shared" si="163"/>
        <v>0</v>
      </c>
      <c r="AM100" s="255">
        <f t="shared" si="164"/>
        <v>0</v>
      </c>
      <c r="AN100" s="256">
        <f t="shared" si="165"/>
        <v>0</v>
      </c>
      <c r="AO100" s="261">
        <f t="shared" si="120"/>
        <v>35000</v>
      </c>
      <c r="AQ100" s="249">
        <f t="shared" si="166"/>
        <v>0</v>
      </c>
      <c r="AR100" s="151">
        <f t="shared" si="167"/>
        <v>0</v>
      </c>
      <c r="AS100" s="150">
        <f t="shared" si="168"/>
        <v>28700</v>
      </c>
      <c r="AT100" s="151">
        <f t="shared" si="169"/>
        <v>6300.0000000000018</v>
      </c>
      <c r="AU100" s="150">
        <f t="shared" si="170"/>
        <v>0</v>
      </c>
      <c r="AV100" s="151">
        <f t="shared" si="171"/>
        <v>0</v>
      </c>
      <c r="AW100" s="150">
        <f t="shared" si="172"/>
        <v>0</v>
      </c>
      <c r="AX100" s="151">
        <f t="shared" si="173"/>
        <v>0</v>
      </c>
      <c r="AY100" s="150">
        <f t="shared" si="174"/>
        <v>0</v>
      </c>
      <c r="AZ100" s="256">
        <f t="shared" si="175"/>
        <v>0</v>
      </c>
      <c r="BA100" s="249">
        <f t="shared" si="121"/>
        <v>28700</v>
      </c>
      <c r="BB100" s="256">
        <f t="shared" si="122"/>
        <v>6300.0000000000018</v>
      </c>
      <c r="BC100" s="35" t="s">
        <v>117</v>
      </c>
    </row>
    <row r="101" spans="2:55" s="51" customFormat="1" x14ac:dyDescent="0.25">
      <c r="B101" s="34" t="s">
        <v>33</v>
      </c>
      <c r="C101" s="34"/>
      <c r="D101" s="221">
        <v>3</v>
      </c>
      <c r="E101" s="221">
        <v>3</v>
      </c>
      <c r="F101" s="221" t="s">
        <v>269</v>
      </c>
      <c r="G101" s="221">
        <v>0</v>
      </c>
      <c r="H101" s="221">
        <v>0</v>
      </c>
      <c r="I101" s="34" t="str">
        <f t="shared" si="145"/>
        <v>3.3.c.0</v>
      </c>
      <c r="J101" s="34"/>
      <c r="K101" s="51" t="s">
        <v>372</v>
      </c>
      <c r="L101" s="45">
        <f t="shared" si="119"/>
        <v>594507.52046218631</v>
      </c>
      <c r="M101" s="80">
        <f t="shared" ref="M101:Q101" si="176">SUM(M102:M109)</f>
        <v>302580</v>
      </c>
      <c r="N101" s="237">
        <f t="shared" si="176"/>
        <v>291927.52046218625</v>
      </c>
      <c r="O101" s="86"/>
      <c r="P101" s="87"/>
      <c r="Q101" s="80">
        <f t="shared" si="176"/>
        <v>0</v>
      </c>
      <c r="R101" s="237">
        <f>SUM(R102:R109)</f>
        <v>6233189.6072629262</v>
      </c>
      <c r="S101" s="237">
        <f t="shared" ref="S101:V101" si="177">SUM(S102:S109)</f>
        <v>11554058.567989219</v>
      </c>
      <c r="T101" s="237">
        <f t="shared" si="177"/>
        <v>610500</v>
      </c>
      <c r="U101" s="237">
        <f t="shared" si="177"/>
        <v>610500</v>
      </c>
      <c r="V101" s="75">
        <f t="shared" si="177"/>
        <v>610500</v>
      </c>
      <c r="W101" s="53"/>
      <c r="X101" s="400"/>
      <c r="Y101" s="400"/>
      <c r="Z101" s="400"/>
      <c r="AA101" s="45"/>
      <c r="AJ101" s="80">
        <f t="shared" ref="AJ101:AZ101" si="178">SUM(AJ102:AJ109)</f>
        <v>188884.53355342202</v>
      </c>
      <c r="AK101" s="237">
        <f t="shared" si="178"/>
        <v>350122.98690876423</v>
      </c>
      <c r="AL101" s="237">
        <f t="shared" si="178"/>
        <v>18500</v>
      </c>
      <c r="AM101" s="237">
        <f t="shared" si="178"/>
        <v>18500</v>
      </c>
      <c r="AN101" s="75">
        <f t="shared" si="178"/>
        <v>18500</v>
      </c>
      <c r="AO101" s="259">
        <f t="shared" si="120"/>
        <v>594507.52046218631</v>
      </c>
      <c r="AP101" s="139"/>
      <c r="AQ101" s="264">
        <f t="shared" si="178"/>
        <v>66830</v>
      </c>
      <c r="AR101" s="135">
        <f t="shared" si="178"/>
        <v>122054.53355342201</v>
      </c>
      <c r="AS101" s="134">
        <f t="shared" si="178"/>
        <v>190240</v>
      </c>
      <c r="AT101" s="135">
        <f t="shared" si="178"/>
        <v>159882.98690876423</v>
      </c>
      <c r="AU101" s="134">
        <f t="shared" si="178"/>
        <v>15170</v>
      </c>
      <c r="AV101" s="135">
        <f t="shared" si="178"/>
        <v>3330.0000000000009</v>
      </c>
      <c r="AW101" s="134">
        <f t="shared" si="178"/>
        <v>15170</v>
      </c>
      <c r="AX101" s="135">
        <f t="shared" si="178"/>
        <v>3330.0000000000009</v>
      </c>
      <c r="AY101" s="134">
        <f t="shared" si="178"/>
        <v>15170</v>
      </c>
      <c r="AZ101" s="265">
        <f t="shared" si="178"/>
        <v>3330.0000000000009</v>
      </c>
      <c r="BA101" s="264">
        <f t="shared" si="121"/>
        <v>302580</v>
      </c>
      <c r="BB101" s="265">
        <f t="shared" si="122"/>
        <v>291927.52046218625</v>
      </c>
    </row>
    <row r="102" spans="2:55" s="35" customFormat="1" x14ac:dyDescent="0.25">
      <c r="B102" s="72" t="s">
        <v>33</v>
      </c>
      <c r="C102" s="72" t="s">
        <v>85</v>
      </c>
      <c r="D102" s="199">
        <v>3</v>
      </c>
      <c r="E102" s="199">
        <v>3</v>
      </c>
      <c r="F102" s="199" t="s">
        <v>269</v>
      </c>
      <c r="G102" s="199">
        <v>1</v>
      </c>
      <c r="H102" s="199"/>
      <c r="I102" s="72" t="str">
        <f t="shared" si="145"/>
        <v>3.3.c.1</v>
      </c>
      <c r="J102" s="72"/>
      <c r="K102" s="35" t="s">
        <v>90</v>
      </c>
      <c r="L102" s="73">
        <f t="shared" si="119"/>
        <v>75000</v>
      </c>
      <c r="M102" s="308">
        <f t="shared" ref="M102:N109" si="179">+O102*$L102</f>
        <v>61499.999999999993</v>
      </c>
      <c r="N102" s="309">
        <f t="shared" si="179"/>
        <v>13500.000000000004</v>
      </c>
      <c r="O102" s="306">
        <v>0.82</v>
      </c>
      <c r="P102" s="307">
        <f t="shared" ref="P102:P110" si="180">1-O102</f>
        <v>0.18000000000000005</v>
      </c>
      <c r="Q102" s="248"/>
      <c r="R102" s="39">
        <v>495000</v>
      </c>
      <c r="S102" s="39">
        <v>495000</v>
      </c>
      <c r="T102" s="39">
        <v>495000</v>
      </c>
      <c r="U102" s="39">
        <v>495000</v>
      </c>
      <c r="V102" s="245">
        <v>495000</v>
      </c>
      <c r="W102" s="231"/>
      <c r="X102" s="401" t="s">
        <v>228</v>
      </c>
      <c r="Y102" s="401"/>
      <c r="Z102" s="401"/>
      <c r="AA102" s="73"/>
      <c r="AE102" s="72">
        <v>1</v>
      </c>
      <c r="AF102" s="72">
        <v>1</v>
      </c>
      <c r="AG102" s="72">
        <v>1</v>
      </c>
      <c r="AH102" s="72">
        <v>1</v>
      </c>
      <c r="AI102" s="72">
        <v>1</v>
      </c>
      <c r="AJ102" s="249">
        <f t="shared" ref="AJ102:AJ109" si="181">+(R102+Q102)/$AJ$1</f>
        <v>15000</v>
      </c>
      <c r="AK102" s="255">
        <f t="shared" ref="AK102:AK109" si="182">+S102/$AK$1</f>
        <v>15000</v>
      </c>
      <c r="AL102" s="255">
        <f t="shared" ref="AL102:AL109" si="183">+T102/$AL$1</f>
        <v>15000</v>
      </c>
      <c r="AM102" s="255">
        <f t="shared" ref="AM102:AM109" si="184">+U102/$AM$1</f>
        <v>15000</v>
      </c>
      <c r="AN102" s="256">
        <f t="shared" ref="AN102:AN109" si="185">+V102/$AN$1</f>
        <v>15000</v>
      </c>
      <c r="AO102" s="261">
        <f t="shared" si="120"/>
        <v>75000</v>
      </c>
      <c r="AQ102" s="249">
        <f t="shared" ref="AQ102:AQ109" si="186">+AJ102*$O102</f>
        <v>12300</v>
      </c>
      <c r="AR102" s="151">
        <f t="shared" ref="AR102:AR109" si="187">+AJ102*$P102</f>
        <v>2700.0000000000009</v>
      </c>
      <c r="AS102" s="150">
        <f t="shared" ref="AS102:AS109" si="188">+AK102*$O102</f>
        <v>12300</v>
      </c>
      <c r="AT102" s="151">
        <f t="shared" ref="AT102:AT109" si="189">+AK102*$P102</f>
        <v>2700.0000000000009</v>
      </c>
      <c r="AU102" s="150">
        <f t="shared" ref="AU102:AU109" si="190">+AL102*$O102</f>
        <v>12300</v>
      </c>
      <c r="AV102" s="151">
        <f t="shared" ref="AV102:AV109" si="191">+AL102*$P102</f>
        <v>2700.0000000000009</v>
      </c>
      <c r="AW102" s="150">
        <f t="shared" ref="AW102:AW109" si="192">+AM102*$O102</f>
        <v>12300</v>
      </c>
      <c r="AX102" s="151">
        <f t="shared" ref="AX102:AX109" si="193">+AM102*$P102</f>
        <v>2700.0000000000009</v>
      </c>
      <c r="AY102" s="150">
        <f t="shared" ref="AY102:AY109" si="194">+AN102*$O102</f>
        <v>12300</v>
      </c>
      <c r="AZ102" s="256">
        <f t="shared" ref="AZ102:AZ109" si="195">+AN102*$P102</f>
        <v>2700.0000000000009</v>
      </c>
      <c r="BA102" s="249">
        <f t="shared" si="121"/>
        <v>61500</v>
      </c>
      <c r="BB102" s="256">
        <f t="shared" si="122"/>
        <v>13500.000000000004</v>
      </c>
      <c r="BC102" s="35" t="s">
        <v>90</v>
      </c>
    </row>
    <row r="103" spans="2:55" s="35" customFormat="1" x14ac:dyDescent="0.25">
      <c r="B103" s="72" t="s">
        <v>33</v>
      </c>
      <c r="C103" s="72" t="s">
        <v>85</v>
      </c>
      <c r="D103" s="199">
        <v>3</v>
      </c>
      <c r="E103" s="199">
        <v>3</v>
      </c>
      <c r="F103" s="199" t="s">
        <v>269</v>
      </c>
      <c r="G103" s="199">
        <v>2</v>
      </c>
      <c r="H103" s="199"/>
      <c r="I103" s="72" t="str">
        <f t="shared" si="145"/>
        <v>3.3.c.2</v>
      </c>
      <c r="J103" s="72"/>
      <c r="K103" s="35" t="s">
        <v>98</v>
      </c>
      <c r="L103" s="73">
        <f t="shared" si="119"/>
        <v>175000</v>
      </c>
      <c r="M103" s="308">
        <f t="shared" si="179"/>
        <v>143500</v>
      </c>
      <c r="N103" s="309">
        <f t="shared" si="179"/>
        <v>31500.000000000007</v>
      </c>
      <c r="O103" s="306">
        <v>0.82</v>
      </c>
      <c r="P103" s="307">
        <f t="shared" si="180"/>
        <v>0.18000000000000005</v>
      </c>
      <c r="Q103" s="248"/>
      <c r="R103" s="39"/>
      <c r="S103" s="39">
        <v>5775000</v>
      </c>
      <c r="T103" s="39"/>
      <c r="U103" s="39"/>
      <c r="V103" s="245"/>
      <c r="W103" s="231"/>
      <c r="X103" s="401"/>
      <c r="Y103" s="401"/>
      <c r="Z103" s="401"/>
      <c r="AA103" s="73"/>
      <c r="AE103" s="72"/>
      <c r="AF103" s="72">
        <v>1</v>
      </c>
      <c r="AG103" s="72">
        <v>1</v>
      </c>
      <c r="AH103" s="72">
        <v>1</v>
      </c>
      <c r="AI103" s="72">
        <v>1</v>
      </c>
      <c r="AJ103" s="249">
        <f t="shared" si="181"/>
        <v>0</v>
      </c>
      <c r="AK103" s="255">
        <f t="shared" si="182"/>
        <v>175000</v>
      </c>
      <c r="AL103" s="255">
        <f t="shared" si="183"/>
        <v>0</v>
      </c>
      <c r="AM103" s="255">
        <f t="shared" si="184"/>
        <v>0</v>
      </c>
      <c r="AN103" s="256">
        <f t="shared" si="185"/>
        <v>0</v>
      </c>
      <c r="AO103" s="261">
        <f t="shared" si="120"/>
        <v>175000</v>
      </c>
      <c r="AQ103" s="249">
        <f t="shared" si="186"/>
        <v>0</v>
      </c>
      <c r="AR103" s="151">
        <f t="shared" si="187"/>
        <v>0</v>
      </c>
      <c r="AS103" s="150">
        <f t="shared" si="188"/>
        <v>143500</v>
      </c>
      <c r="AT103" s="151">
        <f t="shared" si="189"/>
        <v>31500.000000000007</v>
      </c>
      <c r="AU103" s="150">
        <f t="shared" si="190"/>
        <v>0</v>
      </c>
      <c r="AV103" s="151">
        <f t="shared" si="191"/>
        <v>0</v>
      </c>
      <c r="AW103" s="150">
        <f t="shared" si="192"/>
        <v>0</v>
      </c>
      <c r="AX103" s="151">
        <f t="shared" si="193"/>
        <v>0</v>
      </c>
      <c r="AY103" s="150">
        <f t="shared" si="194"/>
        <v>0</v>
      </c>
      <c r="AZ103" s="256">
        <f t="shared" si="195"/>
        <v>0</v>
      </c>
      <c r="BA103" s="249">
        <f t="shared" si="121"/>
        <v>143500</v>
      </c>
      <c r="BB103" s="256">
        <f t="shared" si="122"/>
        <v>31500.000000000007</v>
      </c>
      <c r="BC103" s="35" t="s">
        <v>98</v>
      </c>
    </row>
    <row r="104" spans="2:55" s="35" customFormat="1" x14ac:dyDescent="0.25">
      <c r="B104" s="72" t="s">
        <v>33</v>
      </c>
      <c r="C104" s="72" t="s">
        <v>85</v>
      </c>
      <c r="D104" s="199">
        <v>3</v>
      </c>
      <c r="E104" s="199">
        <v>3</v>
      </c>
      <c r="F104" s="199" t="s">
        <v>269</v>
      </c>
      <c r="G104" s="199">
        <v>3</v>
      </c>
      <c r="H104" s="199"/>
      <c r="I104" s="72" t="str">
        <f t="shared" si="145"/>
        <v>3.3.c.3</v>
      </c>
      <c r="J104" s="72"/>
      <c r="K104" s="35" t="s">
        <v>108</v>
      </c>
      <c r="L104" s="73">
        <f t="shared" si="119"/>
        <v>21000</v>
      </c>
      <c r="M104" s="308">
        <f t="shared" si="179"/>
        <v>17220</v>
      </c>
      <c r="N104" s="309">
        <f t="shared" si="179"/>
        <v>3780.0000000000009</v>
      </c>
      <c r="O104" s="306">
        <v>0.82</v>
      </c>
      <c r="P104" s="307">
        <f t="shared" si="180"/>
        <v>0.18000000000000005</v>
      </c>
      <c r="Q104" s="248"/>
      <c r="R104" s="39">
        <v>693000</v>
      </c>
      <c r="S104" s="39"/>
      <c r="T104" s="39"/>
      <c r="U104" s="39"/>
      <c r="V104" s="245"/>
      <c r="W104" s="231"/>
      <c r="X104" s="401"/>
      <c r="Y104" s="401"/>
      <c r="Z104" s="401"/>
      <c r="AA104" s="73"/>
      <c r="AE104" s="72">
        <v>1</v>
      </c>
      <c r="AF104" s="72"/>
      <c r="AG104" s="72"/>
      <c r="AH104" s="72"/>
      <c r="AI104" s="72"/>
      <c r="AJ104" s="249">
        <f t="shared" si="181"/>
        <v>21000</v>
      </c>
      <c r="AK104" s="255">
        <f t="shared" si="182"/>
        <v>0</v>
      </c>
      <c r="AL104" s="255">
        <f t="shared" si="183"/>
        <v>0</v>
      </c>
      <c r="AM104" s="255">
        <f t="shared" si="184"/>
        <v>0</v>
      </c>
      <c r="AN104" s="256">
        <f t="shared" si="185"/>
        <v>0</v>
      </c>
      <c r="AO104" s="261">
        <f t="shared" si="120"/>
        <v>21000</v>
      </c>
      <c r="AQ104" s="249">
        <f t="shared" si="186"/>
        <v>17220</v>
      </c>
      <c r="AR104" s="151">
        <f t="shared" si="187"/>
        <v>3780.0000000000009</v>
      </c>
      <c r="AS104" s="150">
        <f t="shared" si="188"/>
        <v>0</v>
      </c>
      <c r="AT104" s="151">
        <f t="shared" si="189"/>
        <v>0</v>
      </c>
      <c r="AU104" s="150">
        <f t="shared" si="190"/>
        <v>0</v>
      </c>
      <c r="AV104" s="151">
        <f t="shared" si="191"/>
        <v>0</v>
      </c>
      <c r="AW104" s="150">
        <f t="shared" si="192"/>
        <v>0</v>
      </c>
      <c r="AX104" s="151">
        <f t="shared" si="193"/>
        <v>0</v>
      </c>
      <c r="AY104" s="150">
        <f t="shared" si="194"/>
        <v>0</v>
      </c>
      <c r="AZ104" s="256">
        <f t="shared" si="195"/>
        <v>0</v>
      </c>
      <c r="BA104" s="249">
        <f t="shared" si="121"/>
        <v>17220</v>
      </c>
      <c r="BB104" s="256">
        <f t="shared" si="122"/>
        <v>3780.0000000000009</v>
      </c>
      <c r="BC104" s="35" t="s">
        <v>108</v>
      </c>
    </row>
    <row r="105" spans="2:55" s="35" customFormat="1" x14ac:dyDescent="0.25">
      <c r="B105" s="72" t="s">
        <v>33</v>
      </c>
      <c r="C105" s="72" t="s">
        <v>85</v>
      </c>
      <c r="D105" s="199">
        <v>3</v>
      </c>
      <c r="E105" s="199">
        <v>3</v>
      </c>
      <c r="F105" s="199" t="s">
        <v>269</v>
      </c>
      <c r="G105" s="199">
        <v>4</v>
      </c>
      <c r="H105" s="199"/>
      <c r="I105" s="72" t="str">
        <f t="shared" si="145"/>
        <v>3.3.c.4</v>
      </c>
      <c r="J105" s="72"/>
      <c r="K105" s="35" t="s">
        <v>109</v>
      </c>
      <c r="L105" s="73">
        <f t="shared" si="119"/>
        <v>21000</v>
      </c>
      <c r="M105" s="308">
        <f t="shared" si="179"/>
        <v>17220</v>
      </c>
      <c r="N105" s="309">
        <f t="shared" si="179"/>
        <v>3780.0000000000009</v>
      </c>
      <c r="O105" s="306">
        <v>0.82</v>
      </c>
      <c r="P105" s="307">
        <f t="shared" si="180"/>
        <v>0.18000000000000005</v>
      </c>
      <c r="Q105" s="248"/>
      <c r="R105" s="39">
        <v>693000</v>
      </c>
      <c r="S105" s="39"/>
      <c r="T105" s="39"/>
      <c r="U105" s="39"/>
      <c r="V105" s="245"/>
      <c r="W105" s="231"/>
      <c r="X105" s="401"/>
      <c r="Y105" s="401"/>
      <c r="Z105" s="401"/>
      <c r="AA105" s="73"/>
      <c r="AE105" s="72">
        <v>1</v>
      </c>
      <c r="AF105" s="72"/>
      <c r="AG105" s="72"/>
      <c r="AH105" s="72"/>
      <c r="AI105" s="72"/>
      <c r="AJ105" s="249">
        <f t="shared" si="181"/>
        <v>21000</v>
      </c>
      <c r="AK105" s="255">
        <f t="shared" si="182"/>
        <v>0</v>
      </c>
      <c r="AL105" s="255">
        <f t="shared" si="183"/>
        <v>0</v>
      </c>
      <c r="AM105" s="255">
        <f t="shared" si="184"/>
        <v>0</v>
      </c>
      <c r="AN105" s="256">
        <f t="shared" si="185"/>
        <v>0</v>
      </c>
      <c r="AO105" s="261">
        <f t="shared" si="120"/>
        <v>21000</v>
      </c>
      <c r="AQ105" s="249">
        <f t="shared" si="186"/>
        <v>17220</v>
      </c>
      <c r="AR105" s="151">
        <f t="shared" si="187"/>
        <v>3780.0000000000009</v>
      </c>
      <c r="AS105" s="150">
        <f t="shared" si="188"/>
        <v>0</v>
      </c>
      <c r="AT105" s="151">
        <f t="shared" si="189"/>
        <v>0</v>
      </c>
      <c r="AU105" s="150">
        <f t="shared" si="190"/>
        <v>0</v>
      </c>
      <c r="AV105" s="151">
        <f t="shared" si="191"/>
        <v>0</v>
      </c>
      <c r="AW105" s="150">
        <f t="shared" si="192"/>
        <v>0</v>
      </c>
      <c r="AX105" s="151">
        <f t="shared" si="193"/>
        <v>0</v>
      </c>
      <c r="AY105" s="150">
        <f t="shared" si="194"/>
        <v>0</v>
      </c>
      <c r="AZ105" s="256">
        <f t="shared" si="195"/>
        <v>0</v>
      </c>
      <c r="BA105" s="249">
        <f t="shared" si="121"/>
        <v>17220</v>
      </c>
      <c r="BB105" s="256">
        <f t="shared" si="122"/>
        <v>3780.0000000000009</v>
      </c>
      <c r="BC105" s="35" t="s">
        <v>109</v>
      </c>
    </row>
    <row r="106" spans="2:55" s="35" customFormat="1" x14ac:dyDescent="0.25">
      <c r="B106" s="72" t="s">
        <v>33</v>
      </c>
      <c r="C106" s="72" t="s">
        <v>85</v>
      </c>
      <c r="D106" s="199">
        <v>3</v>
      </c>
      <c r="E106" s="199">
        <v>3</v>
      </c>
      <c r="F106" s="199" t="s">
        <v>269</v>
      </c>
      <c r="G106" s="199">
        <v>5</v>
      </c>
      <c r="H106" s="199"/>
      <c r="I106" s="72" t="str">
        <f t="shared" si="145"/>
        <v>3.3.c.5</v>
      </c>
      <c r="J106" s="72"/>
      <c r="K106" s="35" t="s">
        <v>110</v>
      </c>
      <c r="L106" s="73">
        <f t="shared" si="119"/>
        <v>10500</v>
      </c>
      <c r="M106" s="308">
        <f t="shared" si="179"/>
        <v>8610</v>
      </c>
      <c r="N106" s="309">
        <f t="shared" si="179"/>
        <v>1890.0000000000005</v>
      </c>
      <c r="O106" s="306">
        <v>0.82</v>
      </c>
      <c r="P106" s="307">
        <f t="shared" si="180"/>
        <v>0.18000000000000005</v>
      </c>
      <c r="Q106" s="248"/>
      <c r="R106" s="39">
        <v>346500</v>
      </c>
      <c r="S106" s="39"/>
      <c r="T106" s="39"/>
      <c r="U106" s="39"/>
      <c r="V106" s="245"/>
      <c r="W106" s="231"/>
      <c r="X106" s="401"/>
      <c r="Y106" s="401"/>
      <c r="Z106" s="401"/>
      <c r="AA106" s="73"/>
      <c r="AE106" s="72">
        <v>1</v>
      </c>
      <c r="AF106" s="72"/>
      <c r="AG106" s="72"/>
      <c r="AH106" s="72"/>
      <c r="AI106" s="72"/>
      <c r="AJ106" s="249">
        <f t="shared" si="181"/>
        <v>10500</v>
      </c>
      <c r="AK106" s="255">
        <f t="shared" si="182"/>
        <v>0</v>
      </c>
      <c r="AL106" s="255">
        <f t="shared" si="183"/>
        <v>0</v>
      </c>
      <c r="AM106" s="255">
        <f t="shared" si="184"/>
        <v>0</v>
      </c>
      <c r="AN106" s="256">
        <f t="shared" si="185"/>
        <v>0</v>
      </c>
      <c r="AO106" s="261">
        <f t="shared" si="120"/>
        <v>10500</v>
      </c>
      <c r="AQ106" s="249">
        <f t="shared" si="186"/>
        <v>8610</v>
      </c>
      <c r="AR106" s="151">
        <f t="shared" si="187"/>
        <v>1890.0000000000005</v>
      </c>
      <c r="AS106" s="150">
        <f t="shared" si="188"/>
        <v>0</v>
      </c>
      <c r="AT106" s="151">
        <f t="shared" si="189"/>
        <v>0</v>
      </c>
      <c r="AU106" s="150">
        <f t="shared" si="190"/>
        <v>0</v>
      </c>
      <c r="AV106" s="151">
        <f t="shared" si="191"/>
        <v>0</v>
      </c>
      <c r="AW106" s="150">
        <f t="shared" si="192"/>
        <v>0</v>
      </c>
      <c r="AX106" s="151">
        <f t="shared" si="193"/>
        <v>0</v>
      </c>
      <c r="AY106" s="150">
        <f t="shared" si="194"/>
        <v>0</v>
      </c>
      <c r="AZ106" s="256">
        <f t="shared" si="195"/>
        <v>0</v>
      </c>
      <c r="BA106" s="249">
        <f t="shared" si="121"/>
        <v>8610</v>
      </c>
      <c r="BB106" s="256">
        <f t="shared" si="122"/>
        <v>1890.0000000000005</v>
      </c>
      <c r="BC106" s="35" t="s">
        <v>110</v>
      </c>
    </row>
    <row r="107" spans="2:55" s="35" customFormat="1" x14ac:dyDescent="0.25">
      <c r="B107" s="72" t="s">
        <v>33</v>
      </c>
      <c r="C107" s="72" t="s">
        <v>85</v>
      </c>
      <c r="D107" s="199">
        <v>3</v>
      </c>
      <c r="E107" s="199">
        <v>3</v>
      </c>
      <c r="F107" s="199" t="s">
        <v>269</v>
      </c>
      <c r="G107" s="199">
        <v>6</v>
      </c>
      <c r="H107" s="199"/>
      <c r="I107" s="72" t="str">
        <f t="shared" si="145"/>
        <v>3.3.c.6</v>
      </c>
      <c r="J107" s="72"/>
      <c r="K107" s="35" t="s">
        <v>111</v>
      </c>
      <c r="L107" s="73">
        <f t="shared" si="119"/>
        <v>31499.999999999996</v>
      </c>
      <c r="M107" s="308">
        <f t="shared" si="179"/>
        <v>25829.999999999996</v>
      </c>
      <c r="N107" s="309">
        <f t="shared" si="179"/>
        <v>5670.0000000000009</v>
      </c>
      <c r="O107" s="306">
        <v>0.82</v>
      </c>
      <c r="P107" s="307">
        <f t="shared" si="180"/>
        <v>0.18000000000000005</v>
      </c>
      <c r="Q107" s="248"/>
      <c r="R107" s="39">
        <v>461999.99999999994</v>
      </c>
      <c r="S107" s="39">
        <v>230999.99999999997</v>
      </c>
      <c r="T107" s="39">
        <v>115499.99999999999</v>
      </c>
      <c r="U107" s="39">
        <v>115499.99999999999</v>
      </c>
      <c r="V107" s="245">
        <v>115499.99999999999</v>
      </c>
      <c r="W107" s="231"/>
      <c r="X107" s="401"/>
      <c r="Y107" s="401"/>
      <c r="Z107" s="401"/>
      <c r="AA107" s="73"/>
      <c r="AE107" s="72">
        <v>1</v>
      </c>
      <c r="AF107" s="72">
        <v>1</v>
      </c>
      <c r="AG107" s="72">
        <v>1</v>
      </c>
      <c r="AH107" s="72">
        <v>1</v>
      </c>
      <c r="AI107" s="72">
        <v>1</v>
      </c>
      <c r="AJ107" s="249">
        <f t="shared" si="181"/>
        <v>13999.999999999998</v>
      </c>
      <c r="AK107" s="255">
        <f t="shared" si="182"/>
        <v>6999.9999999999991</v>
      </c>
      <c r="AL107" s="255">
        <f t="shared" si="183"/>
        <v>3499.9999999999995</v>
      </c>
      <c r="AM107" s="255">
        <f t="shared" si="184"/>
        <v>3499.9999999999995</v>
      </c>
      <c r="AN107" s="256">
        <f t="shared" si="185"/>
        <v>3499.9999999999995</v>
      </c>
      <c r="AO107" s="261">
        <f t="shared" si="120"/>
        <v>31499.999999999996</v>
      </c>
      <c r="AQ107" s="249">
        <f t="shared" si="186"/>
        <v>11479.999999999998</v>
      </c>
      <c r="AR107" s="151">
        <f t="shared" si="187"/>
        <v>2520.0000000000005</v>
      </c>
      <c r="AS107" s="150">
        <f t="shared" si="188"/>
        <v>5739.9999999999991</v>
      </c>
      <c r="AT107" s="151">
        <f t="shared" si="189"/>
        <v>1260.0000000000002</v>
      </c>
      <c r="AU107" s="150">
        <f t="shared" si="190"/>
        <v>2869.9999999999995</v>
      </c>
      <c r="AV107" s="151">
        <f t="shared" si="191"/>
        <v>630.00000000000011</v>
      </c>
      <c r="AW107" s="150">
        <f t="shared" si="192"/>
        <v>2869.9999999999995</v>
      </c>
      <c r="AX107" s="151">
        <f t="shared" si="193"/>
        <v>630.00000000000011</v>
      </c>
      <c r="AY107" s="150">
        <f t="shared" si="194"/>
        <v>2869.9999999999995</v>
      </c>
      <c r="AZ107" s="256">
        <f t="shared" si="195"/>
        <v>630.00000000000011</v>
      </c>
      <c r="BA107" s="249">
        <f t="shared" si="121"/>
        <v>25829.999999999996</v>
      </c>
      <c r="BB107" s="256">
        <f t="shared" si="122"/>
        <v>5670.0000000000009</v>
      </c>
      <c r="BC107" s="35" t="s">
        <v>111</v>
      </c>
    </row>
    <row r="108" spans="2:55" s="35" customFormat="1" x14ac:dyDescent="0.25">
      <c r="B108" s="72" t="s">
        <v>33</v>
      </c>
      <c r="C108" s="72" t="s">
        <v>85</v>
      </c>
      <c r="D108" s="199">
        <v>3</v>
      </c>
      <c r="E108" s="199">
        <v>3</v>
      </c>
      <c r="F108" s="199" t="s">
        <v>269</v>
      </c>
      <c r="G108" s="199">
        <v>7</v>
      </c>
      <c r="H108" s="199"/>
      <c r="I108" s="72" t="str">
        <f t="shared" si="145"/>
        <v>3.3.c.7</v>
      </c>
      <c r="J108" s="72"/>
      <c r="K108" s="35" t="s">
        <v>112</v>
      </c>
      <c r="L108" s="73">
        <f t="shared" si="119"/>
        <v>35000</v>
      </c>
      <c r="M108" s="308">
        <f t="shared" si="179"/>
        <v>28700</v>
      </c>
      <c r="N108" s="309">
        <f t="shared" si="179"/>
        <v>6300.0000000000018</v>
      </c>
      <c r="O108" s="306">
        <v>0.82</v>
      </c>
      <c r="P108" s="307">
        <f t="shared" si="180"/>
        <v>0.18000000000000005</v>
      </c>
      <c r="Q108" s="248"/>
      <c r="R108" s="39"/>
      <c r="S108" s="39">
        <v>1155000</v>
      </c>
      <c r="T108" s="39"/>
      <c r="U108" s="39"/>
      <c r="V108" s="245"/>
      <c r="W108" s="231"/>
      <c r="X108" s="401"/>
      <c r="Y108" s="401"/>
      <c r="Z108" s="401"/>
      <c r="AA108" s="73"/>
      <c r="AE108" s="72"/>
      <c r="AF108" s="72">
        <v>1</v>
      </c>
      <c r="AG108" s="72"/>
      <c r="AH108" s="72"/>
      <c r="AI108" s="72"/>
      <c r="AJ108" s="249">
        <f t="shared" si="181"/>
        <v>0</v>
      </c>
      <c r="AK108" s="255">
        <f t="shared" si="182"/>
        <v>35000</v>
      </c>
      <c r="AL108" s="255">
        <f t="shared" si="183"/>
        <v>0</v>
      </c>
      <c r="AM108" s="255">
        <f t="shared" si="184"/>
        <v>0</v>
      </c>
      <c r="AN108" s="256">
        <f t="shared" si="185"/>
        <v>0</v>
      </c>
      <c r="AO108" s="261">
        <f t="shared" si="120"/>
        <v>35000</v>
      </c>
      <c r="AQ108" s="249">
        <f t="shared" si="186"/>
        <v>0</v>
      </c>
      <c r="AR108" s="151">
        <f t="shared" si="187"/>
        <v>0</v>
      </c>
      <c r="AS108" s="150">
        <f t="shared" si="188"/>
        <v>28700</v>
      </c>
      <c r="AT108" s="151">
        <f t="shared" si="189"/>
        <v>6300.0000000000018</v>
      </c>
      <c r="AU108" s="150">
        <f t="shared" si="190"/>
        <v>0</v>
      </c>
      <c r="AV108" s="151">
        <f t="shared" si="191"/>
        <v>0</v>
      </c>
      <c r="AW108" s="150">
        <f t="shared" si="192"/>
        <v>0</v>
      </c>
      <c r="AX108" s="151">
        <f t="shared" si="193"/>
        <v>0</v>
      </c>
      <c r="AY108" s="150">
        <f t="shared" si="194"/>
        <v>0</v>
      </c>
      <c r="AZ108" s="256">
        <f t="shared" si="195"/>
        <v>0</v>
      </c>
      <c r="BA108" s="249">
        <f t="shared" si="121"/>
        <v>28700</v>
      </c>
      <c r="BB108" s="256">
        <f t="shared" si="122"/>
        <v>6300.0000000000018</v>
      </c>
      <c r="BC108" s="35" t="s">
        <v>112</v>
      </c>
    </row>
    <row r="109" spans="2:55" s="35" customFormat="1" x14ac:dyDescent="0.25">
      <c r="B109" s="72" t="s">
        <v>33</v>
      </c>
      <c r="C109" s="72" t="s">
        <v>33</v>
      </c>
      <c r="D109" s="199">
        <v>3</v>
      </c>
      <c r="E109" s="199">
        <v>3</v>
      </c>
      <c r="F109" s="199" t="s">
        <v>269</v>
      </c>
      <c r="G109" s="199">
        <v>8</v>
      </c>
      <c r="H109" s="199"/>
      <c r="I109" s="72" t="str">
        <f t="shared" si="145"/>
        <v>3.3.c.8</v>
      </c>
      <c r="J109" s="72"/>
      <c r="K109" s="35" t="s">
        <v>118</v>
      </c>
      <c r="L109" s="73">
        <f t="shared" si="119"/>
        <v>225507.52046218622</v>
      </c>
      <c r="M109" s="308">
        <f t="shared" si="179"/>
        <v>0</v>
      </c>
      <c r="N109" s="309">
        <f t="shared" si="179"/>
        <v>225507.52046218622</v>
      </c>
      <c r="O109" s="306">
        <v>0</v>
      </c>
      <c r="P109" s="307">
        <f t="shared" si="180"/>
        <v>1</v>
      </c>
      <c r="Q109" s="248"/>
      <c r="R109" s="39">
        <f>3221536.00660266*coef17</f>
        <v>3543689.6072629262</v>
      </c>
      <c r="S109" s="39">
        <f>3221536.00660266*coef18</f>
        <v>3898058.567989219</v>
      </c>
      <c r="T109" s="39"/>
      <c r="U109" s="39"/>
      <c r="V109" s="245"/>
      <c r="W109" s="231"/>
      <c r="X109" s="401"/>
      <c r="Y109" s="401"/>
      <c r="Z109" s="401" t="s">
        <v>54</v>
      </c>
      <c r="AA109" s="73"/>
      <c r="AE109" s="72">
        <v>1</v>
      </c>
      <c r="AF109" s="72">
        <v>1</v>
      </c>
      <c r="AG109" s="72"/>
      <c r="AH109" s="72"/>
      <c r="AI109" s="72"/>
      <c r="AJ109" s="249">
        <f t="shared" si="181"/>
        <v>107384.53355342201</v>
      </c>
      <c r="AK109" s="255">
        <f t="shared" si="182"/>
        <v>118122.98690876421</v>
      </c>
      <c r="AL109" s="255">
        <f t="shared" si="183"/>
        <v>0</v>
      </c>
      <c r="AM109" s="255">
        <f t="shared" si="184"/>
        <v>0</v>
      </c>
      <c r="AN109" s="256">
        <f t="shared" si="185"/>
        <v>0</v>
      </c>
      <c r="AO109" s="261">
        <f t="shared" si="120"/>
        <v>225507.52046218622</v>
      </c>
      <c r="AQ109" s="249">
        <f t="shared" si="186"/>
        <v>0</v>
      </c>
      <c r="AR109" s="151">
        <f t="shared" si="187"/>
        <v>107384.53355342201</v>
      </c>
      <c r="AS109" s="150">
        <f t="shared" si="188"/>
        <v>0</v>
      </c>
      <c r="AT109" s="151">
        <f t="shared" si="189"/>
        <v>118122.98690876421</v>
      </c>
      <c r="AU109" s="150">
        <f t="shared" si="190"/>
        <v>0</v>
      </c>
      <c r="AV109" s="151">
        <f t="shared" si="191"/>
        <v>0</v>
      </c>
      <c r="AW109" s="150">
        <f t="shared" si="192"/>
        <v>0</v>
      </c>
      <c r="AX109" s="151">
        <f t="shared" si="193"/>
        <v>0</v>
      </c>
      <c r="AY109" s="150">
        <f t="shared" si="194"/>
        <v>0</v>
      </c>
      <c r="AZ109" s="256">
        <f t="shared" si="195"/>
        <v>0</v>
      </c>
      <c r="BA109" s="249">
        <f t="shared" si="121"/>
        <v>0</v>
      </c>
      <c r="BB109" s="256">
        <f t="shared" si="122"/>
        <v>225507.52046218622</v>
      </c>
      <c r="BC109" s="35" t="s">
        <v>118</v>
      </c>
    </row>
    <row r="110" spans="2:55" s="51" customFormat="1" x14ac:dyDescent="0.25">
      <c r="B110" s="34"/>
      <c r="C110" s="34"/>
      <c r="D110" s="221">
        <v>3</v>
      </c>
      <c r="E110" s="221">
        <v>3</v>
      </c>
      <c r="F110" s="221" t="s">
        <v>332</v>
      </c>
      <c r="G110" s="221">
        <v>0</v>
      </c>
      <c r="H110" s="221">
        <v>0</v>
      </c>
      <c r="I110" s="34" t="str">
        <f t="shared" si="145"/>
        <v>3.3.d.0</v>
      </c>
      <c r="J110" s="34"/>
      <c r="K110" s="51" t="s">
        <v>373</v>
      </c>
      <c r="L110" s="45">
        <f t="shared" si="119"/>
        <v>196000</v>
      </c>
      <c r="M110" s="80">
        <f t="shared" ref="M110:Q110" si="196">SUM(M111:M113)</f>
        <v>160720</v>
      </c>
      <c r="N110" s="237">
        <f t="shared" si="196"/>
        <v>35280.000000000007</v>
      </c>
      <c r="O110" s="86"/>
      <c r="P110" s="87">
        <f t="shared" si="180"/>
        <v>1</v>
      </c>
      <c r="Q110" s="80">
        <f t="shared" si="196"/>
        <v>0</v>
      </c>
      <c r="R110" s="237">
        <f>SUM(R111:R113)</f>
        <v>1386000</v>
      </c>
      <c r="S110" s="237">
        <f t="shared" ref="S110:V110" si="197">SUM(S111:S113)</f>
        <v>1270500</v>
      </c>
      <c r="T110" s="237">
        <f t="shared" si="197"/>
        <v>1270500</v>
      </c>
      <c r="U110" s="237">
        <f t="shared" si="197"/>
        <v>1270500</v>
      </c>
      <c r="V110" s="75">
        <f t="shared" si="197"/>
        <v>1270500</v>
      </c>
      <c r="W110" s="53"/>
      <c r="X110" s="400"/>
      <c r="Y110" s="400"/>
      <c r="Z110" s="400"/>
      <c r="AA110" s="45"/>
      <c r="AJ110" s="80">
        <f t="shared" ref="AJ110:AZ110" si="198">SUM(AJ111:AJ113)</f>
        <v>42000</v>
      </c>
      <c r="AK110" s="237">
        <f t="shared" si="198"/>
        <v>38500</v>
      </c>
      <c r="AL110" s="237">
        <f t="shared" si="198"/>
        <v>38500</v>
      </c>
      <c r="AM110" s="237">
        <f t="shared" si="198"/>
        <v>38500</v>
      </c>
      <c r="AN110" s="75">
        <f t="shared" si="198"/>
        <v>38500</v>
      </c>
      <c r="AO110" s="259">
        <f t="shared" si="120"/>
        <v>196000</v>
      </c>
      <c r="AP110" s="139"/>
      <c r="AQ110" s="264">
        <f t="shared" si="198"/>
        <v>34440</v>
      </c>
      <c r="AR110" s="135">
        <f t="shared" si="198"/>
        <v>7560.0000000000018</v>
      </c>
      <c r="AS110" s="134">
        <f t="shared" si="198"/>
        <v>31570</v>
      </c>
      <c r="AT110" s="135">
        <f t="shared" si="198"/>
        <v>6930.0000000000018</v>
      </c>
      <c r="AU110" s="134">
        <f t="shared" si="198"/>
        <v>31570</v>
      </c>
      <c r="AV110" s="135">
        <f t="shared" si="198"/>
        <v>6930.0000000000018</v>
      </c>
      <c r="AW110" s="134">
        <f t="shared" si="198"/>
        <v>31570</v>
      </c>
      <c r="AX110" s="135">
        <f t="shared" si="198"/>
        <v>6930.0000000000018</v>
      </c>
      <c r="AY110" s="134">
        <f t="shared" si="198"/>
        <v>31570</v>
      </c>
      <c r="AZ110" s="265">
        <f t="shared" si="198"/>
        <v>6930.0000000000018</v>
      </c>
      <c r="BA110" s="264">
        <f t="shared" si="121"/>
        <v>160720</v>
      </c>
      <c r="BB110" s="265">
        <f t="shared" si="122"/>
        <v>35280.000000000007</v>
      </c>
    </row>
    <row r="111" spans="2:55" s="35" customFormat="1" x14ac:dyDescent="0.25">
      <c r="B111" s="72" t="s">
        <v>34</v>
      </c>
      <c r="C111" s="72" t="s">
        <v>85</v>
      </c>
      <c r="D111" s="199">
        <v>3</v>
      </c>
      <c r="E111" s="199">
        <v>3</v>
      </c>
      <c r="F111" s="199" t="s">
        <v>332</v>
      </c>
      <c r="G111" s="199">
        <v>1</v>
      </c>
      <c r="H111" s="199"/>
      <c r="I111" s="72" t="str">
        <f t="shared" si="145"/>
        <v>3.3.d.1</v>
      </c>
      <c r="J111" s="72"/>
      <c r="K111" s="35" t="s">
        <v>89</v>
      </c>
      <c r="L111" s="73">
        <f t="shared" si="119"/>
        <v>75000</v>
      </c>
      <c r="M111" s="308">
        <f t="shared" ref="M111:N113" si="199">+O111*$L111</f>
        <v>61499.999999999993</v>
      </c>
      <c r="N111" s="309">
        <f t="shared" si="199"/>
        <v>13500.000000000004</v>
      </c>
      <c r="O111" s="306">
        <v>0.82</v>
      </c>
      <c r="P111" s="307">
        <f t="shared" ref="P111:P113" si="200">1-O111</f>
        <v>0.18000000000000005</v>
      </c>
      <c r="Q111" s="248"/>
      <c r="R111" s="39">
        <v>495000</v>
      </c>
      <c r="S111" s="39">
        <v>495000</v>
      </c>
      <c r="T111" s="39">
        <v>495000</v>
      </c>
      <c r="U111" s="39">
        <v>495000</v>
      </c>
      <c r="V111" s="245">
        <v>495000</v>
      </c>
      <c r="W111" s="231"/>
      <c r="X111" s="401" t="s">
        <v>228</v>
      </c>
      <c r="Y111" s="401"/>
      <c r="Z111" s="401"/>
      <c r="AA111" s="73"/>
      <c r="AE111" s="72">
        <v>1</v>
      </c>
      <c r="AF111" s="72">
        <v>1</v>
      </c>
      <c r="AG111" s="72">
        <v>1</v>
      </c>
      <c r="AH111" s="72">
        <v>1</v>
      </c>
      <c r="AI111" s="72">
        <v>1</v>
      </c>
      <c r="AJ111" s="249">
        <f>+(R111+Q111)/$AJ$1</f>
        <v>15000</v>
      </c>
      <c r="AK111" s="255">
        <f>+S111/$AK$1</f>
        <v>15000</v>
      </c>
      <c r="AL111" s="255">
        <f>+T111/$AL$1</f>
        <v>15000</v>
      </c>
      <c r="AM111" s="255">
        <f>+U111/$AM$1</f>
        <v>15000</v>
      </c>
      <c r="AN111" s="256">
        <f>+V111/$AN$1</f>
        <v>15000</v>
      </c>
      <c r="AO111" s="261">
        <f t="shared" si="120"/>
        <v>75000</v>
      </c>
      <c r="AQ111" s="249">
        <f>+AJ111*$O111</f>
        <v>12300</v>
      </c>
      <c r="AR111" s="151">
        <f>+AJ111*$P111</f>
        <v>2700.0000000000009</v>
      </c>
      <c r="AS111" s="150">
        <f>+AK111*$O111</f>
        <v>12300</v>
      </c>
      <c r="AT111" s="151">
        <f>+AK111*$P111</f>
        <v>2700.0000000000009</v>
      </c>
      <c r="AU111" s="150">
        <f>+AL111*$O111</f>
        <v>12300</v>
      </c>
      <c r="AV111" s="151">
        <f>+AL111*$P111</f>
        <v>2700.0000000000009</v>
      </c>
      <c r="AW111" s="150">
        <f>+AM111*$O111</f>
        <v>12300</v>
      </c>
      <c r="AX111" s="151">
        <f>+AM111*$P111</f>
        <v>2700.0000000000009</v>
      </c>
      <c r="AY111" s="150">
        <f>+AN111*$O111</f>
        <v>12300</v>
      </c>
      <c r="AZ111" s="256">
        <f>+AN111*$P111</f>
        <v>2700.0000000000009</v>
      </c>
      <c r="BA111" s="249">
        <f t="shared" si="121"/>
        <v>61500</v>
      </c>
      <c r="BB111" s="256">
        <f t="shared" si="122"/>
        <v>13500.000000000004</v>
      </c>
      <c r="BC111" s="35" t="s">
        <v>89</v>
      </c>
    </row>
    <row r="112" spans="2:55" s="35" customFormat="1" x14ac:dyDescent="0.25">
      <c r="B112" s="72" t="s">
        <v>34</v>
      </c>
      <c r="C112" s="72" t="s">
        <v>85</v>
      </c>
      <c r="D112" s="199">
        <v>3</v>
      </c>
      <c r="E112" s="199">
        <v>3</v>
      </c>
      <c r="F112" s="199" t="s">
        <v>332</v>
      </c>
      <c r="G112" s="199">
        <v>2</v>
      </c>
      <c r="H112" s="199"/>
      <c r="I112" s="72" t="str">
        <f t="shared" si="145"/>
        <v>3.3.d.2</v>
      </c>
      <c r="J112" s="72"/>
      <c r="K112" s="35" t="s">
        <v>97</v>
      </c>
      <c r="L112" s="73">
        <f t="shared" si="119"/>
        <v>100000</v>
      </c>
      <c r="M112" s="308">
        <f t="shared" si="199"/>
        <v>82000</v>
      </c>
      <c r="N112" s="309">
        <f t="shared" si="199"/>
        <v>18000.000000000004</v>
      </c>
      <c r="O112" s="306">
        <v>0.82</v>
      </c>
      <c r="P112" s="307">
        <f t="shared" si="200"/>
        <v>0.18000000000000005</v>
      </c>
      <c r="Q112" s="248"/>
      <c r="R112" s="39">
        <v>660000</v>
      </c>
      <c r="S112" s="39">
        <v>660000</v>
      </c>
      <c r="T112" s="39">
        <v>660000</v>
      </c>
      <c r="U112" s="39">
        <v>660000</v>
      </c>
      <c r="V112" s="245">
        <v>660000</v>
      </c>
      <c r="W112" s="231"/>
      <c r="X112" s="401"/>
      <c r="Y112" s="401"/>
      <c r="Z112" s="401"/>
      <c r="AA112" s="73"/>
      <c r="AE112" s="72">
        <v>1</v>
      </c>
      <c r="AF112" s="72">
        <v>1</v>
      </c>
      <c r="AG112" s="72">
        <v>1</v>
      </c>
      <c r="AH112" s="72">
        <v>1</v>
      </c>
      <c r="AI112" s="72">
        <v>1</v>
      </c>
      <c r="AJ112" s="249">
        <f>+(R112+Q112)/$AJ$1</f>
        <v>20000</v>
      </c>
      <c r="AK112" s="255">
        <f>+S112/$AK$1</f>
        <v>20000</v>
      </c>
      <c r="AL112" s="255">
        <f>+T112/$AL$1</f>
        <v>20000</v>
      </c>
      <c r="AM112" s="255">
        <f>+U112/$AM$1</f>
        <v>20000</v>
      </c>
      <c r="AN112" s="256">
        <f>+V112/$AN$1</f>
        <v>20000</v>
      </c>
      <c r="AO112" s="261">
        <f t="shared" si="120"/>
        <v>100000</v>
      </c>
      <c r="AQ112" s="249">
        <f>+AJ112*$O112</f>
        <v>16400</v>
      </c>
      <c r="AR112" s="151">
        <f>+AJ112*$P112</f>
        <v>3600.0000000000009</v>
      </c>
      <c r="AS112" s="150">
        <f>+AK112*$O112</f>
        <v>16400</v>
      </c>
      <c r="AT112" s="151">
        <f>+AK112*$P112</f>
        <v>3600.0000000000009</v>
      </c>
      <c r="AU112" s="150">
        <f>+AL112*$O112</f>
        <v>16400</v>
      </c>
      <c r="AV112" s="151">
        <f>+AL112*$P112</f>
        <v>3600.0000000000009</v>
      </c>
      <c r="AW112" s="150">
        <f>+AM112*$O112</f>
        <v>16400</v>
      </c>
      <c r="AX112" s="151">
        <f>+AM112*$P112</f>
        <v>3600.0000000000009</v>
      </c>
      <c r="AY112" s="150">
        <f>+AN112*$O112</f>
        <v>16400</v>
      </c>
      <c r="AZ112" s="256">
        <f>+AN112*$P112</f>
        <v>3600.0000000000009</v>
      </c>
      <c r="BA112" s="249">
        <f t="shared" si="121"/>
        <v>82000</v>
      </c>
      <c r="BB112" s="256">
        <f t="shared" si="122"/>
        <v>18000.000000000004</v>
      </c>
      <c r="BC112" s="35" t="s">
        <v>97</v>
      </c>
    </row>
    <row r="113" spans="2:55" s="35" customFormat="1" x14ac:dyDescent="0.25">
      <c r="B113" s="72" t="s">
        <v>34</v>
      </c>
      <c r="C113" s="72" t="s">
        <v>85</v>
      </c>
      <c r="D113" s="199">
        <v>3</v>
      </c>
      <c r="E113" s="199">
        <v>3</v>
      </c>
      <c r="F113" s="199" t="s">
        <v>332</v>
      </c>
      <c r="G113" s="199">
        <v>3</v>
      </c>
      <c r="H113" s="199"/>
      <c r="I113" s="72" t="str">
        <f t="shared" si="145"/>
        <v>3.3.d.3</v>
      </c>
      <c r="J113" s="72"/>
      <c r="K113" s="35" t="s">
        <v>107</v>
      </c>
      <c r="L113" s="73">
        <f t="shared" si="119"/>
        <v>20999.999999999996</v>
      </c>
      <c r="M113" s="308">
        <f t="shared" si="199"/>
        <v>17219.999999999996</v>
      </c>
      <c r="N113" s="309">
        <f t="shared" si="199"/>
        <v>3780.0000000000005</v>
      </c>
      <c r="O113" s="306">
        <v>0.82</v>
      </c>
      <c r="P113" s="307">
        <f t="shared" si="200"/>
        <v>0.18000000000000005</v>
      </c>
      <c r="Q113" s="248"/>
      <c r="R113" s="39">
        <v>230999.99999999997</v>
      </c>
      <c r="S113" s="39">
        <v>115499.99999999999</v>
      </c>
      <c r="T113" s="39">
        <v>115499.99999999999</v>
      </c>
      <c r="U113" s="39">
        <v>115499.99999999999</v>
      </c>
      <c r="V113" s="245">
        <v>115499.99999999999</v>
      </c>
      <c r="W113" s="231"/>
      <c r="X113" s="401"/>
      <c r="Y113" s="401"/>
      <c r="Z113" s="401"/>
      <c r="AA113" s="73"/>
      <c r="AE113" s="72">
        <v>1</v>
      </c>
      <c r="AF113" s="72">
        <v>1</v>
      </c>
      <c r="AG113" s="72">
        <v>1</v>
      </c>
      <c r="AH113" s="72">
        <v>1</v>
      </c>
      <c r="AI113" s="72">
        <v>1</v>
      </c>
      <c r="AJ113" s="249">
        <f>+(R113+Q113)/$AJ$1</f>
        <v>6999.9999999999991</v>
      </c>
      <c r="AK113" s="255">
        <f>+S113/$AK$1</f>
        <v>3499.9999999999995</v>
      </c>
      <c r="AL113" s="255">
        <f>+T113/$AL$1</f>
        <v>3499.9999999999995</v>
      </c>
      <c r="AM113" s="255">
        <f>+U113/$AM$1</f>
        <v>3499.9999999999995</v>
      </c>
      <c r="AN113" s="256">
        <f>+V113/$AN$1</f>
        <v>3499.9999999999995</v>
      </c>
      <c r="AO113" s="261">
        <f t="shared" si="120"/>
        <v>20999.999999999996</v>
      </c>
      <c r="AQ113" s="249">
        <f>+AJ113*$O113</f>
        <v>5739.9999999999991</v>
      </c>
      <c r="AR113" s="151">
        <f>+AJ113*$P113</f>
        <v>1260.0000000000002</v>
      </c>
      <c r="AS113" s="150">
        <f>+AK113*$O113</f>
        <v>2869.9999999999995</v>
      </c>
      <c r="AT113" s="151">
        <f>+AK113*$P113</f>
        <v>630.00000000000011</v>
      </c>
      <c r="AU113" s="150">
        <f>+AL113*$O113</f>
        <v>2869.9999999999995</v>
      </c>
      <c r="AV113" s="151">
        <f>+AL113*$P113</f>
        <v>630.00000000000011</v>
      </c>
      <c r="AW113" s="150">
        <f>+AM113*$O113</f>
        <v>2869.9999999999995</v>
      </c>
      <c r="AX113" s="151">
        <f>+AM113*$P113</f>
        <v>630.00000000000011</v>
      </c>
      <c r="AY113" s="150">
        <f>+AN113*$O113</f>
        <v>2869.9999999999995</v>
      </c>
      <c r="AZ113" s="256">
        <f>+AN113*$P113</f>
        <v>630.00000000000011</v>
      </c>
      <c r="BA113" s="249">
        <f t="shared" si="121"/>
        <v>17219.999999999996</v>
      </c>
      <c r="BB113" s="256">
        <f t="shared" si="122"/>
        <v>3780.0000000000005</v>
      </c>
      <c r="BC113" s="35" t="s">
        <v>107</v>
      </c>
    </row>
    <row r="114" spans="2:55" s="51" customFormat="1" x14ac:dyDescent="0.25">
      <c r="B114" s="34"/>
      <c r="C114" s="34"/>
      <c r="D114" s="221">
        <v>3</v>
      </c>
      <c r="E114" s="221">
        <v>3</v>
      </c>
      <c r="F114" s="221" t="s">
        <v>314</v>
      </c>
      <c r="G114" s="221">
        <v>0</v>
      </c>
      <c r="H114" s="221">
        <v>0</v>
      </c>
      <c r="I114" s="34" t="str">
        <f t="shared" si="145"/>
        <v>3.3.e.0</v>
      </c>
      <c r="J114" s="34"/>
      <c r="K114" s="51" t="s">
        <v>374</v>
      </c>
      <c r="L114" s="45">
        <f t="shared" si="119"/>
        <v>476106.06060606061</v>
      </c>
      <c r="M114" s="80">
        <f t="shared" ref="M114:V114" si="201">SUM(M115:M120)</f>
        <v>390406.96969696973</v>
      </c>
      <c r="N114" s="237">
        <f t="shared" si="201"/>
        <v>85699.090909090926</v>
      </c>
      <c r="O114" s="86"/>
      <c r="P114" s="87"/>
      <c r="Q114" s="80">
        <f t="shared" si="201"/>
        <v>0</v>
      </c>
      <c r="R114" s="237">
        <f t="shared" si="201"/>
        <v>2617000</v>
      </c>
      <c r="S114" s="237">
        <f t="shared" si="201"/>
        <v>2386000</v>
      </c>
      <c r="T114" s="237">
        <f t="shared" si="201"/>
        <v>5428500</v>
      </c>
      <c r="U114" s="237">
        <f t="shared" si="201"/>
        <v>3349500</v>
      </c>
      <c r="V114" s="75">
        <f t="shared" si="201"/>
        <v>1930500</v>
      </c>
      <c r="W114" s="53"/>
      <c r="X114" s="400"/>
      <c r="Y114" s="400"/>
      <c r="Z114" s="400"/>
      <c r="AA114" s="45"/>
      <c r="AJ114" s="80">
        <f>SUM(AJ115:AJ120)</f>
        <v>79303.030303030304</v>
      </c>
      <c r="AK114" s="237">
        <f>SUM(AK115:AK120)</f>
        <v>72303.030303030304</v>
      </c>
      <c r="AL114" s="237">
        <f>SUM(AL115:AL120)</f>
        <v>164500</v>
      </c>
      <c r="AM114" s="237">
        <f>SUM(AM115:AM120)</f>
        <v>101500</v>
      </c>
      <c r="AN114" s="75">
        <f>SUM(AN115:AN120)</f>
        <v>58500</v>
      </c>
      <c r="AO114" s="259">
        <f t="shared" si="120"/>
        <v>476106.06060606061</v>
      </c>
      <c r="AP114" s="139"/>
      <c r="AQ114" s="264">
        <f t="shared" ref="AQ114:AZ114" si="202">SUM(AQ115:AQ120)</f>
        <v>65028.484848484848</v>
      </c>
      <c r="AR114" s="135">
        <f t="shared" si="202"/>
        <v>14274.545454545458</v>
      </c>
      <c r="AS114" s="134">
        <f t="shared" si="202"/>
        <v>59288.484848484848</v>
      </c>
      <c r="AT114" s="135">
        <f t="shared" si="202"/>
        <v>13014.545454545458</v>
      </c>
      <c r="AU114" s="134">
        <f t="shared" si="202"/>
        <v>134890</v>
      </c>
      <c r="AV114" s="135">
        <f t="shared" si="202"/>
        <v>29610.000000000007</v>
      </c>
      <c r="AW114" s="134">
        <f t="shared" si="202"/>
        <v>83230</v>
      </c>
      <c r="AX114" s="135">
        <f t="shared" si="202"/>
        <v>18270.000000000004</v>
      </c>
      <c r="AY114" s="134">
        <f t="shared" si="202"/>
        <v>47970</v>
      </c>
      <c r="AZ114" s="265">
        <f t="shared" si="202"/>
        <v>10530.000000000004</v>
      </c>
      <c r="BA114" s="264">
        <f t="shared" si="121"/>
        <v>390406.96969696973</v>
      </c>
      <c r="BB114" s="265">
        <f t="shared" si="122"/>
        <v>85699.090909090926</v>
      </c>
    </row>
    <row r="115" spans="2:55" s="35" customFormat="1" x14ac:dyDescent="0.25">
      <c r="B115" s="72" t="s">
        <v>22</v>
      </c>
      <c r="C115" s="72" t="s">
        <v>85</v>
      </c>
      <c r="D115" s="199">
        <v>3</v>
      </c>
      <c r="E115" s="199">
        <v>3</v>
      </c>
      <c r="F115" s="199" t="s">
        <v>314</v>
      </c>
      <c r="G115" s="199">
        <v>1</v>
      </c>
      <c r="H115" s="199"/>
      <c r="I115" s="72" t="str">
        <f t="shared" si="145"/>
        <v>3.3.e.1</v>
      </c>
      <c r="J115" s="72"/>
      <c r="K115" s="35" t="s">
        <v>88</v>
      </c>
      <c r="L115" s="73">
        <f t="shared" si="119"/>
        <v>75000</v>
      </c>
      <c r="M115" s="308">
        <f t="shared" ref="M115:N120" si="203">+O115*$L115</f>
        <v>61499.999999999993</v>
      </c>
      <c r="N115" s="309">
        <f t="shared" si="203"/>
        <v>13500.000000000004</v>
      </c>
      <c r="O115" s="306">
        <v>0.82</v>
      </c>
      <c r="P115" s="307">
        <f t="shared" ref="P115:P120" si="204">1-O115</f>
        <v>0.18000000000000005</v>
      </c>
      <c r="Q115" s="248"/>
      <c r="R115" s="39">
        <v>495000</v>
      </c>
      <c r="S115" s="39">
        <v>495000</v>
      </c>
      <c r="T115" s="39">
        <v>495000</v>
      </c>
      <c r="U115" s="39">
        <v>495000</v>
      </c>
      <c r="V115" s="245">
        <v>495000</v>
      </c>
      <c r="W115" s="231"/>
      <c r="X115" s="401" t="s">
        <v>228</v>
      </c>
      <c r="Y115" s="401"/>
      <c r="Z115" s="401"/>
      <c r="AA115" s="73"/>
      <c r="AE115" s="72">
        <v>1</v>
      </c>
      <c r="AF115" s="72">
        <v>1</v>
      </c>
      <c r="AG115" s="72">
        <v>1</v>
      </c>
      <c r="AH115" s="72">
        <v>1</v>
      </c>
      <c r="AI115" s="72">
        <v>1</v>
      </c>
      <c r="AJ115" s="249">
        <f t="shared" ref="AJ115:AJ120" si="205">+(R115+Q115)/$AJ$1</f>
        <v>15000</v>
      </c>
      <c r="AK115" s="255">
        <f t="shared" ref="AK115:AK120" si="206">+S115/$AK$1</f>
        <v>15000</v>
      </c>
      <c r="AL115" s="255">
        <f t="shared" ref="AL115:AL120" si="207">+T115/$AL$1</f>
        <v>15000</v>
      </c>
      <c r="AM115" s="255">
        <f t="shared" ref="AM115:AM120" si="208">+U115/$AM$1</f>
        <v>15000</v>
      </c>
      <c r="AN115" s="256">
        <f t="shared" ref="AN115:AN120" si="209">+V115/$AN$1</f>
        <v>15000</v>
      </c>
      <c r="AO115" s="261">
        <f t="shared" si="120"/>
        <v>75000</v>
      </c>
      <c r="AQ115" s="249">
        <f t="shared" ref="AQ115:AQ120" si="210">+AJ115*$O115</f>
        <v>12300</v>
      </c>
      <c r="AR115" s="151">
        <f t="shared" ref="AR115:AR120" si="211">+AJ115*$P115</f>
        <v>2700.0000000000009</v>
      </c>
      <c r="AS115" s="150">
        <f t="shared" ref="AS115:AS120" si="212">+AK115*$O115</f>
        <v>12300</v>
      </c>
      <c r="AT115" s="151">
        <f t="shared" ref="AT115:AT120" si="213">+AK115*$P115</f>
        <v>2700.0000000000009</v>
      </c>
      <c r="AU115" s="150">
        <f t="shared" ref="AU115:AU120" si="214">+AL115*$O115</f>
        <v>12300</v>
      </c>
      <c r="AV115" s="151">
        <f t="shared" ref="AV115:AV120" si="215">+AL115*$P115</f>
        <v>2700.0000000000009</v>
      </c>
      <c r="AW115" s="150">
        <f t="shared" ref="AW115:AW120" si="216">+AM115*$O115</f>
        <v>12300</v>
      </c>
      <c r="AX115" s="151">
        <f t="shared" ref="AX115:AX120" si="217">+AM115*$P115</f>
        <v>2700.0000000000009</v>
      </c>
      <c r="AY115" s="150">
        <f t="shared" ref="AY115:AY120" si="218">+AN115*$O115</f>
        <v>12300</v>
      </c>
      <c r="AZ115" s="256">
        <f t="shared" ref="AZ115:AZ120" si="219">+AN115*$P115</f>
        <v>2700.0000000000009</v>
      </c>
      <c r="BA115" s="249">
        <f t="shared" si="121"/>
        <v>61500</v>
      </c>
      <c r="BB115" s="256">
        <f t="shared" si="122"/>
        <v>13500.000000000004</v>
      </c>
      <c r="BC115" s="35" t="s">
        <v>88</v>
      </c>
    </row>
    <row r="116" spans="2:55" s="35" customFormat="1" x14ac:dyDescent="0.25">
      <c r="B116" s="72" t="s">
        <v>22</v>
      </c>
      <c r="C116" s="72" t="s">
        <v>85</v>
      </c>
      <c r="D116" s="199">
        <v>3</v>
      </c>
      <c r="E116" s="199">
        <v>3</v>
      </c>
      <c r="F116" s="199" t="s">
        <v>314</v>
      </c>
      <c r="G116" s="199">
        <v>2</v>
      </c>
      <c r="H116" s="199"/>
      <c r="I116" s="72" t="str">
        <f t="shared" si="145"/>
        <v>3.3.e.2</v>
      </c>
      <c r="J116" s="72"/>
      <c r="K116" s="35" t="s">
        <v>96</v>
      </c>
      <c r="L116" s="73">
        <f t="shared" si="119"/>
        <v>100000</v>
      </c>
      <c r="M116" s="308">
        <f t="shared" si="203"/>
        <v>82000</v>
      </c>
      <c r="N116" s="309">
        <f t="shared" si="203"/>
        <v>18000.000000000004</v>
      </c>
      <c r="O116" s="306">
        <v>0.82</v>
      </c>
      <c r="P116" s="307">
        <f t="shared" si="204"/>
        <v>0.18000000000000005</v>
      </c>
      <c r="Q116" s="248"/>
      <c r="R116" s="39">
        <v>660000</v>
      </c>
      <c r="S116" s="39">
        <v>660000</v>
      </c>
      <c r="T116" s="39">
        <v>660000</v>
      </c>
      <c r="U116" s="39">
        <v>660000</v>
      </c>
      <c r="V116" s="245">
        <v>660000</v>
      </c>
      <c r="W116" s="231"/>
      <c r="X116" s="401"/>
      <c r="Y116" s="401"/>
      <c r="Z116" s="401"/>
      <c r="AA116" s="73"/>
      <c r="AE116" s="72">
        <v>1</v>
      </c>
      <c r="AF116" s="72">
        <v>1</v>
      </c>
      <c r="AG116" s="72">
        <v>1</v>
      </c>
      <c r="AH116" s="72">
        <v>1</v>
      </c>
      <c r="AI116" s="72">
        <v>1</v>
      </c>
      <c r="AJ116" s="249">
        <f t="shared" si="205"/>
        <v>20000</v>
      </c>
      <c r="AK116" s="255">
        <f t="shared" si="206"/>
        <v>20000</v>
      </c>
      <c r="AL116" s="255">
        <f t="shared" si="207"/>
        <v>20000</v>
      </c>
      <c r="AM116" s="255">
        <f t="shared" si="208"/>
        <v>20000</v>
      </c>
      <c r="AN116" s="256">
        <f t="shared" si="209"/>
        <v>20000</v>
      </c>
      <c r="AO116" s="261">
        <f t="shared" si="120"/>
        <v>100000</v>
      </c>
      <c r="AQ116" s="249">
        <f t="shared" si="210"/>
        <v>16400</v>
      </c>
      <c r="AR116" s="151">
        <f t="shared" si="211"/>
        <v>3600.0000000000009</v>
      </c>
      <c r="AS116" s="150">
        <f t="shared" si="212"/>
        <v>16400</v>
      </c>
      <c r="AT116" s="151">
        <f t="shared" si="213"/>
        <v>3600.0000000000009</v>
      </c>
      <c r="AU116" s="150">
        <f t="shared" si="214"/>
        <v>16400</v>
      </c>
      <c r="AV116" s="151">
        <f t="shared" si="215"/>
        <v>3600.0000000000009</v>
      </c>
      <c r="AW116" s="150">
        <f t="shared" si="216"/>
        <v>16400</v>
      </c>
      <c r="AX116" s="151">
        <f t="shared" si="217"/>
        <v>3600.0000000000009</v>
      </c>
      <c r="AY116" s="150">
        <f t="shared" si="218"/>
        <v>16400</v>
      </c>
      <c r="AZ116" s="256">
        <f t="shared" si="219"/>
        <v>3600.0000000000009</v>
      </c>
      <c r="BA116" s="249">
        <f t="shared" si="121"/>
        <v>82000</v>
      </c>
      <c r="BB116" s="256">
        <f t="shared" si="122"/>
        <v>18000.000000000004</v>
      </c>
      <c r="BC116" s="35" t="s">
        <v>96</v>
      </c>
    </row>
    <row r="117" spans="2:55" s="35" customFormat="1" x14ac:dyDescent="0.25">
      <c r="B117" s="72" t="s">
        <v>22</v>
      </c>
      <c r="C117" s="72" t="s">
        <v>85</v>
      </c>
      <c r="D117" s="199">
        <v>3</v>
      </c>
      <c r="E117" s="199">
        <v>3</v>
      </c>
      <c r="F117" s="199" t="s">
        <v>314</v>
      </c>
      <c r="G117" s="199">
        <v>3</v>
      </c>
      <c r="H117" s="199"/>
      <c r="I117" s="72" t="str">
        <f t="shared" si="145"/>
        <v>3.3.e.3</v>
      </c>
      <c r="J117" s="72"/>
      <c r="K117" s="35" t="s">
        <v>104</v>
      </c>
      <c r="L117" s="73">
        <f t="shared" si="119"/>
        <v>188999.99999999997</v>
      </c>
      <c r="M117" s="308">
        <f t="shared" si="203"/>
        <v>154979.99999999997</v>
      </c>
      <c r="N117" s="309">
        <f t="shared" si="203"/>
        <v>34020.000000000007</v>
      </c>
      <c r="O117" s="306">
        <v>0.82</v>
      </c>
      <c r="P117" s="307">
        <f t="shared" si="204"/>
        <v>0.18000000000000005</v>
      </c>
      <c r="Q117" s="248"/>
      <c r="R117" s="39"/>
      <c r="S117" s="39"/>
      <c r="T117" s="39">
        <v>4157999.9999999995</v>
      </c>
      <c r="U117" s="39">
        <v>2078999.9999999998</v>
      </c>
      <c r="V117" s="245"/>
      <c r="W117" s="231"/>
      <c r="X117" s="401"/>
      <c r="Y117" s="401"/>
      <c r="Z117" s="401"/>
      <c r="AA117" s="73"/>
      <c r="AE117" s="72"/>
      <c r="AF117" s="72"/>
      <c r="AG117" s="72">
        <v>1</v>
      </c>
      <c r="AH117" s="72">
        <v>1</v>
      </c>
      <c r="AI117" s="72"/>
      <c r="AJ117" s="249">
        <f t="shared" si="205"/>
        <v>0</v>
      </c>
      <c r="AK117" s="255">
        <f t="shared" si="206"/>
        <v>0</v>
      </c>
      <c r="AL117" s="255">
        <f t="shared" si="207"/>
        <v>125999.99999999999</v>
      </c>
      <c r="AM117" s="255">
        <f t="shared" si="208"/>
        <v>62999.999999999993</v>
      </c>
      <c r="AN117" s="256">
        <f t="shared" si="209"/>
        <v>0</v>
      </c>
      <c r="AO117" s="261">
        <f t="shared" si="120"/>
        <v>188999.99999999997</v>
      </c>
      <c r="AQ117" s="249">
        <f t="shared" si="210"/>
        <v>0</v>
      </c>
      <c r="AR117" s="151">
        <f t="shared" si="211"/>
        <v>0</v>
      </c>
      <c r="AS117" s="150">
        <f t="shared" si="212"/>
        <v>0</v>
      </c>
      <c r="AT117" s="151">
        <f t="shared" si="213"/>
        <v>0</v>
      </c>
      <c r="AU117" s="150">
        <f t="shared" si="214"/>
        <v>103319.99999999999</v>
      </c>
      <c r="AV117" s="151">
        <f t="shared" si="215"/>
        <v>22680.000000000004</v>
      </c>
      <c r="AW117" s="150">
        <f t="shared" si="216"/>
        <v>51659.999999999993</v>
      </c>
      <c r="AX117" s="151">
        <f t="shared" si="217"/>
        <v>11340.000000000002</v>
      </c>
      <c r="AY117" s="150">
        <f t="shared" si="218"/>
        <v>0</v>
      </c>
      <c r="AZ117" s="256">
        <f t="shared" si="219"/>
        <v>0</v>
      </c>
      <c r="BA117" s="249">
        <f t="shared" si="121"/>
        <v>154979.99999999997</v>
      </c>
      <c r="BB117" s="256">
        <f t="shared" si="122"/>
        <v>34020.000000000007</v>
      </c>
      <c r="BC117" s="35" t="s">
        <v>104</v>
      </c>
    </row>
    <row r="118" spans="2:55" s="35" customFormat="1" x14ac:dyDescent="0.25">
      <c r="B118" s="72" t="s">
        <v>22</v>
      </c>
      <c r="C118" s="72" t="s">
        <v>85</v>
      </c>
      <c r="D118" s="199">
        <v>3</v>
      </c>
      <c r="E118" s="199">
        <v>3</v>
      </c>
      <c r="F118" s="199" t="s">
        <v>314</v>
      </c>
      <c r="G118" s="199">
        <v>4</v>
      </c>
      <c r="H118" s="199"/>
      <c r="I118" s="72" t="str">
        <f t="shared" si="145"/>
        <v>3.3.e.4</v>
      </c>
      <c r="J118" s="72"/>
      <c r="K118" s="35" t="s">
        <v>105</v>
      </c>
      <c r="L118" s="73">
        <f t="shared" si="119"/>
        <v>20000</v>
      </c>
      <c r="M118" s="308">
        <f t="shared" si="203"/>
        <v>16400</v>
      </c>
      <c r="N118" s="309">
        <f t="shared" si="203"/>
        <v>3600.0000000000009</v>
      </c>
      <c r="O118" s="306">
        <v>0.82</v>
      </c>
      <c r="P118" s="307">
        <f t="shared" si="204"/>
        <v>0.18000000000000005</v>
      </c>
      <c r="Q118" s="248"/>
      <c r="R118" s="39"/>
      <c r="S118" s="39"/>
      <c r="T118" s="39"/>
      <c r="U118" s="39"/>
      <c r="V118" s="245">
        <v>660000</v>
      </c>
      <c r="W118" s="231"/>
      <c r="X118" s="401"/>
      <c r="Y118" s="401"/>
      <c r="Z118" s="401"/>
      <c r="AA118" s="73"/>
      <c r="AE118" s="72"/>
      <c r="AF118" s="72"/>
      <c r="AG118" s="72"/>
      <c r="AH118" s="72"/>
      <c r="AI118" s="72">
        <v>1</v>
      </c>
      <c r="AJ118" s="249">
        <f t="shared" si="205"/>
        <v>0</v>
      </c>
      <c r="AK118" s="255">
        <f t="shared" si="206"/>
        <v>0</v>
      </c>
      <c r="AL118" s="255">
        <f t="shared" si="207"/>
        <v>0</v>
      </c>
      <c r="AM118" s="255">
        <f t="shared" si="208"/>
        <v>0</v>
      </c>
      <c r="AN118" s="256">
        <f t="shared" si="209"/>
        <v>20000</v>
      </c>
      <c r="AO118" s="261">
        <f t="shared" si="120"/>
        <v>20000</v>
      </c>
      <c r="AQ118" s="249">
        <f t="shared" si="210"/>
        <v>0</v>
      </c>
      <c r="AR118" s="151">
        <f t="shared" si="211"/>
        <v>0</v>
      </c>
      <c r="AS118" s="150">
        <f t="shared" si="212"/>
        <v>0</v>
      </c>
      <c r="AT118" s="151">
        <f t="shared" si="213"/>
        <v>0</v>
      </c>
      <c r="AU118" s="150">
        <f t="shared" si="214"/>
        <v>0</v>
      </c>
      <c r="AV118" s="151">
        <f t="shared" si="215"/>
        <v>0</v>
      </c>
      <c r="AW118" s="150">
        <f t="shared" si="216"/>
        <v>0</v>
      </c>
      <c r="AX118" s="151">
        <f t="shared" si="217"/>
        <v>0</v>
      </c>
      <c r="AY118" s="150">
        <f t="shared" si="218"/>
        <v>16400</v>
      </c>
      <c r="AZ118" s="256">
        <f t="shared" si="219"/>
        <v>3600.0000000000009</v>
      </c>
      <c r="BA118" s="249">
        <f t="shared" si="121"/>
        <v>16400</v>
      </c>
      <c r="BB118" s="256">
        <f t="shared" si="122"/>
        <v>3600.0000000000009</v>
      </c>
      <c r="BC118" s="35" t="s">
        <v>105</v>
      </c>
    </row>
    <row r="119" spans="2:55" s="35" customFormat="1" x14ac:dyDescent="0.25">
      <c r="B119" s="72" t="s">
        <v>22</v>
      </c>
      <c r="C119" s="72" t="s">
        <v>85</v>
      </c>
      <c r="D119" s="199">
        <v>3</v>
      </c>
      <c r="E119" s="199">
        <v>3</v>
      </c>
      <c r="F119" s="199" t="s">
        <v>314</v>
      </c>
      <c r="G119" s="199">
        <v>5</v>
      </c>
      <c r="H119" s="199"/>
      <c r="I119" s="72" t="str">
        <f t="shared" si="145"/>
        <v>3.3.e.5</v>
      </c>
      <c r="J119" s="72"/>
      <c r="K119" s="35" t="s">
        <v>106</v>
      </c>
      <c r="L119" s="73">
        <f t="shared" si="119"/>
        <v>31499.999999999996</v>
      </c>
      <c r="M119" s="308">
        <f t="shared" si="203"/>
        <v>25829.999999999996</v>
      </c>
      <c r="N119" s="309">
        <f t="shared" si="203"/>
        <v>5670.0000000000009</v>
      </c>
      <c r="O119" s="306">
        <v>0.82</v>
      </c>
      <c r="P119" s="307">
        <f t="shared" si="204"/>
        <v>0.18000000000000005</v>
      </c>
      <c r="Q119" s="248"/>
      <c r="R119" s="39">
        <v>461999.99999999994</v>
      </c>
      <c r="S119" s="39">
        <v>230999.99999999997</v>
      </c>
      <c r="T119" s="39">
        <v>115499.99999999999</v>
      </c>
      <c r="U119" s="39">
        <v>115499.99999999999</v>
      </c>
      <c r="V119" s="245">
        <v>115499.99999999999</v>
      </c>
      <c r="W119" s="231"/>
      <c r="X119" s="401"/>
      <c r="Y119" s="401"/>
      <c r="Z119" s="401"/>
      <c r="AA119" s="73"/>
      <c r="AE119" s="72">
        <v>1</v>
      </c>
      <c r="AF119" s="72">
        <v>1</v>
      </c>
      <c r="AG119" s="72">
        <v>1</v>
      </c>
      <c r="AH119" s="72">
        <v>1</v>
      </c>
      <c r="AI119" s="72">
        <v>1</v>
      </c>
      <c r="AJ119" s="249">
        <f t="shared" si="205"/>
        <v>13999.999999999998</v>
      </c>
      <c r="AK119" s="255">
        <f t="shared" si="206"/>
        <v>6999.9999999999991</v>
      </c>
      <c r="AL119" s="255">
        <f t="shared" si="207"/>
        <v>3499.9999999999995</v>
      </c>
      <c r="AM119" s="255">
        <f t="shared" si="208"/>
        <v>3499.9999999999995</v>
      </c>
      <c r="AN119" s="256">
        <f t="shared" si="209"/>
        <v>3499.9999999999995</v>
      </c>
      <c r="AO119" s="261">
        <f t="shared" si="120"/>
        <v>31499.999999999996</v>
      </c>
      <c r="AQ119" s="249">
        <f t="shared" si="210"/>
        <v>11479.999999999998</v>
      </c>
      <c r="AR119" s="151">
        <f t="shared" si="211"/>
        <v>2520.0000000000005</v>
      </c>
      <c r="AS119" s="150">
        <f t="shared" si="212"/>
        <v>5739.9999999999991</v>
      </c>
      <c r="AT119" s="151">
        <f t="shared" si="213"/>
        <v>1260.0000000000002</v>
      </c>
      <c r="AU119" s="150">
        <f t="shared" si="214"/>
        <v>2869.9999999999995</v>
      </c>
      <c r="AV119" s="151">
        <f t="shared" si="215"/>
        <v>630.00000000000011</v>
      </c>
      <c r="AW119" s="150">
        <f t="shared" si="216"/>
        <v>2869.9999999999995</v>
      </c>
      <c r="AX119" s="151">
        <f t="shared" si="217"/>
        <v>630.00000000000011</v>
      </c>
      <c r="AY119" s="150">
        <f t="shared" si="218"/>
        <v>2869.9999999999995</v>
      </c>
      <c r="AZ119" s="256">
        <f t="shared" si="219"/>
        <v>630.00000000000011</v>
      </c>
      <c r="BA119" s="249">
        <f t="shared" si="121"/>
        <v>25829.999999999996</v>
      </c>
      <c r="BB119" s="256">
        <f t="shared" si="122"/>
        <v>5670.0000000000009</v>
      </c>
      <c r="BC119" s="35" t="s">
        <v>106</v>
      </c>
    </row>
    <row r="120" spans="2:55" s="35" customFormat="1" x14ac:dyDescent="0.25">
      <c r="B120" s="72" t="s">
        <v>22</v>
      </c>
      <c r="C120" s="72" t="s">
        <v>72</v>
      </c>
      <c r="D120" s="199">
        <v>3</v>
      </c>
      <c r="E120" s="199">
        <v>3</v>
      </c>
      <c r="F120" s="199" t="s">
        <v>314</v>
      </c>
      <c r="G120" s="199">
        <v>6</v>
      </c>
      <c r="H120" s="199"/>
      <c r="I120" s="72" t="str">
        <f t="shared" si="145"/>
        <v>3.3.e.6</v>
      </c>
      <c r="J120" s="72"/>
      <c r="K120" s="35" t="s">
        <v>119</v>
      </c>
      <c r="L120" s="73">
        <f t="shared" si="119"/>
        <v>60606.060606060608</v>
      </c>
      <c r="M120" s="308">
        <f t="shared" si="203"/>
        <v>49696.969696969696</v>
      </c>
      <c r="N120" s="309">
        <f t="shared" si="203"/>
        <v>10909.090909090912</v>
      </c>
      <c r="O120" s="306">
        <v>0.82</v>
      </c>
      <c r="P120" s="307">
        <f t="shared" si="204"/>
        <v>0.18000000000000005</v>
      </c>
      <c r="Q120" s="248"/>
      <c r="R120" s="39">
        <v>1000000</v>
      </c>
      <c r="S120" s="39">
        <v>1000000</v>
      </c>
      <c r="T120" s="39"/>
      <c r="U120" s="39"/>
      <c r="V120" s="245"/>
      <c r="W120" s="231"/>
      <c r="X120" s="401" t="s">
        <v>233</v>
      </c>
      <c r="Y120" s="401" t="s">
        <v>234</v>
      </c>
      <c r="Z120" s="401"/>
      <c r="AA120" s="73"/>
      <c r="AE120" s="72">
        <v>1</v>
      </c>
      <c r="AF120" s="72">
        <v>1</v>
      </c>
      <c r="AG120" s="72"/>
      <c r="AH120" s="72"/>
      <c r="AI120" s="72"/>
      <c r="AJ120" s="249">
        <f t="shared" si="205"/>
        <v>30303.030303030304</v>
      </c>
      <c r="AK120" s="255">
        <f t="shared" si="206"/>
        <v>30303.030303030304</v>
      </c>
      <c r="AL120" s="255">
        <f t="shared" si="207"/>
        <v>0</v>
      </c>
      <c r="AM120" s="255">
        <f t="shared" si="208"/>
        <v>0</v>
      </c>
      <c r="AN120" s="256">
        <f t="shared" si="209"/>
        <v>0</v>
      </c>
      <c r="AO120" s="261">
        <f t="shared" si="120"/>
        <v>60606.060606060608</v>
      </c>
      <c r="AQ120" s="249">
        <f t="shared" si="210"/>
        <v>24848.484848484848</v>
      </c>
      <c r="AR120" s="151">
        <f t="shared" si="211"/>
        <v>5454.5454545454559</v>
      </c>
      <c r="AS120" s="150">
        <f t="shared" si="212"/>
        <v>24848.484848484848</v>
      </c>
      <c r="AT120" s="151">
        <f t="shared" si="213"/>
        <v>5454.5454545454559</v>
      </c>
      <c r="AU120" s="150">
        <f t="shared" si="214"/>
        <v>0</v>
      </c>
      <c r="AV120" s="151">
        <f t="shared" si="215"/>
        <v>0</v>
      </c>
      <c r="AW120" s="150">
        <f t="shared" si="216"/>
        <v>0</v>
      </c>
      <c r="AX120" s="151">
        <f t="shared" si="217"/>
        <v>0</v>
      </c>
      <c r="AY120" s="150">
        <f t="shared" si="218"/>
        <v>0</v>
      </c>
      <c r="AZ120" s="256">
        <f t="shared" si="219"/>
        <v>0</v>
      </c>
      <c r="BA120" s="249">
        <f t="shared" si="121"/>
        <v>49696.969696969696</v>
      </c>
      <c r="BB120" s="256">
        <f t="shared" si="122"/>
        <v>10909.090909090912</v>
      </c>
      <c r="BC120" s="35" t="s">
        <v>119</v>
      </c>
    </row>
    <row r="121" spans="2:55" s="31" customFormat="1" x14ac:dyDescent="0.25">
      <c r="B121" s="29" t="s">
        <v>16</v>
      </c>
      <c r="C121" s="29"/>
      <c r="D121" s="196">
        <v>4</v>
      </c>
      <c r="E121" s="196">
        <v>0</v>
      </c>
      <c r="F121" s="196">
        <v>0</v>
      </c>
      <c r="G121" s="196">
        <v>0</v>
      </c>
      <c r="H121" s="196">
        <v>0</v>
      </c>
      <c r="I121" s="225" t="str">
        <f t="shared" si="145"/>
        <v>4.0.0.0</v>
      </c>
      <c r="J121" s="226"/>
      <c r="K121" s="30" t="s">
        <v>599</v>
      </c>
      <c r="L121" s="41">
        <f t="shared" ref="L121:L152" si="220">SUM(Q121:V121)/$R$1</f>
        <v>49292412.149442703</v>
      </c>
      <c r="M121" s="78">
        <f t="shared" ref="M121:V121" si="221">+M122+M146+M161+M178</f>
        <v>36474522.730890051</v>
      </c>
      <c r="N121" s="281">
        <f t="shared" si="221"/>
        <v>12817889.418552639</v>
      </c>
      <c r="O121" s="279"/>
      <c r="P121" s="280"/>
      <c r="Q121" s="78">
        <f t="shared" si="221"/>
        <v>84121685</v>
      </c>
      <c r="R121" s="281">
        <f t="shared" si="221"/>
        <v>297638151.54691023</v>
      </c>
      <c r="S121" s="281">
        <f t="shared" si="221"/>
        <v>214959621.53443503</v>
      </c>
      <c r="T121" s="281">
        <f t="shared" si="221"/>
        <v>359627460.05984181</v>
      </c>
      <c r="U121" s="281">
        <f t="shared" si="221"/>
        <v>335496319.46746337</v>
      </c>
      <c r="V121" s="66">
        <f t="shared" si="221"/>
        <v>334806363.32295853</v>
      </c>
      <c r="W121" s="32"/>
      <c r="AA121" s="230"/>
      <c r="AB121" s="229"/>
      <c r="AJ121" s="78">
        <f>+AJ122+AJ146+AJ161+AJ178</f>
        <v>11568479.895360917</v>
      </c>
      <c r="AK121" s="281">
        <f>+AK122+AK146+AK161+AK178</f>
        <v>6513927.9252859084</v>
      </c>
      <c r="AL121" s="281">
        <f>+AL122+AL146+AL161+AL178</f>
        <v>10897801.819995208</v>
      </c>
      <c r="AM121" s="281">
        <f>+AM122+AM146+AM161+AM178</f>
        <v>10166555.135377679</v>
      </c>
      <c r="AN121" s="66">
        <f>+AN122+AN146+AN161+AN178</f>
        <v>10145647.373422986</v>
      </c>
      <c r="AO121" s="282">
        <f t="shared" si="120"/>
        <v>49292412.149442695</v>
      </c>
      <c r="AP121" s="138"/>
      <c r="AQ121" s="283">
        <f t="shared" ref="AQ121:AZ121" si="222">+AQ122+AQ146+AQ161+AQ178</f>
        <v>7349143.2122947676</v>
      </c>
      <c r="AR121" s="130">
        <f t="shared" si="222"/>
        <v>4219336.6830661492</v>
      </c>
      <c r="AS121" s="131">
        <f t="shared" si="222"/>
        <v>4894103.6883660369</v>
      </c>
      <c r="AT121" s="130">
        <f t="shared" si="222"/>
        <v>1619824.2369198727</v>
      </c>
      <c r="AU121" s="131">
        <f t="shared" si="222"/>
        <v>8570917.173741186</v>
      </c>
      <c r="AV121" s="130">
        <f t="shared" si="222"/>
        <v>2326884.6462540231</v>
      </c>
      <c r="AW121" s="131">
        <f t="shared" si="222"/>
        <v>7880981.8931921329</v>
      </c>
      <c r="AX121" s="130">
        <f t="shared" si="222"/>
        <v>2285573.2421855438</v>
      </c>
      <c r="AY121" s="131">
        <f t="shared" si="222"/>
        <v>7779376.7632959364</v>
      </c>
      <c r="AZ121" s="284">
        <f t="shared" si="222"/>
        <v>2366270.610127049</v>
      </c>
      <c r="BA121" s="283">
        <f t="shared" si="121"/>
        <v>36474522.730890058</v>
      </c>
      <c r="BB121" s="284">
        <f t="shared" si="122"/>
        <v>12817889.418552637</v>
      </c>
    </row>
    <row r="122" spans="2:55" s="46" customFormat="1" x14ac:dyDescent="0.25">
      <c r="B122" s="33"/>
      <c r="C122" s="33"/>
      <c r="D122" s="220">
        <v>4</v>
      </c>
      <c r="E122" s="220">
        <v>1</v>
      </c>
      <c r="F122" s="220">
        <v>0</v>
      </c>
      <c r="G122" s="220">
        <v>0</v>
      </c>
      <c r="H122" s="220">
        <v>0</v>
      </c>
      <c r="I122" s="33" t="str">
        <f t="shared" ref="I122:I192" si="223">CONCATENATE(D122,".",E122,".",F122,".",G122)</f>
        <v>4.1.0.0</v>
      </c>
      <c r="J122" s="33">
        <v>4.0999999999999996</v>
      </c>
      <c r="K122" s="46" t="s">
        <v>441</v>
      </c>
      <c r="L122" s="47">
        <f t="shared" si="220"/>
        <v>32426804.939443171</v>
      </c>
      <c r="M122" s="79">
        <f t="shared" ref="M122:Q122" si="224">+M123+M138+M142</f>
        <v>22663702.667687058</v>
      </c>
      <c r="N122" s="236">
        <f t="shared" si="224"/>
        <v>9763102.2717561089</v>
      </c>
      <c r="O122" s="84"/>
      <c r="P122" s="85"/>
      <c r="Q122" s="79">
        <f t="shared" si="224"/>
        <v>56642765</v>
      </c>
      <c r="R122" s="236">
        <f>+R123+R138+R142</f>
        <v>198795753.12703431</v>
      </c>
      <c r="S122" s="236">
        <f t="shared" ref="S122:V122" si="225">+S123+S138+S142</f>
        <v>170222511.74433497</v>
      </c>
      <c r="T122" s="236">
        <f t="shared" si="225"/>
        <v>247628449.8252309</v>
      </c>
      <c r="U122" s="236">
        <f t="shared" si="225"/>
        <v>193170708.81493461</v>
      </c>
      <c r="V122" s="67">
        <f t="shared" si="225"/>
        <v>203624374.49008977</v>
      </c>
      <c r="W122" s="49"/>
      <c r="X122" s="402"/>
      <c r="Y122" s="402"/>
      <c r="Z122" s="402"/>
      <c r="AA122" s="47"/>
      <c r="AJ122" s="79">
        <f t="shared" ref="AJ122:AN122" si="226">+AJ123+AJ138+AJ142</f>
        <v>7740561.1553646764</v>
      </c>
      <c r="AK122" s="236">
        <f t="shared" si="226"/>
        <v>5158257.9316465138</v>
      </c>
      <c r="AL122" s="236">
        <f t="shared" si="226"/>
        <v>7503892.418946391</v>
      </c>
      <c r="AM122" s="236">
        <f t="shared" si="226"/>
        <v>5853657.8428768069</v>
      </c>
      <c r="AN122" s="67">
        <f t="shared" si="226"/>
        <v>6170435.5906087812</v>
      </c>
      <c r="AO122" s="258">
        <f t="shared" si="120"/>
        <v>32426804.939443171</v>
      </c>
      <c r="AP122" s="139"/>
      <c r="AQ122" s="262">
        <f t="shared" ref="AQ122:AZ122" si="227">+AQ123+AQ138+AQ142</f>
        <v>4728963.5839192765</v>
      </c>
      <c r="AR122" s="133">
        <f t="shared" si="227"/>
        <v>3011597.5714454013</v>
      </c>
      <c r="AS122" s="132">
        <f t="shared" si="227"/>
        <v>3731052.779214391</v>
      </c>
      <c r="AT122" s="133">
        <f t="shared" si="227"/>
        <v>1427205.1524321232</v>
      </c>
      <c r="AU122" s="132">
        <f t="shared" si="227"/>
        <v>5655688.8466161471</v>
      </c>
      <c r="AV122" s="133">
        <f t="shared" si="227"/>
        <v>1848203.572330243</v>
      </c>
      <c r="AW122" s="132">
        <f t="shared" si="227"/>
        <v>4179338.9317349079</v>
      </c>
      <c r="AX122" s="133">
        <f t="shared" si="227"/>
        <v>1674318.9111418987</v>
      </c>
      <c r="AY122" s="132">
        <f t="shared" si="227"/>
        <v>4368658.5262023378</v>
      </c>
      <c r="AZ122" s="263">
        <f t="shared" si="227"/>
        <v>1801777.0644064427</v>
      </c>
      <c r="BA122" s="262">
        <f t="shared" si="121"/>
        <v>22663702.667687058</v>
      </c>
      <c r="BB122" s="263">
        <f t="shared" si="122"/>
        <v>9763102.2717561089</v>
      </c>
    </row>
    <row r="123" spans="2:55" s="51" customFormat="1" x14ac:dyDescent="0.25">
      <c r="B123" s="34"/>
      <c r="C123" s="34"/>
      <c r="D123" s="221">
        <v>4</v>
      </c>
      <c r="E123" s="221">
        <v>1</v>
      </c>
      <c r="F123" s="221" t="s">
        <v>270</v>
      </c>
      <c r="G123" s="221">
        <v>0</v>
      </c>
      <c r="H123" s="221">
        <v>0</v>
      </c>
      <c r="I123" s="34" t="str">
        <f t="shared" si="223"/>
        <v>4.1.a.0</v>
      </c>
      <c r="J123" s="34"/>
      <c r="K123" s="51" t="s">
        <v>442</v>
      </c>
      <c r="L123" s="45">
        <f t="shared" si="220"/>
        <v>23460277.028934564</v>
      </c>
      <c r="M123" s="80">
        <f t="shared" ref="M123:Q123" si="228">SUM(M124:M137)</f>
        <v>18907432.047844809</v>
      </c>
      <c r="N123" s="237">
        <f t="shared" si="228"/>
        <v>4552844.9810897531</v>
      </c>
      <c r="O123" s="86"/>
      <c r="P123" s="87"/>
      <c r="Q123" s="80">
        <f t="shared" si="228"/>
        <v>56642765</v>
      </c>
      <c r="R123" s="237">
        <f>SUM(R124:R137)</f>
        <v>140673812.49403954</v>
      </c>
      <c r="S123" s="237">
        <f t="shared" ref="S123:V123" si="229">SUM(S124:S137)</f>
        <v>123130794.88151658</v>
      </c>
      <c r="T123" s="237">
        <f t="shared" si="229"/>
        <v>177591194.10845041</v>
      </c>
      <c r="U123" s="237">
        <f t="shared" si="229"/>
        <v>134789316.74923739</v>
      </c>
      <c r="V123" s="75">
        <f t="shared" si="229"/>
        <v>141361258.72159666</v>
      </c>
      <c r="W123" s="53"/>
      <c r="X123" s="400"/>
      <c r="Y123" s="400"/>
      <c r="Z123" s="400"/>
      <c r="AA123" s="45"/>
      <c r="AJ123" s="80">
        <f t="shared" ref="AJ123:AN123" si="230">SUM(AJ124:AJ137)</f>
        <v>5979290.2270921078</v>
      </c>
      <c r="AK123" s="237">
        <f t="shared" si="230"/>
        <v>3731236.2085308051</v>
      </c>
      <c r="AL123" s="237">
        <f t="shared" si="230"/>
        <v>5381551.3366197096</v>
      </c>
      <c r="AM123" s="237">
        <f t="shared" si="230"/>
        <v>4084524.7499768906</v>
      </c>
      <c r="AN123" s="75">
        <f t="shared" si="230"/>
        <v>4283674.50671505</v>
      </c>
      <c r="AO123" s="259">
        <f t="shared" si="120"/>
        <v>23460277.028934561</v>
      </c>
      <c r="AP123" s="139"/>
      <c r="AQ123" s="264">
        <f t="shared" ref="AQ123:AZ123" si="231">SUM(AQ124:AQ137)</f>
        <v>3873783.3982602987</v>
      </c>
      <c r="AR123" s="135">
        <f t="shared" si="231"/>
        <v>2105506.8288318091</v>
      </c>
      <c r="AS123" s="134">
        <f t="shared" si="231"/>
        <v>3208863.1393364924</v>
      </c>
      <c r="AT123" s="135">
        <f t="shared" si="231"/>
        <v>522373.06919431285</v>
      </c>
      <c r="AU123" s="134">
        <f t="shared" si="231"/>
        <v>4628134.1494929502</v>
      </c>
      <c r="AV123" s="135">
        <f t="shared" si="231"/>
        <v>753417.18712675944</v>
      </c>
      <c r="AW123" s="134">
        <f t="shared" si="231"/>
        <v>3512691.2849801257</v>
      </c>
      <c r="AX123" s="135">
        <f t="shared" si="231"/>
        <v>571833.46499676479</v>
      </c>
      <c r="AY123" s="134">
        <f t="shared" si="231"/>
        <v>3683960.0757749425</v>
      </c>
      <c r="AZ123" s="265">
        <f t="shared" si="231"/>
        <v>599714.43094010698</v>
      </c>
      <c r="BA123" s="264">
        <f t="shared" si="121"/>
        <v>18907432.047844809</v>
      </c>
      <c r="BB123" s="265">
        <f t="shared" si="122"/>
        <v>4552844.9810897531</v>
      </c>
    </row>
    <row r="124" spans="2:55" s="35" customFormat="1" x14ac:dyDescent="0.25">
      <c r="B124" s="72" t="s">
        <v>19</v>
      </c>
      <c r="C124" s="72" t="s">
        <v>85</v>
      </c>
      <c r="D124" s="199">
        <v>4</v>
      </c>
      <c r="E124" s="199">
        <v>1</v>
      </c>
      <c r="F124" s="199" t="s">
        <v>270</v>
      </c>
      <c r="G124" s="199">
        <v>1</v>
      </c>
      <c r="H124" s="199"/>
      <c r="I124" s="72" t="str">
        <f t="shared" si="223"/>
        <v>4.1.a.1</v>
      </c>
      <c r="J124" s="72"/>
      <c r="K124" s="35" t="s">
        <v>123</v>
      </c>
      <c r="L124" s="73">
        <f t="shared" si="220"/>
        <v>2094634.6600260758</v>
      </c>
      <c r="M124" s="308">
        <f t="shared" ref="M124:M137" si="232">+O124*$L124</f>
        <v>1068263.6766132987</v>
      </c>
      <c r="N124" s="309">
        <f t="shared" ref="N124:N137" si="233">+P124*$L124</f>
        <v>1026370.9834127771</v>
      </c>
      <c r="O124" s="306">
        <v>0.51</v>
      </c>
      <c r="P124" s="307">
        <f t="shared" ref="P124:P137" si="234">1-O124</f>
        <v>0.49</v>
      </c>
      <c r="Q124" s="248">
        <v>27846412</v>
      </c>
      <c r="R124" s="39">
        <v>41276531.780860499</v>
      </c>
      <c r="S124" s="246"/>
      <c r="T124" s="246"/>
      <c r="U124" s="246"/>
      <c r="V124" s="312"/>
      <c r="W124" s="72"/>
      <c r="X124" s="401"/>
      <c r="Y124" s="401"/>
      <c r="Z124" s="401"/>
      <c r="AA124" s="73"/>
      <c r="AC124" s="290"/>
      <c r="AD124" s="290">
        <v>1</v>
      </c>
      <c r="AE124" s="290">
        <v>1</v>
      </c>
      <c r="AF124" s="290"/>
      <c r="AG124" s="290"/>
      <c r="AH124" s="290"/>
      <c r="AI124" s="290"/>
      <c r="AJ124" s="249">
        <f t="shared" ref="AJ124:AJ137" si="235">+(R124+Q124)/$AJ$1</f>
        <v>2094634.6600260758</v>
      </c>
      <c r="AK124" s="255">
        <f t="shared" ref="AK124:AK137" si="236">+S124/$AK$1</f>
        <v>0</v>
      </c>
      <c r="AL124" s="255">
        <f t="shared" ref="AL124:AL137" si="237">+T124/$AL$1</f>
        <v>0</v>
      </c>
      <c r="AM124" s="255">
        <f t="shared" ref="AM124:AM137" si="238">+U124/$AM$1</f>
        <v>0</v>
      </c>
      <c r="AN124" s="256">
        <f t="shared" ref="AN124:AN137" si="239">+V124/$AN$1</f>
        <v>0</v>
      </c>
      <c r="AO124" s="261">
        <f t="shared" si="120"/>
        <v>2094634.6600260758</v>
      </c>
      <c r="AQ124" s="249">
        <f t="shared" ref="AQ124:AQ137" si="240">+AJ124*$O124</f>
        <v>1068263.6766132987</v>
      </c>
      <c r="AR124" s="151">
        <f t="shared" ref="AR124:AR137" si="241">+AJ124*$P124</f>
        <v>1026370.9834127771</v>
      </c>
      <c r="AS124" s="150">
        <f t="shared" ref="AS124:AS137" si="242">+AK124*$O124</f>
        <v>0</v>
      </c>
      <c r="AT124" s="151">
        <f t="shared" ref="AT124:AT137" si="243">+AK124*$P124</f>
        <v>0</v>
      </c>
      <c r="AU124" s="150">
        <f t="shared" ref="AU124:AU137" si="244">+AL124*$O124</f>
        <v>0</v>
      </c>
      <c r="AV124" s="151">
        <f t="shared" ref="AV124:AV137" si="245">+AL124*$P124</f>
        <v>0</v>
      </c>
      <c r="AW124" s="150">
        <f t="shared" ref="AW124:AW137" si="246">+AM124*$O124</f>
        <v>0</v>
      </c>
      <c r="AX124" s="151">
        <f t="shared" ref="AX124:AX137" si="247">+AM124*$P124</f>
        <v>0</v>
      </c>
      <c r="AY124" s="150">
        <f t="shared" ref="AY124:AY137" si="248">+AN124*$O124</f>
        <v>0</v>
      </c>
      <c r="AZ124" s="256">
        <f t="shared" ref="AZ124:AZ137" si="249">+AN124*$P124</f>
        <v>0</v>
      </c>
      <c r="BA124" s="249">
        <f t="shared" si="121"/>
        <v>1068263.6766132987</v>
      </c>
      <c r="BB124" s="256">
        <f t="shared" si="122"/>
        <v>1026370.9834127771</v>
      </c>
      <c r="BC124" s="35" t="s">
        <v>123</v>
      </c>
    </row>
    <row r="125" spans="2:55" s="35" customFormat="1" x14ac:dyDescent="0.25">
      <c r="B125" s="72" t="s">
        <v>19</v>
      </c>
      <c r="C125" s="72" t="s">
        <v>85</v>
      </c>
      <c r="D125" s="199">
        <v>4</v>
      </c>
      <c r="E125" s="199">
        <v>1</v>
      </c>
      <c r="F125" s="199" t="s">
        <v>270</v>
      </c>
      <c r="G125" s="199">
        <v>2</v>
      </c>
      <c r="H125" s="199"/>
      <c r="I125" s="72" t="str">
        <f t="shared" si="223"/>
        <v>4.1.a.2</v>
      </c>
      <c r="J125" s="72"/>
      <c r="K125" s="35" t="s">
        <v>128</v>
      </c>
      <c r="L125" s="73">
        <f t="shared" si="220"/>
        <v>1119229.3611304571</v>
      </c>
      <c r="M125" s="308">
        <f t="shared" si="232"/>
        <v>962537.25057219318</v>
      </c>
      <c r="N125" s="309">
        <f t="shared" si="233"/>
        <v>156692.11055826402</v>
      </c>
      <c r="O125" s="306">
        <v>0.86</v>
      </c>
      <c r="P125" s="307">
        <f t="shared" si="234"/>
        <v>0.14000000000000001</v>
      </c>
      <c r="Q125" s="248">
        <v>5042464</v>
      </c>
      <c r="R125" s="39">
        <v>31892104.917305078</v>
      </c>
      <c r="S125" s="246"/>
      <c r="T125" s="246"/>
      <c r="U125" s="246"/>
      <c r="V125" s="312"/>
      <c r="W125" s="72"/>
      <c r="X125" s="401"/>
      <c r="Y125" s="401"/>
      <c r="Z125" s="401"/>
      <c r="AA125" s="73"/>
      <c r="AD125" s="35">
        <v>1</v>
      </c>
      <c r="AE125" s="35">
        <v>1</v>
      </c>
      <c r="AJ125" s="249">
        <f t="shared" si="235"/>
        <v>1119229.3611304571</v>
      </c>
      <c r="AK125" s="255">
        <f t="shared" si="236"/>
        <v>0</v>
      </c>
      <c r="AL125" s="255">
        <f t="shared" si="237"/>
        <v>0</v>
      </c>
      <c r="AM125" s="255">
        <f t="shared" si="238"/>
        <v>0</v>
      </c>
      <c r="AN125" s="256">
        <f t="shared" si="239"/>
        <v>0</v>
      </c>
      <c r="AO125" s="261">
        <f t="shared" si="120"/>
        <v>1119229.3611304571</v>
      </c>
      <c r="AQ125" s="249">
        <f t="shared" si="240"/>
        <v>962537.25057219318</v>
      </c>
      <c r="AR125" s="151">
        <f t="shared" si="241"/>
        <v>156692.11055826402</v>
      </c>
      <c r="AS125" s="150">
        <f t="shared" si="242"/>
        <v>0</v>
      </c>
      <c r="AT125" s="151">
        <f t="shared" si="243"/>
        <v>0</v>
      </c>
      <c r="AU125" s="150">
        <f t="shared" si="244"/>
        <v>0</v>
      </c>
      <c r="AV125" s="151">
        <f t="shared" si="245"/>
        <v>0</v>
      </c>
      <c r="AW125" s="150">
        <f t="shared" si="246"/>
        <v>0</v>
      </c>
      <c r="AX125" s="151">
        <f t="shared" si="247"/>
        <v>0</v>
      </c>
      <c r="AY125" s="150">
        <f t="shared" si="248"/>
        <v>0</v>
      </c>
      <c r="AZ125" s="256">
        <f t="shared" si="249"/>
        <v>0</v>
      </c>
      <c r="BA125" s="249">
        <f t="shared" si="121"/>
        <v>962537.25057219318</v>
      </c>
      <c r="BB125" s="256">
        <f t="shared" si="122"/>
        <v>156692.11055826402</v>
      </c>
      <c r="BC125" s="35" t="s">
        <v>128</v>
      </c>
    </row>
    <row r="126" spans="2:55" s="35" customFormat="1" x14ac:dyDescent="0.25">
      <c r="B126" s="72" t="s">
        <v>19</v>
      </c>
      <c r="C126" s="72" t="s">
        <v>85</v>
      </c>
      <c r="D126" s="199">
        <v>4</v>
      </c>
      <c r="E126" s="199">
        <v>1</v>
      </c>
      <c r="F126" s="199" t="s">
        <v>270</v>
      </c>
      <c r="G126" s="199">
        <v>3</v>
      </c>
      <c r="H126" s="199"/>
      <c r="I126" s="72" t="str">
        <f t="shared" si="223"/>
        <v>4.1.a.3</v>
      </c>
      <c r="J126" s="72"/>
      <c r="K126" s="35" t="s">
        <v>127</v>
      </c>
      <c r="L126" s="73">
        <f t="shared" si="220"/>
        <v>1092416.4612852803</v>
      </c>
      <c r="M126" s="308">
        <f t="shared" si="232"/>
        <v>404194.09067555371</v>
      </c>
      <c r="N126" s="309">
        <f t="shared" si="233"/>
        <v>688222.37060972664</v>
      </c>
      <c r="O126" s="306">
        <v>0.37</v>
      </c>
      <c r="P126" s="307">
        <f t="shared" si="234"/>
        <v>0.63</v>
      </c>
      <c r="Q126" s="248">
        <v>20411477</v>
      </c>
      <c r="R126" s="39">
        <v>15638266.222414246</v>
      </c>
      <c r="S126" s="246"/>
      <c r="T126" s="246"/>
      <c r="U126" s="246"/>
      <c r="V126" s="312"/>
      <c r="W126" s="72"/>
      <c r="X126" s="401"/>
      <c r="Y126" s="401"/>
      <c r="Z126" s="401"/>
      <c r="AA126" s="73"/>
      <c r="AD126" s="35">
        <v>1</v>
      </c>
      <c r="AE126" s="35">
        <v>1</v>
      </c>
      <c r="AJ126" s="249">
        <f t="shared" si="235"/>
        <v>1092416.4612852803</v>
      </c>
      <c r="AK126" s="255">
        <f t="shared" si="236"/>
        <v>0</v>
      </c>
      <c r="AL126" s="255">
        <f t="shared" si="237"/>
        <v>0</v>
      </c>
      <c r="AM126" s="255">
        <f t="shared" si="238"/>
        <v>0</v>
      </c>
      <c r="AN126" s="256">
        <f t="shared" si="239"/>
        <v>0</v>
      </c>
      <c r="AO126" s="261">
        <f t="shared" si="120"/>
        <v>1092416.4612852803</v>
      </c>
      <c r="AQ126" s="249">
        <f t="shared" si="240"/>
        <v>404194.09067555371</v>
      </c>
      <c r="AR126" s="151">
        <f t="shared" si="241"/>
        <v>688222.37060972664</v>
      </c>
      <c r="AS126" s="150">
        <f t="shared" si="242"/>
        <v>0</v>
      </c>
      <c r="AT126" s="151">
        <f t="shared" si="243"/>
        <v>0</v>
      </c>
      <c r="AU126" s="150">
        <f t="shared" si="244"/>
        <v>0</v>
      </c>
      <c r="AV126" s="151">
        <f t="shared" si="245"/>
        <v>0</v>
      </c>
      <c r="AW126" s="150">
        <f t="shared" si="246"/>
        <v>0</v>
      </c>
      <c r="AX126" s="151">
        <f t="shared" si="247"/>
        <v>0</v>
      </c>
      <c r="AY126" s="150">
        <f t="shared" si="248"/>
        <v>0</v>
      </c>
      <c r="AZ126" s="256">
        <f t="shared" si="249"/>
        <v>0</v>
      </c>
      <c r="BA126" s="249">
        <f t="shared" si="121"/>
        <v>404194.09067555371</v>
      </c>
      <c r="BB126" s="256">
        <f t="shared" si="122"/>
        <v>688222.37060972664</v>
      </c>
      <c r="BC126" s="35" t="s">
        <v>127</v>
      </c>
    </row>
    <row r="127" spans="2:55" s="35" customFormat="1" x14ac:dyDescent="0.25">
      <c r="B127" s="72" t="s">
        <v>19</v>
      </c>
      <c r="C127" s="72" t="s">
        <v>85</v>
      </c>
      <c r="D127" s="199">
        <v>4</v>
      </c>
      <c r="E127" s="199">
        <v>1</v>
      </c>
      <c r="F127" s="199" t="s">
        <v>270</v>
      </c>
      <c r="G127" s="199">
        <v>4</v>
      </c>
      <c r="H127" s="199"/>
      <c r="I127" s="72" t="str">
        <f t="shared" si="223"/>
        <v>4.1.a.4</v>
      </c>
      <c r="J127" s="72"/>
      <c r="K127" s="35" t="s">
        <v>137</v>
      </c>
      <c r="L127" s="73">
        <f t="shared" si="220"/>
        <v>757773.37354588544</v>
      </c>
      <c r="M127" s="308">
        <f t="shared" si="232"/>
        <v>651685.10124946141</v>
      </c>
      <c r="N127" s="309">
        <f t="shared" si="233"/>
        <v>106088.27229642397</v>
      </c>
      <c r="O127" s="306">
        <v>0.86</v>
      </c>
      <c r="P127" s="307">
        <f t="shared" si="234"/>
        <v>0.14000000000000001</v>
      </c>
      <c r="Q127" s="248"/>
      <c r="R127" s="39">
        <f>$AA127*AE127/$AC127*coefobras17</f>
        <v>4700473.9336492894</v>
      </c>
      <c r="S127" s="39">
        <f>$AA127*AF127/$AC127*coefobras18</f>
        <v>20306047.393364929</v>
      </c>
      <c r="T127" s="39"/>
      <c r="U127" s="39"/>
      <c r="V127" s="245"/>
      <c r="W127" s="40"/>
      <c r="X127" s="401"/>
      <c r="Y127" s="401"/>
      <c r="Z127" s="401"/>
      <c r="AA127" s="73">
        <v>25000000</v>
      </c>
      <c r="AB127" s="35" t="s">
        <v>131</v>
      </c>
      <c r="AC127" s="72">
        <v>5</v>
      </c>
      <c r="AD127" s="72"/>
      <c r="AE127" s="72">
        <v>1</v>
      </c>
      <c r="AF127" s="72">
        <v>4</v>
      </c>
      <c r="AG127" s="72"/>
      <c r="AH127" s="72"/>
      <c r="AI127" s="72"/>
      <c r="AJ127" s="249">
        <f t="shared" si="235"/>
        <v>142438.60404997846</v>
      </c>
      <c r="AK127" s="255">
        <f t="shared" si="236"/>
        <v>615334.76949590689</v>
      </c>
      <c r="AL127" s="255">
        <f t="shared" si="237"/>
        <v>0</v>
      </c>
      <c r="AM127" s="255">
        <f t="shared" si="238"/>
        <v>0</v>
      </c>
      <c r="AN127" s="256">
        <f t="shared" si="239"/>
        <v>0</v>
      </c>
      <c r="AO127" s="261">
        <f t="shared" si="120"/>
        <v>757773.37354588532</v>
      </c>
      <c r="AQ127" s="249">
        <f t="shared" si="240"/>
        <v>122497.19948298146</v>
      </c>
      <c r="AR127" s="151">
        <f t="shared" si="241"/>
        <v>19941.404566996986</v>
      </c>
      <c r="AS127" s="150">
        <f t="shared" si="242"/>
        <v>529187.90176647995</v>
      </c>
      <c r="AT127" s="151">
        <f t="shared" si="243"/>
        <v>86146.867729426973</v>
      </c>
      <c r="AU127" s="150">
        <f t="shared" si="244"/>
        <v>0</v>
      </c>
      <c r="AV127" s="151">
        <f t="shared" si="245"/>
        <v>0</v>
      </c>
      <c r="AW127" s="150">
        <f t="shared" si="246"/>
        <v>0</v>
      </c>
      <c r="AX127" s="151">
        <f t="shared" si="247"/>
        <v>0</v>
      </c>
      <c r="AY127" s="150">
        <f t="shared" si="248"/>
        <v>0</v>
      </c>
      <c r="AZ127" s="256">
        <f t="shared" si="249"/>
        <v>0</v>
      </c>
      <c r="BA127" s="249">
        <f t="shared" si="121"/>
        <v>651685.10124946141</v>
      </c>
      <c r="BB127" s="256">
        <f t="shared" si="122"/>
        <v>106088.27229642397</v>
      </c>
      <c r="BC127" s="35" t="s">
        <v>137</v>
      </c>
    </row>
    <row r="128" spans="2:55" s="35" customFormat="1" x14ac:dyDescent="0.25">
      <c r="B128" s="72" t="s">
        <v>33</v>
      </c>
      <c r="C128" s="72" t="s">
        <v>85</v>
      </c>
      <c r="D128" s="199">
        <v>4</v>
      </c>
      <c r="E128" s="199">
        <v>1</v>
      </c>
      <c r="F128" s="199" t="s">
        <v>270</v>
      </c>
      <c r="G128" s="199">
        <v>5</v>
      </c>
      <c r="H128" s="199"/>
      <c r="I128" s="72" t="str">
        <f t="shared" si="223"/>
        <v>4.1.a.5</v>
      </c>
      <c r="J128" s="72"/>
      <c r="K128" s="35" t="s">
        <v>139</v>
      </c>
      <c r="L128" s="73">
        <f t="shared" si="220"/>
        <v>2346732.9771650149</v>
      </c>
      <c r="M128" s="308">
        <f t="shared" si="232"/>
        <v>2018190.3603619128</v>
      </c>
      <c r="N128" s="309">
        <f t="shared" si="233"/>
        <v>328542.61680310214</v>
      </c>
      <c r="O128" s="306">
        <v>0.86</v>
      </c>
      <c r="P128" s="307">
        <f t="shared" si="234"/>
        <v>0.14000000000000001</v>
      </c>
      <c r="Q128" s="248"/>
      <c r="R128" s="39"/>
      <c r="S128" s="39">
        <f>$AA128*AF128/$AC128*coefobras18</f>
        <v>77442188.246445492</v>
      </c>
      <c r="T128" s="39"/>
      <c r="U128" s="39"/>
      <c r="V128" s="245"/>
      <c r="W128" s="40"/>
      <c r="X128" s="401"/>
      <c r="Y128" s="401"/>
      <c r="Z128" s="401"/>
      <c r="AA128" s="73">
        <v>76275000</v>
      </c>
      <c r="AB128" s="35" t="s">
        <v>131</v>
      </c>
      <c r="AC128" s="72">
        <v>6</v>
      </c>
      <c r="AD128" s="72"/>
      <c r="AE128" s="72"/>
      <c r="AF128" s="72">
        <v>6</v>
      </c>
      <c r="AG128" s="72"/>
      <c r="AH128" s="72"/>
      <c r="AI128" s="72"/>
      <c r="AJ128" s="249">
        <f t="shared" si="235"/>
        <v>0</v>
      </c>
      <c r="AK128" s="255">
        <f t="shared" si="236"/>
        <v>2346732.9771650149</v>
      </c>
      <c r="AL128" s="255">
        <f t="shared" si="237"/>
        <v>0</v>
      </c>
      <c r="AM128" s="255">
        <f t="shared" si="238"/>
        <v>0</v>
      </c>
      <c r="AN128" s="256">
        <f t="shared" si="239"/>
        <v>0</v>
      </c>
      <c r="AO128" s="261">
        <f t="shared" ref="AO128:AO187" si="250">SUBTOTAL(9,AJ128:AN128)</f>
        <v>2346732.9771650149</v>
      </c>
      <c r="AQ128" s="249">
        <f t="shared" si="240"/>
        <v>0</v>
      </c>
      <c r="AR128" s="151">
        <f t="shared" si="241"/>
        <v>0</v>
      </c>
      <c r="AS128" s="150">
        <f t="shared" si="242"/>
        <v>2018190.3603619128</v>
      </c>
      <c r="AT128" s="151">
        <f t="shared" si="243"/>
        <v>328542.61680310214</v>
      </c>
      <c r="AU128" s="150">
        <f t="shared" si="244"/>
        <v>0</v>
      </c>
      <c r="AV128" s="151">
        <f t="shared" si="245"/>
        <v>0</v>
      </c>
      <c r="AW128" s="150">
        <f t="shared" si="246"/>
        <v>0</v>
      </c>
      <c r="AX128" s="151">
        <f t="shared" si="247"/>
        <v>0</v>
      </c>
      <c r="AY128" s="150">
        <f t="shared" si="248"/>
        <v>0</v>
      </c>
      <c r="AZ128" s="256">
        <f t="shared" si="249"/>
        <v>0</v>
      </c>
      <c r="BA128" s="249">
        <f t="shared" ref="BA128:BA187" si="251">+AQ128+AS128+AU128+AW128+AY128</f>
        <v>2018190.3603619128</v>
      </c>
      <c r="BB128" s="256">
        <f t="shared" ref="BB128:BB187" si="252">+AR128+AT128+AV128+AX128+AZ128</f>
        <v>328542.61680310214</v>
      </c>
      <c r="BC128" s="35" t="s">
        <v>139</v>
      </c>
    </row>
    <row r="129" spans="2:55" s="35" customFormat="1" x14ac:dyDescent="0.25">
      <c r="B129" s="72" t="s">
        <v>33</v>
      </c>
      <c r="C129" s="72" t="s">
        <v>85</v>
      </c>
      <c r="D129" s="199">
        <v>4</v>
      </c>
      <c r="E129" s="199">
        <v>1</v>
      </c>
      <c r="F129" s="199" t="s">
        <v>270</v>
      </c>
      <c r="G129" s="199">
        <v>6</v>
      </c>
      <c r="H129" s="199"/>
      <c r="I129" s="72" t="str">
        <f t="shared" si="223"/>
        <v>4.1.a.6</v>
      </c>
      <c r="J129" s="72"/>
      <c r="K129" s="35" t="s">
        <v>132</v>
      </c>
      <c r="L129" s="73">
        <f t="shared" si="220"/>
        <v>1530571.1406003158</v>
      </c>
      <c r="M129" s="308">
        <f t="shared" si="232"/>
        <v>1316291.1809162716</v>
      </c>
      <c r="N129" s="309">
        <f t="shared" si="233"/>
        <v>214279.95968404424</v>
      </c>
      <c r="O129" s="306">
        <v>0.86</v>
      </c>
      <c r="P129" s="307">
        <f t="shared" si="234"/>
        <v>0.14000000000000001</v>
      </c>
      <c r="Q129" s="248">
        <v>3342412</v>
      </c>
      <c r="R129" s="39">
        <f>$AA129*AE129/$AC129*coefobras17</f>
        <v>47166435.639810421</v>
      </c>
      <c r="S129" s="39"/>
      <c r="T129" s="39"/>
      <c r="U129" s="39"/>
      <c r="V129" s="245"/>
      <c r="W129" s="40"/>
      <c r="X129" s="401"/>
      <c r="Y129" s="401"/>
      <c r="Z129" s="401"/>
      <c r="AA129" s="73">
        <v>50171999.999999993</v>
      </c>
      <c r="AB129" s="35" t="s">
        <v>131</v>
      </c>
      <c r="AC129" s="72">
        <v>11</v>
      </c>
      <c r="AD129" s="72">
        <v>1</v>
      </c>
      <c r="AE129" s="72">
        <v>11</v>
      </c>
      <c r="AF129" s="72"/>
      <c r="AJ129" s="249">
        <f t="shared" si="235"/>
        <v>1530571.1406003158</v>
      </c>
      <c r="AK129" s="255">
        <f t="shared" si="236"/>
        <v>0</v>
      </c>
      <c r="AL129" s="255">
        <f t="shared" si="237"/>
        <v>0</v>
      </c>
      <c r="AM129" s="255">
        <f t="shared" si="238"/>
        <v>0</v>
      </c>
      <c r="AN129" s="256">
        <f t="shared" si="239"/>
        <v>0</v>
      </c>
      <c r="AO129" s="261">
        <f t="shared" si="250"/>
        <v>1530571.1406003158</v>
      </c>
      <c r="AQ129" s="249">
        <f t="shared" si="240"/>
        <v>1316291.1809162716</v>
      </c>
      <c r="AR129" s="151">
        <f t="shared" si="241"/>
        <v>214279.95968404424</v>
      </c>
      <c r="AS129" s="150">
        <f t="shared" si="242"/>
        <v>0</v>
      </c>
      <c r="AT129" s="151">
        <f t="shared" si="243"/>
        <v>0</v>
      </c>
      <c r="AU129" s="150">
        <f t="shared" si="244"/>
        <v>0</v>
      </c>
      <c r="AV129" s="151">
        <f t="shared" si="245"/>
        <v>0</v>
      </c>
      <c r="AW129" s="150">
        <f t="shared" si="246"/>
        <v>0</v>
      </c>
      <c r="AX129" s="151">
        <f t="shared" si="247"/>
        <v>0</v>
      </c>
      <c r="AY129" s="150">
        <f t="shared" si="248"/>
        <v>0</v>
      </c>
      <c r="AZ129" s="256">
        <f t="shared" si="249"/>
        <v>0</v>
      </c>
      <c r="BA129" s="249">
        <f t="shared" si="251"/>
        <v>1316291.1809162716</v>
      </c>
      <c r="BB129" s="256">
        <f t="shared" si="252"/>
        <v>214279.95968404424</v>
      </c>
      <c r="BC129" s="35" t="s">
        <v>132</v>
      </c>
    </row>
    <row r="130" spans="2:55" s="35" customFormat="1" x14ac:dyDescent="0.25">
      <c r="B130" s="72" t="s">
        <v>19</v>
      </c>
      <c r="C130" s="72" t="s">
        <v>85</v>
      </c>
      <c r="D130" s="199">
        <v>4</v>
      </c>
      <c r="E130" s="199">
        <v>1</v>
      </c>
      <c r="F130" s="199" t="s">
        <v>270</v>
      </c>
      <c r="G130" s="199">
        <v>7</v>
      </c>
      <c r="H130" s="199"/>
      <c r="I130" s="72" t="str">
        <f t="shared" si="223"/>
        <v>4.1.a.7</v>
      </c>
      <c r="J130" s="72"/>
      <c r="K130" s="35" t="s">
        <v>136</v>
      </c>
      <c r="L130" s="73">
        <f t="shared" si="220"/>
        <v>769168.46186988358</v>
      </c>
      <c r="M130" s="308">
        <f t="shared" si="232"/>
        <v>661484.87720809982</v>
      </c>
      <c r="N130" s="309">
        <f t="shared" si="233"/>
        <v>107683.58466178371</v>
      </c>
      <c r="O130" s="306">
        <v>0.86</v>
      </c>
      <c r="P130" s="307">
        <f t="shared" si="234"/>
        <v>0.14000000000000001</v>
      </c>
      <c r="Q130" s="248"/>
      <c r="R130" s="39"/>
      <c r="S130" s="39">
        <f>$AA130*AF130/$AC130*coefobras18</f>
        <v>25382559.241706159</v>
      </c>
      <c r="T130" s="39"/>
      <c r="U130" s="39"/>
      <c r="V130" s="245"/>
      <c r="W130" s="40"/>
      <c r="X130" s="401"/>
      <c r="Y130" s="401"/>
      <c r="Z130" s="401"/>
      <c r="AA130" s="73">
        <v>25000000</v>
      </c>
      <c r="AB130" s="35" t="s">
        <v>131</v>
      </c>
      <c r="AC130" s="72">
        <v>6</v>
      </c>
      <c r="AD130" s="72"/>
      <c r="AE130" s="72"/>
      <c r="AF130" s="72">
        <v>6</v>
      </c>
      <c r="AG130" s="72"/>
      <c r="AH130" s="72"/>
      <c r="AI130" s="72"/>
      <c r="AJ130" s="249">
        <f t="shared" si="235"/>
        <v>0</v>
      </c>
      <c r="AK130" s="255">
        <f t="shared" si="236"/>
        <v>769168.46186988358</v>
      </c>
      <c r="AL130" s="255">
        <f t="shared" si="237"/>
        <v>0</v>
      </c>
      <c r="AM130" s="255">
        <f t="shared" si="238"/>
        <v>0</v>
      </c>
      <c r="AN130" s="256">
        <f t="shared" si="239"/>
        <v>0</v>
      </c>
      <c r="AO130" s="261">
        <f t="shared" si="250"/>
        <v>769168.46186988358</v>
      </c>
      <c r="AQ130" s="249">
        <f t="shared" si="240"/>
        <v>0</v>
      </c>
      <c r="AR130" s="151">
        <f t="shared" si="241"/>
        <v>0</v>
      </c>
      <c r="AS130" s="150">
        <f t="shared" si="242"/>
        <v>661484.87720809982</v>
      </c>
      <c r="AT130" s="151">
        <f t="shared" si="243"/>
        <v>107683.58466178371</v>
      </c>
      <c r="AU130" s="150">
        <f t="shared" si="244"/>
        <v>0</v>
      </c>
      <c r="AV130" s="151">
        <f t="shared" si="245"/>
        <v>0</v>
      </c>
      <c r="AW130" s="150">
        <f t="shared" si="246"/>
        <v>0</v>
      </c>
      <c r="AX130" s="151">
        <f t="shared" si="247"/>
        <v>0</v>
      </c>
      <c r="AY130" s="150">
        <f t="shared" si="248"/>
        <v>0</v>
      </c>
      <c r="AZ130" s="256">
        <f t="shared" si="249"/>
        <v>0</v>
      </c>
      <c r="BA130" s="249">
        <f t="shared" si="251"/>
        <v>661484.87720809982</v>
      </c>
      <c r="BB130" s="256">
        <f t="shared" si="252"/>
        <v>107683.58466178371</v>
      </c>
      <c r="BC130" s="35" t="s">
        <v>136</v>
      </c>
    </row>
    <row r="131" spans="2:55" s="35" customFormat="1" x14ac:dyDescent="0.25">
      <c r="B131" s="72" t="s">
        <v>19</v>
      </c>
      <c r="C131" s="72" t="s">
        <v>85</v>
      </c>
      <c r="D131" s="199">
        <v>4</v>
      </c>
      <c r="E131" s="199">
        <v>1</v>
      </c>
      <c r="F131" s="199" t="s">
        <v>270</v>
      </c>
      <c r="G131" s="199">
        <v>8</v>
      </c>
      <c r="H131" s="199"/>
      <c r="I131" s="72" t="str">
        <f t="shared" si="223"/>
        <v>4.1.a.8</v>
      </c>
      <c r="J131" s="72"/>
      <c r="K131" s="35" t="s">
        <v>142</v>
      </c>
      <c r="L131" s="73">
        <f t="shared" si="220"/>
        <v>1857216.1148208415</v>
      </c>
      <c r="M131" s="308">
        <f t="shared" si="232"/>
        <v>1597205.8587459237</v>
      </c>
      <c r="N131" s="309">
        <f t="shared" si="233"/>
        <v>260010.25607491782</v>
      </c>
      <c r="O131" s="306">
        <v>0.86</v>
      </c>
      <c r="P131" s="307">
        <f t="shared" si="234"/>
        <v>0.14000000000000001</v>
      </c>
      <c r="Q131" s="248"/>
      <c r="R131" s="39"/>
      <c r="S131" s="39"/>
      <c r="T131" s="39">
        <f>$AA131*AG131/$AC131*coefobras19</f>
        <v>61288131.789087765</v>
      </c>
      <c r="U131" s="39"/>
      <c r="V131" s="245"/>
      <c r="W131" s="40"/>
      <c r="X131" s="401"/>
      <c r="Y131" s="401"/>
      <c r="Z131" s="401"/>
      <c r="AA131" s="73">
        <v>55892975.206611559</v>
      </c>
      <c r="AB131" s="35" t="s">
        <v>141</v>
      </c>
      <c r="AC131" s="72">
        <v>11</v>
      </c>
      <c r="AD131" s="72"/>
      <c r="AE131" s="72"/>
      <c r="AF131" s="72"/>
      <c r="AG131" s="72">
        <v>11</v>
      </c>
      <c r="AH131" s="72"/>
      <c r="AI131" s="72"/>
      <c r="AJ131" s="249">
        <f t="shared" si="235"/>
        <v>0</v>
      </c>
      <c r="AK131" s="255">
        <f t="shared" si="236"/>
        <v>0</v>
      </c>
      <c r="AL131" s="255">
        <f t="shared" si="237"/>
        <v>1857216.1148208415</v>
      </c>
      <c r="AM131" s="255">
        <f t="shared" si="238"/>
        <v>0</v>
      </c>
      <c r="AN131" s="256">
        <f t="shared" si="239"/>
        <v>0</v>
      </c>
      <c r="AO131" s="261">
        <f t="shared" si="250"/>
        <v>1857216.1148208415</v>
      </c>
      <c r="AQ131" s="249">
        <f t="shared" si="240"/>
        <v>0</v>
      </c>
      <c r="AR131" s="151">
        <f t="shared" si="241"/>
        <v>0</v>
      </c>
      <c r="AS131" s="150">
        <f t="shared" si="242"/>
        <v>0</v>
      </c>
      <c r="AT131" s="151">
        <f t="shared" si="243"/>
        <v>0</v>
      </c>
      <c r="AU131" s="150">
        <f t="shared" si="244"/>
        <v>1597205.8587459237</v>
      </c>
      <c r="AV131" s="151">
        <f t="shared" si="245"/>
        <v>260010.25607491782</v>
      </c>
      <c r="AW131" s="150">
        <f t="shared" si="246"/>
        <v>0</v>
      </c>
      <c r="AX131" s="151">
        <f t="shared" si="247"/>
        <v>0</v>
      </c>
      <c r="AY131" s="150">
        <f t="shared" si="248"/>
        <v>0</v>
      </c>
      <c r="AZ131" s="256">
        <f t="shared" si="249"/>
        <v>0</v>
      </c>
      <c r="BA131" s="249">
        <f t="shared" si="251"/>
        <v>1597205.8587459237</v>
      </c>
      <c r="BB131" s="256">
        <f t="shared" si="252"/>
        <v>260010.25607491782</v>
      </c>
      <c r="BC131" s="35" t="s">
        <v>142</v>
      </c>
    </row>
    <row r="132" spans="2:55" s="35" customFormat="1" x14ac:dyDescent="0.25">
      <c r="B132" s="72" t="s">
        <v>19</v>
      </c>
      <c r="C132" s="72" t="s">
        <v>85</v>
      </c>
      <c r="D132" s="199">
        <v>4</v>
      </c>
      <c r="E132" s="199">
        <v>1</v>
      </c>
      <c r="F132" s="199" t="s">
        <v>270</v>
      </c>
      <c r="G132" s="199">
        <v>9</v>
      </c>
      <c r="H132" s="199"/>
      <c r="I132" s="72" t="str">
        <f t="shared" si="223"/>
        <v>4.1.a.9</v>
      </c>
      <c r="J132" s="72"/>
      <c r="K132" s="35" t="s">
        <v>144</v>
      </c>
      <c r="L132" s="73">
        <f t="shared" si="220"/>
        <v>1857216.1148208415</v>
      </c>
      <c r="M132" s="308">
        <f t="shared" si="232"/>
        <v>1597205.8587459237</v>
      </c>
      <c r="N132" s="309">
        <f t="shared" si="233"/>
        <v>260010.25607491782</v>
      </c>
      <c r="O132" s="306">
        <v>0.86</v>
      </c>
      <c r="P132" s="307">
        <f t="shared" si="234"/>
        <v>0.14000000000000001</v>
      </c>
      <c r="Q132" s="248"/>
      <c r="R132" s="39"/>
      <c r="S132" s="39"/>
      <c r="T132" s="39">
        <f>$AA132*AG132/$AC132*coefobras19</f>
        <v>61288131.789087765</v>
      </c>
      <c r="U132" s="39"/>
      <c r="V132" s="245"/>
      <c r="W132" s="40"/>
      <c r="X132" s="401"/>
      <c r="Y132" s="401"/>
      <c r="Z132" s="401"/>
      <c r="AA132" s="73">
        <v>55892975.206611559</v>
      </c>
      <c r="AB132" s="35" t="s">
        <v>141</v>
      </c>
      <c r="AC132" s="72">
        <v>11</v>
      </c>
      <c r="AD132" s="72"/>
      <c r="AE132" s="72"/>
      <c r="AF132" s="72"/>
      <c r="AG132" s="72">
        <v>11</v>
      </c>
      <c r="AH132" s="72"/>
      <c r="AI132" s="72"/>
      <c r="AJ132" s="249">
        <f t="shared" si="235"/>
        <v>0</v>
      </c>
      <c r="AK132" s="255">
        <f t="shared" si="236"/>
        <v>0</v>
      </c>
      <c r="AL132" s="255">
        <f t="shared" si="237"/>
        <v>1857216.1148208415</v>
      </c>
      <c r="AM132" s="255">
        <f t="shared" si="238"/>
        <v>0</v>
      </c>
      <c r="AN132" s="256">
        <f t="shared" si="239"/>
        <v>0</v>
      </c>
      <c r="AO132" s="261">
        <f t="shared" si="250"/>
        <v>1857216.1148208415</v>
      </c>
      <c r="AQ132" s="249">
        <f t="shared" si="240"/>
        <v>0</v>
      </c>
      <c r="AR132" s="151">
        <f t="shared" si="241"/>
        <v>0</v>
      </c>
      <c r="AS132" s="150">
        <f t="shared" si="242"/>
        <v>0</v>
      </c>
      <c r="AT132" s="151">
        <f t="shared" si="243"/>
        <v>0</v>
      </c>
      <c r="AU132" s="150">
        <f t="shared" si="244"/>
        <v>1597205.8587459237</v>
      </c>
      <c r="AV132" s="151">
        <f t="shared" si="245"/>
        <v>260010.25607491782</v>
      </c>
      <c r="AW132" s="150">
        <f t="shared" si="246"/>
        <v>0</v>
      </c>
      <c r="AX132" s="151">
        <f t="shared" si="247"/>
        <v>0</v>
      </c>
      <c r="AY132" s="150">
        <f t="shared" si="248"/>
        <v>0</v>
      </c>
      <c r="AZ132" s="256">
        <f t="shared" si="249"/>
        <v>0</v>
      </c>
      <c r="BA132" s="249">
        <f t="shared" si="251"/>
        <v>1597205.8587459237</v>
      </c>
      <c r="BB132" s="256">
        <f t="shared" si="252"/>
        <v>260010.25607491782</v>
      </c>
      <c r="BC132" s="35" t="s">
        <v>144</v>
      </c>
    </row>
    <row r="133" spans="2:55" s="35" customFormat="1" x14ac:dyDescent="0.25">
      <c r="B133" s="72" t="s">
        <v>33</v>
      </c>
      <c r="C133" s="72" t="s">
        <v>85</v>
      </c>
      <c r="D133" s="199">
        <v>4</v>
      </c>
      <c r="E133" s="199">
        <v>1</v>
      </c>
      <c r="F133" s="199" t="s">
        <v>270</v>
      </c>
      <c r="G133" s="199">
        <v>10</v>
      </c>
      <c r="H133" s="199"/>
      <c r="I133" s="72" t="str">
        <f t="shared" si="223"/>
        <v>4.1.a.10</v>
      </c>
      <c r="J133" s="72"/>
      <c r="K133" s="35" t="s">
        <v>138</v>
      </c>
      <c r="L133" s="73">
        <f t="shared" si="220"/>
        <v>1667119.1069780265</v>
      </c>
      <c r="M133" s="308">
        <f t="shared" si="232"/>
        <v>1433722.4320011027</v>
      </c>
      <c r="N133" s="309">
        <f t="shared" si="233"/>
        <v>233396.67497692374</v>
      </c>
      <c r="O133" s="306">
        <v>0.86</v>
      </c>
      <c r="P133" s="307">
        <f t="shared" si="234"/>
        <v>0.14000000000000001</v>
      </c>
      <c r="Q133" s="248"/>
      <c r="R133" s="39"/>
      <c r="S133" s="39"/>
      <c r="T133" s="39">
        <f>$AA133*AG133/$AC133*coefobras19</f>
        <v>55014930.530274875</v>
      </c>
      <c r="U133" s="39"/>
      <c r="V133" s="245"/>
      <c r="W133" s="40"/>
      <c r="X133" s="401"/>
      <c r="Y133" s="401"/>
      <c r="Z133" s="401"/>
      <c r="AA133" s="73">
        <v>50171999.999999993</v>
      </c>
      <c r="AB133" s="35" t="s">
        <v>131</v>
      </c>
      <c r="AC133" s="72">
        <v>11</v>
      </c>
      <c r="AD133" s="72"/>
      <c r="AE133" s="72"/>
      <c r="AF133" s="72"/>
      <c r="AG133" s="72">
        <v>11</v>
      </c>
      <c r="AH133" s="72"/>
      <c r="AI133" s="72"/>
      <c r="AJ133" s="249">
        <f t="shared" si="235"/>
        <v>0</v>
      </c>
      <c r="AK133" s="255">
        <f t="shared" si="236"/>
        <v>0</v>
      </c>
      <c r="AL133" s="255">
        <f t="shared" si="237"/>
        <v>1667119.1069780265</v>
      </c>
      <c r="AM133" s="255">
        <f t="shared" si="238"/>
        <v>0</v>
      </c>
      <c r="AN133" s="256">
        <f t="shared" si="239"/>
        <v>0</v>
      </c>
      <c r="AO133" s="261">
        <f t="shared" si="250"/>
        <v>1667119.1069780265</v>
      </c>
      <c r="AQ133" s="249">
        <f t="shared" si="240"/>
        <v>0</v>
      </c>
      <c r="AR133" s="151">
        <f t="shared" si="241"/>
        <v>0</v>
      </c>
      <c r="AS133" s="150">
        <f t="shared" si="242"/>
        <v>0</v>
      </c>
      <c r="AT133" s="151">
        <f t="shared" si="243"/>
        <v>0</v>
      </c>
      <c r="AU133" s="150">
        <f t="shared" si="244"/>
        <v>1433722.4320011027</v>
      </c>
      <c r="AV133" s="151">
        <f t="shared" si="245"/>
        <v>233396.67497692374</v>
      </c>
      <c r="AW133" s="150">
        <f t="shared" si="246"/>
        <v>0</v>
      </c>
      <c r="AX133" s="151">
        <f t="shared" si="247"/>
        <v>0</v>
      </c>
      <c r="AY133" s="150">
        <f t="shared" si="248"/>
        <v>0</v>
      </c>
      <c r="AZ133" s="256">
        <f t="shared" si="249"/>
        <v>0</v>
      </c>
      <c r="BA133" s="249">
        <f t="shared" si="251"/>
        <v>1433722.4320011027</v>
      </c>
      <c r="BB133" s="256">
        <f t="shared" si="252"/>
        <v>233396.67497692374</v>
      </c>
      <c r="BC133" s="35" t="s">
        <v>138</v>
      </c>
    </row>
    <row r="134" spans="2:55" s="35" customFormat="1" x14ac:dyDescent="0.25">
      <c r="B134" s="72" t="s">
        <v>33</v>
      </c>
      <c r="C134" s="72" t="s">
        <v>85</v>
      </c>
      <c r="D134" s="199">
        <v>4</v>
      </c>
      <c r="E134" s="199">
        <v>1</v>
      </c>
      <c r="F134" s="199" t="s">
        <v>270</v>
      </c>
      <c r="G134" s="199">
        <v>11</v>
      </c>
      <c r="H134" s="199"/>
      <c r="I134" s="72" t="str">
        <f t="shared" si="223"/>
        <v>4.1.a.11</v>
      </c>
      <c r="J134" s="72"/>
      <c r="K134" s="35" t="s">
        <v>154</v>
      </c>
      <c r="L134" s="73">
        <f t="shared" si="220"/>
        <v>2042262.3749884453</v>
      </c>
      <c r="M134" s="308">
        <f t="shared" si="232"/>
        <v>1756345.6424900629</v>
      </c>
      <c r="N134" s="309">
        <f t="shared" si="233"/>
        <v>285916.73249838239</v>
      </c>
      <c r="O134" s="306">
        <v>0.86</v>
      </c>
      <c r="P134" s="307">
        <f t="shared" si="234"/>
        <v>0.14000000000000001</v>
      </c>
      <c r="Q134" s="248"/>
      <c r="R134" s="39"/>
      <c r="S134" s="39"/>
      <c r="T134" s="39"/>
      <c r="U134" s="39">
        <f>$AA134*AH134/$AC134*coefobras20</f>
        <v>67394658.374618694</v>
      </c>
      <c r="V134" s="245"/>
      <c r="W134" s="40"/>
      <c r="X134" s="401"/>
      <c r="Y134" s="401"/>
      <c r="Z134" s="401"/>
      <c r="AA134" s="73">
        <v>56909211.119459033</v>
      </c>
      <c r="AB134" s="35" t="s">
        <v>126</v>
      </c>
      <c r="AC134" s="72">
        <v>11</v>
      </c>
      <c r="AD134" s="72"/>
      <c r="AE134" s="72"/>
      <c r="AF134" s="72"/>
      <c r="AG134" s="72"/>
      <c r="AH134" s="72">
        <v>11</v>
      </c>
      <c r="AI134" s="72"/>
      <c r="AJ134" s="249">
        <f t="shared" si="235"/>
        <v>0</v>
      </c>
      <c r="AK134" s="255">
        <f t="shared" si="236"/>
        <v>0</v>
      </c>
      <c r="AL134" s="255">
        <f t="shared" si="237"/>
        <v>0</v>
      </c>
      <c r="AM134" s="255">
        <f t="shared" si="238"/>
        <v>2042262.3749884453</v>
      </c>
      <c r="AN134" s="256">
        <f t="shared" si="239"/>
        <v>0</v>
      </c>
      <c r="AO134" s="261">
        <f t="shared" si="250"/>
        <v>2042262.3749884453</v>
      </c>
      <c r="AQ134" s="249">
        <f t="shared" si="240"/>
        <v>0</v>
      </c>
      <c r="AR134" s="151">
        <f t="shared" si="241"/>
        <v>0</v>
      </c>
      <c r="AS134" s="150">
        <f t="shared" si="242"/>
        <v>0</v>
      </c>
      <c r="AT134" s="151">
        <f t="shared" si="243"/>
        <v>0</v>
      </c>
      <c r="AU134" s="150">
        <f t="shared" si="244"/>
        <v>0</v>
      </c>
      <c r="AV134" s="151">
        <f t="shared" si="245"/>
        <v>0</v>
      </c>
      <c r="AW134" s="150">
        <f t="shared" si="246"/>
        <v>1756345.6424900629</v>
      </c>
      <c r="AX134" s="151">
        <f t="shared" si="247"/>
        <v>285916.73249838239</v>
      </c>
      <c r="AY134" s="150">
        <f t="shared" si="248"/>
        <v>0</v>
      </c>
      <c r="AZ134" s="256">
        <f t="shared" si="249"/>
        <v>0</v>
      </c>
      <c r="BA134" s="249">
        <f t="shared" si="251"/>
        <v>1756345.6424900629</v>
      </c>
      <c r="BB134" s="256">
        <f t="shared" si="252"/>
        <v>285916.73249838239</v>
      </c>
      <c r="BC134" s="35" t="s">
        <v>154</v>
      </c>
    </row>
    <row r="135" spans="2:55" s="35" customFormat="1" x14ac:dyDescent="0.25">
      <c r="B135" s="72" t="s">
        <v>19</v>
      </c>
      <c r="C135" s="72" t="s">
        <v>85</v>
      </c>
      <c r="D135" s="199">
        <v>4</v>
      </c>
      <c r="E135" s="199">
        <v>1</v>
      </c>
      <c r="F135" s="199" t="s">
        <v>270</v>
      </c>
      <c r="G135" s="199">
        <v>12</v>
      </c>
      <c r="H135" s="199"/>
      <c r="I135" s="72" t="str">
        <f t="shared" si="223"/>
        <v>4.1.a.12</v>
      </c>
      <c r="J135" s="72"/>
      <c r="K135" s="35" t="s">
        <v>156</v>
      </c>
      <c r="L135" s="73">
        <f t="shared" si="220"/>
        <v>2042262.3749884453</v>
      </c>
      <c r="M135" s="308">
        <f t="shared" si="232"/>
        <v>1756345.6424900629</v>
      </c>
      <c r="N135" s="309">
        <f t="shared" si="233"/>
        <v>285916.73249838239</v>
      </c>
      <c r="O135" s="306">
        <v>0.86</v>
      </c>
      <c r="P135" s="307">
        <f t="shared" si="234"/>
        <v>0.14000000000000001</v>
      </c>
      <c r="Q135" s="248"/>
      <c r="R135" s="39"/>
      <c r="S135" s="39"/>
      <c r="T135" s="39"/>
      <c r="U135" s="39">
        <f>$AA135*AH135/$AC135*coefobras20</f>
        <v>67394658.374618694</v>
      </c>
      <c r="V135" s="245"/>
      <c r="W135" s="40"/>
      <c r="X135" s="401"/>
      <c r="Y135" s="401"/>
      <c r="Z135" s="401"/>
      <c r="AA135" s="73">
        <v>56909211.119459033</v>
      </c>
      <c r="AB135" s="35" t="s">
        <v>126</v>
      </c>
      <c r="AC135" s="72">
        <v>11</v>
      </c>
      <c r="AD135" s="72"/>
      <c r="AE135" s="72"/>
      <c r="AF135" s="72"/>
      <c r="AG135" s="72"/>
      <c r="AH135" s="72">
        <v>11</v>
      </c>
      <c r="AI135" s="72"/>
      <c r="AJ135" s="249">
        <f t="shared" si="235"/>
        <v>0</v>
      </c>
      <c r="AK135" s="255">
        <f t="shared" si="236"/>
        <v>0</v>
      </c>
      <c r="AL135" s="255">
        <f t="shared" si="237"/>
        <v>0</v>
      </c>
      <c r="AM135" s="255">
        <f t="shared" si="238"/>
        <v>2042262.3749884453</v>
      </c>
      <c r="AN135" s="256">
        <f t="shared" si="239"/>
        <v>0</v>
      </c>
      <c r="AO135" s="261">
        <f t="shared" si="250"/>
        <v>2042262.3749884453</v>
      </c>
      <c r="AQ135" s="249">
        <f t="shared" si="240"/>
        <v>0</v>
      </c>
      <c r="AR135" s="151">
        <f t="shared" si="241"/>
        <v>0</v>
      </c>
      <c r="AS135" s="150">
        <f t="shared" si="242"/>
        <v>0</v>
      </c>
      <c r="AT135" s="151">
        <f t="shared" si="243"/>
        <v>0</v>
      </c>
      <c r="AU135" s="150">
        <f t="shared" si="244"/>
        <v>0</v>
      </c>
      <c r="AV135" s="151">
        <f t="shared" si="245"/>
        <v>0</v>
      </c>
      <c r="AW135" s="150">
        <f t="shared" si="246"/>
        <v>1756345.6424900629</v>
      </c>
      <c r="AX135" s="151">
        <f t="shared" si="247"/>
        <v>285916.73249838239</v>
      </c>
      <c r="AY135" s="150">
        <f t="shared" si="248"/>
        <v>0</v>
      </c>
      <c r="AZ135" s="256">
        <f t="shared" si="249"/>
        <v>0</v>
      </c>
      <c r="BA135" s="249">
        <f t="shared" si="251"/>
        <v>1756345.6424900629</v>
      </c>
      <c r="BB135" s="256">
        <f t="shared" si="252"/>
        <v>285916.73249838239</v>
      </c>
      <c r="BC135" s="35" t="s">
        <v>156</v>
      </c>
    </row>
    <row r="136" spans="2:55" s="35" customFormat="1" x14ac:dyDescent="0.25">
      <c r="B136" s="72" t="s">
        <v>19</v>
      </c>
      <c r="C136" s="72" t="s">
        <v>85</v>
      </c>
      <c r="D136" s="199">
        <v>4</v>
      </c>
      <c r="E136" s="199">
        <v>1</v>
      </c>
      <c r="F136" s="199" t="s">
        <v>270</v>
      </c>
      <c r="G136" s="199">
        <v>13</v>
      </c>
      <c r="H136" s="199"/>
      <c r="I136" s="72" t="str">
        <f t="shared" si="223"/>
        <v>4.1.a.13</v>
      </c>
      <c r="J136" s="72"/>
      <c r="K136" s="35" t="s">
        <v>145</v>
      </c>
      <c r="L136" s="73">
        <f t="shared" si="220"/>
        <v>2166256.8763270299</v>
      </c>
      <c r="M136" s="308">
        <f t="shared" si="232"/>
        <v>1862980.9136412456</v>
      </c>
      <c r="N136" s="309">
        <f t="shared" si="233"/>
        <v>303275.96268578421</v>
      </c>
      <c r="O136" s="306">
        <v>0.86</v>
      </c>
      <c r="P136" s="307">
        <f t="shared" si="234"/>
        <v>0.14000000000000001</v>
      </c>
      <c r="Q136" s="248"/>
      <c r="R136" s="39"/>
      <c r="S136" s="39"/>
      <c r="T136" s="39"/>
      <c r="U136" s="39"/>
      <c r="V136" s="245">
        <f>$AA136*AI136/$AC136*coefobras21</f>
        <v>71486476.91879198</v>
      </c>
      <c r="W136" s="40"/>
      <c r="X136" s="401"/>
      <c r="Y136" s="401"/>
      <c r="Z136" s="401"/>
      <c r="AA136" s="73">
        <v>55892975.206611559</v>
      </c>
      <c r="AB136" s="35" t="s">
        <v>141</v>
      </c>
      <c r="AC136" s="72">
        <v>11</v>
      </c>
      <c r="AD136" s="72"/>
      <c r="AE136" s="72"/>
      <c r="AF136" s="72"/>
      <c r="AG136" s="72"/>
      <c r="AH136" s="72"/>
      <c r="AI136" s="72">
        <v>11</v>
      </c>
      <c r="AJ136" s="249">
        <f t="shared" si="235"/>
        <v>0</v>
      </c>
      <c r="AK136" s="255">
        <f t="shared" si="236"/>
        <v>0</v>
      </c>
      <c r="AL136" s="255">
        <f t="shared" si="237"/>
        <v>0</v>
      </c>
      <c r="AM136" s="255">
        <f t="shared" si="238"/>
        <v>0</v>
      </c>
      <c r="AN136" s="256">
        <f t="shared" si="239"/>
        <v>2166256.8763270299</v>
      </c>
      <c r="AO136" s="261">
        <f t="shared" si="250"/>
        <v>2166256.8763270299</v>
      </c>
      <c r="AQ136" s="249">
        <f t="shared" si="240"/>
        <v>0</v>
      </c>
      <c r="AR136" s="151">
        <f t="shared" si="241"/>
        <v>0</v>
      </c>
      <c r="AS136" s="150">
        <f t="shared" si="242"/>
        <v>0</v>
      </c>
      <c r="AT136" s="151">
        <f t="shared" si="243"/>
        <v>0</v>
      </c>
      <c r="AU136" s="150">
        <f t="shared" si="244"/>
        <v>0</v>
      </c>
      <c r="AV136" s="151">
        <f t="shared" si="245"/>
        <v>0</v>
      </c>
      <c r="AW136" s="150">
        <f t="shared" si="246"/>
        <v>0</v>
      </c>
      <c r="AX136" s="151">
        <f t="shared" si="247"/>
        <v>0</v>
      </c>
      <c r="AY136" s="150">
        <f t="shared" si="248"/>
        <v>1862980.9136412456</v>
      </c>
      <c r="AZ136" s="256">
        <f t="shared" si="249"/>
        <v>303275.96268578421</v>
      </c>
      <c r="BA136" s="249">
        <f t="shared" si="251"/>
        <v>1862980.9136412456</v>
      </c>
      <c r="BB136" s="256">
        <f t="shared" si="252"/>
        <v>303275.96268578421</v>
      </c>
      <c r="BC136" s="35" t="s">
        <v>145</v>
      </c>
    </row>
    <row r="137" spans="2:55" s="35" customFormat="1" x14ac:dyDescent="0.25">
      <c r="B137" s="72" t="s">
        <v>19</v>
      </c>
      <c r="C137" s="72" t="s">
        <v>85</v>
      </c>
      <c r="D137" s="199">
        <v>4</v>
      </c>
      <c r="E137" s="199">
        <v>1</v>
      </c>
      <c r="F137" s="199" t="s">
        <v>270</v>
      </c>
      <c r="G137" s="199">
        <v>14</v>
      </c>
      <c r="H137" s="199"/>
      <c r="I137" s="72" t="str">
        <f t="shared" si="223"/>
        <v>4.1.a.14</v>
      </c>
      <c r="J137" s="72"/>
      <c r="K137" s="35" t="s">
        <v>159</v>
      </c>
      <c r="L137" s="73">
        <f t="shared" si="220"/>
        <v>2117417.6303880201</v>
      </c>
      <c r="M137" s="308">
        <f t="shared" si="232"/>
        <v>1820979.1621336972</v>
      </c>
      <c r="N137" s="309">
        <f t="shared" si="233"/>
        <v>296438.46825432283</v>
      </c>
      <c r="O137" s="306">
        <v>0.86</v>
      </c>
      <c r="P137" s="307">
        <f t="shared" si="234"/>
        <v>0.14000000000000001</v>
      </c>
      <c r="Q137" s="248"/>
      <c r="R137" s="39"/>
      <c r="S137" s="39"/>
      <c r="T137" s="39"/>
      <c r="U137" s="39"/>
      <c r="V137" s="245">
        <f>$AA137*AI137/$AC137*coefobras21</f>
        <v>69874781.802804664</v>
      </c>
      <c r="W137" s="40"/>
      <c r="X137" s="401"/>
      <c r="Y137" s="401"/>
      <c r="Z137" s="401"/>
      <c r="AA137" s="73">
        <v>54632842.674680673</v>
      </c>
      <c r="AB137" s="35" t="s">
        <v>160</v>
      </c>
      <c r="AC137" s="72">
        <v>11</v>
      </c>
      <c r="AD137" s="72"/>
      <c r="AE137" s="72"/>
      <c r="AF137" s="72"/>
      <c r="AG137" s="72"/>
      <c r="AH137" s="72"/>
      <c r="AI137" s="72">
        <v>11</v>
      </c>
      <c r="AJ137" s="249">
        <f t="shared" si="235"/>
        <v>0</v>
      </c>
      <c r="AK137" s="255">
        <f t="shared" si="236"/>
        <v>0</v>
      </c>
      <c r="AL137" s="255">
        <f t="shared" si="237"/>
        <v>0</v>
      </c>
      <c r="AM137" s="255">
        <f t="shared" si="238"/>
        <v>0</v>
      </c>
      <c r="AN137" s="256">
        <f t="shared" si="239"/>
        <v>2117417.6303880201</v>
      </c>
      <c r="AO137" s="261">
        <f t="shared" si="250"/>
        <v>2117417.6303880201</v>
      </c>
      <c r="AQ137" s="249">
        <f t="shared" si="240"/>
        <v>0</v>
      </c>
      <c r="AR137" s="151">
        <f t="shared" si="241"/>
        <v>0</v>
      </c>
      <c r="AS137" s="150">
        <f t="shared" si="242"/>
        <v>0</v>
      </c>
      <c r="AT137" s="151">
        <f t="shared" si="243"/>
        <v>0</v>
      </c>
      <c r="AU137" s="150">
        <f t="shared" si="244"/>
        <v>0</v>
      </c>
      <c r="AV137" s="151">
        <f t="shared" si="245"/>
        <v>0</v>
      </c>
      <c r="AW137" s="150">
        <f t="shared" si="246"/>
        <v>0</v>
      </c>
      <c r="AX137" s="151">
        <f t="shared" si="247"/>
        <v>0</v>
      </c>
      <c r="AY137" s="150">
        <f t="shared" si="248"/>
        <v>1820979.1621336972</v>
      </c>
      <c r="AZ137" s="256">
        <f t="shared" si="249"/>
        <v>296438.46825432283</v>
      </c>
      <c r="BA137" s="249">
        <f t="shared" si="251"/>
        <v>1820979.1621336972</v>
      </c>
      <c r="BB137" s="256">
        <f t="shared" si="252"/>
        <v>296438.46825432283</v>
      </c>
      <c r="BC137" s="35" t="s">
        <v>159</v>
      </c>
    </row>
    <row r="138" spans="2:55" s="51" customFormat="1" x14ac:dyDescent="0.25">
      <c r="B138" s="34"/>
      <c r="C138" s="34"/>
      <c r="D138" s="221">
        <v>4</v>
      </c>
      <c r="E138" s="221">
        <v>1</v>
      </c>
      <c r="F138" s="221" t="s">
        <v>280</v>
      </c>
      <c r="G138" s="221">
        <v>0</v>
      </c>
      <c r="H138" s="221">
        <v>0</v>
      </c>
      <c r="I138" s="34" t="str">
        <f t="shared" ref="I138:I145" si="253">CONCATENATE(D138,".",E138,".",F138,".",G138)</f>
        <v>4.1.b.0</v>
      </c>
      <c r="J138" s="34"/>
      <c r="K138" s="51" t="s">
        <v>420</v>
      </c>
      <c r="L138" s="45">
        <f t="shared" si="220"/>
        <v>3821309.4196487269</v>
      </c>
      <c r="M138" s="80">
        <f t="shared" ref="M138:Q138" si="254">SUM(M139:M141)</f>
        <v>1745600.9925567093</v>
      </c>
      <c r="N138" s="237">
        <f t="shared" si="254"/>
        <v>2075708.4270920171</v>
      </c>
      <c r="O138" s="86"/>
      <c r="P138" s="87"/>
      <c r="Q138" s="80">
        <f t="shared" si="254"/>
        <v>0</v>
      </c>
      <c r="R138" s="237">
        <f>SUM(R139:R141)</f>
        <v>32215364.494757693</v>
      </c>
      <c r="S138" s="237">
        <f t="shared" ref="S138:V138" si="255">SUM(S139:S141)</f>
        <v>16974126.241446994</v>
      </c>
      <c r="T138" s="237">
        <f t="shared" si="255"/>
        <v>34962070.158569656</v>
      </c>
      <c r="U138" s="237">
        <f t="shared" si="255"/>
        <v>20624260.754080143</v>
      </c>
      <c r="V138" s="75">
        <f t="shared" si="255"/>
        <v>21327389.19955349</v>
      </c>
      <c r="W138" s="53"/>
      <c r="X138" s="400"/>
      <c r="Y138" s="400"/>
      <c r="Z138" s="400"/>
      <c r="AA138" s="45"/>
      <c r="AJ138" s="80">
        <f t="shared" ref="AJ138:AZ138" si="256">SUM(AJ139:AJ141)</f>
        <v>976223.16650780872</v>
      </c>
      <c r="AK138" s="237">
        <f t="shared" si="256"/>
        <v>514367.46186203015</v>
      </c>
      <c r="AL138" s="237">
        <f t="shared" si="256"/>
        <v>1059456.6714718079</v>
      </c>
      <c r="AM138" s="237">
        <f t="shared" si="256"/>
        <v>624977.59860848915</v>
      </c>
      <c r="AN138" s="75">
        <f t="shared" si="256"/>
        <v>646284.52119859064</v>
      </c>
      <c r="AO138" s="259">
        <f t="shared" si="250"/>
        <v>3821309.4196487269</v>
      </c>
      <c r="AP138" s="139"/>
      <c r="AQ138" s="264">
        <f t="shared" si="256"/>
        <v>573172.93944393203</v>
      </c>
      <c r="AR138" s="135">
        <f t="shared" si="256"/>
        <v>403050.22706387681</v>
      </c>
      <c r="AS138" s="134">
        <f t="shared" si="256"/>
        <v>171718.25592514637</v>
      </c>
      <c r="AT138" s="135">
        <f t="shared" si="256"/>
        <v>342649.20593688381</v>
      </c>
      <c r="AU138" s="134">
        <f t="shared" si="256"/>
        <v>593685.10152499215</v>
      </c>
      <c r="AV138" s="135">
        <f t="shared" si="256"/>
        <v>465771.56994681561</v>
      </c>
      <c r="AW138" s="134">
        <f t="shared" si="256"/>
        <v>209905.32486888184</v>
      </c>
      <c r="AX138" s="135">
        <f t="shared" si="256"/>
        <v>415072.27373960731</v>
      </c>
      <c r="AY138" s="134">
        <f t="shared" si="256"/>
        <v>197119.37079375715</v>
      </c>
      <c r="AZ138" s="265">
        <f t="shared" si="256"/>
        <v>449165.15040483349</v>
      </c>
      <c r="BA138" s="264">
        <f t="shared" si="251"/>
        <v>1745600.9925567098</v>
      </c>
      <c r="BB138" s="265">
        <f t="shared" si="252"/>
        <v>2075708.4270920171</v>
      </c>
    </row>
    <row r="139" spans="2:55" s="35" customFormat="1" x14ac:dyDescent="0.25">
      <c r="B139" s="72" t="s">
        <v>277</v>
      </c>
      <c r="C139" s="72" t="s">
        <v>85</v>
      </c>
      <c r="D139" s="199">
        <v>4</v>
      </c>
      <c r="E139" s="199">
        <v>1</v>
      </c>
      <c r="F139" s="199" t="s">
        <v>280</v>
      </c>
      <c r="G139" s="199">
        <v>1</v>
      </c>
      <c r="H139" s="199"/>
      <c r="I139" s="72" t="str">
        <f t="shared" si="253"/>
        <v>4.1.b.1</v>
      </c>
      <c r="J139" s="72"/>
      <c r="K139" s="35" t="s">
        <v>323</v>
      </c>
      <c r="L139" s="73">
        <f t="shared" si="220"/>
        <v>1426061.6982398897</v>
      </c>
      <c r="M139" s="308">
        <f t="shared" ref="M139:N141" si="257">+O139*$L139</f>
        <v>1169370.5925567094</v>
      </c>
      <c r="N139" s="309">
        <f t="shared" si="257"/>
        <v>256691.10568318021</v>
      </c>
      <c r="O139" s="306">
        <v>0.82</v>
      </c>
      <c r="P139" s="307">
        <f t="shared" ref="P139:P141" si="258">1-O139</f>
        <v>0.18000000000000005</v>
      </c>
      <c r="Q139" s="248"/>
      <c r="R139" s="39">
        <f>(SUM(R148:R160)+SUM(R124:R137))*coefmobil</f>
        <v>11471835.855670435</v>
      </c>
      <c r="S139" s="39">
        <f>(SUM(S148:S160)+SUM(S124:S137))*coefmobil</f>
        <v>6910612.7384510124</v>
      </c>
      <c r="T139" s="39">
        <f>(SUM(T148:T160)+SUM(T124:T137))*coefmobil</f>
        <v>12297325.305274075</v>
      </c>
      <c r="U139" s="39">
        <f>(SUM(U148:U160)+SUM(U124:U137))*coefmobil</f>
        <v>8447409.4154550023</v>
      </c>
      <c r="V139" s="245">
        <f>(SUM(V148:V160)+SUM(V124:V137))*coefmobil</f>
        <v>7932852.7270658361</v>
      </c>
      <c r="W139" s="231"/>
      <c r="X139" s="138" t="s">
        <v>271</v>
      </c>
      <c r="Y139" s="138"/>
      <c r="Z139" s="401" t="s">
        <v>172</v>
      </c>
      <c r="AA139" s="73">
        <f>SUM(R139:V139)/$R$1</f>
        <v>1426061.6982398897</v>
      </c>
      <c r="AE139" s="72">
        <v>1</v>
      </c>
      <c r="AF139" s="72">
        <v>1</v>
      </c>
      <c r="AG139" s="72">
        <v>1</v>
      </c>
      <c r="AH139" s="72">
        <v>1</v>
      </c>
      <c r="AI139" s="72">
        <v>1</v>
      </c>
      <c r="AJ139" s="249">
        <f>+(R139+Q139)/$AJ$1</f>
        <v>347631.38956577075</v>
      </c>
      <c r="AK139" s="255">
        <f>+S139/$AK$1</f>
        <v>209412.50722578826</v>
      </c>
      <c r="AL139" s="255">
        <f>+T139/$AL$1</f>
        <v>372646.22137194168</v>
      </c>
      <c r="AM139" s="255">
        <f>+U139/$AM$1</f>
        <v>255982.10349863642</v>
      </c>
      <c r="AN139" s="256">
        <f>+V139/$AN$1</f>
        <v>240389.47657775262</v>
      </c>
      <c r="AO139" s="261">
        <f t="shared" si="250"/>
        <v>1426061.6982398899</v>
      </c>
      <c r="AQ139" s="249">
        <f>+AJ139*$O139</f>
        <v>285057.73944393202</v>
      </c>
      <c r="AR139" s="151">
        <f>+AJ139*$P139</f>
        <v>62573.650121838749</v>
      </c>
      <c r="AS139" s="150">
        <f>+AK139*$O139</f>
        <v>171718.25592514637</v>
      </c>
      <c r="AT139" s="151">
        <f>+AK139*$P139</f>
        <v>37694.251300641896</v>
      </c>
      <c r="AU139" s="150">
        <f>+AL139*$O139</f>
        <v>305569.90152499214</v>
      </c>
      <c r="AV139" s="151">
        <f>+AL139*$P139</f>
        <v>67076.319846949526</v>
      </c>
      <c r="AW139" s="150">
        <f>+AM139*$O139</f>
        <v>209905.32486888184</v>
      </c>
      <c r="AX139" s="151">
        <f>+AM139*$P139</f>
        <v>46076.778629754568</v>
      </c>
      <c r="AY139" s="150">
        <f>+AN139*$O139</f>
        <v>197119.37079375715</v>
      </c>
      <c r="AZ139" s="256">
        <f>+AN139*$P139</f>
        <v>43270.105783995481</v>
      </c>
      <c r="BA139" s="249">
        <f t="shared" si="251"/>
        <v>1169370.5925567094</v>
      </c>
      <c r="BB139" s="256">
        <f t="shared" si="252"/>
        <v>256691.10568318021</v>
      </c>
      <c r="BC139" s="35" t="s">
        <v>173</v>
      </c>
    </row>
    <row r="140" spans="2:55" s="35" customFormat="1" x14ac:dyDescent="0.25">
      <c r="B140" s="72" t="s">
        <v>277</v>
      </c>
      <c r="C140" s="72" t="s">
        <v>85</v>
      </c>
      <c r="D140" s="199">
        <v>4</v>
      </c>
      <c r="E140" s="199">
        <v>1</v>
      </c>
      <c r="F140" s="199" t="s">
        <v>280</v>
      </c>
      <c r="G140" s="199">
        <v>2</v>
      </c>
      <c r="H140" s="199"/>
      <c r="I140" s="72" t="str">
        <f t="shared" si="253"/>
        <v>4.1.b.2</v>
      </c>
      <c r="J140" s="72"/>
      <c r="K140" s="35" t="s">
        <v>324</v>
      </c>
      <c r="L140" s="73">
        <f t="shared" si="220"/>
        <v>702720</v>
      </c>
      <c r="M140" s="308">
        <f t="shared" si="257"/>
        <v>576230.40000000002</v>
      </c>
      <c r="N140" s="309">
        <f t="shared" si="257"/>
        <v>126489.60000000003</v>
      </c>
      <c r="O140" s="306">
        <v>0.82</v>
      </c>
      <c r="P140" s="307">
        <f t="shared" si="258"/>
        <v>0.18000000000000005</v>
      </c>
      <c r="Q140" s="248"/>
      <c r="R140" s="39">
        <v>11594880</v>
      </c>
      <c r="S140" s="39">
        <v>0</v>
      </c>
      <c r="T140" s="39">
        <v>11594880</v>
      </c>
      <c r="U140" s="39">
        <v>0</v>
      </c>
      <c r="V140" s="245">
        <v>0</v>
      </c>
      <c r="W140" s="231"/>
      <c r="X140" s="401"/>
      <c r="Y140" s="401"/>
      <c r="Z140" s="401"/>
      <c r="AA140" s="73">
        <f>SUM(R140:V140)/$R$1</f>
        <v>702720</v>
      </c>
      <c r="AE140" s="72">
        <v>1</v>
      </c>
      <c r="AF140" s="72"/>
      <c r="AG140" s="72">
        <v>1</v>
      </c>
      <c r="AH140" s="72"/>
      <c r="AI140" s="72"/>
      <c r="AJ140" s="249">
        <f>+(R140+Q140)/$AJ$1</f>
        <v>351360</v>
      </c>
      <c r="AK140" s="255">
        <f>+S140/$AK$1</f>
        <v>0</v>
      </c>
      <c r="AL140" s="255">
        <f>+T140/$AL$1</f>
        <v>351360</v>
      </c>
      <c r="AM140" s="255">
        <f>+U140/$AM$1</f>
        <v>0</v>
      </c>
      <c r="AN140" s="256">
        <f>+V140/$AN$1</f>
        <v>0</v>
      </c>
      <c r="AO140" s="261">
        <f t="shared" si="250"/>
        <v>702720</v>
      </c>
      <c r="AQ140" s="249">
        <f>+AJ140*$O140</f>
        <v>288115.20000000001</v>
      </c>
      <c r="AR140" s="151">
        <f>+AJ140*$P140</f>
        <v>63244.800000000017</v>
      </c>
      <c r="AS140" s="150">
        <f>+AK140*$O140</f>
        <v>0</v>
      </c>
      <c r="AT140" s="151">
        <f>+AK140*$P140</f>
        <v>0</v>
      </c>
      <c r="AU140" s="150">
        <f>+AL140*$O140</f>
        <v>288115.20000000001</v>
      </c>
      <c r="AV140" s="151">
        <f>+AL140*$P140</f>
        <v>63244.800000000017</v>
      </c>
      <c r="AW140" s="150">
        <f>+AM140*$O140</f>
        <v>0</v>
      </c>
      <c r="AX140" s="151">
        <f>+AM140*$P140</f>
        <v>0</v>
      </c>
      <c r="AY140" s="150">
        <f>+AN140*$O140</f>
        <v>0</v>
      </c>
      <c r="AZ140" s="256">
        <f>+AN140*$P140</f>
        <v>0</v>
      </c>
      <c r="BA140" s="249">
        <f t="shared" si="251"/>
        <v>576230.40000000002</v>
      </c>
      <c r="BB140" s="256">
        <f t="shared" si="252"/>
        <v>126489.60000000003</v>
      </c>
      <c r="BC140" s="35" t="s">
        <v>174</v>
      </c>
    </row>
    <row r="141" spans="2:55" s="35" customFormat="1" x14ac:dyDescent="0.25">
      <c r="B141" s="72"/>
      <c r="C141" s="72" t="s">
        <v>85</v>
      </c>
      <c r="D141" s="199">
        <v>4</v>
      </c>
      <c r="E141" s="199">
        <v>1</v>
      </c>
      <c r="F141" s="199" t="s">
        <v>280</v>
      </c>
      <c r="G141" s="199">
        <v>3</v>
      </c>
      <c r="H141" s="199"/>
      <c r="I141" s="72" t="str">
        <f t="shared" si="253"/>
        <v>4.1.b.3</v>
      </c>
      <c r="J141" s="72"/>
      <c r="K141" s="35" t="s">
        <v>175</v>
      </c>
      <c r="L141" s="73">
        <f t="shared" si="220"/>
        <v>1692527.7214088368</v>
      </c>
      <c r="M141" s="308">
        <f t="shared" si="257"/>
        <v>0</v>
      </c>
      <c r="N141" s="309">
        <f t="shared" si="257"/>
        <v>1692527.7214088368</v>
      </c>
      <c r="O141" s="306">
        <v>0</v>
      </c>
      <c r="P141" s="307">
        <f t="shared" si="258"/>
        <v>1</v>
      </c>
      <c r="Q141" s="248"/>
      <c r="R141" s="39">
        <f>(3075356.06833613+1357246.65078*50%)*coef17+4562973.91453501*coef17</f>
        <v>9148648.639087256</v>
      </c>
      <c r="S141" s="39">
        <f>(3075356.06833613+1357246.65078*50%)*coef18+4562973.91453501*coef18</f>
        <v>10063513.502995983</v>
      </c>
      <c r="T141" s="39">
        <f>(3075356.06833613+1357246.65078*50%)*coef19+4562973.91453501*coef19</f>
        <v>11069864.853295581</v>
      </c>
      <c r="U141" s="39">
        <f>(3075356.06833613+1357246.65078*50%)*coef20+4562973.91453501*coef20</f>
        <v>12176851.33862514</v>
      </c>
      <c r="V141" s="245">
        <f>(3075356.06833613+1357246.65078*50%)*coef21+4562973.91453501*coef21</f>
        <v>13394536.472487655</v>
      </c>
      <c r="W141" s="231"/>
      <c r="X141" s="138" t="s">
        <v>255</v>
      </c>
      <c r="Y141" s="138"/>
      <c r="Z141" s="401"/>
      <c r="AA141" s="73">
        <f>SUM(R141:V141)/$R$1</f>
        <v>1692527.7214088368</v>
      </c>
      <c r="AE141" s="72">
        <v>1</v>
      </c>
      <c r="AF141" s="72">
        <v>1</v>
      </c>
      <c r="AG141" s="72">
        <v>1</v>
      </c>
      <c r="AH141" s="72">
        <v>1</v>
      </c>
      <c r="AI141" s="72">
        <v>1</v>
      </c>
      <c r="AJ141" s="249">
        <f>+(R141+Q141)/$AJ$1</f>
        <v>277231.77694203804</v>
      </c>
      <c r="AK141" s="255">
        <f>+S141/$AK$1</f>
        <v>304954.95463624189</v>
      </c>
      <c r="AL141" s="255">
        <f>+T141/$AL$1</f>
        <v>335450.45009986608</v>
      </c>
      <c r="AM141" s="255">
        <f>+U141/$AM$1</f>
        <v>368995.49510985275</v>
      </c>
      <c r="AN141" s="256">
        <f>+V141/$AN$1</f>
        <v>405895.04462083802</v>
      </c>
      <c r="AO141" s="261">
        <f t="shared" si="250"/>
        <v>1692527.721408837</v>
      </c>
      <c r="AQ141" s="249">
        <f>+AJ141*$O141</f>
        <v>0</v>
      </c>
      <c r="AR141" s="151">
        <f>+AJ141*$P141</f>
        <v>277231.77694203804</v>
      </c>
      <c r="AS141" s="150">
        <f>+AK141*$O141</f>
        <v>0</v>
      </c>
      <c r="AT141" s="151">
        <f>+AK141*$P141</f>
        <v>304954.95463624189</v>
      </c>
      <c r="AU141" s="150">
        <f>+AL141*$O141</f>
        <v>0</v>
      </c>
      <c r="AV141" s="151">
        <f>+AL141*$P141</f>
        <v>335450.45009986608</v>
      </c>
      <c r="AW141" s="150">
        <f>+AM141*$O141</f>
        <v>0</v>
      </c>
      <c r="AX141" s="151">
        <f>+AM141*$P141</f>
        <v>368995.49510985275</v>
      </c>
      <c r="AY141" s="150">
        <f>+AN141*$O141</f>
        <v>0</v>
      </c>
      <c r="AZ141" s="256">
        <f>+AN141*$P141</f>
        <v>405895.04462083802</v>
      </c>
      <c r="BA141" s="249">
        <f t="shared" si="251"/>
        <v>0</v>
      </c>
      <c r="BB141" s="256">
        <f t="shared" si="252"/>
        <v>1692527.721408837</v>
      </c>
      <c r="BC141" s="35" t="s">
        <v>175</v>
      </c>
    </row>
    <row r="142" spans="2:55" s="51" customFormat="1" x14ac:dyDescent="0.25">
      <c r="B142" s="34"/>
      <c r="C142" s="34"/>
      <c r="D142" s="221">
        <v>4</v>
      </c>
      <c r="E142" s="221">
        <v>1</v>
      </c>
      <c r="F142" s="221" t="s">
        <v>269</v>
      </c>
      <c r="G142" s="221">
        <v>0</v>
      </c>
      <c r="H142" s="221">
        <v>0</v>
      </c>
      <c r="I142" s="34" t="str">
        <f t="shared" si="253"/>
        <v>4.1.c.0</v>
      </c>
      <c r="J142" s="34"/>
      <c r="K142" s="51" t="s">
        <v>421</v>
      </c>
      <c r="L142" s="45">
        <f t="shared" si="220"/>
        <v>5145218.4908598792</v>
      </c>
      <c r="M142" s="80">
        <f>SUM(M143:M145)</f>
        <v>2010669.6272855406</v>
      </c>
      <c r="N142" s="237">
        <f t="shared" ref="N142:AZ142" si="259">SUM(N143:N145)</f>
        <v>3134548.8635743381</v>
      </c>
      <c r="O142" s="86"/>
      <c r="P142" s="87"/>
      <c r="Q142" s="80">
        <f t="shared" si="259"/>
        <v>0</v>
      </c>
      <c r="R142" s="237">
        <f t="shared" si="259"/>
        <v>25906576.138237096</v>
      </c>
      <c r="S142" s="237">
        <f t="shared" si="259"/>
        <v>30117590.621371392</v>
      </c>
      <c r="T142" s="237">
        <f t="shared" si="259"/>
        <v>35075185.558210805</v>
      </c>
      <c r="U142" s="237">
        <f t="shared" si="259"/>
        <v>37757131.311617076</v>
      </c>
      <c r="V142" s="75">
        <f t="shared" si="259"/>
        <v>40935726.568939641</v>
      </c>
      <c r="W142" s="53">
        <f t="shared" si="259"/>
        <v>0</v>
      </c>
      <c r="X142" s="400">
        <f t="shared" si="259"/>
        <v>0</v>
      </c>
      <c r="Y142" s="400">
        <f t="shared" si="259"/>
        <v>0</v>
      </c>
      <c r="Z142" s="400">
        <f t="shared" si="259"/>
        <v>0</v>
      </c>
      <c r="AA142" s="45"/>
      <c r="AJ142" s="80">
        <f t="shared" si="259"/>
        <v>785047.76176476036</v>
      </c>
      <c r="AK142" s="237">
        <f t="shared" si="259"/>
        <v>912654.26125367859</v>
      </c>
      <c r="AL142" s="237">
        <f t="shared" si="259"/>
        <v>1062884.410854873</v>
      </c>
      <c r="AM142" s="237">
        <f t="shared" si="259"/>
        <v>1144155.4942914266</v>
      </c>
      <c r="AN142" s="75">
        <f t="shared" si="259"/>
        <v>1240476.5626951407</v>
      </c>
      <c r="AO142" s="259">
        <f t="shared" si="259"/>
        <v>5145218.4908598792</v>
      </c>
      <c r="AP142" s="139"/>
      <c r="AQ142" s="264">
        <f t="shared" si="259"/>
        <v>282007.2462150451</v>
      </c>
      <c r="AR142" s="135">
        <f t="shared" si="259"/>
        <v>503040.51554971526</v>
      </c>
      <c r="AS142" s="134">
        <f t="shared" si="259"/>
        <v>350471.3839527521</v>
      </c>
      <c r="AT142" s="135">
        <f t="shared" si="259"/>
        <v>562182.87730092637</v>
      </c>
      <c r="AU142" s="134">
        <f t="shared" si="259"/>
        <v>433869.59559820511</v>
      </c>
      <c r="AV142" s="135">
        <f t="shared" si="259"/>
        <v>629014.81525666779</v>
      </c>
      <c r="AW142" s="134">
        <f t="shared" si="259"/>
        <v>456742.32188589999</v>
      </c>
      <c r="AX142" s="135">
        <f t="shared" si="259"/>
        <v>687413.17240552662</v>
      </c>
      <c r="AY142" s="134">
        <f t="shared" si="259"/>
        <v>487579.07963363844</v>
      </c>
      <c r="AZ142" s="265">
        <f t="shared" si="259"/>
        <v>752897.48306150222</v>
      </c>
      <c r="BA142" s="264">
        <f t="shared" si="251"/>
        <v>2010669.6272855408</v>
      </c>
      <c r="BB142" s="265">
        <f t="shared" si="252"/>
        <v>3134548.8635743381</v>
      </c>
    </row>
    <row r="143" spans="2:55" s="35" customFormat="1" x14ac:dyDescent="0.2">
      <c r="B143" s="72"/>
      <c r="C143" s="232" t="s">
        <v>85</v>
      </c>
      <c r="D143" s="219">
        <v>4</v>
      </c>
      <c r="E143" s="219">
        <v>1</v>
      </c>
      <c r="F143" s="219" t="s">
        <v>269</v>
      </c>
      <c r="G143" s="219">
        <v>1</v>
      </c>
      <c r="H143" s="219"/>
      <c r="I143" s="72" t="str">
        <f>CONCATENATE(D143,".",E143,".",F143,".",G143)</f>
        <v>4.1.c.1</v>
      </c>
      <c r="J143" s="72"/>
      <c r="K143" s="35" t="s">
        <v>385</v>
      </c>
      <c r="L143" s="73">
        <f t="shared" si="220"/>
        <v>574715.9113886198</v>
      </c>
      <c r="M143" s="308">
        <f t="shared" ref="M143:N145" si="260">+O143*$L143</f>
        <v>137931.81873326874</v>
      </c>
      <c r="N143" s="309">
        <f t="shared" si="260"/>
        <v>436784.09265535104</v>
      </c>
      <c r="O143" s="306">
        <v>0.24</v>
      </c>
      <c r="P143" s="307">
        <f>1-O143</f>
        <v>0.76</v>
      </c>
      <c r="Q143" s="248"/>
      <c r="R143" s="313">
        <f>+RRHHCDir.!F36</f>
        <v>3106521.6091176965</v>
      </c>
      <c r="S143" s="313">
        <f>coef18*2824110.55374336</f>
        <v>3417173.7700294661</v>
      </c>
      <c r="T143" s="313">
        <f>coef19*2824110.55374336</f>
        <v>3758891.1470324136</v>
      </c>
      <c r="U143" s="313">
        <f>coef20*2824110.55374336</f>
        <v>4134780.2617356554</v>
      </c>
      <c r="V143" s="314">
        <f>coef21*2824110.55374336</f>
        <v>4548258.2879092209</v>
      </c>
      <c r="W143" s="231"/>
      <c r="X143" s="401"/>
      <c r="Y143" s="401"/>
      <c r="Z143" s="404" t="s">
        <v>394</v>
      </c>
      <c r="AA143" s="315"/>
      <c r="AE143" s="72">
        <v>1</v>
      </c>
      <c r="AF143" s="72">
        <v>1</v>
      </c>
      <c r="AG143" s="72">
        <v>1</v>
      </c>
      <c r="AH143" s="72">
        <v>1</v>
      </c>
      <c r="AI143" s="72">
        <v>1</v>
      </c>
      <c r="AJ143" s="249">
        <f>+(R143+Q143)/$AJ$1</f>
        <v>94137.018458112012</v>
      </c>
      <c r="AK143" s="255">
        <f>+S143/$AK$1</f>
        <v>103550.72030392321</v>
      </c>
      <c r="AL143" s="255">
        <f>+T143/$AL$1</f>
        <v>113905.79233431557</v>
      </c>
      <c r="AM143" s="255">
        <f>+U143/$AM$1</f>
        <v>125296.37156774713</v>
      </c>
      <c r="AN143" s="256">
        <f>+V143/$AN$1</f>
        <v>137826.00872452185</v>
      </c>
      <c r="AO143" s="261">
        <f>SUBTOTAL(9,AJ143:AN143)</f>
        <v>574715.9113886198</v>
      </c>
      <c r="AQ143" s="249">
        <f>+AJ143*$O143</f>
        <v>22592.884429946884</v>
      </c>
      <c r="AR143" s="151">
        <f>+AJ143*$P143</f>
        <v>71544.134028165136</v>
      </c>
      <c r="AS143" s="150">
        <f>+AK143*$O143</f>
        <v>24852.17287294157</v>
      </c>
      <c r="AT143" s="151">
        <f>+AK143*$P143</f>
        <v>78698.547430981649</v>
      </c>
      <c r="AU143" s="150">
        <f>+AL143*$O143</f>
        <v>27337.390160235736</v>
      </c>
      <c r="AV143" s="151">
        <f>+AL143*$P143</f>
        <v>86568.402174079834</v>
      </c>
      <c r="AW143" s="150">
        <f>+AM143*$O143</f>
        <v>30071.12917625931</v>
      </c>
      <c r="AX143" s="151">
        <f>+AM143*$P143</f>
        <v>95225.242391487816</v>
      </c>
      <c r="AY143" s="150">
        <f>+AN143*$O143</f>
        <v>33078.242093885245</v>
      </c>
      <c r="AZ143" s="256">
        <f>+AN143*$P143</f>
        <v>104747.7666306366</v>
      </c>
      <c r="BA143" s="249">
        <f>+AQ143+AS143+AU143+AW143+AY143</f>
        <v>137931.81873326877</v>
      </c>
      <c r="BB143" s="256">
        <f>+AR143+AT143+AV143+AX143+AZ143</f>
        <v>436784.09265535104</v>
      </c>
    </row>
    <row r="144" spans="2:55" s="35" customFormat="1" x14ac:dyDescent="0.25">
      <c r="B144" s="72"/>
      <c r="C144" s="72" t="s">
        <v>85</v>
      </c>
      <c r="D144" s="199">
        <v>4</v>
      </c>
      <c r="E144" s="199">
        <v>1</v>
      </c>
      <c r="F144" s="199" t="s">
        <v>269</v>
      </c>
      <c r="G144" s="199">
        <v>2</v>
      </c>
      <c r="H144" s="199"/>
      <c r="I144" s="72" t="str">
        <f t="shared" si="253"/>
        <v>4.1.c.2</v>
      </c>
      <c r="J144" s="72"/>
      <c r="K144" s="35" t="s">
        <v>169</v>
      </c>
      <c r="L144" s="73">
        <f t="shared" si="220"/>
        <v>3232886.7355416561</v>
      </c>
      <c r="M144" s="308">
        <f t="shared" si="260"/>
        <v>775892.81652999739</v>
      </c>
      <c r="N144" s="309">
        <f t="shared" si="260"/>
        <v>2456993.9190116585</v>
      </c>
      <c r="O144" s="306">
        <v>0.24</v>
      </c>
      <c r="P144" s="307">
        <f t="shared" ref="P144:P145" si="261">1-O144</f>
        <v>0.76</v>
      </c>
      <c r="Q144" s="248"/>
      <c r="R144" s="39">
        <f>14819942.9162791*coef17+1066218.17301504*coef17</f>
        <v>17474777.198223557</v>
      </c>
      <c r="S144" s="39">
        <f>14819942.9162791*coef18+1066218.17301504*coef18</f>
        <v>19222254.918045912</v>
      </c>
      <c r="T144" s="39">
        <f>14819942.9162791*coef19+1066218.17301504*coef19</f>
        <v>21144480.409850504</v>
      </c>
      <c r="U144" s="39">
        <f>14819942.9162791*coef20+1066218.17301504*coef20</f>
        <v>23258928.45083556</v>
      </c>
      <c r="V144" s="245">
        <f>14819942.9162791*coef21+1066218.17301504*coef21</f>
        <v>25584821.29591912</v>
      </c>
      <c r="W144" s="231"/>
      <c r="X144" s="401" t="s">
        <v>236</v>
      </c>
      <c r="Y144" s="401" t="s">
        <v>237</v>
      </c>
      <c r="Z144" s="401" t="s">
        <v>170</v>
      </c>
      <c r="AA144" s="73"/>
      <c r="AE144" s="72">
        <v>1</v>
      </c>
      <c r="AF144" s="72">
        <v>1</v>
      </c>
      <c r="AG144" s="72">
        <v>1</v>
      </c>
      <c r="AH144" s="72">
        <v>1</v>
      </c>
      <c r="AI144" s="72">
        <v>1</v>
      </c>
      <c r="AJ144" s="249">
        <f>+(R144+Q144)/$AJ$1</f>
        <v>529538.7029764714</v>
      </c>
      <c r="AK144" s="255">
        <f>+S144/$AK$1</f>
        <v>582492.57327411859</v>
      </c>
      <c r="AL144" s="255">
        <f>+T144/$AL$1</f>
        <v>640741.83060153038</v>
      </c>
      <c r="AM144" s="255">
        <f>+U144/$AM$1</f>
        <v>704816.01366168365</v>
      </c>
      <c r="AN144" s="256">
        <f>+V144/$AN$1</f>
        <v>775297.61502785212</v>
      </c>
      <c r="AO144" s="261">
        <f t="shared" si="250"/>
        <v>3232886.7355416566</v>
      </c>
      <c r="AQ144" s="249">
        <f>+AJ144*$O144</f>
        <v>127089.28871435313</v>
      </c>
      <c r="AR144" s="151">
        <f>+AJ144*$P144</f>
        <v>402449.41426211828</v>
      </c>
      <c r="AS144" s="150">
        <f>+AK144*$O144</f>
        <v>139798.21758578846</v>
      </c>
      <c r="AT144" s="151">
        <f>+AK144*$P144</f>
        <v>442694.35568833014</v>
      </c>
      <c r="AU144" s="150">
        <f>+AL144*$O144</f>
        <v>153778.03934436728</v>
      </c>
      <c r="AV144" s="151">
        <f>+AL144*$P144</f>
        <v>486963.7912571631</v>
      </c>
      <c r="AW144" s="150">
        <f>+AM144*$O144</f>
        <v>169155.84327880407</v>
      </c>
      <c r="AX144" s="151">
        <f>+AM144*$P144</f>
        <v>535660.17038287956</v>
      </c>
      <c r="AY144" s="150">
        <f>+AN144*$O144</f>
        <v>186071.42760668451</v>
      </c>
      <c r="AZ144" s="256">
        <f>+AN144*$P144</f>
        <v>589226.18742116762</v>
      </c>
      <c r="BA144" s="249">
        <f t="shared" si="251"/>
        <v>775892.81652999739</v>
      </c>
      <c r="BB144" s="256">
        <f t="shared" si="252"/>
        <v>2456993.919011659</v>
      </c>
      <c r="BC144" s="35" t="s">
        <v>169</v>
      </c>
    </row>
    <row r="145" spans="2:55" s="35" customFormat="1" x14ac:dyDescent="0.25">
      <c r="B145" s="72"/>
      <c r="C145" s="72" t="s">
        <v>85</v>
      </c>
      <c r="D145" s="199">
        <v>4</v>
      </c>
      <c r="E145" s="199">
        <v>1</v>
      </c>
      <c r="F145" s="199" t="s">
        <v>269</v>
      </c>
      <c r="G145" s="199">
        <v>3</v>
      </c>
      <c r="H145" s="199"/>
      <c r="I145" s="72" t="str">
        <f t="shared" si="253"/>
        <v>4.1.c.3</v>
      </c>
      <c r="J145" s="72"/>
      <c r="K145" s="35" t="s">
        <v>171</v>
      </c>
      <c r="L145" s="73">
        <f t="shared" si="220"/>
        <v>1337615.8439296032</v>
      </c>
      <c r="M145" s="308">
        <f t="shared" si="260"/>
        <v>1096844.9920222745</v>
      </c>
      <c r="N145" s="309">
        <f t="shared" si="260"/>
        <v>240770.85190732864</v>
      </c>
      <c r="O145" s="306">
        <v>0.82</v>
      </c>
      <c r="P145" s="307">
        <f t="shared" si="261"/>
        <v>0.18000000000000005</v>
      </c>
      <c r="Q145" s="248"/>
      <c r="R145" s="39">
        <f>((SUM(R$148:R$160)+SUM(R$163:R$175)+SUM(R124:R137))*coefasesor)*0.3+3634932.49094144*coef17</f>
        <v>5325277.3308958393</v>
      </c>
      <c r="S145" s="39">
        <f>(SUM(S$148:S$160)+SUM(S$163:S$175)+SUM(S124:S137))*coefasesor+3634932.49094144*coef18</f>
        <v>7478161.9332960127</v>
      </c>
      <c r="T145" s="39">
        <f>(SUM(T$148:T$160)+SUM(T$163:T$175)+SUM(T124:T137))*coefasesor+3634932.49094144*coef19</f>
        <v>10171814.001327891</v>
      </c>
      <c r="U145" s="39">
        <f>(SUM(U$148:U$160)+SUM(U$163:U$175)+SUM(U124:U137))*coefasesor+3634932.49094144*coef20</f>
        <v>10363422.599045863</v>
      </c>
      <c r="V145" s="245">
        <f>(SUM(V$148:V$160)+SUM(V$163:V$175)+SUM(V124:V137))*coefasesor+3634932.49094144*coef21</f>
        <v>10802646.9851113</v>
      </c>
      <c r="W145" s="231"/>
      <c r="X145" s="138"/>
      <c r="Y145" s="138"/>
      <c r="Z145" s="401" t="s">
        <v>172</v>
      </c>
      <c r="AA145" s="73"/>
      <c r="AE145" s="72">
        <v>1</v>
      </c>
      <c r="AF145" s="72">
        <v>1</v>
      </c>
      <c r="AG145" s="72">
        <v>1</v>
      </c>
      <c r="AH145" s="72">
        <v>1</v>
      </c>
      <c r="AI145" s="72">
        <v>1</v>
      </c>
      <c r="AJ145" s="249">
        <f>+(R145+Q145)/$AJ$1</f>
        <v>161372.04033017694</v>
      </c>
      <c r="AK145" s="255">
        <f>+S145/$AK$1</f>
        <v>226610.96767563676</v>
      </c>
      <c r="AL145" s="255">
        <f>+T145/$AL$1</f>
        <v>308236.78791902697</v>
      </c>
      <c r="AM145" s="255">
        <f>+U145/$AM$1</f>
        <v>314043.10906199587</v>
      </c>
      <c r="AN145" s="256">
        <f>+V145/$AN$1</f>
        <v>327352.93894276669</v>
      </c>
      <c r="AO145" s="261">
        <f t="shared" si="250"/>
        <v>1337615.8439296032</v>
      </c>
      <c r="AQ145" s="249">
        <f>+AJ145*$O145</f>
        <v>132325.07307074507</v>
      </c>
      <c r="AR145" s="151">
        <f>+AJ145*$P145</f>
        <v>29046.967259431858</v>
      </c>
      <c r="AS145" s="150">
        <f>+AK145*$O145</f>
        <v>185820.99349402211</v>
      </c>
      <c r="AT145" s="151">
        <f>+AK145*$P145</f>
        <v>40789.974181614627</v>
      </c>
      <c r="AU145" s="150">
        <f>+AL145*$O145</f>
        <v>252754.16609360211</v>
      </c>
      <c r="AV145" s="151">
        <f>+AL145*$P145</f>
        <v>55482.621825424867</v>
      </c>
      <c r="AW145" s="150">
        <f>+AM145*$O145</f>
        <v>257515.34943083659</v>
      </c>
      <c r="AX145" s="151">
        <f>+AM145*$P145</f>
        <v>56527.759631159272</v>
      </c>
      <c r="AY145" s="150">
        <f>+AN145*$O145</f>
        <v>268429.40993306867</v>
      </c>
      <c r="AZ145" s="256">
        <f>+AN145*$P145</f>
        <v>58923.529009698017</v>
      </c>
      <c r="BA145" s="249">
        <f t="shared" si="251"/>
        <v>1096844.9920222745</v>
      </c>
      <c r="BB145" s="256">
        <f t="shared" si="252"/>
        <v>240770.85190732864</v>
      </c>
      <c r="BC145" s="35" t="s">
        <v>171</v>
      </c>
    </row>
    <row r="146" spans="2:55" s="46" customFormat="1" x14ac:dyDescent="0.25">
      <c r="B146" s="33"/>
      <c r="C146" s="33"/>
      <c r="D146" s="220">
        <v>4</v>
      </c>
      <c r="E146" s="220">
        <v>2</v>
      </c>
      <c r="F146" s="220">
        <v>0</v>
      </c>
      <c r="G146" s="220">
        <v>0</v>
      </c>
      <c r="H146" s="220">
        <v>0</v>
      </c>
      <c r="I146" s="33" t="str">
        <f t="shared" si="223"/>
        <v>4.2.0.0</v>
      </c>
      <c r="J146" s="33">
        <v>4.2</v>
      </c>
      <c r="K146" s="46" t="s">
        <v>341</v>
      </c>
      <c r="L146" s="47">
        <f t="shared" si="220"/>
        <v>8639442.0137857739</v>
      </c>
      <c r="M146" s="79">
        <f t="shared" ref="M146:Q146" si="262">+M147</f>
        <v>6760270.2837877078</v>
      </c>
      <c r="N146" s="236">
        <f t="shared" si="262"/>
        <v>1879171.7299980668</v>
      </c>
      <c r="O146" s="84"/>
      <c r="P146" s="85"/>
      <c r="Q146" s="79">
        <f t="shared" si="262"/>
        <v>27478920</v>
      </c>
      <c r="R146" s="236">
        <f>+R147</f>
        <v>97043370.458472714</v>
      </c>
      <c r="S146" s="236">
        <f t="shared" ref="S146:V146" si="263">+S147</f>
        <v>20069597.220355447</v>
      </c>
      <c r="T146" s="236">
        <f t="shared" si="263"/>
        <v>77231622.936603397</v>
      </c>
      <c r="U146" s="236">
        <f t="shared" si="263"/>
        <v>40256281.422907531</v>
      </c>
      <c r="V146" s="67">
        <f t="shared" si="263"/>
        <v>23021794.416591473</v>
      </c>
      <c r="W146" s="49"/>
      <c r="X146" s="402"/>
      <c r="Y146" s="402"/>
      <c r="Z146" s="402"/>
      <c r="AA146" s="47"/>
      <c r="AJ146" s="79">
        <f t="shared" ref="AJ146:AZ146" si="264">+AJ147</f>
        <v>3773402.7411658396</v>
      </c>
      <c r="AK146" s="236">
        <f t="shared" si="264"/>
        <v>608169.61273804377</v>
      </c>
      <c r="AL146" s="236">
        <f t="shared" si="264"/>
        <v>2340352.210200103</v>
      </c>
      <c r="AM146" s="236">
        <f t="shared" si="264"/>
        <v>1219887.3158456828</v>
      </c>
      <c r="AN146" s="67">
        <f t="shared" si="264"/>
        <v>697630.13383610523</v>
      </c>
      <c r="AO146" s="258">
        <f t="shared" si="250"/>
        <v>8639442.0137857739</v>
      </c>
      <c r="AP146" s="139"/>
      <c r="AQ146" s="262">
        <f t="shared" si="264"/>
        <v>2575476.5093345633</v>
      </c>
      <c r="AR146" s="133">
        <f t="shared" si="264"/>
        <v>1197926.2318312761</v>
      </c>
      <c r="AS146" s="132">
        <f t="shared" si="264"/>
        <v>523025.86695471767</v>
      </c>
      <c r="AT146" s="133">
        <f t="shared" si="264"/>
        <v>85143.745783326158</v>
      </c>
      <c r="AU146" s="132">
        <f t="shared" si="264"/>
        <v>2012702.9007720887</v>
      </c>
      <c r="AV146" s="133">
        <f t="shared" si="264"/>
        <v>327649.30942801444</v>
      </c>
      <c r="AW146" s="132">
        <f t="shared" si="264"/>
        <v>1049103.091627287</v>
      </c>
      <c r="AX146" s="133">
        <f t="shared" si="264"/>
        <v>170784.2242183956</v>
      </c>
      <c r="AY146" s="132">
        <f t="shared" si="264"/>
        <v>599961.9150990505</v>
      </c>
      <c r="AZ146" s="263">
        <f t="shared" si="264"/>
        <v>97668.218737054747</v>
      </c>
      <c r="BA146" s="262">
        <f t="shared" si="251"/>
        <v>6760270.2837877069</v>
      </c>
      <c r="BB146" s="263">
        <f t="shared" si="252"/>
        <v>1879171.7299980673</v>
      </c>
    </row>
    <row r="147" spans="2:55" s="51" customFormat="1" x14ac:dyDescent="0.25">
      <c r="B147" s="34"/>
      <c r="C147" s="34"/>
      <c r="D147" s="221">
        <v>4</v>
      </c>
      <c r="E147" s="221">
        <v>2</v>
      </c>
      <c r="F147" s="221" t="s">
        <v>270</v>
      </c>
      <c r="G147" s="221">
        <v>0</v>
      </c>
      <c r="H147" s="221">
        <v>0</v>
      </c>
      <c r="I147" s="34" t="str">
        <f t="shared" si="223"/>
        <v>4.2.a.0</v>
      </c>
      <c r="J147" s="34"/>
      <c r="K147" s="51" t="s">
        <v>377</v>
      </c>
      <c r="L147" s="51">
        <f t="shared" si="220"/>
        <v>8639442.0137857739</v>
      </c>
      <c r="M147" s="80">
        <f t="shared" ref="M147:Q147" si="265">SUM(M148:M160)</f>
        <v>6760270.2837877078</v>
      </c>
      <c r="N147" s="237">
        <f t="shared" si="265"/>
        <v>1879171.7299980668</v>
      </c>
      <c r="O147" s="86"/>
      <c r="P147" s="87"/>
      <c r="Q147" s="80">
        <f t="shared" si="265"/>
        <v>27478920</v>
      </c>
      <c r="R147" s="237">
        <f>SUM(R148:R160)</f>
        <v>97043370.458472714</v>
      </c>
      <c r="S147" s="237">
        <f t="shared" ref="S147:V147" si="266">SUM(S148:S160)</f>
        <v>20069597.220355447</v>
      </c>
      <c r="T147" s="237">
        <f t="shared" si="266"/>
        <v>77231622.936603397</v>
      </c>
      <c r="U147" s="237">
        <f t="shared" si="266"/>
        <v>40256281.422907531</v>
      </c>
      <c r="V147" s="75">
        <f t="shared" si="266"/>
        <v>23021794.416591473</v>
      </c>
      <c r="W147" s="53"/>
      <c r="X147" s="400"/>
      <c r="Y147" s="400"/>
      <c r="Z147" s="400"/>
      <c r="AA147" s="45"/>
      <c r="AJ147" s="80">
        <f t="shared" ref="AJ147:AN147" si="267">SUM(AJ148:AJ160)</f>
        <v>3773402.7411658396</v>
      </c>
      <c r="AK147" s="237">
        <f t="shared" si="267"/>
        <v>608169.61273804377</v>
      </c>
      <c r="AL147" s="237">
        <f t="shared" si="267"/>
        <v>2340352.210200103</v>
      </c>
      <c r="AM147" s="237">
        <f t="shared" si="267"/>
        <v>1219887.3158456828</v>
      </c>
      <c r="AN147" s="75">
        <f t="shared" si="267"/>
        <v>697630.13383610523</v>
      </c>
      <c r="AO147" s="259">
        <f t="shared" si="250"/>
        <v>8639442.0137857739</v>
      </c>
      <c r="AP147" s="139"/>
      <c r="AQ147" s="264">
        <f t="shared" ref="AQ147:AZ147" si="268">SUM(AQ148:AQ160)</f>
        <v>2575476.5093345633</v>
      </c>
      <c r="AR147" s="135">
        <f t="shared" si="268"/>
        <v>1197926.2318312761</v>
      </c>
      <c r="AS147" s="134">
        <f t="shared" si="268"/>
        <v>523025.86695471767</v>
      </c>
      <c r="AT147" s="135">
        <f t="shared" si="268"/>
        <v>85143.745783326158</v>
      </c>
      <c r="AU147" s="134">
        <f t="shared" si="268"/>
        <v>2012702.9007720887</v>
      </c>
      <c r="AV147" s="135">
        <f t="shared" si="268"/>
        <v>327649.30942801444</v>
      </c>
      <c r="AW147" s="134">
        <f t="shared" si="268"/>
        <v>1049103.091627287</v>
      </c>
      <c r="AX147" s="135">
        <f t="shared" si="268"/>
        <v>170784.2242183956</v>
      </c>
      <c r="AY147" s="134">
        <f t="shared" si="268"/>
        <v>599961.9150990505</v>
      </c>
      <c r="AZ147" s="265">
        <f t="shared" si="268"/>
        <v>97668.218737054747</v>
      </c>
      <c r="BA147" s="264">
        <f t="shared" si="251"/>
        <v>6760270.2837877069</v>
      </c>
      <c r="BB147" s="265">
        <f t="shared" si="252"/>
        <v>1879171.7299980673</v>
      </c>
    </row>
    <row r="148" spans="2:55" s="35" customFormat="1" x14ac:dyDescent="0.25">
      <c r="B148" s="72" t="s">
        <v>19</v>
      </c>
      <c r="C148" s="72" t="s">
        <v>85</v>
      </c>
      <c r="D148" s="199">
        <v>4</v>
      </c>
      <c r="E148" s="199">
        <v>2</v>
      </c>
      <c r="F148" s="199" t="s">
        <v>270</v>
      </c>
      <c r="G148" s="199">
        <v>1</v>
      </c>
      <c r="H148" s="199"/>
      <c r="I148" s="72" t="str">
        <f t="shared" si="223"/>
        <v>4.2.a.1</v>
      </c>
      <c r="J148" s="72"/>
      <c r="K148" s="35" t="s">
        <v>129</v>
      </c>
      <c r="L148" s="73">
        <f t="shared" si="220"/>
        <v>1660902.122985719</v>
      </c>
      <c r="M148" s="308">
        <f t="shared" ref="M148:M160" si="269">+O148*$L148</f>
        <v>1262285.6134691464</v>
      </c>
      <c r="N148" s="309">
        <f t="shared" ref="N148:N160" si="270">+P148*$L148</f>
        <v>398616.50951657252</v>
      </c>
      <c r="O148" s="306">
        <v>0.76</v>
      </c>
      <c r="P148" s="307">
        <f t="shared" ref="P148:P160" si="271">1-O148</f>
        <v>0.24</v>
      </c>
      <c r="Q148" s="248">
        <v>5674297</v>
      </c>
      <c r="R148" s="39">
        <v>49135473.058528729</v>
      </c>
      <c r="S148" s="246"/>
      <c r="T148" s="246"/>
      <c r="U148" s="246"/>
      <c r="V148" s="312"/>
      <c r="W148" s="72"/>
      <c r="X148" s="401"/>
      <c r="Y148" s="401"/>
      <c r="Z148" s="401"/>
      <c r="AA148" s="73">
        <v>0</v>
      </c>
      <c r="AC148" s="246"/>
      <c r="AD148" s="72">
        <v>1</v>
      </c>
      <c r="AE148" s="72">
        <v>1</v>
      </c>
      <c r="AF148" s="72"/>
      <c r="AG148" s="72"/>
      <c r="AH148" s="72"/>
      <c r="AI148" s="72"/>
      <c r="AJ148" s="249">
        <f t="shared" ref="AJ148:AJ160" si="272">+(R148+Q148)/$AJ$1</f>
        <v>1660902.122985719</v>
      </c>
      <c r="AK148" s="255">
        <f t="shared" ref="AK148:AK160" si="273">+S148/$AK$1</f>
        <v>0</v>
      </c>
      <c r="AL148" s="255">
        <f t="shared" ref="AL148:AL160" si="274">+T148/$AL$1</f>
        <v>0</v>
      </c>
      <c r="AM148" s="255">
        <f t="shared" ref="AM148:AM160" si="275">+U148/$AM$1</f>
        <v>0</v>
      </c>
      <c r="AN148" s="256">
        <f t="shared" ref="AN148:AN160" si="276">+V148/$AN$1</f>
        <v>0</v>
      </c>
      <c r="AO148" s="261">
        <f t="shared" si="250"/>
        <v>1660902.122985719</v>
      </c>
      <c r="AQ148" s="249">
        <f t="shared" ref="AQ148:AQ160" si="277">+AJ148*$O148</f>
        <v>1262285.6134691464</v>
      </c>
      <c r="AR148" s="151">
        <f t="shared" ref="AR148:AR160" si="278">+AJ148*$P148</f>
        <v>398616.50951657252</v>
      </c>
      <c r="AS148" s="150">
        <f t="shared" ref="AS148:AS160" si="279">+AK148*$O148</f>
        <v>0</v>
      </c>
      <c r="AT148" s="151">
        <f t="shared" ref="AT148:AT160" si="280">+AK148*$P148</f>
        <v>0</v>
      </c>
      <c r="AU148" s="150">
        <f t="shared" ref="AU148:AU160" si="281">+AL148*$O148</f>
        <v>0</v>
      </c>
      <c r="AV148" s="151">
        <f t="shared" ref="AV148:AV160" si="282">+AL148*$P148</f>
        <v>0</v>
      </c>
      <c r="AW148" s="150">
        <f t="shared" ref="AW148:AW160" si="283">+AM148*$O148</f>
        <v>0</v>
      </c>
      <c r="AX148" s="151">
        <f t="shared" ref="AX148:AX160" si="284">+AM148*$P148</f>
        <v>0</v>
      </c>
      <c r="AY148" s="150">
        <f t="shared" ref="AY148:AY160" si="285">+AN148*$O148</f>
        <v>0</v>
      </c>
      <c r="AZ148" s="256">
        <f t="shared" ref="AZ148:AZ160" si="286">+AN148*$P148</f>
        <v>0</v>
      </c>
      <c r="BA148" s="249">
        <f t="shared" si="251"/>
        <v>1262285.6134691464</v>
      </c>
      <c r="BB148" s="256">
        <f t="shared" si="252"/>
        <v>398616.50951657252</v>
      </c>
      <c r="BC148" s="35" t="s">
        <v>129</v>
      </c>
    </row>
    <row r="149" spans="2:55" s="35" customFormat="1" x14ac:dyDescent="0.25">
      <c r="B149" s="72" t="s">
        <v>33</v>
      </c>
      <c r="C149" s="72" t="s">
        <v>85</v>
      </c>
      <c r="D149" s="199">
        <v>4</v>
      </c>
      <c r="E149" s="199">
        <v>2</v>
      </c>
      <c r="F149" s="199" t="s">
        <v>270</v>
      </c>
      <c r="G149" s="199">
        <v>2</v>
      </c>
      <c r="H149" s="199"/>
      <c r="I149" s="72" t="str">
        <f t="shared" si="223"/>
        <v>4.2.a.2</v>
      </c>
      <c r="J149" s="72"/>
      <c r="K149" s="35" t="s">
        <v>130</v>
      </c>
      <c r="L149" s="73">
        <f t="shared" si="220"/>
        <v>1148959.4555574434</v>
      </c>
      <c r="M149" s="308">
        <f t="shared" si="269"/>
        <v>988105.13177940133</v>
      </c>
      <c r="N149" s="309">
        <f t="shared" si="270"/>
        <v>160854.3237780421</v>
      </c>
      <c r="O149" s="306">
        <v>0.86</v>
      </c>
      <c r="P149" s="307">
        <f t="shared" si="271"/>
        <v>0.14000000000000001</v>
      </c>
      <c r="Q149" s="248">
        <v>2630895</v>
      </c>
      <c r="R149" s="39">
        <v>35284767.033395633</v>
      </c>
      <c r="S149" s="246"/>
      <c r="T149" s="246"/>
      <c r="U149" s="246"/>
      <c r="V149" s="312"/>
      <c r="W149" s="72"/>
      <c r="X149" s="401"/>
      <c r="Y149" s="401"/>
      <c r="Z149" s="401"/>
      <c r="AA149" s="73">
        <v>38646000</v>
      </c>
      <c r="AB149" s="35" t="s">
        <v>131</v>
      </c>
      <c r="AD149" s="72">
        <v>1</v>
      </c>
      <c r="AE149" s="72">
        <v>1</v>
      </c>
      <c r="AF149" s="72"/>
      <c r="AG149" s="72"/>
      <c r="AH149" s="72"/>
      <c r="AI149" s="72"/>
      <c r="AJ149" s="249">
        <f t="shared" si="272"/>
        <v>1148959.4555574434</v>
      </c>
      <c r="AK149" s="255">
        <f t="shared" si="273"/>
        <v>0</v>
      </c>
      <c r="AL149" s="255">
        <f t="shared" si="274"/>
        <v>0</v>
      </c>
      <c r="AM149" s="255">
        <f t="shared" si="275"/>
        <v>0</v>
      </c>
      <c r="AN149" s="256">
        <f t="shared" si="276"/>
        <v>0</v>
      </c>
      <c r="AO149" s="261">
        <f t="shared" si="250"/>
        <v>1148959.4555574434</v>
      </c>
      <c r="AQ149" s="249">
        <f t="shared" si="277"/>
        <v>988105.13177940133</v>
      </c>
      <c r="AR149" s="151">
        <f t="shared" si="278"/>
        <v>160854.3237780421</v>
      </c>
      <c r="AS149" s="150">
        <f t="shared" si="279"/>
        <v>0</v>
      </c>
      <c r="AT149" s="151">
        <f t="shared" si="280"/>
        <v>0</v>
      </c>
      <c r="AU149" s="150">
        <f t="shared" si="281"/>
        <v>0</v>
      </c>
      <c r="AV149" s="151">
        <f t="shared" si="282"/>
        <v>0</v>
      </c>
      <c r="AW149" s="150">
        <f t="shared" si="283"/>
        <v>0</v>
      </c>
      <c r="AX149" s="151">
        <f t="shared" si="284"/>
        <v>0</v>
      </c>
      <c r="AY149" s="150">
        <f t="shared" si="285"/>
        <v>0</v>
      </c>
      <c r="AZ149" s="256">
        <f t="shared" si="286"/>
        <v>0</v>
      </c>
      <c r="BA149" s="249">
        <f t="shared" si="251"/>
        <v>988105.13177940133</v>
      </c>
      <c r="BB149" s="256">
        <f t="shared" si="252"/>
        <v>160854.3237780421</v>
      </c>
      <c r="BC149" s="35" t="s">
        <v>130</v>
      </c>
    </row>
    <row r="150" spans="2:55" s="35" customFormat="1" x14ac:dyDescent="0.25">
      <c r="B150" s="72" t="s">
        <v>281</v>
      </c>
      <c r="C150" s="72" t="s">
        <v>85</v>
      </c>
      <c r="D150" s="199">
        <v>4</v>
      </c>
      <c r="E150" s="199">
        <v>2</v>
      </c>
      <c r="F150" s="199" t="s">
        <v>270</v>
      </c>
      <c r="G150" s="199">
        <v>3</v>
      </c>
      <c r="H150" s="199"/>
      <c r="I150" s="72" t="str">
        <f t="shared" si="223"/>
        <v>4.2.a.3</v>
      </c>
      <c r="J150" s="72"/>
      <c r="K150" s="35" t="s">
        <v>125</v>
      </c>
      <c r="L150" s="73">
        <f t="shared" si="220"/>
        <v>915562.97412633931</v>
      </c>
      <c r="M150" s="308">
        <f t="shared" si="269"/>
        <v>283824.52197916521</v>
      </c>
      <c r="N150" s="309">
        <f t="shared" si="270"/>
        <v>631738.45214717404</v>
      </c>
      <c r="O150" s="306">
        <v>0.31</v>
      </c>
      <c r="P150" s="307">
        <f t="shared" si="271"/>
        <v>0.69</v>
      </c>
      <c r="Q150" s="248">
        <v>19173728</v>
      </c>
      <c r="R150" s="39">
        <v>11039850.146169197</v>
      </c>
      <c r="S150" s="246"/>
      <c r="T150" s="246"/>
      <c r="U150" s="246"/>
      <c r="V150" s="312"/>
      <c r="W150" s="72"/>
      <c r="X150" s="401"/>
      <c r="Y150" s="401"/>
      <c r="Z150" s="401"/>
      <c r="AA150" s="73">
        <v>6514647.7499999991</v>
      </c>
      <c r="AB150" s="35" t="s">
        <v>126</v>
      </c>
      <c r="AD150" s="72">
        <v>1</v>
      </c>
      <c r="AE150" s="72">
        <v>1</v>
      </c>
      <c r="AF150" s="72"/>
      <c r="AG150" s="72"/>
      <c r="AH150" s="72"/>
      <c r="AI150" s="72"/>
      <c r="AJ150" s="249">
        <f t="shared" si="272"/>
        <v>915562.97412633931</v>
      </c>
      <c r="AK150" s="255">
        <f t="shared" si="273"/>
        <v>0</v>
      </c>
      <c r="AL150" s="255">
        <f t="shared" si="274"/>
        <v>0</v>
      </c>
      <c r="AM150" s="255">
        <f t="shared" si="275"/>
        <v>0</v>
      </c>
      <c r="AN150" s="256">
        <f t="shared" si="276"/>
        <v>0</v>
      </c>
      <c r="AO150" s="261">
        <f t="shared" si="250"/>
        <v>915562.97412633931</v>
      </c>
      <c r="AQ150" s="249">
        <f t="shared" si="277"/>
        <v>283824.52197916521</v>
      </c>
      <c r="AR150" s="151">
        <f t="shared" si="278"/>
        <v>631738.45214717404</v>
      </c>
      <c r="AS150" s="150">
        <f t="shared" si="279"/>
        <v>0</v>
      </c>
      <c r="AT150" s="151">
        <f t="shared" si="280"/>
        <v>0</v>
      </c>
      <c r="AU150" s="150">
        <f t="shared" si="281"/>
        <v>0</v>
      </c>
      <c r="AV150" s="151">
        <f t="shared" si="282"/>
        <v>0</v>
      </c>
      <c r="AW150" s="150">
        <f t="shared" si="283"/>
        <v>0</v>
      </c>
      <c r="AX150" s="151">
        <f t="shared" si="284"/>
        <v>0</v>
      </c>
      <c r="AY150" s="150">
        <f t="shared" si="285"/>
        <v>0</v>
      </c>
      <c r="AZ150" s="256">
        <f t="shared" si="286"/>
        <v>0</v>
      </c>
      <c r="BA150" s="249">
        <f t="shared" si="251"/>
        <v>283824.52197916521</v>
      </c>
      <c r="BB150" s="256">
        <f t="shared" si="252"/>
        <v>631738.45214717404</v>
      </c>
      <c r="BC150" s="35" t="s">
        <v>125</v>
      </c>
    </row>
    <row r="151" spans="2:55" s="35" customFormat="1" x14ac:dyDescent="0.25">
      <c r="B151" s="72" t="s">
        <v>19</v>
      </c>
      <c r="C151" s="72" t="s">
        <v>85</v>
      </c>
      <c r="D151" s="199">
        <v>4</v>
      </c>
      <c r="E151" s="199">
        <v>2</v>
      </c>
      <c r="F151" s="199" t="s">
        <v>270</v>
      </c>
      <c r="G151" s="199">
        <v>5</v>
      </c>
      <c r="H151" s="199"/>
      <c r="I151" s="72" t="str">
        <f t="shared" si="223"/>
        <v>4.2.a.5</v>
      </c>
      <c r="J151" s="72"/>
      <c r="K151" s="35" t="s">
        <v>135</v>
      </c>
      <c r="L151" s="73">
        <f t="shared" si="220"/>
        <v>307060.40637656179</v>
      </c>
      <c r="M151" s="308">
        <f t="shared" si="269"/>
        <v>264071.94948384311</v>
      </c>
      <c r="N151" s="309">
        <f t="shared" si="270"/>
        <v>42988.456892718656</v>
      </c>
      <c r="O151" s="306">
        <v>0.86</v>
      </c>
      <c r="P151" s="307">
        <f t="shared" si="271"/>
        <v>0.14000000000000001</v>
      </c>
      <c r="Q151" s="248"/>
      <c r="R151" s="39">
        <f>$AA151*AE151/$AC151*coefobras17</f>
        <v>1583280.2203791465</v>
      </c>
      <c r="S151" s="39">
        <f>$AA151*AF151/$AC151*coefobras18</f>
        <v>8549713.1900473926</v>
      </c>
      <c r="T151" s="39"/>
      <c r="U151" s="39"/>
      <c r="V151" s="245"/>
      <c r="W151" s="40"/>
      <c r="X151" s="401"/>
      <c r="Y151" s="401"/>
      <c r="Z151" s="401"/>
      <c r="AA151" s="73">
        <v>10105024.999999998</v>
      </c>
      <c r="AB151" s="35" t="s">
        <v>131</v>
      </c>
      <c r="AC151" s="72">
        <v>6</v>
      </c>
      <c r="AD151" s="72"/>
      <c r="AE151" s="72">
        <v>1</v>
      </c>
      <c r="AF151" s="72">
        <v>5</v>
      </c>
      <c r="AG151" s="72"/>
      <c r="AH151" s="72"/>
      <c r="AI151" s="72"/>
      <c r="AJ151" s="249">
        <f t="shared" si="272"/>
        <v>47978.188496337774</v>
      </c>
      <c r="AK151" s="255">
        <f t="shared" si="273"/>
        <v>259082.21788022402</v>
      </c>
      <c r="AL151" s="255">
        <f t="shared" si="274"/>
        <v>0</v>
      </c>
      <c r="AM151" s="255">
        <f t="shared" si="275"/>
        <v>0</v>
      </c>
      <c r="AN151" s="256">
        <f t="shared" si="276"/>
        <v>0</v>
      </c>
      <c r="AO151" s="261">
        <f t="shared" si="250"/>
        <v>307060.40637656179</v>
      </c>
      <c r="AQ151" s="249">
        <f t="shared" si="277"/>
        <v>41261.242106850485</v>
      </c>
      <c r="AR151" s="151">
        <f t="shared" si="278"/>
        <v>6716.9463894872888</v>
      </c>
      <c r="AS151" s="150">
        <f t="shared" si="279"/>
        <v>222810.70737699265</v>
      </c>
      <c r="AT151" s="151">
        <f t="shared" si="280"/>
        <v>36271.510503231366</v>
      </c>
      <c r="AU151" s="150">
        <f t="shared" si="281"/>
        <v>0</v>
      </c>
      <c r="AV151" s="151">
        <f t="shared" si="282"/>
        <v>0</v>
      </c>
      <c r="AW151" s="150">
        <f t="shared" si="283"/>
        <v>0</v>
      </c>
      <c r="AX151" s="151">
        <f t="shared" si="284"/>
        <v>0</v>
      </c>
      <c r="AY151" s="150">
        <f t="shared" si="285"/>
        <v>0</v>
      </c>
      <c r="AZ151" s="256">
        <f t="shared" si="286"/>
        <v>0</v>
      </c>
      <c r="BA151" s="249">
        <f t="shared" si="251"/>
        <v>264071.94948384311</v>
      </c>
      <c r="BB151" s="256">
        <f t="shared" si="252"/>
        <v>42988.456892718656</v>
      </c>
      <c r="BC151" s="35" t="s">
        <v>135</v>
      </c>
    </row>
    <row r="152" spans="2:55" s="35" customFormat="1" x14ac:dyDescent="0.25">
      <c r="B152" s="72" t="s">
        <v>19</v>
      </c>
      <c r="C152" s="72" t="s">
        <v>85</v>
      </c>
      <c r="D152" s="199">
        <v>4</v>
      </c>
      <c r="E152" s="199">
        <v>2</v>
      </c>
      <c r="F152" s="199" t="s">
        <v>270</v>
      </c>
      <c r="G152" s="199">
        <v>6</v>
      </c>
      <c r="H152" s="199"/>
      <c r="I152" s="72" t="str">
        <f t="shared" si="223"/>
        <v>4.2.a.6</v>
      </c>
      <c r="J152" s="72"/>
      <c r="K152" s="35" t="s">
        <v>140</v>
      </c>
      <c r="L152" s="73">
        <f t="shared" si="220"/>
        <v>581821.59580689354</v>
      </c>
      <c r="M152" s="308">
        <f t="shared" si="269"/>
        <v>500366.57239392842</v>
      </c>
      <c r="N152" s="309">
        <f t="shared" si="270"/>
        <v>81455.023412965107</v>
      </c>
      <c r="O152" s="306">
        <v>0.86</v>
      </c>
      <c r="P152" s="307">
        <f t="shared" si="271"/>
        <v>0.14000000000000001</v>
      </c>
      <c r="Q152" s="248"/>
      <c r="R152" s="39"/>
      <c r="S152" s="39">
        <f>$AA152*AF152/$AC152*coefobras18</f>
        <v>6075985.0195023688</v>
      </c>
      <c r="T152" s="39">
        <f>$AA152*AG152/$AC152*coefobras19</f>
        <v>13124127.642125117</v>
      </c>
      <c r="U152" s="39"/>
      <c r="V152" s="245"/>
      <c r="W152" s="40"/>
      <c r="X152" s="401"/>
      <c r="Y152" s="401"/>
      <c r="Z152" s="401"/>
      <c r="AA152" s="73">
        <v>17953228.124999996</v>
      </c>
      <c r="AB152" s="35" t="s">
        <v>141</v>
      </c>
      <c r="AC152" s="72">
        <v>6</v>
      </c>
      <c r="AD152" s="72"/>
      <c r="AE152" s="72"/>
      <c r="AF152" s="72">
        <v>2</v>
      </c>
      <c r="AG152" s="72">
        <v>4</v>
      </c>
      <c r="AH152" s="72"/>
      <c r="AI152" s="72"/>
      <c r="AJ152" s="249">
        <f t="shared" si="272"/>
        <v>0</v>
      </c>
      <c r="AK152" s="255">
        <f t="shared" si="273"/>
        <v>184120.75816673844</v>
      </c>
      <c r="AL152" s="255">
        <f t="shared" si="274"/>
        <v>397700.83764015505</v>
      </c>
      <c r="AM152" s="255">
        <f t="shared" si="275"/>
        <v>0</v>
      </c>
      <c r="AN152" s="256">
        <f t="shared" si="276"/>
        <v>0</v>
      </c>
      <c r="AO152" s="261">
        <f t="shared" si="250"/>
        <v>581821.59580689343</v>
      </c>
      <c r="AQ152" s="249">
        <f t="shared" si="277"/>
        <v>0</v>
      </c>
      <c r="AR152" s="151">
        <f t="shared" si="278"/>
        <v>0</v>
      </c>
      <c r="AS152" s="150">
        <f t="shared" si="279"/>
        <v>158343.85202339504</v>
      </c>
      <c r="AT152" s="151">
        <f t="shared" si="280"/>
        <v>25776.906143343385</v>
      </c>
      <c r="AU152" s="150">
        <f t="shared" si="281"/>
        <v>342022.72037053335</v>
      </c>
      <c r="AV152" s="151">
        <f t="shared" si="282"/>
        <v>55678.117269621711</v>
      </c>
      <c r="AW152" s="150">
        <f t="shared" si="283"/>
        <v>0</v>
      </c>
      <c r="AX152" s="151">
        <f t="shared" si="284"/>
        <v>0</v>
      </c>
      <c r="AY152" s="150">
        <f t="shared" si="285"/>
        <v>0</v>
      </c>
      <c r="AZ152" s="256">
        <f t="shared" si="286"/>
        <v>0</v>
      </c>
      <c r="BA152" s="249">
        <f t="shared" si="251"/>
        <v>500366.57239392842</v>
      </c>
      <c r="BB152" s="256">
        <f t="shared" si="252"/>
        <v>81455.023412965093</v>
      </c>
      <c r="BC152" s="35" t="s">
        <v>140</v>
      </c>
    </row>
    <row r="153" spans="2:55" s="35" customFormat="1" x14ac:dyDescent="0.25">
      <c r="B153" s="72" t="s">
        <v>19</v>
      </c>
      <c r="C153" s="72" t="s">
        <v>85</v>
      </c>
      <c r="D153" s="199">
        <v>4</v>
      </c>
      <c r="E153" s="199">
        <v>2</v>
      </c>
      <c r="F153" s="199" t="s">
        <v>270</v>
      </c>
      <c r="G153" s="199">
        <v>7</v>
      </c>
      <c r="H153" s="199"/>
      <c r="I153" s="72" t="str">
        <f t="shared" si="223"/>
        <v>4.2.a.7</v>
      </c>
      <c r="J153" s="72"/>
      <c r="K153" s="35" t="s">
        <v>134</v>
      </c>
      <c r="L153" s="73">
        <f t="shared" ref="L153:L181" si="287">SUM(Q153:V153)/$R$1</f>
        <v>164966.6366910814</v>
      </c>
      <c r="M153" s="308">
        <f t="shared" si="269"/>
        <v>141871.30755433001</v>
      </c>
      <c r="N153" s="309">
        <f t="shared" si="270"/>
        <v>23095.329136751399</v>
      </c>
      <c r="O153" s="306">
        <v>0.86</v>
      </c>
      <c r="P153" s="307">
        <f t="shared" si="271"/>
        <v>0.14000000000000001</v>
      </c>
      <c r="Q153" s="248"/>
      <c r="R153" s="39"/>
      <c r="S153" s="39">
        <f>$AA153*AF153/$AC153*coefobras18</f>
        <v>5443899.010805686</v>
      </c>
      <c r="T153" s="39"/>
      <c r="U153" s="39"/>
      <c r="V153" s="245"/>
      <c r="W153" s="40"/>
      <c r="X153" s="401"/>
      <c r="Y153" s="401"/>
      <c r="Z153" s="401"/>
      <c r="AA153" s="73">
        <v>5361849.9999999991</v>
      </c>
      <c r="AB153" s="35" t="s">
        <v>131</v>
      </c>
      <c r="AC153" s="72">
        <v>5</v>
      </c>
      <c r="AD153" s="72"/>
      <c r="AE153" s="72"/>
      <c r="AF153" s="72">
        <v>5</v>
      </c>
      <c r="AG153" s="72"/>
      <c r="AH153" s="72"/>
      <c r="AI153" s="72"/>
      <c r="AJ153" s="249">
        <f t="shared" si="272"/>
        <v>0</v>
      </c>
      <c r="AK153" s="255">
        <f t="shared" si="273"/>
        <v>164966.6366910814</v>
      </c>
      <c r="AL153" s="255">
        <f t="shared" si="274"/>
        <v>0</v>
      </c>
      <c r="AM153" s="255">
        <f t="shared" si="275"/>
        <v>0</v>
      </c>
      <c r="AN153" s="256">
        <f t="shared" si="276"/>
        <v>0</v>
      </c>
      <c r="AO153" s="261">
        <f t="shared" si="250"/>
        <v>164966.6366910814</v>
      </c>
      <c r="AQ153" s="249">
        <f t="shared" si="277"/>
        <v>0</v>
      </c>
      <c r="AR153" s="151">
        <f t="shared" si="278"/>
        <v>0</v>
      </c>
      <c r="AS153" s="150">
        <f t="shared" si="279"/>
        <v>141871.30755433001</v>
      </c>
      <c r="AT153" s="151">
        <f t="shared" si="280"/>
        <v>23095.329136751399</v>
      </c>
      <c r="AU153" s="150">
        <f t="shared" si="281"/>
        <v>0</v>
      </c>
      <c r="AV153" s="151">
        <f t="shared" si="282"/>
        <v>0</v>
      </c>
      <c r="AW153" s="150">
        <f t="shared" si="283"/>
        <v>0</v>
      </c>
      <c r="AX153" s="151">
        <f t="shared" si="284"/>
        <v>0</v>
      </c>
      <c r="AY153" s="150">
        <f t="shared" si="285"/>
        <v>0</v>
      </c>
      <c r="AZ153" s="256">
        <f t="shared" si="286"/>
        <v>0</v>
      </c>
      <c r="BA153" s="249">
        <f t="shared" si="251"/>
        <v>141871.30755433001</v>
      </c>
      <c r="BB153" s="256">
        <f t="shared" si="252"/>
        <v>23095.329136751399</v>
      </c>
      <c r="BC153" s="35" t="s">
        <v>134</v>
      </c>
    </row>
    <row r="154" spans="2:55" s="35" customFormat="1" x14ac:dyDescent="0.25">
      <c r="B154" s="72" t="s">
        <v>33</v>
      </c>
      <c r="C154" s="72" t="s">
        <v>85</v>
      </c>
      <c r="D154" s="199">
        <v>4</v>
      </c>
      <c r="E154" s="199">
        <v>2</v>
      </c>
      <c r="F154" s="199" t="s">
        <v>270</v>
      </c>
      <c r="G154" s="199">
        <v>8</v>
      </c>
      <c r="H154" s="199"/>
      <c r="I154" s="72" t="str">
        <f t="shared" si="223"/>
        <v>4.2.a.8</v>
      </c>
      <c r="J154" s="72"/>
      <c r="K154" s="35" t="s">
        <v>146</v>
      </c>
      <c r="L154" s="73">
        <f t="shared" si="287"/>
        <v>1444648.8207427831</v>
      </c>
      <c r="M154" s="308">
        <f t="shared" si="269"/>
        <v>1242397.9858387935</v>
      </c>
      <c r="N154" s="309">
        <f t="shared" si="270"/>
        <v>202250.83490398966</v>
      </c>
      <c r="O154" s="306">
        <v>0.86</v>
      </c>
      <c r="P154" s="307">
        <f t="shared" si="271"/>
        <v>0.14000000000000001</v>
      </c>
      <c r="Q154" s="248"/>
      <c r="R154" s="39"/>
      <c r="S154" s="39"/>
      <c r="T154" s="39">
        <f>$AA154*AG154/$AC154*coefobras19</f>
        <v>47673411.084511846</v>
      </c>
      <c r="U154" s="39"/>
      <c r="V154" s="245"/>
      <c r="W154" s="40"/>
      <c r="X154" s="401"/>
      <c r="Y154" s="401"/>
      <c r="Z154" s="401"/>
      <c r="AA154" s="73">
        <v>43476750</v>
      </c>
      <c r="AB154" s="35" t="s">
        <v>141</v>
      </c>
      <c r="AC154" s="72">
        <v>8</v>
      </c>
      <c r="AD154" s="72"/>
      <c r="AE154" s="72"/>
      <c r="AF154" s="72"/>
      <c r="AG154" s="72">
        <v>8</v>
      </c>
      <c r="AH154" s="72"/>
      <c r="AI154" s="72"/>
      <c r="AJ154" s="249">
        <f t="shared" si="272"/>
        <v>0</v>
      </c>
      <c r="AK154" s="255">
        <f t="shared" si="273"/>
        <v>0</v>
      </c>
      <c r="AL154" s="255">
        <f t="shared" si="274"/>
        <v>1444648.8207427831</v>
      </c>
      <c r="AM154" s="255">
        <f t="shared" si="275"/>
        <v>0</v>
      </c>
      <c r="AN154" s="256">
        <f t="shared" si="276"/>
        <v>0</v>
      </c>
      <c r="AO154" s="261">
        <f t="shared" si="250"/>
        <v>1444648.8207427831</v>
      </c>
      <c r="AQ154" s="249">
        <f t="shared" si="277"/>
        <v>0</v>
      </c>
      <c r="AR154" s="151">
        <f t="shared" si="278"/>
        <v>0</v>
      </c>
      <c r="AS154" s="150">
        <f t="shared" si="279"/>
        <v>0</v>
      </c>
      <c r="AT154" s="151">
        <f t="shared" si="280"/>
        <v>0</v>
      </c>
      <c r="AU154" s="150">
        <f t="shared" si="281"/>
        <v>1242397.9858387935</v>
      </c>
      <c r="AV154" s="151">
        <f t="shared" si="282"/>
        <v>202250.83490398966</v>
      </c>
      <c r="AW154" s="150">
        <f t="shared" si="283"/>
        <v>0</v>
      </c>
      <c r="AX154" s="151">
        <f t="shared" si="284"/>
        <v>0</v>
      </c>
      <c r="AY154" s="150">
        <f t="shared" si="285"/>
        <v>0</v>
      </c>
      <c r="AZ154" s="256">
        <f t="shared" si="286"/>
        <v>0</v>
      </c>
      <c r="BA154" s="249">
        <f t="shared" si="251"/>
        <v>1242397.9858387935</v>
      </c>
      <c r="BB154" s="256">
        <f t="shared" si="252"/>
        <v>202250.83490398966</v>
      </c>
      <c r="BC154" s="35" t="s">
        <v>146</v>
      </c>
    </row>
    <row r="155" spans="2:55" s="35" customFormat="1" x14ac:dyDescent="0.25">
      <c r="B155" s="72" t="s">
        <v>19</v>
      </c>
      <c r="C155" s="72" t="s">
        <v>85</v>
      </c>
      <c r="D155" s="199">
        <v>4</v>
      </c>
      <c r="E155" s="199">
        <v>2</v>
      </c>
      <c r="F155" s="199" t="s">
        <v>270</v>
      </c>
      <c r="G155" s="199">
        <v>9</v>
      </c>
      <c r="H155" s="199"/>
      <c r="I155" s="72" t="str">
        <f t="shared" si="223"/>
        <v>4.2.a.9</v>
      </c>
      <c r="J155" s="72"/>
      <c r="K155" s="35" t="s">
        <v>143</v>
      </c>
      <c r="L155" s="73">
        <f t="shared" si="287"/>
        <v>377741.87366936659</v>
      </c>
      <c r="M155" s="308">
        <f t="shared" si="269"/>
        <v>324858.01135565527</v>
      </c>
      <c r="N155" s="309">
        <f t="shared" si="270"/>
        <v>52883.862313711325</v>
      </c>
      <c r="O155" s="306">
        <v>0.86</v>
      </c>
      <c r="P155" s="307">
        <f t="shared" si="271"/>
        <v>0.14000000000000001</v>
      </c>
      <c r="Q155" s="248"/>
      <c r="R155" s="39"/>
      <c r="S155" s="39"/>
      <c r="T155" s="39">
        <f>$AA155*AG155/$AC155*coefobras19</f>
        <v>12465481.831089098</v>
      </c>
      <c r="U155" s="39"/>
      <c r="V155" s="245"/>
      <c r="W155" s="40"/>
      <c r="X155" s="401"/>
      <c r="Y155" s="401"/>
      <c r="Z155" s="401"/>
      <c r="AA155" s="73">
        <v>11368153.124999998</v>
      </c>
      <c r="AB155" s="35" t="s">
        <v>141</v>
      </c>
      <c r="AC155" s="72">
        <v>6</v>
      </c>
      <c r="AD155" s="72"/>
      <c r="AE155" s="72"/>
      <c r="AF155" s="72"/>
      <c r="AG155" s="72">
        <v>6</v>
      </c>
      <c r="AH155" s="72"/>
      <c r="AI155" s="72"/>
      <c r="AJ155" s="249">
        <f t="shared" si="272"/>
        <v>0</v>
      </c>
      <c r="AK155" s="255">
        <f t="shared" si="273"/>
        <v>0</v>
      </c>
      <c r="AL155" s="255">
        <f t="shared" si="274"/>
        <v>377741.87366936659</v>
      </c>
      <c r="AM155" s="255">
        <f t="shared" si="275"/>
        <v>0</v>
      </c>
      <c r="AN155" s="256">
        <f t="shared" si="276"/>
        <v>0</v>
      </c>
      <c r="AO155" s="261">
        <f t="shared" si="250"/>
        <v>377741.87366936659</v>
      </c>
      <c r="AQ155" s="249">
        <f t="shared" si="277"/>
        <v>0</v>
      </c>
      <c r="AR155" s="151">
        <f t="shared" si="278"/>
        <v>0</v>
      </c>
      <c r="AS155" s="150">
        <f t="shared" si="279"/>
        <v>0</v>
      </c>
      <c r="AT155" s="151">
        <f t="shared" si="280"/>
        <v>0</v>
      </c>
      <c r="AU155" s="150">
        <f t="shared" si="281"/>
        <v>324858.01135565527</v>
      </c>
      <c r="AV155" s="151">
        <f t="shared" si="282"/>
        <v>52883.862313711325</v>
      </c>
      <c r="AW155" s="150">
        <f t="shared" si="283"/>
        <v>0</v>
      </c>
      <c r="AX155" s="151">
        <f t="shared" si="284"/>
        <v>0</v>
      </c>
      <c r="AY155" s="150">
        <f t="shared" si="285"/>
        <v>0</v>
      </c>
      <c r="AZ155" s="256">
        <f t="shared" si="286"/>
        <v>0</v>
      </c>
      <c r="BA155" s="249">
        <f t="shared" si="251"/>
        <v>324858.01135565527</v>
      </c>
      <c r="BB155" s="256">
        <f t="shared" si="252"/>
        <v>52883.862313711325</v>
      </c>
      <c r="BC155" s="35" t="s">
        <v>143</v>
      </c>
    </row>
    <row r="156" spans="2:55" s="35" customFormat="1" x14ac:dyDescent="0.25">
      <c r="B156" s="72" t="s">
        <v>19</v>
      </c>
      <c r="C156" s="72" t="s">
        <v>85</v>
      </c>
      <c r="D156" s="199">
        <v>4</v>
      </c>
      <c r="E156" s="199">
        <v>2</v>
      </c>
      <c r="F156" s="199" t="s">
        <v>270</v>
      </c>
      <c r="G156" s="199">
        <v>10</v>
      </c>
      <c r="H156" s="199"/>
      <c r="I156" s="72" t="str">
        <f t="shared" si="223"/>
        <v>4.2.a.10</v>
      </c>
      <c r="J156" s="72"/>
      <c r="K156" s="35" t="s">
        <v>147</v>
      </c>
      <c r="L156" s="73">
        <f t="shared" si="287"/>
        <v>315082.97674723167</v>
      </c>
      <c r="M156" s="308">
        <f t="shared" si="269"/>
        <v>270971.36000261921</v>
      </c>
      <c r="N156" s="309">
        <f t="shared" si="270"/>
        <v>44111.616744612438</v>
      </c>
      <c r="O156" s="306">
        <v>0.86</v>
      </c>
      <c r="P156" s="307">
        <f t="shared" si="271"/>
        <v>0.14000000000000001</v>
      </c>
      <c r="Q156" s="248"/>
      <c r="R156" s="39"/>
      <c r="S156" s="39"/>
      <c r="T156" s="39">
        <f>$AA156*AG156/$AC156*coefobras19</f>
        <v>3968602.378877345</v>
      </c>
      <c r="U156" s="39">
        <f>$AA156*AH156/$AC156*coefobras20</f>
        <v>6429135.8537812997</v>
      </c>
      <c r="V156" s="245"/>
      <c r="W156" s="40"/>
      <c r="X156" s="401"/>
      <c r="Y156" s="401"/>
      <c r="Z156" s="401"/>
      <c r="AA156" s="73">
        <v>9048121.8749999981</v>
      </c>
      <c r="AB156" s="35" t="s">
        <v>141</v>
      </c>
      <c r="AC156" s="72">
        <v>5</v>
      </c>
      <c r="AD156" s="72"/>
      <c r="AE156" s="72"/>
      <c r="AF156" s="72"/>
      <c r="AG156" s="72">
        <v>2</v>
      </c>
      <c r="AH156" s="72">
        <v>3</v>
      </c>
      <c r="AI156" s="72"/>
      <c r="AJ156" s="249">
        <f t="shared" si="272"/>
        <v>0</v>
      </c>
      <c r="AK156" s="255">
        <f t="shared" si="273"/>
        <v>0</v>
      </c>
      <c r="AL156" s="255">
        <f t="shared" si="274"/>
        <v>120260.67814779833</v>
      </c>
      <c r="AM156" s="255">
        <f t="shared" si="275"/>
        <v>194822.29859943333</v>
      </c>
      <c r="AN156" s="256">
        <f t="shared" si="276"/>
        <v>0</v>
      </c>
      <c r="AO156" s="261">
        <f t="shared" si="250"/>
        <v>315082.97674723167</v>
      </c>
      <c r="AQ156" s="249">
        <f t="shared" si="277"/>
        <v>0</v>
      </c>
      <c r="AR156" s="151">
        <f t="shared" si="278"/>
        <v>0</v>
      </c>
      <c r="AS156" s="150">
        <f t="shared" si="279"/>
        <v>0</v>
      </c>
      <c r="AT156" s="151">
        <f t="shared" si="280"/>
        <v>0</v>
      </c>
      <c r="AU156" s="150">
        <f t="shared" si="281"/>
        <v>103424.18320710656</v>
      </c>
      <c r="AV156" s="151">
        <f t="shared" si="282"/>
        <v>16836.494940691769</v>
      </c>
      <c r="AW156" s="150">
        <f t="shared" si="283"/>
        <v>167547.17679551267</v>
      </c>
      <c r="AX156" s="151">
        <f t="shared" si="284"/>
        <v>27275.121803920669</v>
      </c>
      <c r="AY156" s="150">
        <f t="shared" si="285"/>
        <v>0</v>
      </c>
      <c r="AZ156" s="256">
        <f t="shared" si="286"/>
        <v>0</v>
      </c>
      <c r="BA156" s="249">
        <f t="shared" si="251"/>
        <v>270971.36000261921</v>
      </c>
      <c r="BB156" s="256">
        <f t="shared" si="252"/>
        <v>44111.616744612438</v>
      </c>
      <c r="BC156" s="35" t="s">
        <v>147</v>
      </c>
    </row>
    <row r="157" spans="2:55" s="35" customFormat="1" x14ac:dyDescent="0.25">
      <c r="B157" s="72" t="s">
        <v>19</v>
      </c>
      <c r="C157" s="72" t="s">
        <v>85</v>
      </c>
      <c r="D157" s="199">
        <v>4</v>
      </c>
      <c r="E157" s="199">
        <v>2</v>
      </c>
      <c r="F157" s="199" t="s">
        <v>270</v>
      </c>
      <c r="G157" s="199">
        <v>11</v>
      </c>
      <c r="H157" s="199"/>
      <c r="I157" s="72" t="str">
        <f t="shared" si="223"/>
        <v>4.2.a.11</v>
      </c>
      <c r="J157" s="72"/>
      <c r="K157" s="35" t="s">
        <v>168</v>
      </c>
      <c r="L157" s="73">
        <f t="shared" si="287"/>
        <v>697630.13383610523</v>
      </c>
      <c r="M157" s="308">
        <f t="shared" si="269"/>
        <v>599961.9150990505</v>
      </c>
      <c r="N157" s="309">
        <f t="shared" si="270"/>
        <v>97668.218737054747</v>
      </c>
      <c r="O157" s="306">
        <v>0.86</v>
      </c>
      <c r="P157" s="307">
        <f t="shared" si="271"/>
        <v>0.14000000000000001</v>
      </c>
      <c r="Q157" s="248"/>
      <c r="R157" s="39"/>
      <c r="S157" s="39"/>
      <c r="T157" s="39"/>
      <c r="U157" s="39"/>
      <c r="V157" s="245">
        <f>$AA157*AI157/$AC157*coefobras21</f>
        <v>23021794.416591473</v>
      </c>
      <c r="W157" s="40"/>
      <c r="X157" s="401"/>
      <c r="Y157" s="401"/>
      <c r="Z157" s="401"/>
      <c r="AA157" s="73">
        <v>18000000</v>
      </c>
      <c r="AB157" s="35" t="s">
        <v>165</v>
      </c>
      <c r="AC157" s="289">
        <v>6</v>
      </c>
      <c r="AD157" s="72"/>
      <c r="AE157" s="72"/>
      <c r="AF157" s="72"/>
      <c r="AG157" s="72"/>
      <c r="AH157" s="72"/>
      <c r="AI157" s="72">
        <v>6</v>
      </c>
      <c r="AJ157" s="249">
        <f t="shared" si="272"/>
        <v>0</v>
      </c>
      <c r="AK157" s="255">
        <f t="shared" si="273"/>
        <v>0</v>
      </c>
      <c r="AL157" s="255">
        <f t="shared" si="274"/>
        <v>0</v>
      </c>
      <c r="AM157" s="255">
        <f t="shared" si="275"/>
        <v>0</v>
      </c>
      <c r="AN157" s="256">
        <f t="shared" si="276"/>
        <v>697630.13383610523</v>
      </c>
      <c r="AO157" s="261">
        <f t="shared" si="250"/>
        <v>697630.13383610523</v>
      </c>
      <c r="AQ157" s="249">
        <f t="shared" si="277"/>
        <v>0</v>
      </c>
      <c r="AR157" s="151">
        <f t="shared" si="278"/>
        <v>0</v>
      </c>
      <c r="AS157" s="150">
        <f t="shared" si="279"/>
        <v>0</v>
      </c>
      <c r="AT157" s="151">
        <f t="shared" si="280"/>
        <v>0</v>
      </c>
      <c r="AU157" s="150">
        <f t="shared" si="281"/>
        <v>0</v>
      </c>
      <c r="AV157" s="151">
        <f t="shared" si="282"/>
        <v>0</v>
      </c>
      <c r="AW157" s="150">
        <f t="shared" si="283"/>
        <v>0</v>
      </c>
      <c r="AX157" s="151">
        <f t="shared" si="284"/>
        <v>0</v>
      </c>
      <c r="AY157" s="150">
        <f t="shared" si="285"/>
        <v>599961.9150990505</v>
      </c>
      <c r="AZ157" s="256">
        <f t="shared" si="286"/>
        <v>97668.218737054747</v>
      </c>
      <c r="BA157" s="249">
        <f t="shared" si="251"/>
        <v>599961.9150990505</v>
      </c>
      <c r="BB157" s="256">
        <f t="shared" si="252"/>
        <v>97668.218737054747</v>
      </c>
      <c r="BC157" s="35" t="s">
        <v>168</v>
      </c>
    </row>
    <row r="158" spans="2:55" s="35" customFormat="1" x14ac:dyDescent="0.25">
      <c r="B158" s="72" t="s">
        <v>19</v>
      </c>
      <c r="C158" s="72" t="s">
        <v>85</v>
      </c>
      <c r="D158" s="199">
        <v>4</v>
      </c>
      <c r="E158" s="199">
        <v>2</v>
      </c>
      <c r="F158" s="199" t="s">
        <v>270</v>
      </c>
      <c r="G158" s="199">
        <v>12</v>
      </c>
      <c r="H158" s="199"/>
      <c r="I158" s="72" t="str">
        <f t="shared" si="223"/>
        <v>4.2.a.12</v>
      </c>
      <c r="J158" s="72"/>
      <c r="K158" s="35" t="s">
        <v>158</v>
      </c>
      <c r="L158" s="73">
        <f t="shared" si="287"/>
        <v>350680.13747898006</v>
      </c>
      <c r="M158" s="308">
        <f t="shared" si="269"/>
        <v>301584.91823192284</v>
      </c>
      <c r="N158" s="309">
        <f t="shared" si="270"/>
        <v>49095.219247057212</v>
      </c>
      <c r="O158" s="306">
        <v>0.86</v>
      </c>
      <c r="P158" s="307">
        <f t="shared" si="271"/>
        <v>0.14000000000000001</v>
      </c>
      <c r="Q158" s="248"/>
      <c r="R158" s="39"/>
      <c r="S158" s="39"/>
      <c r="T158" s="39"/>
      <c r="U158" s="39">
        <f>$AA158*AH158/$AC158*coefobras20</f>
        <v>11572444.536806341</v>
      </c>
      <c r="V158" s="245"/>
      <c r="W158" s="40"/>
      <c r="X158" s="401"/>
      <c r="Y158" s="401"/>
      <c r="Z158" s="401"/>
      <c r="AA158" s="73">
        <v>9771971.6249999981</v>
      </c>
      <c r="AB158" s="35" t="s">
        <v>126</v>
      </c>
      <c r="AC158" s="72">
        <v>5</v>
      </c>
      <c r="AD158" s="72"/>
      <c r="AE158" s="72"/>
      <c r="AF158" s="72"/>
      <c r="AG158" s="72"/>
      <c r="AH158" s="72">
        <v>5</v>
      </c>
      <c r="AI158" s="72"/>
      <c r="AJ158" s="249">
        <f t="shared" si="272"/>
        <v>0</v>
      </c>
      <c r="AK158" s="255">
        <f t="shared" si="273"/>
        <v>0</v>
      </c>
      <c r="AL158" s="255">
        <f t="shared" si="274"/>
        <v>0</v>
      </c>
      <c r="AM158" s="255">
        <f t="shared" si="275"/>
        <v>350680.13747898006</v>
      </c>
      <c r="AN158" s="256">
        <f t="shared" si="276"/>
        <v>0</v>
      </c>
      <c r="AO158" s="261">
        <f t="shared" si="250"/>
        <v>350680.13747898006</v>
      </c>
      <c r="AQ158" s="249">
        <f t="shared" si="277"/>
        <v>0</v>
      </c>
      <c r="AR158" s="151">
        <f t="shared" si="278"/>
        <v>0</v>
      </c>
      <c r="AS158" s="150">
        <f t="shared" si="279"/>
        <v>0</v>
      </c>
      <c r="AT158" s="151">
        <f t="shared" si="280"/>
        <v>0</v>
      </c>
      <c r="AU158" s="150">
        <f t="shared" si="281"/>
        <v>0</v>
      </c>
      <c r="AV158" s="151">
        <f t="shared" si="282"/>
        <v>0</v>
      </c>
      <c r="AW158" s="150">
        <f t="shared" si="283"/>
        <v>301584.91823192284</v>
      </c>
      <c r="AX158" s="151">
        <f t="shared" si="284"/>
        <v>49095.219247057212</v>
      </c>
      <c r="AY158" s="150">
        <f t="shared" si="285"/>
        <v>0</v>
      </c>
      <c r="AZ158" s="256">
        <f t="shared" si="286"/>
        <v>0</v>
      </c>
      <c r="BA158" s="249">
        <f t="shared" si="251"/>
        <v>301584.91823192284</v>
      </c>
      <c r="BB158" s="256">
        <f t="shared" si="252"/>
        <v>49095.219247057212</v>
      </c>
      <c r="BC158" s="35" t="s">
        <v>158</v>
      </c>
    </row>
    <row r="159" spans="2:55" s="35" customFormat="1" x14ac:dyDescent="0.25">
      <c r="B159" s="72" t="s">
        <v>19</v>
      </c>
      <c r="C159" s="72" t="s">
        <v>85</v>
      </c>
      <c r="D159" s="199">
        <v>4</v>
      </c>
      <c r="E159" s="199">
        <v>2</v>
      </c>
      <c r="F159" s="199" t="s">
        <v>270</v>
      </c>
      <c r="G159" s="199">
        <v>13</v>
      </c>
      <c r="H159" s="199"/>
      <c r="I159" s="72" t="str">
        <f t="shared" si="223"/>
        <v>4.2.a.13</v>
      </c>
      <c r="J159" s="72"/>
      <c r="K159" s="35" t="s">
        <v>155</v>
      </c>
      <c r="L159" s="73">
        <f t="shared" si="287"/>
        <v>440598.12144794932</v>
      </c>
      <c r="M159" s="308">
        <f t="shared" si="269"/>
        <v>378914.38444523641</v>
      </c>
      <c r="N159" s="309">
        <f t="shared" si="270"/>
        <v>61683.737002712907</v>
      </c>
      <c r="O159" s="306">
        <v>0.86</v>
      </c>
      <c r="P159" s="307">
        <f t="shared" si="271"/>
        <v>0.14000000000000001</v>
      </c>
      <c r="Q159" s="248"/>
      <c r="R159" s="39"/>
      <c r="S159" s="39"/>
      <c r="T159" s="39"/>
      <c r="U159" s="39">
        <f>$AA159*AH159/$AC159*coefobras20</f>
        <v>14539738.007782327</v>
      </c>
      <c r="V159" s="245"/>
      <c r="W159" s="40"/>
      <c r="X159" s="401"/>
      <c r="Y159" s="401"/>
      <c r="Z159" s="401"/>
      <c r="AA159" s="73">
        <v>12277605.374999998</v>
      </c>
      <c r="AB159" s="35" t="s">
        <v>126</v>
      </c>
      <c r="AC159" s="72">
        <v>5</v>
      </c>
      <c r="AD159" s="72"/>
      <c r="AE159" s="72"/>
      <c r="AF159" s="72"/>
      <c r="AG159" s="72"/>
      <c r="AH159" s="72">
        <v>5</v>
      </c>
      <c r="AI159" s="72"/>
      <c r="AJ159" s="249">
        <f t="shared" si="272"/>
        <v>0</v>
      </c>
      <c r="AK159" s="255">
        <f t="shared" si="273"/>
        <v>0</v>
      </c>
      <c r="AL159" s="255">
        <f t="shared" si="274"/>
        <v>0</v>
      </c>
      <c r="AM159" s="255">
        <f t="shared" si="275"/>
        <v>440598.12144794932</v>
      </c>
      <c r="AN159" s="256">
        <f t="shared" si="276"/>
        <v>0</v>
      </c>
      <c r="AO159" s="261">
        <f t="shared" si="250"/>
        <v>440598.12144794932</v>
      </c>
      <c r="AQ159" s="249">
        <f t="shared" si="277"/>
        <v>0</v>
      </c>
      <c r="AR159" s="151">
        <f t="shared" si="278"/>
        <v>0</v>
      </c>
      <c r="AS159" s="150">
        <f t="shared" si="279"/>
        <v>0</v>
      </c>
      <c r="AT159" s="151">
        <f t="shared" si="280"/>
        <v>0</v>
      </c>
      <c r="AU159" s="150">
        <f t="shared" si="281"/>
        <v>0</v>
      </c>
      <c r="AV159" s="151">
        <f t="shared" si="282"/>
        <v>0</v>
      </c>
      <c r="AW159" s="150">
        <f t="shared" si="283"/>
        <v>378914.38444523641</v>
      </c>
      <c r="AX159" s="151">
        <f t="shared" si="284"/>
        <v>61683.737002712907</v>
      </c>
      <c r="AY159" s="150">
        <f t="shared" si="285"/>
        <v>0</v>
      </c>
      <c r="AZ159" s="256">
        <f t="shared" si="286"/>
        <v>0</v>
      </c>
      <c r="BA159" s="249">
        <f t="shared" si="251"/>
        <v>378914.38444523641</v>
      </c>
      <c r="BB159" s="256">
        <f t="shared" si="252"/>
        <v>61683.737002712907</v>
      </c>
      <c r="BC159" s="35" t="s">
        <v>155</v>
      </c>
    </row>
    <row r="160" spans="2:55" s="35" customFormat="1" x14ac:dyDescent="0.25">
      <c r="B160" s="72" t="s">
        <v>19</v>
      </c>
      <c r="C160" s="72" t="s">
        <v>85</v>
      </c>
      <c r="D160" s="199">
        <v>4</v>
      </c>
      <c r="E160" s="199">
        <v>2</v>
      </c>
      <c r="F160" s="199" t="s">
        <v>270</v>
      </c>
      <c r="G160" s="199">
        <v>14</v>
      </c>
      <c r="H160" s="199"/>
      <c r="I160" s="72" t="str">
        <f t="shared" si="223"/>
        <v>4.2.a.14</v>
      </c>
      <c r="J160" s="72"/>
      <c r="K160" s="35" t="s">
        <v>157</v>
      </c>
      <c r="L160" s="73">
        <f t="shared" si="287"/>
        <v>233786.75831932001</v>
      </c>
      <c r="M160" s="308">
        <f t="shared" si="269"/>
        <v>201056.6121546152</v>
      </c>
      <c r="N160" s="309">
        <f t="shared" si="270"/>
        <v>32730.146164704805</v>
      </c>
      <c r="O160" s="306">
        <v>0.86</v>
      </c>
      <c r="P160" s="307">
        <f t="shared" si="271"/>
        <v>0.14000000000000001</v>
      </c>
      <c r="Q160" s="248"/>
      <c r="R160" s="39"/>
      <c r="S160" s="39"/>
      <c r="T160" s="39"/>
      <c r="U160" s="39">
        <f>$AA160*AH160/$AC160*coefobras20</f>
        <v>7714963.0245375605</v>
      </c>
      <c r="V160" s="245"/>
      <c r="W160" s="40"/>
      <c r="X160" s="401"/>
      <c r="Y160" s="401"/>
      <c r="Z160" s="401"/>
      <c r="AA160" s="73">
        <v>6514647.7499999991</v>
      </c>
      <c r="AB160" s="35" t="s">
        <v>126</v>
      </c>
      <c r="AC160" s="72">
        <v>5</v>
      </c>
      <c r="AD160" s="72"/>
      <c r="AE160" s="72"/>
      <c r="AF160" s="72"/>
      <c r="AG160" s="72"/>
      <c r="AH160" s="72">
        <v>5</v>
      </c>
      <c r="AI160" s="72"/>
      <c r="AJ160" s="249">
        <f t="shared" si="272"/>
        <v>0</v>
      </c>
      <c r="AK160" s="255">
        <f t="shared" si="273"/>
        <v>0</v>
      </c>
      <c r="AL160" s="255">
        <f t="shared" si="274"/>
        <v>0</v>
      </c>
      <c r="AM160" s="255">
        <f t="shared" si="275"/>
        <v>233786.75831932001</v>
      </c>
      <c r="AN160" s="256">
        <f t="shared" si="276"/>
        <v>0</v>
      </c>
      <c r="AO160" s="261">
        <f t="shared" si="250"/>
        <v>233786.75831932001</v>
      </c>
      <c r="AQ160" s="249">
        <f t="shared" si="277"/>
        <v>0</v>
      </c>
      <c r="AR160" s="151">
        <f t="shared" si="278"/>
        <v>0</v>
      </c>
      <c r="AS160" s="150">
        <f t="shared" si="279"/>
        <v>0</v>
      </c>
      <c r="AT160" s="151">
        <f t="shared" si="280"/>
        <v>0</v>
      </c>
      <c r="AU160" s="150">
        <f t="shared" si="281"/>
        <v>0</v>
      </c>
      <c r="AV160" s="151">
        <f t="shared" si="282"/>
        <v>0</v>
      </c>
      <c r="AW160" s="150">
        <f t="shared" si="283"/>
        <v>201056.6121546152</v>
      </c>
      <c r="AX160" s="151">
        <f t="shared" si="284"/>
        <v>32730.146164704805</v>
      </c>
      <c r="AY160" s="150">
        <f t="shared" si="285"/>
        <v>0</v>
      </c>
      <c r="AZ160" s="256">
        <f t="shared" si="286"/>
        <v>0</v>
      </c>
      <c r="BA160" s="249">
        <f t="shared" si="251"/>
        <v>201056.6121546152</v>
      </c>
      <c r="BB160" s="256">
        <f t="shared" si="252"/>
        <v>32730.146164704805</v>
      </c>
      <c r="BC160" s="35" t="s">
        <v>157</v>
      </c>
    </row>
    <row r="161" spans="2:55" s="46" customFormat="1" x14ac:dyDescent="0.25">
      <c r="B161" s="33"/>
      <c r="C161" s="33"/>
      <c r="D161" s="220">
        <v>4</v>
      </c>
      <c r="E161" s="220">
        <v>3</v>
      </c>
      <c r="F161" s="220">
        <v>0</v>
      </c>
      <c r="G161" s="220">
        <v>0</v>
      </c>
      <c r="H161" s="220">
        <v>0</v>
      </c>
      <c r="I161" s="33" t="str">
        <f t="shared" si="223"/>
        <v>4.3.0.0</v>
      </c>
      <c r="J161" s="33">
        <v>4.3</v>
      </c>
      <c r="K161" s="46" t="s">
        <v>375</v>
      </c>
      <c r="L161" s="47">
        <f t="shared" si="287"/>
        <v>7995441.5717542768</v>
      </c>
      <c r="M161" s="79">
        <f t="shared" ref="M161:V161" si="288">+M162+M176</f>
        <v>6861356.4073585188</v>
      </c>
      <c r="N161" s="236">
        <f t="shared" si="288"/>
        <v>1134085.1643957563</v>
      </c>
      <c r="O161" s="84"/>
      <c r="P161" s="85"/>
      <c r="Q161" s="79">
        <f t="shared" si="288"/>
        <v>0</v>
      </c>
      <c r="R161" s="236">
        <f t="shared" si="288"/>
        <v>0</v>
      </c>
      <c r="S161" s="236">
        <f t="shared" si="288"/>
        <v>23414581.812201072</v>
      </c>
      <c r="T161" s="236">
        <f t="shared" si="288"/>
        <v>33389163.464709684</v>
      </c>
      <c r="U161" s="236">
        <f t="shared" si="288"/>
        <v>100553283.01299357</v>
      </c>
      <c r="V161" s="67">
        <f t="shared" si="288"/>
        <v>106492543.57798682</v>
      </c>
      <c r="W161" s="49"/>
      <c r="X161" s="402"/>
      <c r="Y161" s="402"/>
      <c r="Z161" s="402"/>
      <c r="AA161" s="47"/>
      <c r="AJ161" s="79">
        <f>+AJ162+AJ176</f>
        <v>0</v>
      </c>
      <c r="AK161" s="236">
        <f>+AK162+AK176</f>
        <v>709532.78218791122</v>
      </c>
      <c r="AL161" s="236">
        <f>+AL162+AL176</f>
        <v>1011792.8322639299</v>
      </c>
      <c r="AM161" s="236">
        <f>+AM162+AM176</f>
        <v>3047069.1822119262</v>
      </c>
      <c r="AN161" s="67">
        <f>+AN162+AN176</f>
        <v>3227046.7750905105</v>
      </c>
      <c r="AO161" s="258">
        <f t="shared" si="250"/>
        <v>7995441.5717542768</v>
      </c>
      <c r="AP161" s="139"/>
      <c r="AQ161" s="262">
        <f t="shared" ref="AQ161:AZ161" si="289">+AQ162+AQ176</f>
        <v>0</v>
      </c>
      <c r="AR161" s="133">
        <f t="shared" si="289"/>
        <v>0</v>
      </c>
      <c r="AS161" s="132">
        <f t="shared" si="289"/>
        <v>608891.61125190707</v>
      </c>
      <c r="AT161" s="133">
        <f t="shared" si="289"/>
        <v>100641.17093600413</v>
      </c>
      <c r="AU161" s="132">
        <f t="shared" si="289"/>
        <v>868278.65231342544</v>
      </c>
      <c r="AV161" s="133">
        <f t="shared" si="289"/>
        <v>143514.17995050436</v>
      </c>
      <c r="AW161" s="132">
        <f t="shared" si="289"/>
        <v>2614868.4183864635</v>
      </c>
      <c r="AX161" s="133">
        <f t="shared" si="289"/>
        <v>432200.76382546255</v>
      </c>
      <c r="AY161" s="132">
        <f t="shared" si="289"/>
        <v>2769317.725406725</v>
      </c>
      <c r="AZ161" s="263">
        <f t="shared" si="289"/>
        <v>457729.04968378536</v>
      </c>
      <c r="BA161" s="262">
        <f t="shared" si="251"/>
        <v>6861356.4073585216</v>
      </c>
      <c r="BB161" s="263">
        <f t="shared" si="252"/>
        <v>1134085.1643957563</v>
      </c>
    </row>
    <row r="162" spans="2:55" s="51" customFormat="1" x14ac:dyDescent="0.25">
      <c r="B162" s="34"/>
      <c r="C162" s="34"/>
      <c r="D162" s="221">
        <v>4</v>
      </c>
      <c r="E162" s="221">
        <v>3</v>
      </c>
      <c r="F162" s="221" t="s">
        <v>270</v>
      </c>
      <c r="G162" s="221">
        <v>0</v>
      </c>
      <c r="H162" s="221">
        <v>0</v>
      </c>
      <c r="I162" s="34" t="str">
        <f t="shared" si="223"/>
        <v>4.3.a.0</v>
      </c>
      <c r="J162" s="34"/>
      <c r="K162" s="51" t="s">
        <v>422</v>
      </c>
      <c r="L162" s="45">
        <f t="shared" si="287"/>
        <v>7627357.9630003395</v>
      </c>
      <c r="M162" s="80">
        <f t="shared" ref="M162:V162" si="290">SUM(M163:M175)</f>
        <v>6559527.8481802903</v>
      </c>
      <c r="N162" s="237">
        <f t="shared" si="290"/>
        <v>1067830.1148200475</v>
      </c>
      <c r="O162" s="86"/>
      <c r="P162" s="87"/>
      <c r="Q162" s="80">
        <f t="shared" si="290"/>
        <v>0</v>
      </c>
      <c r="R162" s="237">
        <f t="shared" si="290"/>
        <v>0</v>
      </c>
      <c r="S162" s="237">
        <f t="shared" si="290"/>
        <v>22336652.132701419</v>
      </c>
      <c r="T162" s="237">
        <f t="shared" si="290"/>
        <v>31852037.132027484</v>
      </c>
      <c r="U162" s="237">
        <f t="shared" si="290"/>
        <v>95924143.402464479</v>
      </c>
      <c r="V162" s="75">
        <f t="shared" si="290"/>
        <v>101589980.11181782</v>
      </c>
      <c r="W162" s="53"/>
      <c r="X162" s="400"/>
      <c r="Y162" s="400"/>
      <c r="Z162" s="400"/>
      <c r="AA162" s="45"/>
      <c r="AJ162" s="80">
        <f>SUM(AJ163:AJ175)</f>
        <v>0</v>
      </c>
      <c r="AK162" s="237">
        <f>SUM(AK163:AK175)</f>
        <v>676868.2464454975</v>
      </c>
      <c r="AL162" s="237">
        <f>SUM(AL163:AL175)</f>
        <v>965213.24642507534</v>
      </c>
      <c r="AM162" s="237">
        <f>SUM(AM163:AM175)</f>
        <v>2906792.2243171055</v>
      </c>
      <c r="AN162" s="75">
        <f>SUM(AN163:AN175)</f>
        <v>3078484.2458126619</v>
      </c>
      <c r="AO162" s="259">
        <f t="shared" si="250"/>
        <v>7627357.9630003404</v>
      </c>
      <c r="AP162" s="139"/>
      <c r="AQ162" s="264">
        <f t="shared" ref="AQ162:AZ162" si="291">SUM(AQ163:AQ175)</f>
        <v>0</v>
      </c>
      <c r="AR162" s="135">
        <f t="shared" si="291"/>
        <v>0</v>
      </c>
      <c r="AS162" s="134">
        <f t="shared" si="291"/>
        <v>582106.69194312789</v>
      </c>
      <c r="AT162" s="135">
        <f t="shared" si="291"/>
        <v>94761.554502369661</v>
      </c>
      <c r="AU162" s="134">
        <f t="shared" si="291"/>
        <v>830083.39192556473</v>
      </c>
      <c r="AV162" s="135">
        <f t="shared" si="291"/>
        <v>135129.85449951055</v>
      </c>
      <c r="AW162" s="134">
        <f t="shared" si="291"/>
        <v>2499841.3129127105</v>
      </c>
      <c r="AX162" s="135">
        <f t="shared" si="291"/>
        <v>406950.91140439478</v>
      </c>
      <c r="AY162" s="134">
        <f t="shared" si="291"/>
        <v>2647496.4513988891</v>
      </c>
      <c r="AZ162" s="265">
        <f t="shared" si="291"/>
        <v>430987.79441377264</v>
      </c>
      <c r="BA162" s="264">
        <f t="shared" si="251"/>
        <v>6559527.8481802922</v>
      </c>
      <c r="BB162" s="265">
        <f t="shared" si="252"/>
        <v>1067830.1148200477</v>
      </c>
    </row>
    <row r="163" spans="2:55" s="35" customFormat="1" x14ac:dyDescent="0.25">
      <c r="B163" s="72" t="s">
        <v>34</v>
      </c>
      <c r="C163" s="72" t="s">
        <v>85</v>
      </c>
      <c r="D163" s="199">
        <v>4</v>
      </c>
      <c r="E163" s="199">
        <v>3</v>
      </c>
      <c r="F163" s="199" t="s">
        <v>270</v>
      </c>
      <c r="G163" s="199">
        <v>1</v>
      </c>
      <c r="H163" s="199"/>
      <c r="I163" s="72" t="str">
        <f t="shared" si="223"/>
        <v>4.3.a.1</v>
      </c>
      <c r="J163" s="72"/>
      <c r="K163" s="35" t="s">
        <v>133</v>
      </c>
      <c r="L163" s="73">
        <f t="shared" si="287"/>
        <v>676868.2464454975</v>
      </c>
      <c r="M163" s="308">
        <f t="shared" ref="M163:M175" si="292">+O163*$L163</f>
        <v>582106.69194312789</v>
      </c>
      <c r="N163" s="309">
        <f t="shared" ref="N163:N175" si="293">+P163*$L163</f>
        <v>94761.554502369661</v>
      </c>
      <c r="O163" s="306">
        <v>0.86</v>
      </c>
      <c r="P163" s="307">
        <f t="shared" ref="P163:P175" si="294">1-O163</f>
        <v>0.14000000000000001</v>
      </c>
      <c r="Q163" s="248"/>
      <c r="R163" s="39"/>
      <c r="S163" s="39">
        <f>$AA163*AF163/$AC163*coefobras18</f>
        <v>22336652.132701419</v>
      </c>
      <c r="T163" s="39"/>
      <c r="U163" s="39"/>
      <c r="V163" s="245"/>
      <c r="W163" s="40"/>
      <c r="X163" s="401"/>
      <c r="Y163" s="401"/>
      <c r="Z163" s="401"/>
      <c r="AA163" s="73">
        <v>22000000</v>
      </c>
      <c r="AB163" s="35" t="s">
        <v>131</v>
      </c>
      <c r="AC163" s="72">
        <v>5</v>
      </c>
      <c r="AD163" s="72"/>
      <c r="AE163" s="72"/>
      <c r="AF163" s="72">
        <v>5</v>
      </c>
      <c r="AG163" s="72"/>
      <c r="AH163" s="72"/>
      <c r="AI163" s="72"/>
      <c r="AJ163" s="249">
        <f t="shared" ref="AJ163:AJ175" si="295">+(R163+Q163)/$AJ$1</f>
        <v>0</v>
      </c>
      <c r="AK163" s="255">
        <f t="shared" ref="AK163:AK175" si="296">+S163/$AK$1</f>
        <v>676868.2464454975</v>
      </c>
      <c r="AL163" s="255">
        <f t="shared" ref="AL163:AL175" si="297">+T163/$AL$1</f>
        <v>0</v>
      </c>
      <c r="AM163" s="255">
        <f t="shared" ref="AM163:AM175" si="298">+U163/$AM$1</f>
        <v>0</v>
      </c>
      <c r="AN163" s="256">
        <f t="shared" ref="AN163:AN175" si="299">+V163/$AN$1</f>
        <v>0</v>
      </c>
      <c r="AO163" s="261">
        <f t="shared" si="250"/>
        <v>676868.2464454975</v>
      </c>
      <c r="AQ163" s="249">
        <f t="shared" ref="AQ163:AQ175" si="300">+AJ163*$O163</f>
        <v>0</v>
      </c>
      <c r="AR163" s="151">
        <f t="shared" ref="AR163:AR175" si="301">+AJ163*$P163</f>
        <v>0</v>
      </c>
      <c r="AS163" s="150">
        <f t="shared" ref="AS163:AS175" si="302">+AK163*$O163</f>
        <v>582106.69194312789</v>
      </c>
      <c r="AT163" s="151">
        <f t="shared" ref="AT163:AT175" si="303">+AK163*$P163</f>
        <v>94761.554502369661</v>
      </c>
      <c r="AU163" s="150">
        <f t="shared" ref="AU163:AU175" si="304">+AL163*$O163</f>
        <v>0</v>
      </c>
      <c r="AV163" s="151">
        <f t="shared" ref="AV163:AV175" si="305">+AL163*$P163</f>
        <v>0</v>
      </c>
      <c r="AW163" s="150">
        <f t="shared" ref="AW163:AW175" si="306">+AM163*$O163</f>
        <v>0</v>
      </c>
      <c r="AX163" s="151">
        <f t="shared" ref="AX163:AX175" si="307">+AM163*$P163</f>
        <v>0</v>
      </c>
      <c r="AY163" s="150">
        <f t="shared" ref="AY163:AY175" si="308">+AN163*$O163</f>
        <v>0</v>
      </c>
      <c r="AZ163" s="256">
        <f t="shared" ref="AZ163:AZ175" si="309">+AN163*$P163</f>
        <v>0</v>
      </c>
      <c r="BA163" s="249">
        <f t="shared" si="251"/>
        <v>582106.69194312789</v>
      </c>
      <c r="BB163" s="256">
        <f t="shared" si="252"/>
        <v>94761.554502369661</v>
      </c>
      <c r="BC163" s="35" t="s">
        <v>133</v>
      </c>
    </row>
    <row r="164" spans="2:55" s="35" customFormat="1" x14ac:dyDescent="0.25">
      <c r="B164" s="72" t="s">
        <v>34</v>
      </c>
      <c r="C164" s="72" t="s">
        <v>85</v>
      </c>
      <c r="D164" s="199">
        <v>4</v>
      </c>
      <c r="E164" s="199">
        <v>3</v>
      </c>
      <c r="F164" s="199" t="s">
        <v>270</v>
      </c>
      <c r="G164" s="199">
        <v>2</v>
      </c>
      <c r="H164" s="199"/>
      <c r="I164" s="72" t="str">
        <f t="shared" si="223"/>
        <v>4.3.a.2</v>
      </c>
      <c r="J164" s="72"/>
      <c r="K164" s="35" t="s">
        <v>148</v>
      </c>
      <c r="L164" s="73">
        <f t="shared" si="287"/>
        <v>664561.55105557945</v>
      </c>
      <c r="M164" s="308">
        <f t="shared" si="292"/>
        <v>571522.93390779826</v>
      </c>
      <c r="N164" s="309">
        <f t="shared" si="293"/>
        <v>93038.617147781129</v>
      </c>
      <c r="O164" s="306">
        <v>0.86</v>
      </c>
      <c r="P164" s="307">
        <f t="shared" si="294"/>
        <v>0.14000000000000001</v>
      </c>
      <c r="Q164" s="248"/>
      <c r="R164" s="39"/>
      <c r="S164" s="39"/>
      <c r="T164" s="39">
        <f>$AA164*AG164/$AC164*coefobras19</f>
        <v>21930531.184834123</v>
      </c>
      <c r="U164" s="39"/>
      <c r="V164" s="245"/>
      <c r="W164" s="40"/>
      <c r="X164" s="401"/>
      <c r="Y164" s="401"/>
      <c r="Z164" s="401"/>
      <c r="AA164" s="73">
        <v>20000000</v>
      </c>
      <c r="AB164" s="35" t="s">
        <v>141</v>
      </c>
      <c r="AC164" s="72">
        <v>5</v>
      </c>
      <c r="AD164" s="72"/>
      <c r="AE164" s="72"/>
      <c r="AF164" s="72"/>
      <c r="AG164" s="72">
        <v>5</v>
      </c>
      <c r="AH164" s="72"/>
      <c r="AI164" s="72"/>
      <c r="AJ164" s="249">
        <f t="shared" si="295"/>
        <v>0</v>
      </c>
      <c r="AK164" s="255">
        <f t="shared" si="296"/>
        <v>0</v>
      </c>
      <c r="AL164" s="255">
        <f t="shared" si="297"/>
        <v>664561.55105557945</v>
      </c>
      <c r="AM164" s="255">
        <f t="shared" si="298"/>
        <v>0</v>
      </c>
      <c r="AN164" s="256">
        <f t="shared" si="299"/>
        <v>0</v>
      </c>
      <c r="AO164" s="261">
        <f t="shared" si="250"/>
        <v>664561.55105557945</v>
      </c>
      <c r="AQ164" s="249">
        <f t="shared" si="300"/>
        <v>0</v>
      </c>
      <c r="AR164" s="151">
        <f t="shared" si="301"/>
        <v>0</v>
      </c>
      <c r="AS164" s="150">
        <f t="shared" si="302"/>
        <v>0</v>
      </c>
      <c r="AT164" s="151">
        <f t="shared" si="303"/>
        <v>0</v>
      </c>
      <c r="AU164" s="150">
        <f t="shared" si="304"/>
        <v>571522.93390779826</v>
      </c>
      <c r="AV164" s="151">
        <f t="shared" si="305"/>
        <v>93038.617147781129</v>
      </c>
      <c r="AW164" s="150">
        <f t="shared" si="306"/>
        <v>0</v>
      </c>
      <c r="AX164" s="151">
        <f t="shared" si="307"/>
        <v>0</v>
      </c>
      <c r="AY164" s="150">
        <f t="shared" si="308"/>
        <v>0</v>
      </c>
      <c r="AZ164" s="256">
        <f t="shared" si="309"/>
        <v>0</v>
      </c>
      <c r="BA164" s="249">
        <f t="shared" si="251"/>
        <v>571522.93390779826</v>
      </c>
      <c r="BB164" s="256">
        <f t="shared" si="252"/>
        <v>93038.617147781129</v>
      </c>
      <c r="BC164" s="35" t="s">
        <v>148</v>
      </c>
    </row>
    <row r="165" spans="2:55" s="35" customFormat="1" x14ac:dyDescent="0.25">
      <c r="B165" s="72" t="s">
        <v>34</v>
      </c>
      <c r="C165" s="72" t="s">
        <v>85</v>
      </c>
      <c r="D165" s="199">
        <v>4</v>
      </c>
      <c r="E165" s="199">
        <v>3</v>
      </c>
      <c r="F165" s="199" t="s">
        <v>270</v>
      </c>
      <c r="G165" s="199">
        <v>3</v>
      </c>
      <c r="H165" s="199"/>
      <c r="I165" s="72" t="str">
        <f t="shared" si="223"/>
        <v>4.3.a.3</v>
      </c>
      <c r="J165" s="72"/>
      <c r="K165" s="35" t="s">
        <v>149</v>
      </c>
      <c r="L165" s="73">
        <f t="shared" si="287"/>
        <v>300651.69536949589</v>
      </c>
      <c r="M165" s="308">
        <f t="shared" si="292"/>
        <v>258560.45801776648</v>
      </c>
      <c r="N165" s="309">
        <f t="shared" si="293"/>
        <v>42091.237351729433</v>
      </c>
      <c r="O165" s="306">
        <v>0.86</v>
      </c>
      <c r="P165" s="307">
        <f t="shared" si="294"/>
        <v>0.14000000000000001</v>
      </c>
      <c r="Q165" s="248"/>
      <c r="R165" s="39"/>
      <c r="S165" s="39"/>
      <c r="T165" s="39">
        <f>$AA165*AG165/$AC165*coefobras19</f>
        <v>9921505.9471933637</v>
      </c>
      <c r="U165" s="39"/>
      <c r="V165" s="245"/>
      <c r="W165" s="40"/>
      <c r="X165" s="401"/>
      <c r="Y165" s="401"/>
      <c r="Z165" s="401"/>
      <c r="AA165" s="73">
        <v>9048121.8749999981</v>
      </c>
      <c r="AB165" s="35" t="s">
        <v>141</v>
      </c>
      <c r="AC165" s="72">
        <v>4</v>
      </c>
      <c r="AD165" s="72"/>
      <c r="AE165" s="72"/>
      <c r="AF165" s="72"/>
      <c r="AG165" s="72">
        <v>4</v>
      </c>
      <c r="AH165" s="72"/>
      <c r="AI165" s="72"/>
      <c r="AJ165" s="249">
        <f t="shared" si="295"/>
        <v>0</v>
      </c>
      <c r="AK165" s="255">
        <f t="shared" si="296"/>
        <v>0</v>
      </c>
      <c r="AL165" s="255">
        <f t="shared" si="297"/>
        <v>300651.69536949589</v>
      </c>
      <c r="AM165" s="255">
        <f t="shared" si="298"/>
        <v>0</v>
      </c>
      <c r="AN165" s="256">
        <f t="shared" si="299"/>
        <v>0</v>
      </c>
      <c r="AO165" s="261">
        <f t="shared" si="250"/>
        <v>300651.69536949589</v>
      </c>
      <c r="AQ165" s="249">
        <f t="shared" si="300"/>
        <v>0</v>
      </c>
      <c r="AR165" s="151">
        <f t="shared" si="301"/>
        <v>0</v>
      </c>
      <c r="AS165" s="150">
        <f t="shared" si="302"/>
        <v>0</v>
      </c>
      <c r="AT165" s="151">
        <f t="shared" si="303"/>
        <v>0</v>
      </c>
      <c r="AU165" s="150">
        <f t="shared" si="304"/>
        <v>258560.45801776648</v>
      </c>
      <c r="AV165" s="151">
        <f t="shared" si="305"/>
        <v>42091.237351729433</v>
      </c>
      <c r="AW165" s="150">
        <f t="shared" si="306"/>
        <v>0</v>
      </c>
      <c r="AX165" s="151">
        <f t="shared" si="307"/>
        <v>0</v>
      </c>
      <c r="AY165" s="150">
        <f t="shared" si="308"/>
        <v>0</v>
      </c>
      <c r="AZ165" s="256">
        <f t="shared" si="309"/>
        <v>0</v>
      </c>
      <c r="BA165" s="249">
        <f t="shared" si="251"/>
        <v>258560.45801776648</v>
      </c>
      <c r="BB165" s="256">
        <f t="shared" si="252"/>
        <v>42091.237351729433</v>
      </c>
      <c r="BC165" s="35" t="s">
        <v>149</v>
      </c>
    </row>
    <row r="166" spans="2:55" s="35" customFormat="1" x14ac:dyDescent="0.25">
      <c r="B166" s="72" t="s">
        <v>34</v>
      </c>
      <c r="C166" s="72" t="s">
        <v>85</v>
      </c>
      <c r="D166" s="199">
        <v>4</v>
      </c>
      <c r="E166" s="199">
        <v>3</v>
      </c>
      <c r="F166" s="199" t="s">
        <v>270</v>
      </c>
      <c r="G166" s="199">
        <v>4</v>
      </c>
      <c r="H166" s="199"/>
      <c r="I166" s="72" t="str">
        <f t="shared" si="223"/>
        <v>4.3.a.4</v>
      </c>
      <c r="J166" s="72"/>
      <c r="K166" s="35" t="s">
        <v>150</v>
      </c>
      <c r="L166" s="73">
        <f t="shared" si="287"/>
        <v>717726.47514002596</v>
      </c>
      <c r="M166" s="308">
        <f t="shared" si="292"/>
        <v>617244.76862042234</v>
      </c>
      <c r="N166" s="309">
        <f t="shared" si="293"/>
        <v>100481.70651960364</v>
      </c>
      <c r="O166" s="306">
        <v>0.86</v>
      </c>
      <c r="P166" s="307">
        <f t="shared" si="294"/>
        <v>0.14000000000000001</v>
      </c>
      <c r="Q166" s="248"/>
      <c r="R166" s="39"/>
      <c r="S166" s="39"/>
      <c r="T166" s="39"/>
      <c r="U166" s="39">
        <f>$AA166*AH166/$AC166*coefobras20</f>
        <v>23684973.679620858</v>
      </c>
      <c r="V166" s="245"/>
      <c r="W166" s="40"/>
      <c r="X166" s="401"/>
      <c r="Y166" s="401"/>
      <c r="Z166" s="401"/>
      <c r="AA166" s="73">
        <v>20000000</v>
      </c>
      <c r="AB166" s="35" t="s">
        <v>126</v>
      </c>
      <c r="AC166" s="72">
        <v>5</v>
      </c>
      <c r="AD166" s="72"/>
      <c r="AE166" s="72"/>
      <c r="AF166" s="72"/>
      <c r="AG166" s="72"/>
      <c r="AH166" s="72">
        <v>5</v>
      </c>
      <c r="AI166" s="72"/>
      <c r="AJ166" s="249">
        <f t="shared" si="295"/>
        <v>0</v>
      </c>
      <c r="AK166" s="255">
        <f t="shared" si="296"/>
        <v>0</v>
      </c>
      <c r="AL166" s="255">
        <f t="shared" si="297"/>
        <v>0</v>
      </c>
      <c r="AM166" s="255">
        <f t="shared" si="298"/>
        <v>717726.47514002596</v>
      </c>
      <c r="AN166" s="256">
        <f t="shared" si="299"/>
        <v>0</v>
      </c>
      <c r="AO166" s="261">
        <f t="shared" si="250"/>
        <v>717726.47514002596</v>
      </c>
      <c r="AQ166" s="249">
        <f t="shared" si="300"/>
        <v>0</v>
      </c>
      <c r="AR166" s="151">
        <f t="shared" si="301"/>
        <v>0</v>
      </c>
      <c r="AS166" s="150">
        <f t="shared" si="302"/>
        <v>0</v>
      </c>
      <c r="AT166" s="151">
        <f t="shared" si="303"/>
        <v>0</v>
      </c>
      <c r="AU166" s="150">
        <f t="shared" si="304"/>
        <v>0</v>
      </c>
      <c r="AV166" s="151">
        <f t="shared" si="305"/>
        <v>0</v>
      </c>
      <c r="AW166" s="150">
        <f t="shared" si="306"/>
        <v>617244.76862042234</v>
      </c>
      <c r="AX166" s="151">
        <f t="shared" si="307"/>
        <v>100481.70651960364</v>
      </c>
      <c r="AY166" s="150">
        <f t="shared" si="308"/>
        <v>0</v>
      </c>
      <c r="AZ166" s="256">
        <f t="shared" si="309"/>
        <v>0</v>
      </c>
      <c r="BA166" s="249">
        <f t="shared" si="251"/>
        <v>617244.76862042234</v>
      </c>
      <c r="BB166" s="256">
        <f t="shared" si="252"/>
        <v>100481.70651960364</v>
      </c>
      <c r="BC166" s="35" t="s">
        <v>150</v>
      </c>
    </row>
    <row r="167" spans="2:55" s="35" customFormat="1" x14ac:dyDescent="0.25">
      <c r="B167" s="72" t="s">
        <v>34</v>
      </c>
      <c r="C167" s="72" t="s">
        <v>85</v>
      </c>
      <c r="D167" s="199">
        <v>4</v>
      </c>
      <c r="E167" s="199">
        <v>3</v>
      </c>
      <c r="F167" s="199" t="s">
        <v>270</v>
      </c>
      <c r="G167" s="199">
        <v>5</v>
      </c>
      <c r="H167" s="199"/>
      <c r="I167" s="72" t="str">
        <f t="shared" si="223"/>
        <v>4.3.a.5</v>
      </c>
      <c r="J167" s="72"/>
      <c r="K167" s="35" t="s">
        <v>151</v>
      </c>
      <c r="L167" s="73">
        <f t="shared" si="287"/>
        <v>394749.56132701429</v>
      </c>
      <c r="M167" s="308">
        <f t="shared" si="292"/>
        <v>339484.62274123228</v>
      </c>
      <c r="N167" s="309">
        <f t="shared" si="293"/>
        <v>55264.938585782009</v>
      </c>
      <c r="O167" s="306">
        <v>0.86</v>
      </c>
      <c r="P167" s="307">
        <f t="shared" si="294"/>
        <v>0.14000000000000001</v>
      </c>
      <c r="Q167" s="248"/>
      <c r="R167" s="39"/>
      <c r="S167" s="39"/>
      <c r="T167" s="39"/>
      <c r="U167" s="39">
        <f>$AA167*AH167/$AC167*coefobras20</f>
        <v>13026735.523791471</v>
      </c>
      <c r="V167" s="245"/>
      <c r="W167" s="40"/>
      <c r="X167" s="401"/>
      <c r="Y167" s="401"/>
      <c r="Z167" s="401"/>
      <c r="AA167" s="73">
        <v>11000000</v>
      </c>
      <c r="AB167" s="35" t="s">
        <v>126</v>
      </c>
      <c r="AC167" s="72">
        <v>4</v>
      </c>
      <c r="AD167" s="72"/>
      <c r="AE167" s="72"/>
      <c r="AF167" s="72"/>
      <c r="AG167" s="72"/>
      <c r="AH167" s="72">
        <v>4</v>
      </c>
      <c r="AI167" s="72"/>
      <c r="AJ167" s="249">
        <f t="shared" si="295"/>
        <v>0</v>
      </c>
      <c r="AK167" s="255">
        <f t="shared" si="296"/>
        <v>0</v>
      </c>
      <c r="AL167" s="255">
        <f t="shared" si="297"/>
        <v>0</v>
      </c>
      <c r="AM167" s="255">
        <f t="shared" si="298"/>
        <v>394749.56132701429</v>
      </c>
      <c r="AN167" s="256">
        <f t="shared" si="299"/>
        <v>0</v>
      </c>
      <c r="AO167" s="261">
        <f t="shared" si="250"/>
        <v>394749.56132701429</v>
      </c>
      <c r="AQ167" s="249">
        <f t="shared" si="300"/>
        <v>0</v>
      </c>
      <c r="AR167" s="151">
        <f t="shared" si="301"/>
        <v>0</v>
      </c>
      <c r="AS167" s="150">
        <f t="shared" si="302"/>
        <v>0</v>
      </c>
      <c r="AT167" s="151">
        <f t="shared" si="303"/>
        <v>0</v>
      </c>
      <c r="AU167" s="150">
        <f t="shared" si="304"/>
        <v>0</v>
      </c>
      <c r="AV167" s="151">
        <f t="shared" si="305"/>
        <v>0</v>
      </c>
      <c r="AW167" s="150">
        <f t="shared" si="306"/>
        <v>339484.62274123228</v>
      </c>
      <c r="AX167" s="151">
        <f t="shared" si="307"/>
        <v>55264.938585782009</v>
      </c>
      <c r="AY167" s="150">
        <f t="shared" si="308"/>
        <v>0</v>
      </c>
      <c r="AZ167" s="256">
        <f t="shared" si="309"/>
        <v>0</v>
      </c>
      <c r="BA167" s="249">
        <f t="shared" si="251"/>
        <v>339484.62274123228</v>
      </c>
      <c r="BB167" s="256">
        <f t="shared" si="252"/>
        <v>55264.938585782009</v>
      </c>
      <c r="BC167" s="35" t="s">
        <v>151</v>
      </c>
    </row>
    <row r="168" spans="2:55" s="35" customFormat="1" x14ac:dyDescent="0.25">
      <c r="B168" s="72" t="s">
        <v>34</v>
      </c>
      <c r="C168" s="72" t="s">
        <v>85</v>
      </c>
      <c r="D168" s="199">
        <v>4</v>
      </c>
      <c r="E168" s="199">
        <v>3</v>
      </c>
      <c r="F168" s="199" t="s">
        <v>270</v>
      </c>
      <c r="G168" s="199">
        <v>6</v>
      </c>
      <c r="H168" s="199"/>
      <c r="I168" s="72" t="str">
        <f t="shared" si="223"/>
        <v>4.3.a.6</v>
      </c>
      <c r="J168" s="72"/>
      <c r="K168" s="35" t="s">
        <v>152</v>
      </c>
      <c r="L168" s="73">
        <f t="shared" si="287"/>
        <v>897158.09392503253</v>
      </c>
      <c r="M168" s="308">
        <f t="shared" si="292"/>
        <v>771555.96077552799</v>
      </c>
      <c r="N168" s="309">
        <f t="shared" si="293"/>
        <v>125602.13314950456</v>
      </c>
      <c r="O168" s="306">
        <v>0.86</v>
      </c>
      <c r="P168" s="307">
        <f t="shared" si="294"/>
        <v>0.14000000000000001</v>
      </c>
      <c r="Q168" s="248"/>
      <c r="R168" s="39"/>
      <c r="S168" s="39"/>
      <c r="T168" s="39"/>
      <c r="U168" s="39">
        <f>$AA168*AH168/$AC168*coefobras20</f>
        <v>29606217.099526074</v>
      </c>
      <c r="V168" s="245"/>
      <c r="W168" s="40"/>
      <c r="X168" s="401"/>
      <c r="Y168" s="401"/>
      <c r="Z168" s="401"/>
      <c r="AA168" s="73">
        <v>25000000</v>
      </c>
      <c r="AB168" s="35" t="s">
        <v>126</v>
      </c>
      <c r="AC168" s="72">
        <v>5</v>
      </c>
      <c r="AD168" s="72"/>
      <c r="AE168" s="72"/>
      <c r="AF168" s="72"/>
      <c r="AG168" s="72"/>
      <c r="AH168" s="72">
        <v>5</v>
      </c>
      <c r="AI168" s="72"/>
      <c r="AJ168" s="249">
        <f t="shared" si="295"/>
        <v>0</v>
      </c>
      <c r="AK168" s="255">
        <f t="shared" si="296"/>
        <v>0</v>
      </c>
      <c r="AL168" s="255">
        <f t="shared" si="297"/>
        <v>0</v>
      </c>
      <c r="AM168" s="255">
        <f t="shared" si="298"/>
        <v>897158.09392503253</v>
      </c>
      <c r="AN168" s="256">
        <f t="shared" si="299"/>
        <v>0</v>
      </c>
      <c r="AO168" s="261">
        <f t="shared" si="250"/>
        <v>897158.09392503253</v>
      </c>
      <c r="AQ168" s="249">
        <f t="shared" si="300"/>
        <v>0</v>
      </c>
      <c r="AR168" s="151">
        <f t="shared" si="301"/>
        <v>0</v>
      </c>
      <c r="AS168" s="150">
        <f t="shared" si="302"/>
        <v>0</v>
      </c>
      <c r="AT168" s="151">
        <f t="shared" si="303"/>
        <v>0</v>
      </c>
      <c r="AU168" s="150">
        <f t="shared" si="304"/>
        <v>0</v>
      </c>
      <c r="AV168" s="151">
        <f t="shared" si="305"/>
        <v>0</v>
      </c>
      <c r="AW168" s="150">
        <f t="shared" si="306"/>
        <v>771555.96077552799</v>
      </c>
      <c r="AX168" s="151">
        <f t="shared" si="307"/>
        <v>125602.13314950456</v>
      </c>
      <c r="AY168" s="150">
        <f t="shared" si="308"/>
        <v>0</v>
      </c>
      <c r="AZ168" s="256">
        <f t="shared" si="309"/>
        <v>0</v>
      </c>
      <c r="BA168" s="249">
        <f t="shared" si="251"/>
        <v>771555.96077552799</v>
      </c>
      <c r="BB168" s="256">
        <f t="shared" si="252"/>
        <v>125602.13314950456</v>
      </c>
      <c r="BC168" s="35" t="s">
        <v>152</v>
      </c>
    </row>
    <row r="169" spans="2:55" s="35" customFormat="1" x14ac:dyDescent="0.25">
      <c r="B169" s="72" t="s">
        <v>34</v>
      </c>
      <c r="C169" s="72" t="s">
        <v>85</v>
      </c>
      <c r="D169" s="199">
        <v>4</v>
      </c>
      <c r="E169" s="199">
        <v>3</v>
      </c>
      <c r="F169" s="199" t="s">
        <v>270</v>
      </c>
      <c r="G169" s="199">
        <v>7</v>
      </c>
      <c r="H169" s="199"/>
      <c r="I169" s="72" t="str">
        <f t="shared" si="223"/>
        <v>4.3.a.7</v>
      </c>
      <c r="J169" s="72"/>
      <c r="K169" s="35" t="s">
        <v>153</v>
      </c>
      <c r="L169" s="73">
        <f t="shared" si="287"/>
        <v>897158.09392503253</v>
      </c>
      <c r="M169" s="308">
        <f t="shared" si="292"/>
        <v>771555.96077552799</v>
      </c>
      <c r="N169" s="309">
        <f t="shared" si="293"/>
        <v>125602.13314950456</v>
      </c>
      <c r="O169" s="306">
        <v>0.86</v>
      </c>
      <c r="P169" s="307">
        <f t="shared" si="294"/>
        <v>0.14000000000000001</v>
      </c>
      <c r="Q169" s="248"/>
      <c r="R169" s="39"/>
      <c r="S169" s="39"/>
      <c r="T169" s="39"/>
      <c r="U169" s="39">
        <f>$AA169*AH169/$AC169*coefobras20</f>
        <v>29606217.099526074</v>
      </c>
      <c r="V169" s="245"/>
      <c r="W169" s="40"/>
      <c r="X169" s="401"/>
      <c r="Y169" s="401"/>
      <c r="Z169" s="401"/>
      <c r="AA169" s="73">
        <v>25000000</v>
      </c>
      <c r="AB169" s="35" t="s">
        <v>126</v>
      </c>
      <c r="AC169" s="72">
        <v>5</v>
      </c>
      <c r="AD169" s="72"/>
      <c r="AE169" s="72"/>
      <c r="AF169" s="72"/>
      <c r="AG169" s="72"/>
      <c r="AH169" s="72">
        <v>5</v>
      </c>
      <c r="AI169" s="72"/>
      <c r="AJ169" s="249">
        <f t="shared" si="295"/>
        <v>0</v>
      </c>
      <c r="AK169" s="255">
        <f t="shared" si="296"/>
        <v>0</v>
      </c>
      <c r="AL169" s="255">
        <f t="shared" si="297"/>
        <v>0</v>
      </c>
      <c r="AM169" s="255">
        <f t="shared" si="298"/>
        <v>897158.09392503253</v>
      </c>
      <c r="AN169" s="256">
        <f t="shared" si="299"/>
        <v>0</v>
      </c>
      <c r="AO169" s="261">
        <f t="shared" si="250"/>
        <v>897158.09392503253</v>
      </c>
      <c r="AQ169" s="249">
        <f t="shared" si="300"/>
        <v>0</v>
      </c>
      <c r="AR169" s="151">
        <f t="shared" si="301"/>
        <v>0</v>
      </c>
      <c r="AS169" s="150">
        <f t="shared" si="302"/>
        <v>0</v>
      </c>
      <c r="AT169" s="151">
        <f t="shared" si="303"/>
        <v>0</v>
      </c>
      <c r="AU169" s="150">
        <f t="shared" si="304"/>
        <v>0</v>
      </c>
      <c r="AV169" s="151">
        <f t="shared" si="305"/>
        <v>0</v>
      </c>
      <c r="AW169" s="150">
        <f t="shared" si="306"/>
        <v>771555.96077552799</v>
      </c>
      <c r="AX169" s="151">
        <f t="shared" si="307"/>
        <v>125602.13314950456</v>
      </c>
      <c r="AY169" s="150">
        <f t="shared" si="308"/>
        <v>0</v>
      </c>
      <c r="AZ169" s="256">
        <f t="shared" si="309"/>
        <v>0</v>
      </c>
      <c r="BA169" s="249">
        <f t="shared" si="251"/>
        <v>771555.96077552799</v>
      </c>
      <c r="BB169" s="256">
        <f t="shared" si="252"/>
        <v>125602.13314950456</v>
      </c>
      <c r="BC169" s="35" t="s">
        <v>153</v>
      </c>
    </row>
    <row r="170" spans="2:55" s="35" customFormat="1" x14ac:dyDescent="0.25">
      <c r="B170" s="72" t="s">
        <v>34</v>
      </c>
      <c r="C170" s="72" t="s">
        <v>85</v>
      </c>
      <c r="D170" s="199">
        <v>4</v>
      </c>
      <c r="E170" s="199">
        <v>3</v>
      </c>
      <c r="F170" s="199" t="s">
        <v>270</v>
      </c>
      <c r="G170" s="199">
        <v>8</v>
      </c>
      <c r="H170" s="199"/>
      <c r="I170" s="72" t="str">
        <f t="shared" si="223"/>
        <v>4.3.a.8</v>
      </c>
      <c r="J170" s="72"/>
      <c r="K170" s="35" t="s">
        <v>161</v>
      </c>
      <c r="L170" s="73">
        <f t="shared" si="287"/>
        <v>775144.59315122815</v>
      </c>
      <c r="M170" s="308">
        <f t="shared" si="292"/>
        <v>666624.35011005623</v>
      </c>
      <c r="N170" s="309">
        <f t="shared" si="293"/>
        <v>108520.24304117195</v>
      </c>
      <c r="O170" s="306">
        <v>0.86</v>
      </c>
      <c r="P170" s="307">
        <f t="shared" si="294"/>
        <v>0.14000000000000001</v>
      </c>
      <c r="Q170" s="248"/>
      <c r="R170" s="39"/>
      <c r="S170" s="39"/>
      <c r="T170" s="39"/>
      <c r="U170" s="39"/>
      <c r="V170" s="245">
        <f t="shared" ref="V170:V175" si="310">$AA170*AI170/$AC170*coefobras21</f>
        <v>25579771.573990528</v>
      </c>
      <c r="W170" s="40"/>
      <c r="X170" s="401"/>
      <c r="Y170" s="401"/>
      <c r="Z170" s="401"/>
      <c r="AA170" s="73">
        <v>20000000</v>
      </c>
      <c r="AB170" s="35" t="s">
        <v>160</v>
      </c>
      <c r="AC170" s="72">
        <v>5</v>
      </c>
      <c r="AD170" s="72"/>
      <c r="AE170" s="72"/>
      <c r="AF170" s="72"/>
      <c r="AG170" s="72"/>
      <c r="AH170" s="72"/>
      <c r="AI170" s="72">
        <v>5</v>
      </c>
      <c r="AJ170" s="249">
        <f t="shared" si="295"/>
        <v>0</v>
      </c>
      <c r="AK170" s="255">
        <f t="shared" si="296"/>
        <v>0</v>
      </c>
      <c r="AL170" s="255">
        <f t="shared" si="297"/>
        <v>0</v>
      </c>
      <c r="AM170" s="255">
        <f t="shared" si="298"/>
        <v>0</v>
      </c>
      <c r="AN170" s="256">
        <f t="shared" si="299"/>
        <v>775144.59315122815</v>
      </c>
      <c r="AO170" s="261">
        <f t="shared" si="250"/>
        <v>775144.59315122815</v>
      </c>
      <c r="AQ170" s="249">
        <f t="shared" si="300"/>
        <v>0</v>
      </c>
      <c r="AR170" s="151">
        <f t="shared" si="301"/>
        <v>0</v>
      </c>
      <c r="AS170" s="150">
        <f t="shared" si="302"/>
        <v>0</v>
      </c>
      <c r="AT170" s="151">
        <f t="shared" si="303"/>
        <v>0</v>
      </c>
      <c r="AU170" s="150">
        <f t="shared" si="304"/>
        <v>0</v>
      </c>
      <c r="AV170" s="151">
        <f t="shared" si="305"/>
        <v>0</v>
      </c>
      <c r="AW170" s="150">
        <f t="shared" si="306"/>
        <v>0</v>
      </c>
      <c r="AX170" s="151">
        <f t="shared" si="307"/>
        <v>0</v>
      </c>
      <c r="AY170" s="150">
        <f t="shared" si="308"/>
        <v>666624.35011005623</v>
      </c>
      <c r="AZ170" s="256">
        <f t="shared" si="309"/>
        <v>108520.24304117195</v>
      </c>
      <c r="BA170" s="249">
        <f t="shared" si="251"/>
        <v>666624.35011005623</v>
      </c>
      <c r="BB170" s="256">
        <f t="shared" si="252"/>
        <v>108520.24304117195</v>
      </c>
      <c r="BC170" s="35" t="s">
        <v>161</v>
      </c>
    </row>
    <row r="171" spans="2:55" s="35" customFormat="1" x14ac:dyDescent="0.25">
      <c r="B171" s="72" t="s">
        <v>34</v>
      </c>
      <c r="C171" s="72" t="s">
        <v>85</v>
      </c>
      <c r="D171" s="199">
        <v>4</v>
      </c>
      <c r="E171" s="199">
        <v>3</v>
      </c>
      <c r="F171" s="199" t="s">
        <v>270</v>
      </c>
      <c r="G171" s="199">
        <v>9</v>
      </c>
      <c r="H171" s="199"/>
      <c r="I171" s="72" t="str">
        <f t="shared" si="223"/>
        <v>4.3.a.9</v>
      </c>
      <c r="J171" s="72"/>
      <c r="K171" s="35" t="s">
        <v>162</v>
      </c>
      <c r="L171" s="73">
        <f t="shared" si="287"/>
        <v>484465.37071951758</v>
      </c>
      <c r="M171" s="308">
        <f t="shared" si="292"/>
        <v>416640.2188187851</v>
      </c>
      <c r="N171" s="309">
        <f t="shared" si="293"/>
        <v>67825.151900732468</v>
      </c>
      <c r="O171" s="306">
        <v>0.86</v>
      </c>
      <c r="P171" s="307">
        <f t="shared" si="294"/>
        <v>0.14000000000000001</v>
      </c>
      <c r="Q171" s="248"/>
      <c r="R171" s="39"/>
      <c r="S171" s="39"/>
      <c r="T171" s="39"/>
      <c r="U171" s="39"/>
      <c r="V171" s="245">
        <f t="shared" si="310"/>
        <v>15987357.233744079</v>
      </c>
      <c r="W171" s="40"/>
      <c r="X171" s="401"/>
      <c r="Y171" s="401"/>
      <c r="Z171" s="401"/>
      <c r="AA171" s="73">
        <v>12500000</v>
      </c>
      <c r="AB171" s="35" t="s">
        <v>160</v>
      </c>
      <c r="AC171" s="72">
        <v>5</v>
      </c>
      <c r="AD171" s="72"/>
      <c r="AE171" s="72"/>
      <c r="AF171" s="72"/>
      <c r="AG171" s="72"/>
      <c r="AH171" s="72"/>
      <c r="AI171" s="72">
        <v>5</v>
      </c>
      <c r="AJ171" s="249">
        <f t="shared" si="295"/>
        <v>0</v>
      </c>
      <c r="AK171" s="255">
        <f t="shared" si="296"/>
        <v>0</v>
      </c>
      <c r="AL171" s="255">
        <f t="shared" si="297"/>
        <v>0</v>
      </c>
      <c r="AM171" s="255">
        <f t="shared" si="298"/>
        <v>0</v>
      </c>
      <c r="AN171" s="256">
        <f t="shared" si="299"/>
        <v>484465.37071951758</v>
      </c>
      <c r="AO171" s="261">
        <f t="shared" si="250"/>
        <v>484465.37071951758</v>
      </c>
      <c r="AQ171" s="249">
        <f t="shared" si="300"/>
        <v>0</v>
      </c>
      <c r="AR171" s="151">
        <f t="shared" si="301"/>
        <v>0</v>
      </c>
      <c r="AS171" s="150">
        <f t="shared" si="302"/>
        <v>0</v>
      </c>
      <c r="AT171" s="151">
        <f t="shared" si="303"/>
        <v>0</v>
      </c>
      <c r="AU171" s="150">
        <f t="shared" si="304"/>
        <v>0</v>
      </c>
      <c r="AV171" s="151">
        <f t="shared" si="305"/>
        <v>0</v>
      </c>
      <c r="AW171" s="150">
        <f t="shared" si="306"/>
        <v>0</v>
      </c>
      <c r="AX171" s="151">
        <f t="shared" si="307"/>
        <v>0</v>
      </c>
      <c r="AY171" s="150">
        <f t="shared" si="308"/>
        <v>416640.2188187851</v>
      </c>
      <c r="AZ171" s="256">
        <f t="shared" si="309"/>
        <v>67825.151900732468</v>
      </c>
      <c r="BA171" s="249">
        <f t="shared" si="251"/>
        <v>416640.2188187851</v>
      </c>
      <c r="BB171" s="256">
        <f t="shared" si="252"/>
        <v>67825.151900732468</v>
      </c>
      <c r="BC171" s="35" t="s">
        <v>162</v>
      </c>
    </row>
    <row r="172" spans="2:55" s="35" customFormat="1" x14ac:dyDescent="0.25">
      <c r="B172" s="72" t="s">
        <v>34</v>
      </c>
      <c r="C172" s="72" t="s">
        <v>85</v>
      </c>
      <c r="D172" s="199">
        <v>4</v>
      </c>
      <c r="E172" s="199">
        <v>3</v>
      </c>
      <c r="F172" s="199" t="s">
        <v>270</v>
      </c>
      <c r="G172" s="199">
        <v>10</v>
      </c>
      <c r="H172" s="199"/>
      <c r="I172" s="72" t="str">
        <f t="shared" si="223"/>
        <v>4.3.a.10</v>
      </c>
      <c r="J172" s="72"/>
      <c r="K172" s="35" t="s">
        <v>163</v>
      </c>
      <c r="L172" s="73">
        <f t="shared" si="287"/>
        <v>484465.37071951758</v>
      </c>
      <c r="M172" s="308">
        <f t="shared" si="292"/>
        <v>416640.2188187851</v>
      </c>
      <c r="N172" s="309">
        <f t="shared" si="293"/>
        <v>67825.151900732468</v>
      </c>
      <c r="O172" s="306">
        <v>0.86</v>
      </c>
      <c r="P172" s="307">
        <f t="shared" si="294"/>
        <v>0.14000000000000001</v>
      </c>
      <c r="Q172" s="248"/>
      <c r="R172" s="39"/>
      <c r="S172" s="39"/>
      <c r="T172" s="39"/>
      <c r="U172" s="39"/>
      <c r="V172" s="245">
        <f t="shared" si="310"/>
        <v>15987357.233744079</v>
      </c>
      <c r="W172" s="40"/>
      <c r="X172" s="401"/>
      <c r="Y172" s="401"/>
      <c r="Z172" s="401"/>
      <c r="AA172" s="73">
        <v>12500000</v>
      </c>
      <c r="AB172" s="35" t="s">
        <v>160</v>
      </c>
      <c r="AC172" s="72">
        <v>5</v>
      </c>
      <c r="AD172" s="72"/>
      <c r="AE172" s="72"/>
      <c r="AF172" s="72"/>
      <c r="AG172" s="72"/>
      <c r="AH172" s="72"/>
      <c r="AI172" s="72">
        <v>5</v>
      </c>
      <c r="AJ172" s="249">
        <f t="shared" si="295"/>
        <v>0</v>
      </c>
      <c r="AK172" s="255">
        <f t="shared" si="296"/>
        <v>0</v>
      </c>
      <c r="AL172" s="255">
        <f t="shared" si="297"/>
        <v>0</v>
      </c>
      <c r="AM172" s="255">
        <f t="shared" si="298"/>
        <v>0</v>
      </c>
      <c r="AN172" s="256">
        <f t="shared" si="299"/>
        <v>484465.37071951758</v>
      </c>
      <c r="AO172" s="261">
        <f t="shared" si="250"/>
        <v>484465.37071951758</v>
      </c>
      <c r="AQ172" s="249">
        <f t="shared" si="300"/>
        <v>0</v>
      </c>
      <c r="AR172" s="151">
        <f t="shared" si="301"/>
        <v>0</v>
      </c>
      <c r="AS172" s="150">
        <f t="shared" si="302"/>
        <v>0</v>
      </c>
      <c r="AT172" s="151">
        <f t="shared" si="303"/>
        <v>0</v>
      </c>
      <c r="AU172" s="150">
        <f t="shared" si="304"/>
        <v>0</v>
      </c>
      <c r="AV172" s="151">
        <f t="shared" si="305"/>
        <v>0</v>
      </c>
      <c r="AW172" s="150">
        <f t="shared" si="306"/>
        <v>0</v>
      </c>
      <c r="AX172" s="151">
        <f t="shared" si="307"/>
        <v>0</v>
      </c>
      <c r="AY172" s="150">
        <f t="shared" si="308"/>
        <v>416640.2188187851</v>
      </c>
      <c r="AZ172" s="256">
        <f t="shared" si="309"/>
        <v>67825.151900732468</v>
      </c>
      <c r="BA172" s="249">
        <f t="shared" si="251"/>
        <v>416640.2188187851</v>
      </c>
      <c r="BB172" s="256">
        <f t="shared" si="252"/>
        <v>67825.151900732468</v>
      </c>
      <c r="BC172" s="35" t="s">
        <v>163</v>
      </c>
    </row>
    <row r="173" spans="2:55" s="35" customFormat="1" x14ac:dyDescent="0.25">
      <c r="B173" s="72" t="s">
        <v>34</v>
      </c>
      <c r="C173" s="72" t="s">
        <v>85</v>
      </c>
      <c r="D173" s="199">
        <v>4</v>
      </c>
      <c r="E173" s="199">
        <v>3</v>
      </c>
      <c r="F173" s="199" t="s">
        <v>270</v>
      </c>
      <c r="G173" s="199">
        <v>11</v>
      </c>
      <c r="H173" s="199"/>
      <c r="I173" s="72" t="str">
        <f t="shared" si="223"/>
        <v>4.3.a.11</v>
      </c>
      <c r="J173" s="72"/>
      <c r="K173" s="35" t="s">
        <v>164</v>
      </c>
      <c r="L173" s="73">
        <f t="shared" si="287"/>
        <v>316723.07840661553</v>
      </c>
      <c r="M173" s="308">
        <f t="shared" si="292"/>
        <v>272381.84742968937</v>
      </c>
      <c r="N173" s="309">
        <f t="shared" si="293"/>
        <v>44341.230976926177</v>
      </c>
      <c r="O173" s="306">
        <v>0.86</v>
      </c>
      <c r="P173" s="307">
        <f t="shared" si="294"/>
        <v>0.14000000000000001</v>
      </c>
      <c r="Q173" s="248"/>
      <c r="R173" s="39"/>
      <c r="S173" s="39"/>
      <c r="T173" s="39"/>
      <c r="U173" s="39"/>
      <c r="V173" s="245">
        <f t="shared" si="310"/>
        <v>10451861.587418312</v>
      </c>
      <c r="W173" s="40"/>
      <c r="X173" s="401"/>
      <c r="Y173" s="401"/>
      <c r="Z173" s="401"/>
      <c r="AA173" s="73">
        <v>8171974.1376</v>
      </c>
      <c r="AB173" s="35" t="s">
        <v>165</v>
      </c>
      <c r="AC173" s="72">
        <v>4</v>
      </c>
      <c r="AD173" s="72"/>
      <c r="AE173" s="72"/>
      <c r="AF173" s="72"/>
      <c r="AG173" s="72"/>
      <c r="AH173" s="72"/>
      <c r="AI173" s="72">
        <v>4</v>
      </c>
      <c r="AJ173" s="249">
        <f t="shared" si="295"/>
        <v>0</v>
      </c>
      <c r="AK173" s="255">
        <f t="shared" si="296"/>
        <v>0</v>
      </c>
      <c r="AL173" s="255">
        <f t="shared" si="297"/>
        <v>0</v>
      </c>
      <c r="AM173" s="255">
        <f t="shared" si="298"/>
        <v>0</v>
      </c>
      <c r="AN173" s="256">
        <f t="shared" si="299"/>
        <v>316723.07840661553</v>
      </c>
      <c r="AO173" s="261">
        <f t="shared" si="250"/>
        <v>316723.07840661553</v>
      </c>
      <c r="AQ173" s="249">
        <f t="shared" si="300"/>
        <v>0</v>
      </c>
      <c r="AR173" s="151">
        <f t="shared" si="301"/>
        <v>0</v>
      </c>
      <c r="AS173" s="150">
        <f t="shared" si="302"/>
        <v>0</v>
      </c>
      <c r="AT173" s="151">
        <f t="shared" si="303"/>
        <v>0</v>
      </c>
      <c r="AU173" s="150">
        <f t="shared" si="304"/>
        <v>0</v>
      </c>
      <c r="AV173" s="151">
        <f t="shared" si="305"/>
        <v>0</v>
      </c>
      <c r="AW173" s="150">
        <f t="shared" si="306"/>
        <v>0</v>
      </c>
      <c r="AX173" s="151">
        <f t="shared" si="307"/>
        <v>0</v>
      </c>
      <c r="AY173" s="150">
        <f t="shared" si="308"/>
        <v>272381.84742968937</v>
      </c>
      <c r="AZ173" s="256">
        <f t="shared" si="309"/>
        <v>44341.230976926177</v>
      </c>
      <c r="BA173" s="249">
        <f t="shared" si="251"/>
        <v>272381.84742968937</v>
      </c>
      <c r="BB173" s="256">
        <f t="shared" si="252"/>
        <v>44341.230976926177</v>
      </c>
      <c r="BC173" s="35" t="s">
        <v>164</v>
      </c>
    </row>
    <row r="174" spans="2:55" s="35" customFormat="1" x14ac:dyDescent="0.25">
      <c r="B174" s="72" t="s">
        <v>34</v>
      </c>
      <c r="C174" s="72" t="s">
        <v>85</v>
      </c>
      <c r="D174" s="199">
        <v>4</v>
      </c>
      <c r="E174" s="199">
        <v>3</v>
      </c>
      <c r="F174" s="199" t="s">
        <v>270</v>
      </c>
      <c r="G174" s="199">
        <v>12</v>
      </c>
      <c r="H174" s="199"/>
      <c r="I174" s="72" t="str">
        <f t="shared" si="223"/>
        <v>4.3.a.12</v>
      </c>
      <c r="J174" s="72"/>
      <c r="K174" s="35" t="s">
        <v>166</v>
      </c>
      <c r="L174" s="73">
        <f t="shared" si="287"/>
        <v>475084.61760992318</v>
      </c>
      <c r="M174" s="308">
        <f t="shared" si="292"/>
        <v>408572.77114453394</v>
      </c>
      <c r="N174" s="309">
        <f t="shared" si="293"/>
        <v>66511.846465389259</v>
      </c>
      <c r="O174" s="306">
        <v>0.86</v>
      </c>
      <c r="P174" s="307">
        <f t="shared" si="294"/>
        <v>0.14000000000000001</v>
      </c>
      <c r="Q174" s="248"/>
      <c r="R174" s="39"/>
      <c r="S174" s="39"/>
      <c r="T174" s="39"/>
      <c r="U174" s="39"/>
      <c r="V174" s="245">
        <f t="shared" si="310"/>
        <v>15677792.381127466</v>
      </c>
      <c r="W174" s="40"/>
      <c r="X174" s="401"/>
      <c r="Y174" s="401"/>
      <c r="Z174" s="401"/>
      <c r="AA174" s="73">
        <v>12257961.2064</v>
      </c>
      <c r="AB174" s="35" t="s">
        <v>165</v>
      </c>
      <c r="AC174" s="72">
        <v>5</v>
      </c>
      <c r="AD174" s="72"/>
      <c r="AE174" s="72"/>
      <c r="AF174" s="72"/>
      <c r="AG174" s="72"/>
      <c r="AH174" s="72"/>
      <c r="AI174" s="72">
        <v>5</v>
      </c>
      <c r="AJ174" s="249">
        <f t="shared" si="295"/>
        <v>0</v>
      </c>
      <c r="AK174" s="255">
        <f t="shared" si="296"/>
        <v>0</v>
      </c>
      <c r="AL174" s="255">
        <f t="shared" si="297"/>
        <v>0</v>
      </c>
      <c r="AM174" s="255">
        <f t="shared" si="298"/>
        <v>0</v>
      </c>
      <c r="AN174" s="256">
        <f t="shared" si="299"/>
        <v>475084.61760992318</v>
      </c>
      <c r="AO174" s="261">
        <f t="shared" si="250"/>
        <v>475084.61760992318</v>
      </c>
      <c r="AQ174" s="249">
        <f t="shared" si="300"/>
        <v>0</v>
      </c>
      <c r="AR174" s="151">
        <f t="shared" si="301"/>
        <v>0</v>
      </c>
      <c r="AS174" s="150">
        <f t="shared" si="302"/>
        <v>0</v>
      </c>
      <c r="AT174" s="151">
        <f t="shared" si="303"/>
        <v>0</v>
      </c>
      <c r="AU174" s="150">
        <f t="shared" si="304"/>
        <v>0</v>
      </c>
      <c r="AV174" s="151">
        <f t="shared" si="305"/>
        <v>0</v>
      </c>
      <c r="AW174" s="150">
        <f t="shared" si="306"/>
        <v>0</v>
      </c>
      <c r="AX174" s="151">
        <f t="shared" si="307"/>
        <v>0</v>
      </c>
      <c r="AY174" s="150">
        <f t="shared" si="308"/>
        <v>408572.77114453394</v>
      </c>
      <c r="AZ174" s="256">
        <f t="shared" si="309"/>
        <v>66511.846465389259</v>
      </c>
      <c r="BA174" s="249">
        <f t="shared" si="251"/>
        <v>408572.77114453394</v>
      </c>
      <c r="BB174" s="256">
        <f t="shared" si="252"/>
        <v>66511.846465389259</v>
      </c>
      <c r="BC174" s="35" t="s">
        <v>166</v>
      </c>
    </row>
    <row r="175" spans="2:55" s="35" customFormat="1" x14ac:dyDescent="0.25">
      <c r="B175" s="72" t="s">
        <v>34</v>
      </c>
      <c r="C175" s="72" t="s">
        <v>85</v>
      </c>
      <c r="D175" s="199">
        <v>4</v>
      </c>
      <c r="E175" s="199">
        <v>3</v>
      </c>
      <c r="F175" s="199" t="s">
        <v>270</v>
      </c>
      <c r="G175" s="199">
        <v>13</v>
      </c>
      <c r="H175" s="199"/>
      <c r="I175" s="72" t="str">
        <f t="shared" si="223"/>
        <v>4.3.a.13</v>
      </c>
      <c r="J175" s="72"/>
      <c r="K175" s="35" t="s">
        <v>167</v>
      </c>
      <c r="L175" s="73">
        <f t="shared" si="287"/>
        <v>542601.21520585963</v>
      </c>
      <c r="M175" s="308">
        <f t="shared" si="292"/>
        <v>466637.04507703928</v>
      </c>
      <c r="N175" s="309">
        <f t="shared" si="293"/>
        <v>75964.170128820348</v>
      </c>
      <c r="O175" s="306">
        <v>0.86</v>
      </c>
      <c r="P175" s="307">
        <f t="shared" si="294"/>
        <v>0.14000000000000001</v>
      </c>
      <c r="Q175" s="248"/>
      <c r="R175" s="39"/>
      <c r="S175" s="39"/>
      <c r="T175" s="39"/>
      <c r="U175" s="39"/>
      <c r="V175" s="245">
        <f t="shared" si="310"/>
        <v>17905840.101793367</v>
      </c>
      <c r="W175" s="40"/>
      <c r="X175" s="401"/>
      <c r="Y175" s="401"/>
      <c r="Z175" s="401"/>
      <c r="AA175" s="73">
        <v>14000000</v>
      </c>
      <c r="AB175" s="35" t="s">
        <v>165</v>
      </c>
      <c r="AC175" s="72">
        <v>5</v>
      </c>
      <c r="AD175" s="72"/>
      <c r="AE175" s="72"/>
      <c r="AF175" s="72"/>
      <c r="AG175" s="72"/>
      <c r="AH175" s="72"/>
      <c r="AI175" s="72">
        <v>5</v>
      </c>
      <c r="AJ175" s="249">
        <f t="shared" si="295"/>
        <v>0</v>
      </c>
      <c r="AK175" s="255">
        <f t="shared" si="296"/>
        <v>0</v>
      </c>
      <c r="AL175" s="255">
        <f t="shared" si="297"/>
        <v>0</v>
      </c>
      <c r="AM175" s="255">
        <f t="shared" si="298"/>
        <v>0</v>
      </c>
      <c r="AN175" s="256">
        <f t="shared" si="299"/>
        <v>542601.21520585963</v>
      </c>
      <c r="AO175" s="261">
        <f t="shared" si="250"/>
        <v>542601.21520585963</v>
      </c>
      <c r="AQ175" s="249">
        <f t="shared" si="300"/>
        <v>0</v>
      </c>
      <c r="AR175" s="151">
        <f t="shared" si="301"/>
        <v>0</v>
      </c>
      <c r="AS175" s="150">
        <f t="shared" si="302"/>
        <v>0</v>
      </c>
      <c r="AT175" s="151">
        <f t="shared" si="303"/>
        <v>0</v>
      </c>
      <c r="AU175" s="150">
        <f t="shared" si="304"/>
        <v>0</v>
      </c>
      <c r="AV175" s="151">
        <f t="shared" si="305"/>
        <v>0</v>
      </c>
      <c r="AW175" s="150">
        <f t="shared" si="306"/>
        <v>0</v>
      </c>
      <c r="AX175" s="151">
        <f t="shared" si="307"/>
        <v>0</v>
      </c>
      <c r="AY175" s="150">
        <f t="shared" si="308"/>
        <v>466637.04507703928</v>
      </c>
      <c r="AZ175" s="256">
        <f t="shared" si="309"/>
        <v>75964.170128820348</v>
      </c>
      <c r="BA175" s="249">
        <f t="shared" si="251"/>
        <v>466637.04507703928</v>
      </c>
      <c r="BB175" s="256">
        <f t="shared" si="252"/>
        <v>75964.170128820348</v>
      </c>
      <c r="BC175" s="35" t="s">
        <v>167</v>
      </c>
    </row>
    <row r="176" spans="2:55" s="51" customFormat="1" x14ac:dyDescent="0.25">
      <c r="B176" s="34"/>
      <c r="C176" s="34"/>
      <c r="D176" s="221">
        <v>4</v>
      </c>
      <c r="E176" s="221">
        <v>3</v>
      </c>
      <c r="F176" s="221" t="s">
        <v>280</v>
      </c>
      <c r="G176" s="221">
        <v>0</v>
      </c>
      <c r="H176" s="221">
        <v>0</v>
      </c>
      <c r="I176" s="34" t="str">
        <f t="shared" si="223"/>
        <v>4.3.b.0</v>
      </c>
      <c r="J176" s="34"/>
      <c r="K176" s="51" t="s">
        <v>376</v>
      </c>
      <c r="L176" s="45">
        <f t="shared" si="287"/>
        <v>368083.60875393753</v>
      </c>
      <c r="M176" s="80">
        <f t="shared" ref="M176:V176" si="311">SUM(M177:M177)</f>
        <v>301828.55917822878</v>
      </c>
      <c r="N176" s="237">
        <f t="shared" si="311"/>
        <v>66255.049575708777</v>
      </c>
      <c r="O176" s="86"/>
      <c r="P176" s="87"/>
      <c r="Q176" s="80">
        <f t="shared" si="311"/>
        <v>0</v>
      </c>
      <c r="R176" s="237">
        <f t="shared" si="311"/>
        <v>0</v>
      </c>
      <c r="S176" s="237">
        <f t="shared" si="311"/>
        <v>1077929.6794996518</v>
      </c>
      <c r="T176" s="237">
        <f t="shared" si="311"/>
        <v>1537126.3326822009</v>
      </c>
      <c r="U176" s="237">
        <f t="shared" si="311"/>
        <v>4629139.6105290884</v>
      </c>
      <c r="V176" s="75">
        <f t="shared" si="311"/>
        <v>4902563.4661689969</v>
      </c>
      <c r="W176" s="53"/>
      <c r="X176" s="400"/>
      <c r="Y176" s="400"/>
      <c r="Z176" s="400"/>
      <c r="AA176" s="45"/>
      <c r="AJ176" s="80">
        <f>SUM(AJ177:AJ177)</f>
        <v>0</v>
      </c>
      <c r="AK176" s="237">
        <f>SUM(AK177:AK177)</f>
        <v>32664.535742413689</v>
      </c>
      <c r="AL176" s="237">
        <f>SUM(AL177:AL177)</f>
        <v>46579.585838854575</v>
      </c>
      <c r="AM176" s="237">
        <f>SUM(AM177:AM177)</f>
        <v>140276.95789482087</v>
      </c>
      <c r="AN176" s="75">
        <f>SUM(AN177:AN177)</f>
        <v>148562.5292778484</v>
      </c>
      <c r="AO176" s="259">
        <f t="shared" si="250"/>
        <v>368083.60875393753</v>
      </c>
      <c r="AP176" s="139"/>
      <c r="AQ176" s="264">
        <f t="shared" ref="AQ176:AZ176" si="312">SUM(AQ177:AQ177)</f>
        <v>0</v>
      </c>
      <c r="AR176" s="135">
        <f t="shared" si="312"/>
        <v>0</v>
      </c>
      <c r="AS176" s="134">
        <f t="shared" si="312"/>
        <v>26784.919308779223</v>
      </c>
      <c r="AT176" s="135">
        <f t="shared" si="312"/>
        <v>5879.6164336344655</v>
      </c>
      <c r="AU176" s="134">
        <f t="shared" si="312"/>
        <v>38195.260387860748</v>
      </c>
      <c r="AV176" s="135">
        <f t="shared" si="312"/>
        <v>8384.3254509938251</v>
      </c>
      <c r="AW176" s="134">
        <f t="shared" si="312"/>
        <v>115027.10547375311</v>
      </c>
      <c r="AX176" s="135">
        <f t="shared" si="312"/>
        <v>25249.852421067764</v>
      </c>
      <c r="AY176" s="134">
        <f t="shared" si="312"/>
        <v>121821.27400783569</v>
      </c>
      <c r="AZ176" s="265">
        <f t="shared" si="312"/>
        <v>26741.25527001272</v>
      </c>
      <c r="BA176" s="264">
        <f t="shared" si="251"/>
        <v>301828.55917822872</v>
      </c>
      <c r="BB176" s="265">
        <f t="shared" si="252"/>
        <v>66255.049575708777</v>
      </c>
    </row>
    <row r="177" spans="2:55" s="35" customFormat="1" x14ac:dyDescent="0.25">
      <c r="B177" s="72" t="s">
        <v>34</v>
      </c>
      <c r="C177" s="72" t="s">
        <v>85</v>
      </c>
      <c r="D177" s="199">
        <v>4</v>
      </c>
      <c r="E177" s="199">
        <v>3</v>
      </c>
      <c r="F177" s="199" t="s">
        <v>280</v>
      </c>
      <c r="G177" s="199">
        <v>1</v>
      </c>
      <c r="H177" s="199"/>
      <c r="I177" s="72" t="str">
        <f>CONCATENATE(D177,".",E177,".",F177,".",G177)</f>
        <v>4.3.b.1</v>
      </c>
      <c r="J177" s="72"/>
      <c r="K177" s="35" t="s">
        <v>325</v>
      </c>
      <c r="L177" s="73">
        <f t="shared" si="287"/>
        <v>368083.60875393753</v>
      </c>
      <c r="M177" s="308">
        <f>+O177*$L177</f>
        <v>301828.55917822878</v>
      </c>
      <c r="N177" s="309">
        <f>+P177*$L177</f>
        <v>66255.049575708777</v>
      </c>
      <c r="O177" s="306">
        <v>0.82</v>
      </c>
      <c r="P177" s="307">
        <f t="shared" ref="P177" si="313">1-O177</f>
        <v>0.18000000000000005</v>
      </c>
      <c r="Q177" s="248"/>
      <c r="R177" s="39">
        <f>SUM(R163:R175)*coefmobil</f>
        <v>0</v>
      </c>
      <c r="S177" s="39">
        <f>SUM(S163:S175)*coefmobil</f>
        <v>1077929.6794996518</v>
      </c>
      <c r="T177" s="39">
        <f>SUM(T163:T175)*coefmobil</f>
        <v>1537126.3326822009</v>
      </c>
      <c r="U177" s="39">
        <f>SUM(U163:U175)*coefmobil</f>
        <v>4629139.6105290884</v>
      </c>
      <c r="V177" s="245">
        <f>SUM(V163:V175)*coefmobil</f>
        <v>4902563.4661689969</v>
      </c>
      <c r="W177" s="231"/>
      <c r="X177" s="401"/>
      <c r="Y177" s="401" t="s">
        <v>338</v>
      </c>
      <c r="Z177" s="401"/>
      <c r="AA177" s="73"/>
      <c r="AE177" s="72"/>
      <c r="AF177" s="72">
        <v>1</v>
      </c>
      <c r="AG177" s="72">
        <v>1</v>
      </c>
      <c r="AH177" s="72">
        <v>1</v>
      </c>
      <c r="AI177" s="72">
        <v>1</v>
      </c>
      <c r="AJ177" s="249">
        <f>+(R177+Q177)/$AJ$1</f>
        <v>0</v>
      </c>
      <c r="AK177" s="255">
        <f>+S177/$AK$1</f>
        <v>32664.535742413689</v>
      </c>
      <c r="AL177" s="255">
        <f>+T177/$AL$1</f>
        <v>46579.585838854575</v>
      </c>
      <c r="AM177" s="255">
        <f>+U177/$AM$1</f>
        <v>140276.95789482087</v>
      </c>
      <c r="AN177" s="256">
        <f>+V177/$AN$1</f>
        <v>148562.5292778484</v>
      </c>
      <c r="AO177" s="261">
        <f t="shared" si="250"/>
        <v>368083.60875393753</v>
      </c>
      <c r="AQ177" s="249">
        <f>+AJ177*$O177</f>
        <v>0</v>
      </c>
      <c r="AR177" s="151">
        <f>+AJ177*$P177</f>
        <v>0</v>
      </c>
      <c r="AS177" s="150">
        <f>+AK177*$O177</f>
        <v>26784.919308779223</v>
      </c>
      <c r="AT177" s="151">
        <f>+AK177*$P177</f>
        <v>5879.6164336344655</v>
      </c>
      <c r="AU177" s="150">
        <f>+AL177*$O177</f>
        <v>38195.260387860748</v>
      </c>
      <c r="AV177" s="151">
        <f>+AL177*$P177</f>
        <v>8384.3254509938251</v>
      </c>
      <c r="AW177" s="150">
        <f>+AM177*$O177</f>
        <v>115027.10547375311</v>
      </c>
      <c r="AX177" s="151">
        <f>+AM177*$P177</f>
        <v>25249.852421067764</v>
      </c>
      <c r="AY177" s="150">
        <f>+AN177*$O177</f>
        <v>121821.27400783569</v>
      </c>
      <c r="AZ177" s="256">
        <f>+AN177*$P177</f>
        <v>26741.25527001272</v>
      </c>
      <c r="BA177" s="249">
        <f t="shared" si="251"/>
        <v>301828.55917822872</v>
      </c>
      <c r="BB177" s="256">
        <f t="shared" si="252"/>
        <v>66255.049575708777</v>
      </c>
    </row>
    <row r="178" spans="2:55" s="46" customFormat="1" x14ac:dyDescent="0.25">
      <c r="B178" s="50"/>
      <c r="C178" s="33"/>
      <c r="D178" s="220">
        <v>4</v>
      </c>
      <c r="E178" s="220">
        <v>4</v>
      </c>
      <c r="F178" s="220">
        <v>0</v>
      </c>
      <c r="G178" s="220">
        <v>0</v>
      </c>
      <c r="H178" s="220">
        <v>0</v>
      </c>
      <c r="I178" s="33" t="str">
        <f t="shared" si="223"/>
        <v>4.4.0.0</v>
      </c>
      <c r="J178" s="33">
        <v>4.4000000000000004</v>
      </c>
      <c r="K178" s="46" t="s">
        <v>443</v>
      </c>
      <c r="L178" s="47">
        <f t="shared" si="287"/>
        <v>230723.62445947508</v>
      </c>
      <c r="M178" s="79">
        <f t="shared" ref="M178:V178" si="314">SUM(M179:M180)</f>
        <v>189193.37205676959</v>
      </c>
      <c r="N178" s="236">
        <f t="shared" si="314"/>
        <v>41530.252402705526</v>
      </c>
      <c r="O178" s="84"/>
      <c r="P178" s="85"/>
      <c r="Q178" s="79">
        <f t="shared" si="314"/>
        <v>0</v>
      </c>
      <c r="R178" s="236">
        <f t="shared" si="314"/>
        <v>1799027.9614032002</v>
      </c>
      <c r="S178" s="236">
        <f t="shared" si="314"/>
        <v>1252930.7575435203</v>
      </c>
      <c r="T178" s="236">
        <f t="shared" si="314"/>
        <v>1378223.8332978725</v>
      </c>
      <c r="U178" s="236">
        <f t="shared" si="314"/>
        <v>1516046.2166276597</v>
      </c>
      <c r="V178" s="67">
        <f t="shared" si="314"/>
        <v>1667650.8382904259</v>
      </c>
      <c r="W178" s="49"/>
      <c r="X178" s="402"/>
      <c r="Y178" s="402"/>
      <c r="Z178" s="402"/>
      <c r="AA178" s="47"/>
      <c r="AJ178" s="79">
        <f>SUM(AJ179:AJ180)</f>
        <v>54515.998830400007</v>
      </c>
      <c r="AK178" s="236">
        <f>SUM(AK179:AK180)</f>
        <v>37967.598713440006</v>
      </c>
      <c r="AL178" s="236">
        <f>SUM(AL179:AL180)</f>
        <v>41764.358584784015</v>
      </c>
      <c r="AM178" s="236">
        <f>SUM(AM179:AM180)</f>
        <v>45940.794443262414</v>
      </c>
      <c r="AN178" s="67">
        <f>SUM(AN179:AN180)</f>
        <v>50534.873887588663</v>
      </c>
      <c r="AO178" s="258">
        <f t="shared" si="250"/>
        <v>230723.6244594751</v>
      </c>
      <c r="AP178" s="139"/>
      <c r="AQ178" s="262">
        <f t="shared" ref="AQ178:AZ178" si="315">SUM(AQ179:AQ180)</f>
        <v>44703.119040928003</v>
      </c>
      <c r="AR178" s="133">
        <f t="shared" si="315"/>
        <v>9812.8797894720046</v>
      </c>
      <c r="AS178" s="132">
        <f t="shared" si="315"/>
        <v>31133.430945020802</v>
      </c>
      <c r="AT178" s="133">
        <f t="shared" si="315"/>
        <v>6834.1677684192027</v>
      </c>
      <c r="AU178" s="132">
        <f t="shared" si="315"/>
        <v>34246.77403952289</v>
      </c>
      <c r="AV178" s="133">
        <f t="shared" si="315"/>
        <v>7517.5845452611247</v>
      </c>
      <c r="AW178" s="132">
        <f t="shared" si="315"/>
        <v>37671.451443475176</v>
      </c>
      <c r="AX178" s="133">
        <f t="shared" si="315"/>
        <v>8269.3429997872372</v>
      </c>
      <c r="AY178" s="132">
        <f t="shared" si="315"/>
        <v>41438.5965878227</v>
      </c>
      <c r="AZ178" s="263">
        <f t="shared" si="315"/>
        <v>9096.2772997659613</v>
      </c>
      <c r="BA178" s="262">
        <f t="shared" si="251"/>
        <v>189193.37205676956</v>
      </c>
      <c r="BB178" s="263">
        <f t="shared" si="252"/>
        <v>41530.252402705533</v>
      </c>
    </row>
    <row r="179" spans="2:55" s="35" customFormat="1" x14ac:dyDescent="0.25">
      <c r="B179" s="72" t="s">
        <v>176</v>
      </c>
      <c r="C179" s="72"/>
      <c r="D179" s="199">
        <v>4</v>
      </c>
      <c r="E179" s="199">
        <v>4</v>
      </c>
      <c r="F179" s="199" t="s">
        <v>270</v>
      </c>
      <c r="G179" s="199">
        <v>1</v>
      </c>
      <c r="H179" s="199"/>
      <c r="I179" s="72" t="str">
        <f t="shared" si="223"/>
        <v>4.4.a.1</v>
      </c>
      <c r="J179" s="72"/>
      <c r="K179" s="35" t="s">
        <v>272</v>
      </c>
      <c r="L179" s="73">
        <f t="shared" si="287"/>
        <v>20000</v>
      </c>
      <c r="M179" s="308">
        <f>+O179*$L179</f>
        <v>16400</v>
      </c>
      <c r="N179" s="309">
        <f>+P179*$L179</f>
        <v>3600.0000000000009</v>
      </c>
      <c r="O179" s="306">
        <v>0.82</v>
      </c>
      <c r="P179" s="307">
        <f t="shared" ref="P179:P180" si="316">1-O179</f>
        <v>0.18000000000000005</v>
      </c>
      <c r="Q179" s="248"/>
      <c r="R179" s="39">
        <v>660000</v>
      </c>
      <c r="S179" s="39">
        <v>0</v>
      </c>
      <c r="T179" s="39">
        <v>0</v>
      </c>
      <c r="U179" s="39">
        <v>0</v>
      </c>
      <c r="V179" s="245">
        <v>0</v>
      </c>
      <c r="W179" s="231"/>
      <c r="X179" s="401"/>
      <c r="Y179" s="401"/>
      <c r="Z179" s="401"/>
      <c r="AA179" s="73"/>
      <c r="AD179" s="72"/>
      <c r="AE179" s="72">
        <v>1</v>
      </c>
      <c r="AF179" s="72"/>
      <c r="AG179" s="72"/>
      <c r="AH179" s="72"/>
      <c r="AI179" s="72"/>
      <c r="AJ179" s="249">
        <f>+(R179+Q179)/$AJ$1</f>
        <v>20000</v>
      </c>
      <c r="AK179" s="255">
        <f>+S179/$AK$1</f>
        <v>0</v>
      </c>
      <c r="AL179" s="255">
        <f>+T179/$AL$1</f>
        <v>0</v>
      </c>
      <c r="AM179" s="255">
        <f>+U179/$AM$1</f>
        <v>0</v>
      </c>
      <c r="AN179" s="256">
        <f>+V179/$AN$1</f>
        <v>0</v>
      </c>
      <c r="AO179" s="261">
        <f t="shared" si="250"/>
        <v>20000</v>
      </c>
      <c r="AQ179" s="249">
        <f>+AJ179*$O179</f>
        <v>16400</v>
      </c>
      <c r="AR179" s="151">
        <f>+AJ179*$P179</f>
        <v>3600.0000000000009</v>
      </c>
      <c r="AS179" s="150">
        <f>+AK179*$O179</f>
        <v>0</v>
      </c>
      <c r="AT179" s="151">
        <f>+AK179*$P179</f>
        <v>0</v>
      </c>
      <c r="AU179" s="150">
        <f>+AL179*$O179</f>
        <v>0</v>
      </c>
      <c r="AV179" s="151">
        <f>+AL179*$P179</f>
        <v>0</v>
      </c>
      <c r="AW179" s="150">
        <f>+AM179*$O179</f>
        <v>0</v>
      </c>
      <c r="AX179" s="151">
        <f>+AM179*$P179</f>
        <v>0</v>
      </c>
      <c r="AY179" s="150">
        <f>+AN179*$O179</f>
        <v>0</v>
      </c>
      <c r="AZ179" s="256">
        <f>+AN179*$P179</f>
        <v>0</v>
      </c>
      <c r="BA179" s="249">
        <f t="shared" si="251"/>
        <v>16400</v>
      </c>
      <c r="BB179" s="256">
        <f t="shared" si="252"/>
        <v>3600.0000000000009</v>
      </c>
      <c r="BC179" s="35" t="s">
        <v>272</v>
      </c>
    </row>
    <row r="180" spans="2:55" s="35" customFormat="1" x14ac:dyDescent="0.25">
      <c r="B180" s="72" t="s">
        <v>176</v>
      </c>
      <c r="C180" s="72"/>
      <c r="D180" s="199">
        <v>4</v>
      </c>
      <c r="E180" s="199">
        <v>4</v>
      </c>
      <c r="F180" s="199" t="s">
        <v>270</v>
      </c>
      <c r="G180" s="199">
        <v>2</v>
      </c>
      <c r="H180" s="199"/>
      <c r="I180" s="72" t="str">
        <f t="shared" si="223"/>
        <v>4.4.a.2</v>
      </c>
      <c r="J180" s="72"/>
      <c r="K180" s="35" t="s">
        <v>177</v>
      </c>
      <c r="L180" s="73">
        <f t="shared" si="287"/>
        <v>210723.6244594751</v>
      </c>
      <c r="M180" s="308">
        <f>+O180*$L180</f>
        <v>172793.37205676959</v>
      </c>
      <c r="N180" s="309">
        <f>+P180*$L180</f>
        <v>37930.252402705526</v>
      </c>
      <c r="O180" s="306">
        <v>0.82</v>
      </c>
      <c r="P180" s="307">
        <f t="shared" si="316"/>
        <v>0.18000000000000005</v>
      </c>
      <c r="Q180" s="248"/>
      <c r="R180" s="39">
        <f>1035479.964912*coef17</f>
        <v>1139027.9614032002</v>
      </c>
      <c r="S180" s="39">
        <f>1035479.964912*coef18</f>
        <v>1252930.7575435203</v>
      </c>
      <c r="T180" s="39">
        <f>1035479.964912*coef19</f>
        <v>1378223.8332978725</v>
      </c>
      <c r="U180" s="39">
        <f>1035479.964912*coef20</f>
        <v>1516046.2166276597</v>
      </c>
      <c r="V180" s="245">
        <f>1035479.964912*coef21</f>
        <v>1667650.8382904259</v>
      </c>
      <c r="W180" s="231"/>
      <c r="X180" s="401"/>
      <c r="Y180" s="401"/>
      <c r="Z180" s="401"/>
      <c r="AA180" s="73"/>
      <c r="AD180" s="72"/>
      <c r="AE180" s="72">
        <v>1</v>
      </c>
      <c r="AF180" s="72">
        <v>1</v>
      </c>
      <c r="AG180" s="72">
        <v>1</v>
      </c>
      <c r="AH180" s="72">
        <v>1</v>
      </c>
      <c r="AI180" s="72">
        <v>1</v>
      </c>
      <c r="AJ180" s="249">
        <f>+(R180+Q180)/$AJ$1</f>
        <v>34515.998830400007</v>
      </c>
      <c r="AK180" s="255">
        <f>+S180/$AK$1</f>
        <v>37967.598713440006</v>
      </c>
      <c r="AL180" s="255">
        <f>+T180/$AL$1</f>
        <v>41764.358584784015</v>
      </c>
      <c r="AM180" s="255">
        <f>+U180/$AM$1</f>
        <v>45940.794443262414</v>
      </c>
      <c r="AN180" s="256">
        <f>+V180/$AN$1</f>
        <v>50534.873887588663</v>
      </c>
      <c r="AO180" s="261">
        <f t="shared" si="250"/>
        <v>210723.6244594751</v>
      </c>
      <c r="AQ180" s="249">
        <f>+AJ180*$O180</f>
        <v>28303.119040928003</v>
      </c>
      <c r="AR180" s="151">
        <f>+AJ180*$P180</f>
        <v>6212.8797894720028</v>
      </c>
      <c r="AS180" s="150">
        <f>+AK180*$O180</f>
        <v>31133.430945020802</v>
      </c>
      <c r="AT180" s="151">
        <f>+AK180*$P180</f>
        <v>6834.1677684192027</v>
      </c>
      <c r="AU180" s="150">
        <f>+AL180*$O180</f>
        <v>34246.77403952289</v>
      </c>
      <c r="AV180" s="151">
        <f>+AL180*$P180</f>
        <v>7517.5845452611247</v>
      </c>
      <c r="AW180" s="150">
        <f>+AM180*$O180</f>
        <v>37671.451443475176</v>
      </c>
      <c r="AX180" s="151">
        <f>+AM180*$P180</f>
        <v>8269.3429997872372</v>
      </c>
      <c r="AY180" s="150">
        <f>+AN180*$O180</f>
        <v>41438.5965878227</v>
      </c>
      <c r="AZ180" s="256">
        <f>+AN180*$P180</f>
        <v>9096.2772997659613</v>
      </c>
      <c r="BA180" s="249">
        <f t="shared" si="251"/>
        <v>172793.37205676956</v>
      </c>
      <c r="BB180" s="256">
        <f t="shared" si="252"/>
        <v>37930.252402705526</v>
      </c>
      <c r="BC180" s="35" t="s">
        <v>177</v>
      </c>
    </row>
    <row r="181" spans="2:55" s="31" customFormat="1" x14ac:dyDescent="0.25">
      <c r="B181" s="29" t="s">
        <v>16</v>
      </c>
      <c r="C181" s="29"/>
      <c r="D181" s="196">
        <v>5</v>
      </c>
      <c r="E181" s="196">
        <v>0</v>
      </c>
      <c r="F181" s="196">
        <v>0</v>
      </c>
      <c r="G181" s="196">
        <v>0</v>
      </c>
      <c r="H181" s="196">
        <v>0</v>
      </c>
      <c r="I181" s="225" t="str">
        <f t="shared" si="223"/>
        <v>5.0.0.0</v>
      </c>
      <c r="J181" s="227"/>
      <c r="K181" s="44" t="s">
        <v>600</v>
      </c>
      <c r="L181" s="41">
        <f t="shared" si="287"/>
        <v>4966297.341031298</v>
      </c>
      <c r="M181" s="78">
        <f t="shared" ref="M181:V181" si="317">+M182+M191</f>
        <v>1143636.3460294735</v>
      </c>
      <c r="N181" s="281">
        <f t="shared" si="317"/>
        <v>3822660.9950018236</v>
      </c>
      <c r="O181" s="279"/>
      <c r="P181" s="280"/>
      <c r="Q181" s="78">
        <f t="shared" si="317"/>
        <v>0</v>
      </c>
      <c r="R181" s="281">
        <f t="shared" si="317"/>
        <v>26568346.536704201</v>
      </c>
      <c r="S181" s="281">
        <f t="shared" si="317"/>
        <v>28877281.990374617</v>
      </c>
      <c r="T181" s="281">
        <f t="shared" si="317"/>
        <v>33415010.18941208</v>
      </c>
      <c r="U181" s="281">
        <f t="shared" si="317"/>
        <v>34941511.208353296</v>
      </c>
      <c r="V181" s="66">
        <f t="shared" si="317"/>
        <v>40085662.32918863</v>
      </c>
      <c r="W181" s="32"/>
      <c r="AA181" s="230"/>
      <c r="AB181" s="229"/>
      <c r="AJ181" s="78">
        <f>+AJ182+AJ191</f>
        <v>805101.41020315757</v>
      </c>
      <c r="AK181" s="281">
        <f>+AK182+AK191</f>
        <v>875069.15122347325</v>
      </c>
      <c r="AL181" s="281">
        <f>+AL182+AL191</f>
        <v>1012576.0663458207</v>
      </c>
      <c r="AM181" s="281">
        <f>+AM182+AM191</f>
        <v>1058833.6729804028</v>
      </c>
      <c r="AN181" s="66">
        <f>+AN182+AN191</f>
        <v>1214717.0402784434</v>
      </c>
      <c r="AO181" s="282">
        <f t="shared" si="250"/>
        <v>4966297.3410312971</v>
      </c>
      <c r="AP181" s="138"/>
      <c r="AQ181" s="283">
        <f t="shared" ref="AQ181:AZ181" si="318">+AQ182+AQ191</f>
        <v>173893.35899976629</v>
      </c>
      <c r="AR181" s="130">
        <f t="shared" si="318"/>
        <v>631208.05120339117</v>
      </c>
      <c r="AS181" s="131">
        <f t="shared" si="318"/>
        <v>191282.6948997429</v>
      </c>
      <c r="AT181" s="130">
        <f t="shared" si="318"/>
        <v>683786.45632373029</v>
      </c>
      <c r="AU181" s="131">
        <f t="shared" si="318"/>
        <v>251410.96438971726</v>
      </c>
      <c r="AV181" s="130">
        <f t="shared" si="318"/>
        <v>761165.10195610346</v>
      </c>
      <c r="AW181" s="131">
        <f t="shared" si="318"/>
        <v>231452.06082868902</v>
      </c>
      <c r="AX181" s="130">
        <f t="shared" si="318"/>
        <v>827381.61215171381</v>
      </c>
      <c r="AY181" s="131">
        <f t="shared" si="318"/>
        <v>295597.26691155793</v>
      </c>
      <c r="AZ181" s="284">
        <f t="shared" si="318"/>
        <v>919119.77336688526</v>
      </c>
      <c r="BA181" s="283">
        <f t="shared" si="251"/>
        <v>1143636.3460294735</v>
      </c>
      <c r="BB181" s="284">
        <f t="shared" si="252"/>
        <v>3822660.9950018236</v>
      </c>
    </row>
    <row r="182" spans="2:55" s="46" customFormat="1" x14ac:dyDescent="0.25">
      <c r="B182" s="50" t="s">
        <v>85</v>
      </c>
      <c r="C182" s="33"/>
      <c r="D182" s="220">
        <v>5</v>
      </c>
      <c r="E182" s="220">
        <v>1</v>
      </c>
      <c r="F182" s="220">
        <v>0</v>
      </c>
      <c r="G182" s="220">
        <v>0</v>
      </c>
      <c r="H182" s="220">
        <v>0</v>
      </c>
      <c r="I182" s="33" t="str">
        <f t="shared" si="223"/>
        <v>5.1.0.0</v>
      </c>
      <c r="J182" s="33"/>
      <c r="K182" s="46" t="s">
        <v>178</v>
      </c>
      <c r="L182" s="47">
        <f t="shared" ref="L182:L194" si="319">SUM(Q182:V182)/$R$1</f>
        <v>4155436.6609192113</v>
      </c>
      <c r="M182" s="79">
        <f t="shared" ref="M182:V182" si="320">SUM(M183:M190)</f>
        <v>1018900.6460294735</v>
      </c>
      <c r="N182" s="236">
        <f t="shared" si="320"/>
        <v>3136536.0148897367</v>
      </c>
      <c r="O182" s="84"/>
      <c r="P182" s="85"/>
      <c r="Q182" s="79">
        <f t="shared" si="320"/>
        <v>0</v>
      </c>
      <c r="R182" s="236">
        <f t="shared" si="320"/>
        <v>22461451.869802944</v>
      </c>
      <c r="S182" s="236">
        <f t="shared" si="320"/>
        <v>24707597.056783233</v>
      </c>
      <c r="T182" s="236">
        <f t="shared" si="320"/>
        <v>27178356.762461558</v>
      </c>
      <c r="U182" s="236">
        <f t="shared" si="320"/>
        <v>29896192.43870772</v>
      </c>
      <c r="V182" s="67">
        <f t="shared" si="320"/>
        <v>32885811.682578493</v>
      </c>
      <c r="W182" s="49"/>
      <c r="X182" s="402"/>
      <c r="Y182" s="402" t="s">
        <v>238</v>
      </c>
      <c r="Z182" s="402"/>
      <c r="AA182" s="47"/>
      <c r="AJ182" s="79">
        <f>SUM(AJ183:AJ190)</f>
        <v>680650.05666069523</v>
      </c>
      <c r="AK182" s="236">
        <f>SUM(AK183:AK190)</f>
        <v>748715.06232676469</v>
      </c>
      <c r="AL182" s="236">
        <f>SUM(AL183:AL190)</f>
        <v>823586.56855944125</v>
      </c>
      <c r="AM182" s="236">
        <f>SUM(AM183:AM190)</f>
        <v>905945.22541538533</v>
      </c>
      <c r="AN182" s="67">
        <f>SUM(AN183:AN190)</f>
        <v>996539.74795692414</v>
      </c>
      <c r="AO182" s="258">
        <f t="shared" si="250"/>
        <v>4155436.6609192109</v>
      </c>
      <c r="AP182" s="139"/>
      <c r="AQ182" s="262">
        <f t="shared" ref="AQ182:AZ182" si="321">SUM(AQ183:AQ190)</f>
        <v>166893.35899976629</v>
      </c>
      <c r="AR182" s="133">
        <f t="shared" si="321"/>
        <v>513756.69766092882</v>
      </c>
      <c r="AS182" s="132">
        <f t="shared" si="321"/>
        <v>183582.6948997429</v>
      </c>
      <c r="AT182" s="133">
        <f t="shared" si="321"/>
        <v>565132.36742702173</v>
      </c>
      <c r="AU182" s="132">
        <f t="shared" si="321"/>
        <v>201940.96438971726</v>
      </c>
      <c r="AV182" s="133">
        <f t="shared" si="321"/>
        <v>621645.60416972393</v>
      </c>
      <c r="AW182" s="132">
        <f t="shared" si="321"/>
        <v>222135.06082868902</v>
      </c>
      <c r="AX182" s="133">
        <f t="shared" si="321"/>
        <v>683810.16458669642</v>
      </c>
      <c r="AY182" s="132">
        <f t="shared" si="321"/>
        <v>244348.56691155792</v>
      </c>
      <c r="AZ182" s="263">
        <f t="shared" si="321"/>
        <v>752191.1810453661</v>
      </c>
      <c r="BA182" s="262">
        <f t="shared" si="251"/>
        <v>1018900.6460294734</v>
      </c>
      <c r="BB182" s="263">
        <f t="shared" si="252"/>
        <v>3136536.0148897367</v>
      </c>
      <c r="BC182" s="46" t="s">
        <v>179</v>
      </c>
    </row>
    <row r="183" spans="2:55" s="35" customFormat="1" x14ac:dyDescent="0.2">
      <c r="B183" s="232" t="s">
        <v>85</v>
      </c>
      <c r="C183" s="232"/>
      <c r="D183" s="219">
        <v>5</v>
      </c>
      <c r="E183" s="219">
        <v>1</v>
      </c>
      <c r="F183" s="219" t="s">
        <v>270</v>
      </c>
      <c r="G183" s="219">
        <v>1</v>
      </c>
      <c r="H183" s="219"/>
      <c r="I183" s="72" t="str">
        <f t="shared" si="223"/>
        <v>5.1.a.1</v>
      </c>
      <c r="J183" s="72"/>
      <c r="K183" s="35" t="s">
        <v>378</v>
      </c>
      <c r="L183" s="73">
        <f t="shared" si="319"/>
        <v>278603.83331643994</v>
      </c>
      <c r="M183" s="308">
        <f t="shared" ref="M183:N190" si="322">+O183*$L183</f>
        <v>66864.919995945587</v>
      </c>
      <c r="N183" s="309">
        <f t="shared" si="322"/>
        <v>211738.91332049435</v>
      </c>
      <c r="O183" s="306">
        <v>0.24</v>
      </c>
      <c r="P183" s="307">
        <f t="shared" ref="P183:P190" si="323">1-O183</f>
        <v>0.76</v>
      </c>
      <c r="Q183" s="248"/>
      <c r="R183" s="313">
        <f>+RRHHCDir.!F4</f>
        <v>1505941.9992207361</v>
      </c>
      <c r="S183" s="313">
        <f>coef18*1369038.18110976</f>
        <v>1656536.1991428097</v>
      </c>
      <c r="T183" s="313">
        <f>coef19*1369038.18110976</f>
        <v>1822189.8190570911</v>
      </c>
      <c r="U183" s="313">
        <f>coef20*1369038.18110976</f>
        <v>2004408.8009628004</v>
      </c>
      <c r="V183" s="314">
        <f>coef21*1369038.18110976</f>
        <v>2204849.6810590806</v>
      </c>
      <c r="W183" s="231"/>
      <c r="X183" s="401"/>
      <c r="Y183" s="401"/>
      <c r="Z183" s="404" t="s">
        <v>387</v>
      </c>
      <c r="AA183" s="315"/>
      <c r="AD183" s="72"/>
      <c r="AE183" s="72">
        <v>1</v>
      </c>
      <c r="AF183" s="72">
        <v>1</v>
      </c>
      <c r="AG183" s="72">
        <v>1</v>
      </c>
      <c r="AH183" s="72">
        <v>1</v>
      </c>
      <c r="AI183" s="72">
        <v>1</v>
      </c>
      <c r="AJ183" s="249">
        <f t="shared" ref="AJ183:AJ190" si="324">+(R183+Q183)/$AJ$1</f>
        <v>45634.606036992001</v>
      </c>
      <c r="AK183" s="255">
        <f t="shared" ref="AK183:AK190" si="325">+S183/$AK$1</f>
        <v>50198.066640691206</v>
      </c>
      <c r="AL183" s="255">
        <f t="shared" ref="AL183:AL190" si="326">+T183/$AL$1</f>
        <v>55217.873304760338</v>
      </c>
      <c r="AM183" s="255">
        <f t="shared" ref="AM183:AM190" si="327">+U183/$AM$1</f>
        <v>60739.660635236374</v>
      </c>
      <c r="AN183" s="256">
        <f t="shared" ref="AN183:AN190" si="328">+V183/$AN$1</f>
        <v>66813.626698760025</v>
      </c>
      <c r="AO183" s="261">
        <f t="shared" si="250"/>
        <v>278603.83331643994</v>
      </c>
      <c r="AQ183" s="249">
        <f t="shared" ref="AQ183:AQ190" si="329">+AJ183*$O183</f>
        <v>10952.30544887808</v>
      </c>
      <c r="AR183" s="151">
        <f t="shared" ref="AR183:AR190" si="330">+AJ183*$P183</f>
        <v>34682.300588113918</v>
      </c>
      <c r="AS183" s="150">
        <f t="shared" ref="AS183:AS190" si="331">+AK183*$O183</f>
        <v>12047.535993765889</v>
      </c>
      <c r="AT183" s="151">
        <f t="shared" ref="AT183:AT190" si="332">+AK183*$P183</f>
        <v>38150.530646925319</v>
      </c>
      <c r="AU183" s="150">
        <f t="shared" ref="AU183:AU190" si="333">+AL183*$O183</f>
        <v>13252.289593142481</v>
      </c>
      <c r="AV183" s="151">
        <f t="shared" ref="AV183:AV190" si="334">+AL183*$P183</f>
        <v>41965.583711617859</v>
      </c>
      <c r="AW183" s="150">
        <f t="shared" ref="AW183:AW190" si="335">+AM183*$O183</f>
        <v>14577.51855245673</v>
      </c>
      <c r="AX183" s="151">
        <f t="shared" ref="AX183:AX190" si="336">+AM183*$P183</f>
        <v>46162.142082779646</v>
      </c>
      <c r="AY183" s="150">
        <f t="shared" ref="AY183:AY190" si="337">+AN183*$O183</f>
        <v>16035.270407702405</v>
      </c>
      <c r="AZ183" s="256">
        <f t="shared" ref="AZ183:AZ190" si="338">+AN183*$P183</f>
        <v>50778.356291057622</v>
      </c>
      <c r="BA183" s="249">
        <f t="shared" si="251"/>
        <v>66864.919995945587</v>
      </c>
      <c r="BB183" s="256">
        <f t="shared" si="252"/>
        <v>211738.91332049438</v>
      </c>
    </row>
    <row r="184" spans="2:55" s="35" customFormat="1" x14ac:dyDescent="0.2">
      <c r="B184" s="232" t="s">
        <v>85</v>
      </c>
      <c r="C184" s="232"/>
      <c r="D184" s="219">
        <v>5</v>
      </c>
      <c r="E184" s="219">
        <v>1</v>
      </c>
      <c r="F184" s="219" t="s">
        <v>270</v>
      </c>
      <c r="G184" s="219">
        <v>2</v>
      </c>
      <c r="H184" s="219"/>
      <c r="I184" s="72" t="str">
        <f t="shared" si="223"/>
        <v>5.1.a.2</v>
      </c>
      <c r="J184" s="72"/>
      <c r="K184" s="35" t="s">
        <v>379</v>
      </c>
      <c r="L184" s="73">
        <f t="shared" si="319"/>
        <v>364688.04753942415</v>
      </c>
      <c r="M184" s="308">
        <f t="shared" si="322"/>
        <v>87525.131409461799</v>
      </c>
      <c r="N184" s="309">
        <f t="shared" si="322"/>
        <v>277162.91612996237</v>
      </c>
      <c r="O184" s="306">
        <v>0.24</v>
      </c>
      <c r="P184" s="307">
        <f t="shared" si="323"/>
        <v>0.76</v>
      </c>
      <c r="Q184" s="248"/>
      <c r="R184" s="313">
        <f>+RRHHCDir.!F8</f>
        <v>1971254.4542760961</v>
      </c>
      <c r="S184" s="313">
        <f>coef18*1792049.50388736</f>
        <v>2168379.8997037057</v>
      </c>
      <c r="T184" s="313">
        <f>coef19*1792049.50388736</f>
        <v>2385217.8896740768</v>
      </c>
      <c r="U184" s="313">
        <f>coef20*1792049.50388736</f>
        <v>2623739.6786414851</v>
      </c>
      <c r="V184" s="314">
        <f>coef21*1792049.50388736</f>
        <v>2886113.6465056334</v>
      </c>
      <c r="W184" s="231"/>
      <c r="X184" s="401"/>
      <c r="Y184" s="401"/>
      <c r="Z184" s="404" t="s">
        <v>388</v>
      </c>
      <c r="AA184" s="315"/>
      <c r="AD184" s="72"/>
      <c r="AE184" s="72">
        <v>1</v>
      </c>
      <c r="AF184" s="72">
        <v>1</v>
      </c>
      <c r="AG184" s="72">
        <v>1</v>
      </c>
      <c r="AH184" s="72">
        <v>1</v>
      </c>
      <c r="AI184" s="72">
        <v>1</v>
      </c>
      <c r="AJ184" s="249">
        <f t="shared" si="324"/>
        <v>59734.983462912001</v>
      </c>
      <c r="AK184" s="255">
        <f t="shared" si="325"/>
        <v>65708.481809203207</v>
      </c>
      <c r="AL184" s="255">
        <f t="shared" si="326"/>
        <v>72279.329990123544</v>
      </c>
      <c r="AM184" s="255">
        <f t="shared" si="327"/>
        <v>79507.26298913591</v>
      </c>
      <c r="AN184" s="256">
        <f t="shared" si="328"/>
        <v>87457.989288049503</v>
      </c>
      <c r="AO184" s="261">
        <f t="shared" si="250"/>
        <v>364688.04753942421</v>
      </c>
      <c r="AQ184" s="249">
        <f t="shared" si="329"/>
        <v>14336.39603109888</v>
      </c>
      <c r="AR184" s="151">
        <f t="shared" si="330"/>
        <v>45398.587431813125</v>
      </c>
      <c r="AS184" s="150">
        <f t="shared" si="331"/>
        <v>15770.035634208769</v>
      </c>
      <c r="AT184" s="151">
        <f t="shared" si="332"/>
        <v>49938.446174994438</v>
      </c>
      <c r="AU184" s="150">
        <f t="shared" si="333"/>
        <v>17347.039197629649</v>
      </c>
      <c r="AV184" s="151">
        <f t="shared" si="334"/>
        <v>54932.290792493892</v>
      </c>
      <c r="AW184" s="150">
        <f t="shared" si="335"/>
        <v>19081.743117392616</v>
      </c>
      <c r="AX184" s="151">
        <f t="shared" si="336"/>
        <v>60425.519871743294</v>
      </c>
      <c r="AY184" s="150">
        <f t="shared" si="337"/>
        <v>20989.917429131881</v>
      </c>
      <c r="AZ184" s="256">
        <f t="shared" si="338"/>
        <v>66468.071858917625</v>
      </c>
      <c r="BA184" s="249">
        <f t="shared" si="251"/>
        <v>87525.131409461799</v>
      </c>
      <c r="BB184" s="256">
        <f t="shared" si="252"/>
        <v>277162.91612996231</v>
      </c>
    </row>
    <row r="185" spans="2:55" s="35" customFormat="1" x14ac:dyDescent="0.2">
      <c r="B185" s="232" t="s">
        <v>85</v>
      </c>
      <c r="C185" s="232"/>
      <c r="D185" s="219">
        <v>5</v>
      </c>
      <c r="E185" s="219">
        <v>1</v>
      </c>
      <c r="F185" s="219" t="s">
        <v>270</v>
      </c>
      <c r="G185" s="219">
        <v>3</v>
      </c>
      <c r="H185" s="219"/>
      <c r="I185" s="72" t="str">
        <f t="shared" si="223"/>
        <v>5.1.a.3</v>
      </c>
      <c r="J185" s="72"/>
      <c r="K185" s="35" t="s">
        <v>380</v>
      </c>
      <c r="L185" s="73">
        <f t="shared" si="319"/>
        <v>681930.13000233704</v>
      </c>
      <c r="M185" s="308">
        <f t="shared" si="322"/>
        <v>163663.2312005609</v>
      </c>
      <c r="N185" s="309">
        <f t="shared" si="322"/>
        <v>518266.89880177617</v>
      </c>
      <c r="O185" s="306">
        <v>0.24</v>
      </c>
      <c r="P185" s="307">
        <f t="shared" si="323"/>
        <v>0.76</v>
      </c>
      <c r="Q185" s="248"/>
      <c r="R185" s="313">
        <f>+RRHHCDir.!F12</f>
        <v>3686048.4332897291</v>
      </c>
      <c r="S185" s="313">
        <f>coef18*3350953.12117248</f>
        <v>4054653.2766187014</v>
      </c>
      <c r="T185" s="313">
        <f>coef19*3350953.12117248</f>
        <v>4460118.6042805724</v>
      </c>
      <c r="U185" s="313">
        <f>coef20*3350953.12117248</f>
        <v>4906130.46470863</v>
      </c>
      <c r="V185" s="314">
        <f>coef21*3350953.12117248</f>
        <v>5396743.5111794928</v>
      </c>
      <c r="W185" s="231"/>
      <c r="X185" s="401"/>
      <c r="Y185" s="401"/>
      <c r="Z185" s="404" t="s">
        <v>389</v>
      </c>
      <c r="AA185" s="315"/>
      <c r="AD185" s="72"/>
      <c r="AE185" s="72">
        <v>1</v>
      </c>
      <c r="AF185" s="72">
        <v>1</v>
      </c>
      <c r="AG185" s="72">
        <v>1</v>
      </c>
      <c r="AH185" s="72">
        <v>1</v>
      </c>
      <c r="AI185" s="72">
        <v>1</v>
      </c>
      <c r="AJ185" s="249">
        <f t="shared" si="324"/>
        <v>111698.43737241603</v>
      </c>
      <c r="AK185" s="255">
        <f t="shared" si="325"/>
        <v>122868.28110965762</v>
      </c>
      <c r="AL185" s="255">
        <f t="shared" si="326"/>
        <v>135155.10922062342</v>
      </c>
      <c r="AM185" s="255">
        <f t="shared" si="327"/>
        <v>148670.62014268574</v>
      </c>
      <c r="AN185" s="256">
        <f t="shared" si="328"/>
        <v>163537.68215695434</v>
      </c>
      <c r="AO185" s="261">
        <f t="shared" si="250"/>
        <v>681930.13000233704</v>
      </c>
      <c r="AQ185" s="249">
        <f t="shared" si="329"/>
        <v>26807.624969379845</v>
      </c>
      <c r="AR185" s="151">
        <f t="shared" si="330"/>
        <v>84890.81240303618</v>
      </c>
      <c r="AS185" s="150">
        <f t="shared" si="331"/>
        <v>29488.387466317829</v>
      </c>
      <c r="AT185" s="151">
        <f t="shared" si="332"/>
        <v>93379.89364333979</v>
      </c>
      <c r="AU185" s="150">
        <f t="shared" si="333"/>
        <v>32437.226212949619</v>
      </c>
      <c r="AV185" s="151">
        <f t="shared" si="334"/>
        <v>102717.88300767379</v>
      </c>
      <c r="AW185" s="150">
        <f t="shared" si="335"/>
        <v>35680.948834244577</v>
      </c>
      <c r="AX185" s="151">
        <f t="shared" si="336"/>
        <v>112989.67130844116</v>
      </c>
      <c r="AY185" s="150">
        <f t="shared" si="337"/>
        <v>39249.043717669039</v>
      </c>
      <c r="AZ185" s="256">
        <f t="shared" si="338"/>
        <v>124288.63843928529</v>
      </c>
      <c r="BA185" s="249">
        <f t="shared" si="251"/>
        <v>163663.2312005609</v>
      </c>
      <c r="BB185" s="256">
        <f t="shared" si="252"/>
        <v>518266.89880177617</v>
      </c>
    </row>
    <row r="186" spans="2:55" s="35" customFormat="1" x14ac:dyDescent="0.2">
      <c r="B186" s="232" t="s">
        <v>85</v>
      </c>
      <c r="C186" s="232"/>
      <c r="D186" s="219">
        <v>5</v>
      </c>
      <c r="E186" s="219">
        <v>1</v>
      </c>
      <c r="F186" s="219" t="s">
        <v>270</v>
      </c>
      <c r="G186" s="219">
        <v>4</v>
      </c>
      <c r="H186" s="219"/>
      <c r="I186" s="72" t="str">
        <f t="shared" si="223"/>
        <v>5.1.a.4</v>
      </c>
      <c r="J186" s="72"/>
      <c r="K186" s="35" t="s">
        <v>381</v>
      </c>
      <c r="L186" s="73">
        <f t="shared" si="319"/>
        <v>1150277.3299454758</v>
      </c>
      <c r="M186" s="308">
        <f t="shared" si="322"/>
        <v>276066.55918691418</v>
      </c>
      <c r="N186" s="309">
        <f t="shared" si="322"/>
        <v>874210.77075856156</v>
      </c>
      <c r="O186" s="306">
        <v>0.24</v>
      </c>
      <c r="P186" s="307">
        <f t="shared" si="323"/>
        <v>0.76</v>
      </c>
      <c r="Q186" s="248"/>
      <c r="R186" s="313">
        <f>+RRHHCDir.!F21</f>
        <v>6217613.4523923779</v>
      </c>
      <c r="S186" s="313">
        <f>coef18*5652375.86581125</f>
        <v>6839374.7976316139</v>
      </c>
      <c r="T186" s="313">
        <f>coef19*5652375.86581125</f>
        <v>7523312.2773947762</v>
      </c>
      <c r="U186" s="313">
        <f>coef20*5652375.86581125</f>
        <v>8275643.5051342547</v>
      </c>
      <c r="V186" s="314">
        <f>coef21*5652375.86581125</f>
        <v>9103207.8556476813</v>
      </c>
      <c r="W186" s="231"/>
      <c r="X186" s="401"/>
      <c r="Y186" s="401"/>
      <c r="Z186" s="404" t="s">
        <v>390</v>
      </c>
      <c r="AA186" s="315"/>
      <c r="AD186" s="72"/>
      <c r="AE186" s="72">
        <v>1</v>
      </c>
      <c r="AF186" s="72">
        <v>1</v>
      </c>
      <c r="AG186" s="72">
        <v>1</v>
      </c>
      <c r="AH186" s="72">
        <v>1</v>
      </c>
      <c r="AI186" s="72">
        <v>1</v>
      </c>
      <c r="AJ186" s="249">
        <f t="shared" si="324"/>
        <v>188412.52886037508</v>
      </c>
      <c r="AK186" s="255">
        <f t="shared" si="325"/>
        <v>207253.78174641254</v>
      </c>
      <c r="AL186" s="255">
        <f t="shared" si="326"/>
        <v>227979.15992105383</v>
      </c>
      <c r="AM186" s="255">
        <f t="shared" si="327"/>
        <v>250777.07591315923</v>
      </c>
      <c r="AN186" s="256">
        <f t="shared" si="328"/>
        <v>275854.7835044752</v>
      </c>
      <c r="AO186" s="261">
        <f t="shared" si="250"/>
        <v>1150277.3299454758</v>
      </c>
      <c r="AQ186" s="249">
        <f t="shared" si="329"/>
        <v>45219.006926490016</v>
      </c>
      <c r="AR186" s="151">
        <f t="shared" si="330"/>
        <v>143193.52193388506</v>
      </c>
      <c r="AS186" s="150">
        <f t="shared" si="331"/>
        <v>49740.907619139005</v>
      </c>
      <c r="AT186" s="151">
        <f t="shared" si="332"/>
        <v>157512.87412727354</v>
      </c>
      <c r="AU186" s="150">
        <f t="shared" si="333"/>
        <v>54714.998381052916</v>
      </c>
      <c r="AV186" s="151">
        <f t="shared" si="334"/>
        <v>173264.1615400009</v>
      </c>
      <c r="AW186" s="150">
        <f t="shared" si="335"/>
        <v>60186.498219158217</v>
      </c>
      <c r="AX186" s="151">
        <f t="shared" si="336"/>
        <v>190590.57769400103</v>
      </c>
      <c r="AY186" s="150">
        <f t="shared" si="337"/>
        <v>66205.148041074048</v>
      </c>
      <c r="AZ186" s="256">
        <f t="shared" si="338"/>
        <v>209649.63546340115</v>
      </c>
      <c r="BA186" s="249">
        <f t="shared" si="251"/>
        <v>276066.55918691424</v>
      </c>
      <c r="BB186" s="256">
        <f t="shared" si="252"/>
        <v>874210.77075856179</v>
      </c>
    </row>
    <row r="187" spans="2:55" s="35" customFormat="1" x14ac:dyDescent="0.2">
      <c r="B187" s="232" t="s">
        <v>85</v>
      </c>
      <c r="C187" s="232"/>
      <c r="D187" s="219">
        <v>5</v>
      </c>
      <c r="E187" s="219">
        <v>1</v>
      </c>
      <c r="F187" s="219" t="s">
        <v>270</v>
      </c>
      <c r="G187" s="219">
        <v>5</v>
      </c>
      <c r="H187" s="219"/>
      <c r="I187" s="72" t="str">
        <f t="shared" si="223"/>
        <v>5.1.a.5</v>
      </c>
      <c r="J187" s="72"/>
      <c r="K187" s="35" t="s">
        <v>382</v>
      </c>
      <c r="L187" s="73">
        <f t="shared" si="319"/>
        <v>594619.77632733248</v>
      </c>
      <c r="M187" s="308">
        <f t="shared" si="322"/>
        <v>142708.7463185598</v>
      </c>
      <c r="N187" s="309">
        <f t="shared" si="322"/>
        <v>451911.03000877268</v>
      </c>
      <c r="O187" s="306">
        <v>0.24</v>
      </c>
      <c r="P187" s="307">
        <f t="shared" si="323"/>
        <v>0.76</v>
      </c>
      <c r="Q187" s="248"/>
      <c r="R187" s="313">
        <f>+RRHHCDir.!F25</f>
        <v>3214108.3059740169</v>
      </c>
      <c r="S187" s="313">
        <f>coef18*2921916.64179456</f>
        <v>3535519.136571418</v>
      </c>
      <c r="T187" s="313">
        <f>coef19*2921916.64179456</f>
        <v>3889071.0502285603</v>
      </c>
      <c r="U187" s="313">
        <f>coef20*2921916.64179456</f>
        <v>4277978.1552514173</v>
      </c>
      <c r="V187" s="314">
        <f>coef21*2921916.64179456</f>
        <v>4705775.9707765589</v>
      </c>
      <c r="W187" s="231"/>
      <c r="X187" s="401"/>
      <c r="Y187" s="401"/>
      <c r="Z187" s="404" t="s">
        <v>391</v>
      </c>
      <c r="AA187" s="315"/>
      <c r="AD187" s="72"/>
      <c r="AE187" s="72">
        <v>1</v>
      </c>
      <c r="AF187" s="72">
        <v>1</v>
      </c>
      <c r="AG187" s="72">
        <v>1</v>
      </c>
      <c r="AH187" s="72">
        <v>1</v>
      </c>
      <c r="AI187" s="72">
        <v>1</v>
      </c>
      <c r="AJ187" s="249">
        <f t="shared" si="324"/>
        <v>97397.221393152024</v>
      </c>
      <c r="AK187" s="255">
        <f t="shared" si="325"/>
        <v>107136.94353246721</v>
      </c>
      <c r="AL187" s="255">
        <f t="shared" si="326"/>
        <v>117850.63788571395</v>
      </c>
      <c r="AM187" s="255">
        <f t="shared" si="327"/>
        <v>129635.70167428537</v>
      </c>
      <c r="AN187" s="256">
        <f t="shared" si="328"/>
        <v>142599.2718417139</v>
      </c>
      <c r="AO187" s="261">
        <f t="shared" si="250"/>
        <v>594619.77632733248</v>
      </c>
      <c r="AQ187" s="249">
        <f t="shared" si="329"/>
        <v>23375.333134356486</v>
      </c>
      <c r="AR187" s="151">
        <f t="shared" si="330"/>
        <v>74021.888258795545</v>
      </c>
      <c r="AS187" s="150">
        <f t="shared" si="331"/>
        <v>25712.86644779213</v>
      </c>
      <c r="AT187" s="151">
        <f t="shared" si="332"/>
        <v>81424.077084675082</v>
      </c>
      <c r="AU187" s="150">
        <f t="shared" si="333"/>
        <v>28284.153092571349</v>
      </c>
      <c r="AV187" s="151">
        <f t="shared" si="334"/>
        <v>89566.484793142605</v>
      </c>
      <c r="AW187" s="150">
        <f t="shared" si="335"/>
        <v>31112.568401828488</v>
      </c>
      <c r="AX187" s="151">
        <f t="shared" si="336"/>
        <v>98523.133272456878</v>
      </c>
      <c r="AY187" s="150">
        <f t="shared" si="337"/>
        <v>34223.825242011335</v>
      </c>
      <c r="AZ187" s="256">
        <f t="shared" si="338"/>
        <v>108375.44659970257</v>
      </c>
      <c r="BA187" s="249">
        <f t="shared" si="251"/>
        <v>142708.7463185598</v>
      </c>
      <c r="BB187" s="256">
        <f t="shared" si="252"/>
        <v>451911.03000877268</v>
      </c>
    </row>
    <row r="188" spans="2:55" s="35" customFormat="1" x14ac:dyDescent="0.2">
      <c r="B188" s="232" t="s">
        <v>85</v>
      </c>
      <c r="C188" s="232"/>
      <c r="D188" s="219">
        <v>5</v>
      </c>
      <c r="E188" s="219">
        <v>1</v>
      </c>
      <c r="F188" s="219" t="s">
        <v>270</v>
      </c>
      <c r="G188" s="219">
        <v>6</v>
      </c>
      <c r="H188" s="219"/>
      <c r="I188" s="72" t="str">
        <f t="shared" si="223"/>
        <v>5.1.a.6</v>
      </c>
      <c r="J188" s="72"/>
      <c r="K188" s="35" t="s">
        <v>383</v>
      </c>
      <c r="L188" s="73">
        <f t="shared" si="319"/>
        <v>367030.07853542414</v>
      </c>
      <c r="M188" s="308">
        <f t="shared" si="322"/>
        <v>88087.218848501783</v>
      </c>
      <c r="N188" s="309">
        <f t="shared" si="322"/>
        <v>278942.85968692234</v>
      </c>
      <c r="O188" s="306">
        <v>0.24</v>
      </c>
      <c r="P188" s="307">
        <f t="shared" si="323"/>
        <v>0.76</v>
      </c>
      <c r="Q188" s="248"/>
      <c r="R188" s="313">
        <f>+RRHHCDir.!F29</f>
        <v>1983913.8739200002</v>
      </c>
      <c r="S188" s="313">
        <f>coef18*1803558.0672</f>
        <v>2182305.2613120005</v>
      </c>
      <c r="T188" s="313">
        <f>coef19*1803558.0672</f>
        <v>2400535.7874432006</v>
      </c>
      <c r="U188" s="313">
        <f>coef20*1803558.0672</f>
        <v>2640589.3661875213</v>
      </c>
      <c r="V188" s="314">
        <f>coef21*1803558.0672</f>
        <v>2904648.3028062731</v>
      </c>
      <c r="W188" s="231"/>
      <c r="X188" s="401"/>
      <c r="Y188" s="401"/>
      <c r="Z188" s="404" t="s">
        <v>392</v>
      </c>
      <c r="AA188" s="315"/>
      <c r="AD188" s="72"/>
      <c r="AE188" s="72">
        <v>1</v>
      </c>
      <c r="AF188" s="72">
        <v>1</v>
      </c>
      <c r="AG188" s="72">
        <v>1</v>
      </c>
      <c r="AH188" s="72">
        <v>1</v>
      </c>
      <c r="AI188" s="72">
        <v>1</v>
      </c>
      <c r="AJ188" s="249">
        <f t="shared" si="324"/>
        <v>60118.602240000007</v>
      </c>
      <c r="AK188" s="255">
        <f t="shared" si="325"/>
        <v>66130.462464000011</v>
      </c>
      <c r="AL188" s="255">
        <f t="shared" si="326"/>
        <v>72743.508710400012</v>
      </c>
      <c r="AM188" s="255">
        <f t="shared" si="327"/>
        <v>80017.859581440032</v>
      </c>
      <c r="AN188" s="256">
        <f t="shared" si="328"/>
        <v>88019.645539584031</v>
      </c>
      <c r="AO188" s="261">
        <f t="shared" ref="AO188:AO195" si="339">SUBTOTAL(9,AJ188:AN188)</f>
        <v>367030.07853542414</v>
      </c>
      <c r="AQ188" s="249">
        <f t="shared" si="329"/>
        <v>14428.464537600001</v>
      </c>
      <c r="AR188" s="151">
        <f t="shared" si="330"/>
        <v>45690.137702400003</v>
      </c>
      <c r="AS188" s="150">
        <f t="shared" si="331"/>
        <v>15871.310991360002</v>
      </c>
      <c r="AT188" s="151">
        <f t="shared" si="332"/>
        <v>50259.151472640006</v>
      </c>
      <c r="AU188" s="150">
        <f t="shared" si="333"/>
        <v>17458.442090496002</v>
      </c>
      <c r="AV188" s="151">
        <f t="shared" si="334"/>
        <v>55285.066619904013</v>
      </c>
      <c r="AW188" s="150">
        <f t="shared" si="335"/>
        <v>19204.286299545605</v>
      </c>
      <c r="AX188" s="151">
        <f t="shared" si="336"/>
        <v>60813.573281894423</v>
      </c>
      <c r="AY188" s="150">
        <f t="shared" si="337"/>
        <v>21124.714929500165</v>
      </c>
      <c r="AZ188" s="256">
        <f t="shared" si="338"/>
        <v>66894.930610083858</v>
      </c>
      <c r="BA188" s="249">
        <f t="shared" ref="BA188:BA195" si="340">+AQ188+AS188+AU188+AW188+AY188</f>
        <v>88087.218848501769</v>
      </c>
      <c r="BB188" s="256">
        <f t="shared" ref="BB188:BB195" si="341">+AR188+AT188+AV188+AX188+AZ188</f>
        <v>278942.85968692228</v>
      </c>
    </row>
    <row r="189" spans="2:55" s="35" customFormat="1" x14ac:dyDescent="0.2">
      <c r="B189" s="232" t="s">
        <v>85</v>
      </c>
      <c r="C189" s="232"/>
      <c r="D189" s="219">
        <v>5</v>
      </c>
      <c r="E189" s="219">
        <v>1</v>
      </c>
      <c r="F189" s="219" t="s">
        <v>270</v>
      </c>
      <c r="G189" s="219">
        <v>7</v>
      </c>
      <c r="H189" s="219"/>
      <c r="I189" s="72" t="str">
        <f t="shared" si="223"/>
        <v>5.1.a.7</v>
      </c>
      <c r="J189" s="72"/>
      <c r="K189" s="35" t="s">
        <v>384</v>
      </c>
      <c r="L189" s="73">
        <f t="shared" si="319"/>
        <v>338413.28040030674</v>
      </c>
      <c r="M189" s="308">
        <f t="shared" si="322"/>
        <v>81219.187296073622</v>
      </c>
      <c r="N189" s="309">
        <f t="shared" si="322"/>
        <v>257194.09310423312</v>
      </c>
      <c r="O189" s="306">
        <v>0.24</v>
      </c>
      <c r="P189" s="307">
        <f t="shared" si="323"/>
        <v>0.76</v>
      </c>
      <c r="Q189" s="248"/>
      <c r="R189" s="313">
        <f>+RRHHCDir.!F32</f>
        <v>1829231.0123028485</v>
      </c>
      <c r="S189" s="313">
        <f>coef18*1662937.28391168</f>
        <v>2012154.1135331332</v>
      </c>
      <c r="T189" s="313">
        <f>coef19*1662937.28391168</f>
        <v>2213369.524886447</v>
      </c>
      <c r="U189" s="313">
        <f>coef20*1662937.28391168</f>
        <v>2434706.477375092</v>
      </c>
      <c r="V189" s="314">
        <f>coef21*1662937.28391168</f>
        <v>2678177.1251126011</v>
      </c>
      <c r="W189" s="231"/>
      <c r="X189" s="401"/>
      <c r="Y189" s="401"/>
      <c r="Z189" s="404" t="s">
        <v>393</v>
      </c>
      <c r="AA189" s="315"/>
      <c r="AD189" s="72"/>
      <c r="AE189" s="72">
        <v>1</v>
      </c>
      <c r="AF189" s="72">
        <v>1</v>
      </c>
      <c r="AG189" s="72">
        <v>1</v>
      </c>
      <c r="AH189" s="72">
        <v>1</v>
      </c>
      <c r="AI189" s="72">
        <v>1</v>
      </c>
      <c r="AJ189" s="249">
        <f t="shared" si="324"/>
        <v>55431.242797056017</v>
      </c>
      <c r="AK189" s="255">
        <f t="shared" si="325"/>
        <v>60974.367076761613</v>
      </c>
      <c r="AL189" s="255">
        <f t="shared" si="326"/>
        <v>67071.803784437783</v>
      </c>
      <c r="AM189" s="255">
        <f t="shared" si="327"/>
        <v>73778.984162881578</v>
      </c>
      <c r="AN189" s="256">
        <f t="shared" si="328"/>
        <v>81156.882579169731</v>
      </c>
      <c r="AO189" s="261">
        <f t="shared" si="339"/>
        <v>338413.28040030668</v>
      </c>
      <c r="AQ189" s="249">
        <f t="shared" si="329"/>
        <v>13303.498271293443</v>
      </c>
      <c r="AR189" s="151">
        <f t="shared" si="330"/>
        <v>42127.744525762573</v>
      </c>
      <c r="AS189" s="150">
        <f t="shared" si="331"/>
        <v>14633.848098422786</v>
      </c>
      <c r="AT189" s="151">
        <f t="shared" si="332"/>
        <v>46340.518978338827</v>
      </c>
      <c r="AU189" s="150">
        <f t="shared" si="333"/>
        <v>16097.232908265067</v>
      </c>
      <c r="AV189" s="151">
        <f t="shared" si="334"/>
        <v>50974.570876172715</v>
      </c>
      <c r="AW189" s="150">
        <f t="shared" si="335"/>
        <v>17706.956199091579</v>
      </c>
      <c r="AX189" s="151">
        <f t="shared" si="336"/>
        <v>56072.027963790002</v>
      </c>
      <c r="AY189" s="150">
        <f t="shared" si="337"/>
        <v>19477.651819000734</v>
      </c>
      <c r="AZ189" s="256">
        <f t="shared" si="338"/>
        <v>61679.230760168997</v>
      </c>
      <c r="BA189" s="249">
        <f t="shared" si="340"/>
        <v>81219.187296073607</v>
      </c>
      <c r="BB189" s="256">
        <f t="shared" si="341"/>
        <v>257194.09310423309</v>
      </c>
    </row>
    <row r="190" spans="2:55" s="35" customFormat="1" x14ac:dyDescent="0.2">
      <c r="B190" s="232" t="s">
        <v>85</v>
      </c>
      <c r="C190" s="232"/>
      <c r="D190" s="219">
        <v>5</v>
      </c>
      <c r="E190" s="219">
        <v>1</v>
      </c>
      <c r="F190" s="219" t="s">
        <v>270</v>
      </c>
      <c r="G190" s="219">
        <v>9</v>
      </c>
      <c r="H190" s="219"/>
      <c r="I190" s="72" t="str">
        <f t="shared" si="223"/>
        <v>5.1.a.9</v>
      </c>
      <c r="J190" s="72"/>
      <c r="K190" s="35" t="s">
        <v>386</v>
      </c>
      <c r="L190" s="73">
        <f t="shared" si="319"/>
        <v>379874.18485247012</v>
      </c>
      <c r="M190" s="308">
        <f t="shared" si="322"/>
        <v>112765.65177345576</v>
      </c>
      <c r="N190" s="309">
        <f t="shared" si="322"/>
        <v>267108.53307901433</v>
      </c>
      <c r="O190" s="306">
        <v>0.29685</v>
      </c>
      <c r="P190" s="307">
        <f t="shared" si="323"/>
        <v>0.70314999999999994</v>
      </c>
      <c r="Q190" s="248"/>
      <c r="R190" s="313">
        <f>+RRHHCDir.!F40</f>
        <v>2053340.3384271367</v>
      </c>
      <c r="S190" s="313">
        <f>coef18*1866673.03493376</f>
        <v>2258674.3722698502</v>
      </c>
      <c r="T190" s="313">
        <f>coef19*1866673.03493376</f>
        <v>2484541.8094968353</v>
      </c>
      <c r="U190" s="313">
        <f>coef20*1866673.03493376</f>
        <v>2732995.9904465191</v>
      </c>
      <c r="V190" s="314">
        <f>coef21*1866673.03493376</f>
        <v>3006295.5894911713</v>
      </c>
      <c r="W190" s="231"/>
      <c r="X190" s="401"/>
      <c r="Y190" s="401"/>
      <c r="Z190" s="404" t="s">
        <v>395</v>
      </c>
      <c r="AA190" s="315"/>
      <c r="AD190" s="72"/>
      <c r="AE190" s="72">
        <v>1</v>
      </c>
      <c r="AF190" s="72">
        <v>1</v>
      </c>
      <c r="AG190" s="72">
        <v>1</v>
      </c>
      <c r="AH190" s="72">
        <v>1</v>
      </c>
      <c r="AI190" s="72">
        <v>1</v>
      </c>
      <c r="AJ190" s="249">
        <f t="shared" si="324"/>
        <v>62222.434497792019</v>
      </c>
      <c r="AK190" s="255">
        <f t="shared" si="325"/>
        <v>68444.677947571225</v>
      </c>
      <c r="AL190" s="255">
        <f t="shared" si="326"/>
        <v>75289.145742328343</v>
      </c>
      <c r="AM190" s="255">
        <f t="shared" si="327"/>
        <v>82818.060316561183</v>
      </c>
      <c r="AN190" s="256">
        <f t="shared" si="328"/>
        <v>91099.866348217314</v>
      </c>
      <c r="AO190" s="261">
        <f t="shared" si="339"/>
        <v>379874.18485247006</v>
      </c>
      <c r="AQ190" s="249">
        <f t="shared" si="329"/>
        <v>18470.729680669559</v>
      </c>
      <c r="AR190" s="151">
        <f t="shared" si="330"/>
        <v>43751.704817122452</v>
      </c>
      <c r="AS190" s="150">
        <f t="shared" si="331"/>
        <v>20317.802648736517</v>
      </c>
      <c r="AT190" s="151">
        <f t="shared" si="332"/>
        <v>48126.875298834704</v>
      </c>
      <c r="AU190" s="150">
        <f t="shared" si="333"/>
        <v>22349.582913610167</v>
      </c>
      <c r="AV190" s="151">
        <f t="shared" si="334"/>
        <v>52939.562828718168</v>
      </c>
      <c r="AW190" s="150">
        <f t="shared" si="335"/>
        <v>24584.541204971189</v>
      </c>
      <c r="AX190" s="151">
        <f t="shared" si="336"/>
        <v>58233.519111589994</v>
      </c>
      <c r="AY190" s="150">
        <f t="shared" si="337"/>
        <v>27042.99532546831</v>
      </c>
      <c r="AZ190" s="256">
        <f t="shared" si="338"/>
        <v>64056.871022749001</v>
      </c>
      <c r="BA190" s="249">
        <f t="shared" si="340"/>
        <v>112765.65177345574</v>
      </c>
      <c r="BB190" s="256">
        <f t="shared" si="341"/>
        <v>267108.53307901433</v>
      </c>
    </row>
    <row r="191" spans="2:55" s="46" customFormat="1" x14ac:dyDescent="0.25">
      <c r="B191" s="50" t="s">
        <v>85</v>
      </c>
      <c r="C191" s="33"/>
      <c r="D191" s="220">
        <v>5</v>
      </c>
      <c r="E191" s="220">
        <v>2</v>
      </c>
      <c r="F191" s="220">
        <v>0</v>
      </c>
      <c r="G191" s="220">
        <v>0</v>
      </c>
      <c r="H191" s="220">
        <v>0</v>
      </c>
      <c r="I191" s="33" t="str">
        <f t="shared" si="223"/>
        <v>5.2.0.0</v>
      </c>
      <c r="J191" s="33"/>
      <c r="K191" s="46" t="s">
        <v>417</v>
      </c>
      <c r="L191" s="47">
        <f>(SUM(Q191:V191)/$R$1)</f>
        <v>810860.68011208705</v>
      </c>
      <c r="M191" s="79">
        <f t="shared" ref="M191:Q191" si="342">SUM(M192:M194)</f>
        <v>124735.70000000001</v>
      </c>
      <c r="N191" s="236">
        <f>SUM(N192:N194)</f>
        <v>686124.98011208698</v>
      </c>
      <c r="O191" s="84"/>
      <c r="P191" s="85"/>
      <c r="Q191" s="79">
        <f t="shared" si="342"/>
        <v>0</v>
      </c>
      <c r="R191" s="236">
        <f>SUM(R192:R194)</f>
        <v>4106894.6669012574</v>
      </c>
      <c r="S191" s="236">
        <f t="shared" ref="S191:V191" si="343">SUM(S192:S194)</f>
        <v>4169684.9335913835</v>
      </c>
      <c r="T191" s="236">
        <f t="shared" si="343"/>
        <v>6236653.4269505227</v>
      </c>
      <c r="U191" s="236">
        <f t="shared" si="343"/>
        <v>5045318.7696455754</v>
      </c>
      <c r="V191" s="67">
        <f t="shared" si="343"/>
        <v>7199850.6466101333</v>
      </c>
      <c r="W191" s="49"/>
      <c r="X191" s="402"/>
      <c r="Y191" s="402"/>
      <c r="Z191" s="402"/>
      <c r="AA191" s="47"/>
      <c r="AJ191" s="79">
        <f t="shared" ref="AJ191:AZ191" si="344">SUM(AJ192:AJ194)</f>
        <v>124451.35354246234</v>
      </c>
      <c r="AK191" s="236">
        <f t="shared" si="344"/>
        <v>126354.08889670859</v>
      </c>
      <c r="AL191" s="236">
        <f t="shared" si="344"/>
        <v>188989.49778637948</v>
      </c>
      <c r="AM191" s="236">
        <f t="shared" si="344"/>
        <v>152888.44756501744</v>
      </c>
      <c r="AN191" s="67">
        <f t="shared" si="344"/>
        <v>218177.2923215192</v>
      </c>
      <c r="AO191" s="258">
        <f t="shared" si="339"/>
        <v>810860.68011208717</v>
      </c>
      <c r="AP191" s="139"/>
      <c r="AQ191" s="262">
        <f t="shared" si="344"/>
        <v>7000.0000000000009</v>
      </c>
      <c r="AR191" s="133">
        <f t="shared" si="344"/>
        <v>117451.35354246234</v>
      </c>
      <c r="AS191" s="132">
        <f t="shared" si="344"/>
        <v>7700.0000000000009</v>
      </c>
      <c r="AT191" s="133">
        <f t="shared" si="344"/>
        <v>118654.08889670859</v>
      </c>
      <c r="AU191" s="132">
        <f t="shared" si="344"/>
        <v>49470</v>
      </c>
      <c r="AV191" s="133">
        <f t="shared" si="344"/>
        <v>139519.49778637948</v>
      </c>
      <c r="AW191" s="132">
        <f t="shared" si="344"/>
        <v>9317.0000000000036</v>
      </c>
      <c r="AX191" s="133">
        <f t="shared" si="344"/>
        <v>143571.44756501744</v>
      </c>
      <c r="AY191" s="132">
        <f t="shared" si="344"/>
        <v>51248.700000000004</v>
      </c>
      <c r="AZ191" s="263">
        <f t="shared" si="344"/>
        <v>166928.59232151919</v>
      </c>
      <c r="BA191" s="262">
        <f t="shared" si="340"/>
        <v>124735.70000000001</v>
      </c>
      <c r="BB191" s="263">
        <f t="shared" si="341"/>
        <v>686124.9801120871</v>
      </c>
    </row>
    <row r="192" spans="2:55" s="35" customFormat="1" x14ac:dyDescent="0.25">
      <c r="B192" s="232" t="s">
        <v>85</v>
      </c>
      <c r="C192" s="232"/>
      <c r="D192" s="219">
        <v>5</v>
      </c>
      <c r="E192" s="219">
        <v>2</v>
      </c>
      <c r="F192" s="219" t="s">
        <v>270</v>
      </c>
      <c r="G192" s="219">
        <v>1</v>
      </c>
      <c r="H192" s="219"/>
      <c r="I192" s="232" t="str">
        <f t="shared" si="223"/>
        <v>5.2.a.1</v>
      </c>
      <c r="J192" s="72"/>
      <c r="K192" s="35" t="s">
        <v>418</v>
      </c>
      <c r="L192" s="315">
        <f>SUM(Q192:V192)/$R$1</f>
        <v>668124.98011208698</v>
      </c>
      <c r="M192" s="308">
        <f t="shared" ref="M192:N194" si="345">+O192*$L192</f>
        <v>0</v>
      </c>
      <c r="N192" s="309">
        <f t="shared" si="345"/>
        <v>668124.98011208698</v>
      </c>
      <c r="O192" s="306">
        <v>0</v>
      </c>
      <c r="P192" s="307">
        <f t="shared" ref="P192:P194" si="346">1-O192</f>
        <v>1</v>
      </c>
      <c r="Q192" s="248"/>
      <c r="R192" s="39">
        <f>(7200000-210000-3075356.06833613-1357246.65078*50%)*coef17+(9584*R1)</f>
        <v>3875894.6669012574</v>
      </c>
      <c r="S192" s="39">
        <f>(7200000-210000-3075356.06833613-1357246.65078*50%)*coef18</f>
        <v>3915584.9335913835</v>
      </c>
      <c r="T192" s="39">
        <f>(7200000-210000-3075356.06833613-1357246.65078*50%)*coef19</f>
        <v>4307143.4269505227</v>
      </c>
      <c r="U192" s="39">
        <f>(7200000-210000-3075356.06833613-1357246.65078*50%)*coef20</f>
        <v>4737857.7696455754</v>
      </c>
      <c r="V192" s="245">
        <f>(7200000-210000-3075356.06833613-1357246.65078*50%)*coef21</f>
        <v>5211643.5466101328</v>
      </c>
      <c r="W192" s="231"/>
      <c r="X192" s="401"/>
      <c r="Y192" s="401"/>
      <c r="Z192" s="401"/>
      <c r="AA192" s="315"/>
      <c r="AD192" s="72"/>
      <c r="AE192" s="72">
        <v>1</v>
      </c>
      <c r="AF192" s="72">
        <v>1</v>
      </c>
      <c r="AG192" s="72">
        <v>1</v>
      </c>
      <c r="AH192" s="72">
        <v>1</v>
      </c>
      <c r="AI192" s="72">
        <v>1</v>
      </c>
      <c r="AJ192" s="249">
        <f>+(R192+Q192)/$AJ$1</f>
        <v>117451.35354246234</v>
      </c>
      <c r="AK192" s="255">
        <f>+S192/$AK$1</f>
        <v>118654.08889670859</v>
      </c>
      <c r="AL192" s="255">
        <f>+T192/$AL$1</f>
        <v>130519.49778637948</v>
      </c>
      <c r="AM192" s="255">
        <f>+U192/$AM$1</f>
        <v>143571.44756501744</v>
      </c>
      <c r="AN192" s="256">
        <f>+V192/$AN$1</f>
        <v>157928.59232151919</v>
      </c>
      <c r="AO192" s="261">
        <f t="shared" si="339"/>
        <v>668124.9801120871</v>
      </c>
      <c r="AQ192" s="249">
        <f>+AJ192*$O192</f>
        <v>0</v>
      </c>
      <c r="AR192" s="151">
        <f>+AJ192*$P192</f>
        <v>117451.35354246234</v>
      </c>
      <c r="AS192" s="150">
        <f>+AK192*$O192</f>
        <v>0</v>
      </c>
      <c r="AT192" s="151">
        <f>+AK192*$P192</f>
        <v>118654.08889670859</v>
      </c>
      <c r="AU192" s="150">
        <f>+AL192*$O192</f>
        <v>0</v>
      </c>
      <c r="AV192" s="151">
        <f>+AL192*$P192</f>
        <v>130519.49778637948</v>
      </c>
      <c r="AW192" s="150">
        <f>+AM192*$O192</f>
        <v>0</v>
      </c>
      <c r="AX192" s="151">
        <f>+AM192*$P192</f>
        <v>143571.44756501744</v>
      </c>
      <c r="AY192" s="150">
        <f>+AN192*$O192</f>
        <v>0</v>
      </c>
      <c r="AZ192" s="256">
        <f>+AN192*$P192</f>
        <v>157928.59232151919</v>
      </c>
      <c r="BA192" s="249">
        <f t="shared" si="340"/>
        <v>0</v>
      </c>
      <c r="BB192" s="256">
        <f t="shared" si="341"/>
        <v>668124.9801120871</v>
      </c>
      <c r="BC192" s="35" t="s">
        <v>180</v>
      </c>
    </row>
    <row r="193" spans="2:55" s="35" customFormat="1" x14ac:dyDescent="0.25">
      <c r="B193" s="232" t="s">
        <v>85</v>
      </c>
      <c r="C193" s="232"/>
      <c r="D193" s="219">
        <v>5</v>
      </c>
      <c r="E193" s="219">
        <v>2</v>
      </c>
      <c r="F193" s="219" t="s">
        <v>270</v>
      </c>
      <c r="G193" s="219">
        <v>2</v>
      </c>
      <c r="H193" s="219"/>
      <c r="I193" s="232" t="str">
        <f t="shared" ref="I193:I194" si="347">CONCATENATE(D193,".",E193,".",F193,".",G193)</f>
        <v>5.2.a.2</v>
      </c>
      <c r="J193" s="72"/>
      <c r="K193" s="35" t="s">
        <v>181</v>
      </c>
      <c r="L193" s="315">
        <f t="shared" si="319"/>
        <v>42735.700000000012</v>
      </c>
      <c r="M193" s="308">
        <f t="shared" si="345"/>
        <v>42735.700000000012</v>
      </c>
      <c r="N193" s="309">
        <f t="shared" si="345"/>
        <v>0</v>
      </c>
      <c r="O193" s="306">
        <v>1</v>
      </c>
      <c r="P193" s="307">
        <f t="shared" si="346"/>
        <v>0</v>
      </c>
      <c r="Q193" s="248"/>
      <c r="R193" s="39">
        <f>210000*coef17</f>
        <v>231000.00000000003</v>
      </c>
      <c r="S193" s="39">
        <f>210000*coef18</f>
        <v>254100.00000000003</v>
      </c>
      <c r="T193" s="39">
        <f>210000*coef19</f>
        <v>279510.00000000006</v>
      </c>
      <c r="U193" s="39">
        <f>210000*coef20</f>
        <v>307461.00000000012</v>
      </c>
      <c r="V193" s="245">
        <f>210000*coef21</f>
        <v>338207.10000000015</v>
      </c>
      <c r="W193" s="231"/>
      <c r="X193" s="401"/>
      <c r="Y193" s="401"/>
      <c r="Z193" s="401"/>
      <c r="AA193" s="315"/>
      <c r="AD193" s="72"/>
      <c r="AE193" s="72">
        <v>1</v>
      </c>
      <c r="AF193" s="72">
        <v>1</v>
      </c>
      <c r="AG193" s="72">
        <v>1</v>
      </c>
      <c r="AH193" s="72">
        <v>1</v>
      </c>
      <c r="AI193" s="72">
        <v>1</v>
      </c>
      <c r="AJ193" s="249">
        <f>+(R193+Q193)/$AJ$1</f>
        <v>7000.0000000000009</v>
      </c>
      <c r="AK193" s="255">
        <f>+S193/$AK$1</f>
        <v>7700.0000000000009</v>
      </c>
      <c r="AL193" s="255">
        <f>+T193/$AL$1</f>
        <v>8470.0000000000018</v>
      </c>
      <c r="AM193" s="255">
        <f>+U193/$AM$1</f>
        <v>9317.0000000000036</v>
      </c>
      <c r="AN193" s="256">
        <f>+V193/$AN$1</f>
        <v>10248.700000000004</v>
      </c>
      <c r="AO193" s="261">
        <f t="shared" si="339"/>
        <v>42735.700000000012</v>
      </c>
      <c r="AQ193" s="249">
        <f>+AJ193*$O193</f>
        <v>7000.0000000000009</v>
      </c>
      <c r="AR193" s="151">
        <f>+AJ193*$P193</f>
        <v>0</v>
      </c>
      <c r="AS193" s="150">
        <f>+AK193*$O193</f>
        <v>7700.0000000000009</v>
      </c>
      <c r="AT193" s="151">
        <f>+AK193*$P193</f>
        <v>0</v>
      </c>
      <c r="AU193" s="150">
        <f>+AL193*$O193</f>
        <v>8470.0000000000018</v>
      </c>
      <c r="AV193" s="151">
        <f>+AL193*$P193</f>
        <v>0</v>
      </c>
      <c r="AW193" s="150">
        <f>+AM193*$O193</f>
        <v>9317.0000000000036</v>
      </c>
      <c r="AX193" s="151">
        <f>+AM193*$P193</f>
        <v>0</v>
      </c>
      <c r="AY193" s="150">
        <f>+AN193*$O193</f>
        <v>10248.700000000004</v>
      </c>
      <c r="AZ193" s="256">
        <f>+AN193*$P193</f>
        <v>0</v>
      </c>
      <c r="BA193" s="249">
        <f t="shared" si="340"/>
        <v>42735.700000000012</v>
      </c>
      <c r="BB193" s="256">
        <f t="shared" si="341"/>
        <v>0</v>
      </c>
      <c r="BC193" s="35" t="s">
        <v>182</v>
      </c>
    </row>
    <row r="194" spans="2:55" s="35" customFormat="1" x14ac:dyDescent="0.25">
      <c r="B194" s="232" t="s">
        <v>85</v>
      </c>
      <c r="C194" s="232"/>
      <c r="D194" s="219">
        <v>5</v>
      </c>
      <c r="E194" s="219">
        <v>2</v>
      </c>
      <c r="F194" s="219" t="s">
        <v>270</v>
      </c>
      <c r="G194" s="219">
        <v>3</v>
      </c>
      <c r="H194" s="219"/>
      <c r="I194" s="232" t="str">
        <f t="shared" si="347"/>
        <v>5.2.a.3</v>
      </c>
      <c r="J194" s="72"/>
      <c r="K194" s="35" t="s">
        <v>183</v>
      </c>
      <c r="L194" s="315">
        <f t="shared" si="319"/>
        <v>100000</v>
      </c>
      <c r="M194" s="308">
        <f t="shared" si="345"/>
        <v>82000</v>
      </c>
      <c r="N194" s="309">
        <f t="shared" si="345"/>
        <v>18000.000000000004</v>
      </c>
      <c r="O194" s="306">
        <v>0.82</v>
      </c>
      <c r="P194" s="307">
        <f t="shared" si="346"/>
        <v>0.18000000000000005</v>
      </c>
      <c r="Q194" s="248"/>
      <c r="R194" s="246"/>
      <c r="S194" s="246"/>
      <c r="T194" s="39">
        <f>50000*T1</f>
        <v>1650000</v>
      </c>
      <c r="U194" s="246"/>
      <c r="V194" s="245">
        <f>50000*V1</f>
        <v>1650000</v>
      </c>
      <c r="W194" s="231"/>
      <c r="X194" s="401" t="s">
        <v>273</v>
      </c>
      <c r="Y194" s="401"/>
      <c r="Z194" s="401"/>
      <c r="AA194" s="315"/>
      <c r="AD194" s="72"/>
      <c r="AE194" s="72"/>
      <c r="AF194" s="72"/>
      <c r="AG194" s="72">
        <v>1</v>
      </c>
      <c r="AH194" s="72"/>
      <c r="AI194" s="72">
        <v>1</v>
      </c>
      <c r="AJ194" s="249">
        <f>+(R194+Q194)/$AJ$1</f>
        <v>0</v>
      </c>
      <c r="AK194" s="255">
        <f>+S194/$AK$1</f>
        <v>0</v>
      </c>
      <c r="AL194" s="255">
        <f>+T194/$AL$1</f>
        <v>50000</v>
      </c>
      <c r="AM194" s="255">
        <f>+U194/$AM$1</f>
        <v>0</v>
      </c>
      <c r="AN194" s="256">
        <f>+V194/$AN$1</f>
        <v>50000</v>
      </c>
      <c r="AO194" s="261">
        <f t="shared" si="339"/>
        <v>100000</v>
      </c>
      <c r="AQ194" s="249">
        <f>+AJ194*$O194</f>
        <v>0</v>
      </c>
      <c r="AR194" s="151">
        <f>+AJ194*$P194</f>
        <v>0</v>
      </c>
      <c r="AS194" s="150">
        <f>+AK194*$O194</f>
        <v>0</v>
      </c>
      <c r="AT194" s="151">
        <f>+AK194*$P194</f>
        <v>0</v>
      </c>
      <c r="AU194" s="150">
        <f>+AL194*$O194</f>
        <v>41000</v>
      </c>
      <c r="AV194" s="151">
        <f>+AL194*$P194</f>
        <v>9000.0000000000018</v>
      </c>
      <c r="AW194" s="150">
        <f>+AM194*$O194</f>
        <v>0</v>
      </c>
      <c r="AX194" s="151">
        <f>+AM194*$P194</f>
        <v>0</v>
      </c>
      <c r="AY194" s="150">
        <f>+AN194*$O194</f>
        <v>41000</v>
      </c>
      <c r="AZ194" s="256">
        <f>+AN194*$P194</f>
        <v>9000.0000000000018</v>
      </c>
      <c r="BA194" s="249">
        <f t="shared" si="340"/>
        <v>82000</v>
      </c>
      <c r="BB194" s="256">
        <f t="shared" si="341"/>
        <v>18000.000000000004</v>
      </c>
      <c r="BC194" s="35" t="s">
        <v>184</v>
      </c>
    </row>
    <row r="195" spans="2:55" s="58" customFormat="1" x14ac:dyDescent="0.25">
      <c r="D195" s="198"/>
      <c r="E195" s="198"/>
      <c r="F195" s="198"/>
      <c r="G195" s="198"/>
      <c r="H195" s="198"/>
      <c r="I195" s="233"/>
      <c r="J195" s="233"/>
      <c r="K195" s="58" t="s">
        <v>124</v>
      </c>
      <c r="L195" s="59">
        <f>(SUM(Q195:V195)/$R$1)</f>
        <v>74699999.867796436</v>
      </c>
      <c r="M195" s="81">
        <f t="shared" ref="M195:V195" si="348">+M181+M121+M48+M29+M4</f>
        <v>50000000.172550343</v>
      </c>
      <c r="N195" s="285">
        <f t="shared" si="348"/>
        <v>24699999.695246097</v>
      </c>
      <c r="O195" s="269"/>
      <c r="P195" s="270"/>
      <c r="Q195" s="81">
        <f t="shared" si="348"/>
        <v>84121685</v>
      </c>
      <c r="R195" s="285">
        <f t="shared" si="348"/>
        <v>458543757.2726149</v>
      </c>
      <c r="S195" s="285">
        <f t="shared" si="348"/>
        <v>390189396.41194081</v>
      </c>
      <c r="T195" s="285">
        <f t="shared" si="348"/>
        <v>521301342.15572023</v>
      </c>
      <c r="U195" s="285">
        <f t="shared" si="348"/>
        <v>499193172.16167331</v>
      </c>
      <c r="V195" s="76">
        <f t="shared" si="348"/>
        <v>511750642.63533312</v>
      </c>
      <c r="W195" s="74">
        <f>SUM(Q195:V195)</f>
        <v>2465099995.6372824</v>
      </c>
      <c r="X195" s="397"/>
      <c r="Y195" s="397"/>
      <c r="Z195" s="397"/>
      <c r="AA195" s="234"/>
      <c r="AB195" s="229"/>
      <c r="AJ195" s="81">
        <f>+AJ181+AJ121+AJ48+AJ29+AJ4</f>
        <v>16444407.341594391</v>
      </c>
      <c r="AK195" s="285">
        <f>+AK181+AK121+AK48+AK29+AK4</f>
        <v>11823921.103392145</v>
      </c>
      <c r="AL195" s="285">
        <f>+AL181+AL121+AL48+AL29+AL4</f>
        <v>15797010.368355162</v>
      </c>
      <c r="AM195" s="285">
        <f>+AM181+AM121+AM48+AM29+AM4</f>
        <v>15127065.823081011</v>
      </c>
      <c r="AN195" s="76">
        <f>+AN181+AN121+AN48+AN29+AN4</f>
        <v>15507595.231373731</v>
      </c>
      <c r="AO195" s="286">
        <f t="shared" si="339"/>
        <v>74699999.867796436</v>
      </c>
      <c r="AP195" s="138"/>
      <c r="AQ195" s="287">
        <f t="shared" ref="AQ195:AZ195" si="349">+AQ181+AQ121+AQ48+AQ29+AQ4</f>
        <v>10075613.717213256</v>
      </c>
      <c r="AR195" s="153">
        <f t="shared" si="349"/>
        <v>6368793.6243811361</v>
      </c>
      <c r="AS195" s="152">
        <f t="shared" si="349"/>
        <v>7889907.0312511213</v>
      </c>
      <c r="AT195" s="153">
        <f t="shared" si="349"/>
        <v>3934014.0721410243</v>
      </c>
      <c r="AU195" s="152">
        <f t="shared" si="349"/>
        <v>11250736.975763263</v>
      </c>
      <c r="AV195" s="153">
        <f t="shared" si="349"/>
        <v>4546273.3925919002</v>
      </c>
      <c r="AW195" s="152">
        <f t="shared" si="349"/>
        <v>10352914.755173996</v>
      </c>
      <c r="AX195" s="153">
        <f t="shared" si="349"/>
        <v>4774151.0679070139</v>
      </c>
      <c r="AY195" s="152">
        <f t="shared" si="349"/>
        <v>10430828.693148712</v>
      </c>
      <c r="AZ195" s="288">
        <f t="shared" si="349"/>
        <v>5076766.5382250184</v>
      </c>
      <c r="BA195" s="287">
        <f t="shared" si="340"/>
        <v>50000001.172550343</v>
      </c>
      <c r="BB195" s="288">
        <f t="shared" si="341"/>
        <v>24699998.695246093</v>
      </c>
    </row>
    <row r="196" spans="2:55" s="342" customFormat="1" x14ac:dyDescent="0.25">
      <c r="D196" s="359"/>
      <c r="E196" s="359"/>
      <c r="F196" s="359"/>
      <c r="G196" s="359"/>
      <c r="H196" s="359"/>
      <c r="I196" s="345"/>
      <c r="J196" s="345"/>
      <c r="L196" s="328"/>
      <c r="M196" s="299"/>
      <c r="N196" s="299"/>
      <c r="O196" s="298"/>
      <c r="P196" s="298"/>
      <c r="Q196" s="299"/>
      <c r="R196" s="299"/>
      <c r="S196" s="299"/>
      <c r="T196" s="299"/>
      <c r="U196" s="299"/>
      <c r="V196" s="299"/>
      <c r="W196" s="366"/>
      <c r="AA196" s="328"/>
      <c r="AB196" s="327"/>
      <c r="AJ196" s="299"/>
      <c r="AK196" s="299"/>
      <c r="AL196" s="299"/>
      <c r="AM196" s="299"/>
      <c r="AN196" s="299"/>
      <c r="AO196" s="299"/>
      <c r="AP196" s="299"/>
      <c r="AQ196" s="328"/>
      <c r="AR196" s="328"/>
      <c r="AS196" s="328"/>
      <c r="AT196" s="328"/>
      <c r="AU196" s="328"/>
      <c r="AV196" s="328"/>
      <c r="AW196" s="328"/>
      <c r="AX196" s="328"/>
      <c r="AY196" s="328"/>
      <c r="AZ196" s="328"/>
      <c r="BA196" s="328"/>
      <c r="BB196" s="328"/>
    </row>
    <row r="197" spans="2:55" s="342" customFormat="1" x14ac:dyDescent="0.25">
      <c r="D197" s="359"/>
      <c r="E197" s="359"/>
      <c r="F197" s="359"/>
      <c r="G197" s="359"/>
      <c r="H197" s="359"/>
      <c r="I197" s="345"/>
      <c r="J197" s="345"/>
      <c r="L197" s="328"/>
      <c r="M197" s="299"/>
      <c r="N197" s="299"/>
      <c r="O197" s="298"/>
      <c r="P197" s="298"/>
      <c r="Q197" s="299"/>
      <c r="R197" s="299"/>
      <c r="S197" s="299"/>
      <c r="T197" s="299"/>
      <c r="U197" s="299"/>
      <c r="V197" s="299"/>
      <c r="W197" s="366"/>
      <c r="AA197" s="328"/>
      <c r="AB197" s="327"/>
      <c r="AJ197" s="299"/>
      <c r="AK197" s="299"/>
      <c r="AL197" s="299"/>
      <c r="AM197" s="299"/>
      <c r="AN197" s="299"/>
      <c r="AO197" s="299"/>
      <c r="AP197" s="299"/>
      <c r="AQ197" s="328"/>
      <c r="AR197" s="328"/>
      <c r="AS197" s="328"/>
      <c r="AT197" s="328"/>
      <c r="AU197" s="328"/>
      <c r="AV197" s="328"/>
      <c r="AW197" s="328"/>
      <c r="AX197" s="328"/>
      <c r="AY197" s="328"/>
      <c r="AZ197" s="328"/>
      <c r="BA197" s="328"/>
      <c r="BB197" s="328"/>
    </row>
    <row r="198" spans="2:55" s="342" customFormat="1" x14ac:dyDescent="0.25">
      <c r="D198" s="359"/>
      <c r="E198" s="359"/>
      <c r="F198" s="359"/>
      <c r="G198" s="359"/>
      <c r="H198" s="359"/>
      <c r="I198" s="345"/>
      <c r="J198" s="345"/>
      <c r="L198" s="328"/>
      <c r="M198" s="299"/>
      <c r="N198" s="299"/>
      <c r="O198" s="298"/>
      <c r="P198" s="298"/>
      <c r="Q198" s="299"/>
      <c r="R198" s="299"/>
      <c r="S198" s="299"/>
      <c r="T198" s="299"/>
      <c r="U198" s="299"/>
      <c r="V198" s="299"/>
      <c r="W198" s="366"/>
      <c r="AA198" s="328"/>
      <c r="AB198" s="327"/>
      <c r="AJ198" s="299"/>
      <c r="AK198" s="299"/>
      <c r="AL198" s="299"/>
      <c r="AM198" s="299"/>
      <c r="AN198" s="299"/>
      <c r="AO198" s="299"/>
      <c r="AP198" s="299"/>
      <c r="AQ198" s="328"/>
      <c r="AR198" s="328"/>
      <c r="AS198" s="328"/>
      <c r="AT198" s="328"/>
      <c r="AU198" s="328"/>
      <c r="AV198" s="328"/>
      <c r="AW198" s="328"/>
      <c r="AX198" s="328"/>
      <c r="AY198" s="328"/>
      <c r="AZ198" s="328"/>
      <c r="BA198" s="328"/>
      <c r="BB198" s="328"/>
    </row>
    <row r="199" spans="2:55" s="342" customFormat="1" x14ac:dyDescent="0.25">
      <c r="D199" s="359"/>
      <c r="E199" s="359"/>
      <c r="F199" s="359"/>
      <c r="G199" s="359"/>
      <c r="H199" s="359"/>
      <c r="I199" s="345"/>
      <c r="J199" s="345"/>
      <c r="L199" s="328"/>
      <c r="M199" s="299"/>
      <c r="N199" s="299"/>
      <c r="O199" s="298"/>
      <c r="P199" s="298"/>
      <c r="Q199" s="299"/>
      <c r="R199" s="299"/>
      <c r="S199" s="299"/>
      <c r="T199" s="299"/>
      <c r="U199" s="299"/>
      <c r="V199" s="299"/>
      <c r="W199" s="366"/>
      <c r="AA199" s="328"/>
      <c r="AB199" s="327"/>
      <c r="AJ199" s="299"/>
      <c r="AK199" s="299"/>
      <c r="AL199" s="299"/>
      <c r="AM199" s="299"/>
      <c r="AN199" s="299"/>
      <c r="AO199" s="299"/>
      <c r="AP199" s="299"/>
      <c r="AQ199" s="328"/>
      <c r="AR199" s="328"/>
      <c r="AS199" s="328"/>
      <c r="AT199" s="328"/>
      <c r="AU199" s="328"/>
      <c r="AV199" s="328"/>
      <c r="AW199" s="328"/>
      <c r="AX199" s="328"/>
      <c r="AY199" s="328"/>
      <c r="AZ199" s="328"/>
      <c r="BA199" s="328"/>
      <c r="BB199" s="328"/>
    </row>
    <row r="200" spans="2:55" s="342" customFormat="1" x14ac:dyDescent="0.25">
      <c r="D200" s="359"/>
      <c r="E200" s="359"/>
      <c r="F200" s="359"/>
      <c r="G200" s="359"/>
      <c r="H200" s="359"/>
      <c r="I200" s="345"/>
      <c r="J200" s="345"/>
      <c r="K200" s="342" t="s">
        <v>419</v>
      </c>
      <c r="L200" s="328"/>
      <c r="M200" s="356">
        <v>50000000</v>
      </c>
      <c r="N200" s="327"/>
      <c r="O200" s="298"/>
      <c r="P200" s="298"/>
      <c r="Q200" s="328">
        <v>84121685</v>
      </c>
      <c r="R200" s="299">
        <f>457000000-163000000</f>
        <v>294000000</v>
      </c>
      <c r="S200" s="299">
        <v>457000000</v>
      </c>
      <c r="T200" s="299">
        <v>457000000</v>
      </c>
      <c r="U200" s="299">
        <v>457000000</v>
      </c>
      <c r="V200" s="299">
        <v>457000000</v>
      </c>
      <c r="W200" s="362">
        <f>SUM(Q200:V200)</f>
        <v>2206121685</v>
      </c>
      <c r="AA200" s="328"/>
      <c r="AB200" s="327"/>
      <c r="AJ200" s="328"/>
      <c r="AK200" s="328"/>
      <c r="AL200" s="328"/>
      <c r="AM200" s="328"/>
      <c r="AN200" s="328"/>
      <c r="AO200" s="328"/>
      <c r="AQ200" s="328"/>
      <c r="AR200" s="328"/>
      <c r="AS200" s="328"/>
      <c r="AT200" s="328"/>
      <c r="AU200" s="328"/>
      <c r="AV200" s="328"/>
      <c r="AW200" s="328"/>
      <c r="AX200" s="328"/>
      <c r="AY200" s="328"/>
      <c r="AZ200" s="328"/>
      <c r="BA200" s="328"/>
      <c r="BB200" s="328"/>
    </row>
    <row r="201" spans="2:55" s="342" customFormat="1" x14ac:dyDescent="0.25">
      <c r="D201" s="359"/>
      <c r="E201" s="359"/>
      <c r="F201" s="359"/>
      <c r="G201" s="359"/>
      <c r="H201" s="359"/>
      <c r="I201" s="345"/>
      <c r="J201" s="345"/>
      <c r="K201" s="342" t="s">
        <v>429</v>
      </c>
      <c r="L201" s="328"/>
      <c r="M201" s="356">
        <f>+M200-M195</f>
        <v>-0.17255034297704697</v>
      </c>
      <c r="N201" s="327"/>
      <c r="O201" s="298"/>
      <c r="P201" s="298"/>
      <c r="Q201" s="328"/>
      <c r="R201" s="299">
        <f>-R211</f>
        <v>43123188.175868846</v>
      </c>
      <c r="S201" s="299">
        <f t="shared" ref="S201:W201" si="350">-S211</f>
        <v>50473731.614937387</v>
      </c>
      <c r="T201" s="299">
        <f t="shared" si="350"/>
        <v>50473731.614937387</v>
      </c>
      <c r="U201" s="299">
        <f t="shared" si="350"/>
        <v>50473731.614937387</v>
      </c>
      <c r="V201" s="299">
        <f t="shared" si="350"/>
        <v>50473731.614937387</v>
      </c>
      <c r="W201" s="299">
        <f t="shared" si="350"/>
        <v>245018114.63561842</v>
      </c>
      <c r="AA201" s="328"/>
      <c r="AB201" s="327"/>
      <c r="AJ201" s="328"/>
      <c r="AK201" s="328"/>
      <c r="AL201" s="328"/>
      <c r="AM201" s="328"/>
      <c r="AN201" s="328"/>
      <c r="AO201" s="328"/>
      <c r="AQ201" s="328"/>
      <c r="AR201" s="328"/>
      <c r="AS201" s="328"/>
      <c r="AT201" s="328"/>
      <c r="AU201" s="328"/>
      <c r="AV201" s="328"/>
      <c r="AW201" s="328"/>
      <c r="AX201" s="328"/>
      <c r="AY201" s="328"/>
      <c r="AZ201" s="328"/>
      <c r="BA201" s="328"/>
      <c r="BB201" s="328"/>
    </row>
    <row r="202" spans="2:55" s="377" customFormat="1" x14ac:dyDescent="0.25">
      <c r="D202" s="378"/>
      <c r="E202" s="378"/>
      <c r="F202" s="378"/>
      <c r="G202" s="378"/>
      <c r="H202" s="378"/>
      <c r="I202" s="346"/>
      <c r="J202" s="346"/>
      <c r="K202" s="377" t="s">
        <v>430</v>
      </c>
      <c r="L202" s="329"/>
      <c r="M202" s="327"/>
      <c r="N202" s="327"/>
      <c r="O202" s="298"/>
      <c r="P202" s="298"/>
      <c r="Q202" s="329">
        <f>+Q201+Q200</f>
        <v>84121685</v>
      </c>
      <c r="R202" s="329">
        <f t="shared" ref="R202:X202" si="351">+R201+R200</f>
        <v>337123188.17586887</v>
      </c>
      <c r="S202" s="329">
        <f t="shared" si="351"/>
        <v>507473731.61493737</v>
      </c>
      <c r="T202" s="329">
        <f t="shared" si="351"/>
        <v>507473731.61493737</v>
      </c>
      <c r="U202" s="329">
        <f t="shared" si="351"/>
        <v>507473731.61493737</v>
      </c>
      <c r="V202" s="329">
        <f t="shared" si="351"/>
        <v>507473731.61493737</v>
      </c>
      <c r="W202" s="329">
        <f t="shared" si="351"/>
        <v>2451139799.6356182</v>
      </c>
      <c r="X202" s="329">
        <f t="shared" si="351"/>
        <v>0</v>
      </c>
      <c r="AA202" s="329"/>
      <c r="AB202" s="327"/>
      <c r="AJ202" s="329"/>
      <c r="AK202" s="329"/>
      <c r="AL202" s="329"/>
      <c r="AM202" s="329"/>
      <c r="AN202" s="329"/>
      <c r="AO202" s="329"/>
      <c r="AQ202" s="329"/>
      <c r="AR202" s="329"/>
      <c r="AS202" s="329"/>
      <c r="AT202" s="329"/>
      <c r="AU202" s="329"/>
      <c r="AV202" s="329"/>
      <c r="AW202" s="329"/>
      <c r="AX202" s="329"/>
      <c r="AY202" s="329"/>
      <c r="AZ202" s="329"/>
      <c r="BA202" s="329"/>
      <c r="BB202" s="329"/>
    </row>
    <row r="203" spans="2:55" s="333" customFormat="1" x14ac:dyDescent="0.25">
      <c r="D203" s="358"/>
      <c r="E203" s="358"/>
      <c r="F203" s="359"/>
      <c r="G203" s="358"/>
      <c r="H203" s="358"/>
      <c r="I203" s="342"/>
      <c r="J203" s="337"/>
      <c r="L203" s="380"/>
      <c r="M203" s="336"/>
      <c r="N203" s="331">
        <f>+N83+N144+N182</f>
        <v>7558948.0160458926</v>
      </c>
      <c r="O203" s="330"/>
      <c r="P203" s="330"/>
      <c r="Q203" s="381"/>
      <c r="R203" s="332">
        <v>0.1</v>
      </c>
      <c r="S203" s="332">
        <v>0.1</v>
      </c>
      <c r="T203" s="332">
        <v>0.1</v>
      </c>
      <c r="U203" s="332">
        <v>0.1</v>
      </c>
      <c r="V203" s="332">
        <v>0.1</v>
      </c>
      <c r="W203" s="362">
        <f>+W195-W200</f>
        <v>258978310.63728237</v>
      </c>
      <c r="AA203" s="380"/>
      <c r="AP203" s="342"/>
      <c r="AQ203" s="380"/>
      <c r="AR203" s="380"/>
      <c r="AS203" s="380"/>
      <c r="AT203" s="380"/>
      <c r="AU203" s="380"/>
      <c r="AV203" s="380"/>
      <c r="AW203" s="380"/>
      <c r="AX203" s="380"/>
      <c r="AY203" s="380"/>
      <c r="AZ203" s="380"/>
      <c r="BA203" s="380"/>
      <c r="BB203" s="380"/>
      <c r="BC203" s="379" t="s">
        <v>185</v>
      </c>
    </row>
    <row r="204" spans="2:55" s="333" customFormat="1" x14ac:dyDescent="0.25">
      <c r="D204" s="358"/>
      <c r="E204" s="358"/>
      <c r="F204" s="359"/>
      <c r="G204" s="358"/>
      <c r="H204" s="358"/>
      <c r="I204" s="342"/>
      <c r="J204" s="337"/>
      <c r="L204" s="380"/>
      <c r="M204" s="336"/>
      <c r="N204" s="334">
        <f>+M201/N203</f>
        <v>-2.2827295889687642E-8</v>
      </c>
      <c r="O204" s="330"/>
      <c r="P204" s="330"/>
      <c r="Q204" s="381"/>
      <c r="R204" s="335">
        <f>R203+1</f>
        <v>1.1000000000000001</v>
      </c>
      <c r="S204" s="335">
        <f>R204*(1+S203)</f>
        <v>1.2100000000000002</v>
      </c>
      <c r="T204" s="335">
        <f>S204*(1+T203)</f>
        <v>1.3310000000000004</v>
      </c>
      <c r="U204" s="335">
        <f>T204*(1+U203)</f>
        <v>1.4641000000000006</v>
      </c>
      <c r="V204" s="335">
        <f>U204*(1+V203)</f>
        <v>1.6105100000000008</v>
      </c>
      <c r="W204" s="335"/>
      <c r="AA204" s="380"/>
      <c r="AP204" s="342"/>
      <c r="AQ204" s="380"/>
      <c r="AR204" s="380"/>
      <c r="AS204" s="380"/>
      <c r="AT204" s="380"/>
      <c r="AU204" s="380"/>
      <c r="AV204" s="380"/>
      <c r="AW204" s="380"/>
      <c r="AX204" s="380"/>
      <c r="AY204" s="380"/>
      <c r="AZ204" s="380"/>
      <c r="BA204" s="380"/>
      <c r="BB204" s="380"/>
      <c r="BC204" s="379" t="s">
        <v>186</v>
      </c>
    </row>
    <row r="205" spans="2:55" s="333" customFormat="1" x14ac:dyDescent="0.25">
      <c r="D205" s="358"/>
      <c r="E205" s="358"/>
      <c r="F205" s="359"/>
      <c r="G205" s="358"/>
      <c r="H205" s="358"/>
      <c r="I205" s="342"/>
      <c r="J205" s="337"/>
      <c r="L205" s="380"/>
      <c r="M205" s="336"/>
      <c r="N205" s="336"/>
      <c r="O205" s="330"/>
      <c r="P205" s="330"/>
      <c r="Q205" s="381"/>
      <c r="R205" s="332">
        <v>0</v>
      </c>
      <c r="S205" s="332">
        <v>0.08</v>
      </c>
      <c r="T205" s="332">
        <v>0.08</v>
      </c>
      <c r="U205" s="332">
        <v>0.08</v>
      </c>
      <c r="V205" s="332">
        <v>0.08</v>
      </c>
      <c r="W205" s="332"/>
      <c r="AA205" s="380"/>
      <c r="AP205" s="342"/>
      <c r="AQ205" s="380"/>
      <c r="AR205" s="380"/>
      <c r="AS205" s="380"/>
      <c r="AT205" s="380"/>
      <c r="AU205" s="380"/>
      <c r="AV205" s="380"/>
      <c r="AW205" s="380"/>
      <c r="AX205" s="380"/>
      <c r="AY205" s="380"/>
      <c r="AZ205" s="380"/>
      <c r="BA205" s="380"/>
      <c r="BB205" s="380"/>
      <c r="BC205" s="379" t="s">
        <v>187</v>
      </c>
    </row>
    <row r="206" spans="2:55" s="333" customFormat="1" x14ac:dyDescent="0.25">
      <c r="D206" s="358"/>
      <c r="E206" s="358"/>
      <c r="F206" s="359"/>
      <c r="G206" s="358"/>
      <c r="H206" s="358"/>
      <c r="I206" s="342"/>
      <c r="J206" s="337"/>
      <c r="L206" s="380"/>
      <c r="M206" s="336"/>
      <c r="N206" s="336"/>
      <c r="O206" s="330"/>
      <c r="P206" s="330"/>
      <c r="Q206" s="381"/>
      <c r="R206" s="335">
        <f>R205+1</f>
        <v>1</v>
      </c>
      <c r="S206" s="335">
        <f>R206*(1+S205)</f>
        <v>1.08</v>
      </c>
      <c r="T206" s="335">
        <f>S206*(1+T205)</f>
        <v>1.1664000000000001</v>
      </c>
      <c r="U206" s="335">
        <f>T206*(1+U205)</f>
        <v>1.2597120000000002</v>
      </c>
      <c r="V206" s="335">
        <f>U206*(1+V205)</f>
        <v>1.3604889600000003</v>
      </c>
      <c r="W206" s="335"/>
      <c r="AA206" s="380"/>
      <c r="AP206" s="342"/>
      <c r="AQ206" s="380"/>
      <c r="AR206" s="380"/>
      <c r="AS206" s="380"/>
      <c r="AT206" s="380"/>
      <c r="AU206" s="380"/>
      <c r="AV206" s="380"/>
      <c r="AW206" s="380"/>
      <c r="AX206" s="380"/>
      <c r="AY206" s="380"/>
      <c r="AZ206" s="380"/>
      <c r="BA206" s="380"/>
      <c r="BB206" s="380"/>
      <c r="BC206" s="379" t="s">
        <v>188</v>
      </c>
    </row>
    <row r="207" spans="2:55" s="239" customFormat="1" x14ac:dyDescent="0.25">
      <c r="D207" s="382"/>
      <c r="E207" s="382"/>
      <c r="F207" s="383"/>
      <c r="G207" s="382"/>
      <c r="H207" s="382"/>
      <c r="I207" s="246"/>
      <c r="J207" s="235"/>
      <c r="L207" s="385"/>
      <c r="M207" s="238"/>
      <c r="N207" s="238"/>
      <c r="O207" s="90"/>
      <c r="P207" s="90"/>
      <c r="Q207" s="386"/>
      <c r="R207" s="250">
        <v>-0.05</v>
      </c>
      <c r="W207" s="235"/>
      <c r="X207" s="333"/>
      <c r="Y207" s="333"/>
      <c r="Z207" s="333"/>
      <c r="AA207" s="385"/>
      <c r="AP207" s="246"/>
      <c r="AQ207" s="385"/>
      <c r="AR207" s="385"/>
      <c r="AS207" s="385"/>
      <c r="AT207" s="385"/>
      <c r="AU207" s="385"/>
      <c r="AV207" s="385"/>
      <c r="AW207" s="385"/>
      <c r="AX207" s="385"/>
      <c r="AY207" s="385"/>
      <c r="AZ207" s="385"/>
      <c r="BA207" s="385"/>
      <c r="BB207" s="385"/>
      <c r="BC207" s="384" t="s">
        <v>189</v>
      </c>
    </row>
    <row r="208" spans="2:55" s="239" customFormat="1" x14ac:dyDescent="0.25">
      <c r="D208" s="382"/>
      <c r="E208" s="382"/>
      <c r="F208" s="383"/>
      <c r="G208" s="382"/>
      <c r="H208" s="382"/>
      <c r="I208" s="246"/>
      <c r="J208" s="235"/>
      <c r="L208" s="385"/>
      <c r="M208" s="238"/>
      <c r="N208" s="238"/>
      <c r="O208" s="90"/>
      <c r="P208" s="90"/>
      <c r="Q208" s="386">
        <f>+R195-R202</f>
        <v>121420569.09674603</v>
      </c>
      <c r="R208" s="250">
        <f>1/(1+5.5%)*(1+5.5%*80%)-1</f>
        <v>-1.0426540284360186E-2</v>
      </c>
      <c r="W208" s="235"/>
      <c r="X208" s="333"/>
      <c r="Y208" s="333"/>
      <c r="Z208" s="333"/>
      <c r="AA208" s="385"/>
      <c r="AP208" s="246"/>
      <c r="AQ208" s="385"/>
      <c r="AR208" s="385"/>
      <c r="AS208" s="385"/>
      <c r="AT208" s="385"/>
      <c r="AU208" s="385"/>
      <c r="AV208" s="385"/>
      <c r="AW208" s="385"/>
      <c r="AX208" s="385"/>
      <c r="AY208" s="385"/>
      <c r="AZ208" s="385"/>
      <c r="BA208" s="385"/>
      <c r="BB208" s="385"/>
      <c r="BC208" s="384" t="s">
        <v>190</v>
      </c>
    </row>
    <row r="209" spans="2:55" s="342" customFormat="1" x14ac:dyDescent="0.25">
      <c r="D209" s="358"/>
      <c r="E209" s="358"/>
      <c r="F209" s="359"/>
      <c r="G209" s="358"/>
      <c r="H209" s="358"/>
      <c r="J209" s="345"/>
      <c r="L209" s="328"/>
      <c r="M209" s="340"/>
      <c r="N209" s="340"/>
      <c r="O209" s="339"/>
      <c r="P209" s="339"/>
      <c r="Q209" s="361"/>
      <c r="R209" s="341">
        <f>7289517/41799519</f>
        <v>0.17439236561549906</v>
      </c>
      <c r="W209" s="345"/>
      <c r="AA209" s="328"/>
      <c r="AQ209" s="328"/>
      <c r="AR209" s="328"/>
      <c r="AS209" s="328"/>
      <c r="AT209" s="328"/>
      <c r="AU209" s="328"/>
      <c r="AV209" s="328"/>
      <c r="AW209" s="328"/>
      <c r="AX209" s="328"/>
      <c r="AY209" s="328"/>
      <c r="AZ209" s="328"/>
      <c r="BA209" s="328"/>
      <c r="BB209" s="328"/>
      <c r="BC209" s="360" t="s">
        <v>191</v>
      </c>
    </row>
    <row r="210" spans="2:55" s="342" customFormat="1" x14ac:dyDescent="0.25">
      <c r="D210" s="358"/>
      <c r="E210" s="358"/>
      <c r="F210" s="359"/>
      <c r="G210" s="358"/>
      <c r="H210" s="358"/>
      <c r="J210" s="345"/>
      <c r="L210" s="328"/>
      <c r="M210" s="340"/>
      <c r="N210" s="340"/>
      <c r="O210" s="339"/>
      <c r="P210" s="339"/>
      <c r="Q210" s="361"/>
      <c r="R210" s="343">
        <v>1</v>
      </c>
      <c r="W210" s="345"/>
      <c r="AA210" s="328"/>
      <c r="AQ210" s="328"/>
      <c r="AR210" s="328"/>
      <c r="AS210" s="328"/>
      <c r="AT210" s="328"/>
      <c r="AU210" s="328"/>
      <c r="AV210" s="328"/>
      <c r="AW210" s="328"/>
      <c r="AX210" s="328"/>
      <c r="AY210" s="328"/>
      <c r="AZ210" s="328"/>
      <c r="BA210" s="328"/>
      <c r="BB210" s="328"/>
      <c r="BC210" s="360" t="s">
        <v>192</v>
      </c>
    </row>
    <row r="211" spans="2:55" s="342" customFormat="1" x14ac:dyDescent="0.25">
      <c r="D211" s="358"/>
      <c r="E211" s="358"/>
      <c r="F211" s="359"/>
      <c r="G211" s="358"/>
      <c r="H211" s="358"/>
      <c r="J211" s="345"/>
      <c r="L211" s="328"/>
      <c r="M211" s="345"/>
      <c r="N211" s="345"/>
      <c r="O211" s="344"/>
      <c r="P211" s="344"/>
      <c r="Q211" s="362"/>
      <c r="R211" s="299">
        <f>-R244*pesobidobras/(1+ivabidobras)*ivabidobras</f>
        <v>-43123188.175868846</v>
      </c>
      <c r="S211" s="299">
        <f>-S244*pesobidobras/(1+ivabidobras)*ivabidobras</f>
        <v>-50473731.614937387</v>
      </c>
      <c r="T211" s="299">
        <f>-T244*pesobidobras/(1+ivabidobras)*ivabidobras</f>
        <v>-50473731.614937387</v>
      </c>
      <c r="U211" s="299">
        <f>-U244*pesobidobras/(1+ivabidobras)*ivabidobras</f>
        <v>-50473731.614937387</v>
      </c>
      <c r="V211" s="299">
        <f>-V244*pesobidobras/(1+ivabidobras)*ivabidobras</f>
        <v>-50473731.614937387</v>
      </c>
      <c r="W211" s="362">
        <f>SUM(R211:V211)</f>
        <v>-245018114.63561842</v>
      </c>
      <c r="AA211" s="328"/>
      <c r="AQ211" s="328"/>
      <c r="AR211" s="328"/>
      <c r="AS211" s="328"/>
      <c r="AT211" s="328"/>
      <c r="AU211" s="328"/>
      <c r="AV211" s="328"/>
      <c r="AW211" s="328"/>
      <c r="AX211" s="328"/>
      <c r="AY211" s="328"/>
      <c r="AZ211" s="328"/>
      <c r="BA211" s="328"/>
      <c r="BB211" s="328"/>
      <c r="BC211" s="342" t="s">
        <v>193</v>
      </c>
    </row>
    <row r="212" spans="2:55" s="342" customFormat="1" x14ac:dyDescent="0.25">
      <c r="D212" s="358"/>
      <c r="E212" s="358"/>
      <c r="F212" s="359"/>
      <c r="G212" s="358"/>
      <c r="H212" s="358"/>
      <c r="J212" s="345"/>
      <c r="L212" s="328"/>
      <c r="M212" s="346"/>
      <c r="N212" s="346"/>
      <c r="O212" s="298"/>
      <c r="P212" s="298"/>
      <c r="Q212" s="356"/>
      <c r="R212" s="347">
        <f>R206*(1+$R$207)*(1+$R$208)</f>
        <v>0.9400947867298578</v>
      </c>
      <c r="S212" s="347">
        <f>S206*(1+$R$207)*(1+$R$208)</f>
        <v>1.0153023696682464</v>
      </c>
      <c r="T212" s="347">
        <f>T206*(1+$R$207)*(1+$R$208)</f>
        <v>1.0965265592417062</v>
      </c>
      <c r="U212" s="347">
        <f>U206*(1+$R$207)*(1+$R$208)</f>
        <v>1.1842486839810429</v>
      </c>
      <c r="V212" s="347">
        <f>V206*(1+$R$207)*(1+$R$208)</f>
        <v>1.2789885786995263</v>
      </c>
      <c r="W212" s="347"/>
      <c r="AA212" s="328"/>
      <c r="AQ212" s="328"/>
      <c r="AR212" s="328"/>
      <c r="AS212" s="328"/>
      <c r="AT212" s="328"/>
      <c r="AU212" s="328"/>
      <c r="AV212" s="328"/>
      <c r="AW212" s="328"/>
      <c r="AX212" s="328"/>
      <c r="AY212" s="328"/>
      <c r="AZ212" s="328"/>
      <c r="BA212" s="328"/>
      <c r="BB212" s="328"/>
      <c r="BC212" s="363" t="s">
        <v>188</v>
      </c>
    </row>
    <row r="213" spans="2:55" s="342" customFormat="1" x14ac:dyDescent="0.25">
      <c r="D213" s="358"/>
      <c r="E213" s="358"/>
      <c r="F213" s="359"/>
      <c r="G213" s="358"/>
      <c r="H213" s="358"/>
      <c r="J213" s="345"/>
      <c r="L213" s="361"/>
      <c r="M213" s="346"/>
      <c r="N213" s="346"/>
      <c r="O213" s="298"/>
      <c r="P213" s="298"/>
      <c r="Q213" s="356"/>
      <c r="R213" s="341">
        <v>4.8258336705774084E-2</v>
      </c>
      <c r="T213" s="348"/>
      <c r="W213" s="345"/>
      <c r="AA213" s="361"/>
      <c r="AQ213" s="328"/>
      <c r="AR213" s="328"/>
      <c r="AS213" s="328"/>
      <c r="AT213" s="328"/>
      <c r="AU213" s="328"/>
      <c r="AV213" s="328"/>
      <c r="AW213" s="328"/>
      <c r="AX213" s="328"/>
      <c r="AY213" s="328"/>
      <c r="AZ213" s="328"/>
      <c r="BA213" s="328"/>
      <c r="BB213" s="328"/>
      <c r="BC213" s="363" t="s">
        <v>194</v>
      </c>
    </row>
    <row r="214" spans="2:55" s="342" customFormat="1" x14ac:dyDescent="0.25">
      <c r="D214" s="358"/>
      <c r="E214" s="358"/>
      <c r="F214" s="359"/>
      <c r="G214" s="358"/>
      <c r="H214" s="358"/>
      <c r="J214" s="345"/>
      <c r="L214" s="364"/>
      <c r="M214" s="346"/>
      <c r="N214" s="346"/>
      <c r="O214" s="298"/>
      <c r="P214" s="298"/>
      <c r="Q214" s="356"/>
      <c r="R214" s="341">
        <v>1.8605464616684355E-2</v>
      </c>
      <c r="W214" s="345"/>
      <c r="AA214" s="364"/>
      <c r="AQ214" s="328"/>
      <c r="AR214" s="328"/>
      <c r="AS214" s="328"/>
      <c r="AT214" s="328"/>
      <c r="AU214" s="328"/>
      <c r="AV214" s="328"/>
      <c r="AW214" s="328"/>
      <c r="AX214" s="328"/>
      <c r="AY214" s="328"/>
      <c r="AZ214" s="328"/>
      <c r="BA214" s="328"/>
      <c r="BB214" s="328"/>
      <c r="BC214" s="363" t="s">
        <v>195</v>
      </c>
    </row>
    <row r="215" spans="2:55" s="342" customFormat="1" x14ac:dyDescent="0.25">
      <c r="D215" s="358"/>
      <c r="E215" s="358"/>
      <c r="F215" s="359"/>
      <c r="G215" s="358"/>
      <c r="H215" s="358"/>
      <c r="J215" s="345"/>
      <c r="L215" s="364"/>
      <c r="M215" s="350"/>
      <c r="N215" s="350"/>
      <c r="O215" s="349"/>
      <c r="P215" s="349"/>
      <c r="Q215" s="365"/>
      <c r="R215" s="351"/>
      <c r="S215" s="351"/>
      <c r="T215" s="352"/>
      <c r="W215" s="345"/>
      <c r="AA215" s="364"/>
      <c r="AQ215" s="328"/>
      <c r="AR215" s="328"/>
      <c r="AS215" s="328"/>
      <c r="AT215" s="328"/>
      <c r="AU215" s="328"/>
      <c r="AV215" s="328"/>
      <c r="AW215" s="328"/>
      <c r="AX215" s="328"/>
      <c r="AY215" s="328"/>
      <c r="AZ215" s="328"/>
      <c r="BA215" s="328"/>
      <c r="BB215" s="328"/>
      <c r="BC215" s="350"/>
    </row>
    <row r="216" spans="2:55" s="342" customFormat="1" x14ac:dyDescent="0.25">
      <c r="D216" s="358"/>
      <c r="E216" s="358"/>
      <c r="F216" s="359"/>
      <c r="G216" s="358"/>
      <c r="H216" s="358"/>
      <c r="J216" s="345"/>
      <c r="L216" s="364"/>
      <c r="M216" s="350"/>
      <c r="N216" s="350"/>
      <c r="O216" s="349"/>
      <c r="P216" s="349"/>
      <c r="Q216" s="365"/>
      <c r="R216" s="351"/>
      <c r="S216" s="351"/>
      <c r="T216" s="352"/>
      <c r="W216" s="345"/>
      <c r="AA216" s="364"/>
      <c r="AQ216" s="328"/>
      <c r="AR216" s="328"/>
      <c r="AS216" s="328"/>
      <c r="AT216" s="328"/>
      <c r="AU216" s="328"/>
      <c r="AV216" s="328"/>
      <c r="AW216" s="328"/>
      <c r="AX216" s="328"/>
      <c r="AY216" s="328"/>
      <c r="AZ216" s="328"/>
      <c r="BA216" s="328"/>
      <c r="BB216" s="328"/>
      <c r="BC216" s="350"/>
    </row>
    <row r="217" spans="2:55" s="342" customFormat="1" x14ac:dyDescent="0.25">
      <c r="D217" s="358"/>
      <c r="E217" s="358"/>
      <c r="F217" s="359"/>
      <c r="G217" s="358"/>
      <c r="H217" s="358"/>
      <c r="J217" s="345"/>
      <c r="L217" s="364"/>
      <c r="M217" s="346"/>
      <c r="N217" s="346"/>
      <c r="O217" s="298"/>
      <c r="P217" s="298"/>
      <c r="Q217" s="356"/>
      <c r="R217" s="338">
        <f>SUM(R148:R175)/R248</f>
        <v>0.23810749891433716</v>
      </c>
      <c r="S217" s="338">
        <f>SUM(S148:S175)/S248</f>
        <v>0.17336043135838267</v>
      </c>
      <c r="T217" s="338">
        <f>SUM(T148:T175)/T248</f>
        <v>0.34280734783790845</v>
      </c>
      <c r="U217" s="338">
        <f>SUM(U148:U175)/U248</f>
        <v>0.65416691162731844</v>
      </c>
      <c r="V217" s="338">
        <f>SUM(V148:V175)/V248</f>
        <v>0.65423858408760904</v>
      </c>
      <c r="W217" s="338"/>
      <c r="AA217" s="364"/>
      <c r="AQ217" s="328"/>
      <c r="AR217" s="328"/>
      <c r="AS217" s="328"/>
      <c r="AT217" s="328"/>
      <c r="AU217" s="328"/>
      <c r="AV217" s="328"/>
      <c r="AW217" s="328"/>
      <c r="AX217" s="328"/>
      <c r="AY217" s="328"/>
      <c r="AZ217" s="328"/>
      <c r="BA217" s="328"/>
      <c r="BB217" s="328"/>
      <c r="BC217" s="363" t="s">
        <v>196</v>
      </c>
    </row>
    <row r="218" spans="2:55" s="342" customFormat="1" x14ac:dyDescent="0.25">
      <c r="D218" s="358"/>
      <c r="E218" s="358"/>
      <c r="F218" s="359"/>
      <c r="G218" s="358"/>
      <c r="H218" s="358"/>
      <c r="J218" s="345"/>
      <c r="L218" s="328"/>
      <c r="M218" s="345"/>
      <c r="N218" s="345"/>
      <c r="O218" s="344"/>
      <c r="P218" s="344"/>
      <c r="Q218" s="362"/>
      <c r="W218" s="345"/>
      <c r="AA218" s="328"/>
      <c r="AQ218" s="328"/>
      <c r="AR218" s="328"/>
      <c r="AS218" s="328"/>
      <c r="AT218" s="328"/>
      <c r="AU218" s="328"/>
      <c r="AV218" s="328"/>
      <c r="AW218" s="328"/>
      <c r="AX218" s="328"/>
      <c r="AY218" s="328"/>
      <c r="AZ218" s="328"/>
      <c r="BA218" s="328"/>
      <c r="BB218" s="328"/>
    </row>
    <row r="219" spans="2:55" s="342" customFormat="1" x14ac:dyDescent="0.25">
      <c r="D219" s="358"/>
      <c r="E219" s="358"/>
      <c r="F219" s="359"/>
      <c r="G219" s="358"/>
      <c r="H219" s="358"/>
      <c r="J219" s="345"/>
      <c r="L219" s="328"/>
      <c r="M219" s="345"/>
      <c r="N219" s="345"/>
      <c r="O219" s="344"/>
      <c r="P219" s="344"/>
      <c r="Q219" s="362"/>
      <c r="W219" s="345"/>
      <c r="AA219" s="328"/>
      <c r="AQ219" s="328"/>
      <c r="AR219" s="328"/>
      <c r="AS219" s="328"/>
      <c r="AT219" s="328"/>
      <c r="AU219" s="328"/>
      <c r="AV219" s="328"/>
      <c r="AW219" s="328"/>
      <c r="AX219" s="328"/>
      <c r="AY219" s="328"/>
      <c r="AZ219" s="328"/>
      <c r="BA219" s="328"/>
      <c r="BB219" s="328"/>
    </row>
    <row r="220" spans="2:55" s="342" customFormat="1" x14ac:dyDescent="0.25">
      <c r="D220" s="358"/>
      <c r="E220" s="358"/>
      <c r="F220" s="359"/>
      <c r="G220" s="358"/>
      <c r="H220" s="358"/>
      <c r="J220" s="345"/>
      <c r="L220" s="328"/>
      <c r="M220" s="345"/>
      <c r="N220" s="345"/>
      <c r="O220" s="344"/>
      <c r="P220" s="344"/>
      <c r="Q220" s="362"/>
      <c r="W220" s="345"/>
      <c r="AA220" s="328"/>
      <c r="AQ220" s="328"/>
      <c r="AR220" s="328"/>
      <c r="AS220" s="328"/>
      <c r="AT220" s="328"/>
      <c r="AU220" s="328"/>
      <c r="AV220" s="328"/>
      <c r="AW220" s="328"/>
      <c r="AX220" s="328"/>
      <c r="AY220" s="328"/>
      <c r="AZ220" s="328"/>
      <c r="BA220" s="328"/>
      <c r="BB220" s="328"/>
    </row>
    <row r="221" spans="2:55" s="342" customFormat="1" ht="24.75" customHeight="1" x14ac:dyDescent="0.25">
      <c r="B221" s="342" t="s">
        <v>267</v>
      </c>
      <c r="D221" s="358"/>
      <c r="E221" s="358"/>
      <c r="F221" s="359"/>
      <c r="G221" s="358"/>
      <c r="H221" s="358"/>
      <c r="J221" s="345"/>
      <c r="L221" s="328">
        <f>SUM(R221:V221)/$R$1</f>
        <v>2713523.1780786971</v>
      </c>
      <c r="M221" s="345"/>
      <c r="N221" s="345"/>
      <c r="O221" s="344"/>
      <c r="P221" s="344"/>
      <c r="Q221" s="362"/>
      <c r="R221" s="299">
        <f>SUM(R222:R230)</f>
        <v>46218059.642959997</v>
      </c>
      <c r="S221" s="299">
        <f t="shared" ref="S221:V221" si="352">SUM(S222:S230)</f>
        <v>35939505.157000005</v>
      </c>
      <c r="T221" s="299">
        <f t="shared" si="352"/>
        <v>2232235.6727000005</v>
      </c>
      <c r="U221" s="299">
        <f t="shared" si="352"/>
        <v>2455459.2399700009</v>
      </c>
      <c r="V221" s="299">
        <f t="shared" si="352"/>
        <v>2701005.1639670013</v>
      </c>
      <c r="W221" s="345"/>
      <c r="AA221" s="328"/>
      <c r="AQ221" s="328"/>
      <c r="AR221" s="328"/>
      <c r="AS221" s="328"/>
      <c r="AT221" s="328"/>
      <c r="AU221" s="328"/>
      <c r="AV221" s="328"/>
      <c r="AW221" s="328"/>
      <c r="AX221" s="328"/>
      <c r="AY221" s="328"/>
      <c r="AZ221" s="328"/>
      <c r="BA221" s="328"/>
      <c r="BB221" s="328"/>
    </row>
    <row r="222" spans="2:55" s="342" customFormat="1" ht="14.45" customHeight="1" x14ac:dyDescent="0.25">
      <c r="B222" s="345" t="s">
        <v>19</v>
      </c>
      <c r="C222" s="345"/>
      <c r="D222" s="359">
        <v>1</v>
      </c>
      <c r="E222" s="359"/>
      <c r="F222" s="359"/>
      <c r="G222" s="359"/>
      <c r="H222" s="359"/>
      <c r="I222" s="345"/>
      <c r="J222" s="345"/>
      <c r="L222" s="328"/>
      <c r="M222" s="345"/>
      <c r="N222" s="345"/>
      <c r="O222" s="344"/>
      <c r="P222" s="344"/>
      <c r="Q222" s="362"/>
      <c r="R222" s="299">
        <v>11000000</v>
      </c>
      <c r="S222" s="299">
        <v>11000000</v>
      </c>
      <c r="T222" s="299">
        <v>0</v>
      </c>
      <c r="U222" s="299">
        <v>0</v>
      </c>
      <c r="V222" s="299">
        <v>0</v>
      </c>
      <c r="W222" s="366" t="s">
        <v>203</v>
      </c>
      <c r="X222" s="342" t="s">
        <v>206</v>
      </c>
      <c r="Z222" s="342" t="s">
        <v>24</v>
      </c>
      <c r="AA222" s="328"/>
      <c r="AQ222" s="328"/>
      <c r="AR222" s="328"/>
      <c r="AS222" s="328"/>
      <c r="AT222" s="328"/>
      <c r="AU222" s="328"/>
      <c r="AV222" s="328"/>
      <c r="AW222" s="328"/>
      <c r="AX222" s="328"/>
      <c r="AY222" s="328"/>
      <c r="AZ222" s="328"/>
      <c r="BA222" s="328"/>
      <c r="BB222" s="328"/>
      <c r="BC222" s="342" t="s">
        <v>23</v>
      </c>
    </row>
    <row r="223" spans="2:55" s="342" customFormat="1" ht="14.45" customHeight="1" x14ac:dyDescent="0.25">
      <c r="B223" s="345" t="s">
        <v>19</v>
      </c>
      <c r="C223" s="345"/>
      <c r="D223" s="359">
        <v>1</v>
      </c>
      <c r="E223" s="359"/>
      <c r="F223" s="359"/>
      <c r="G223" s="359"/>
      <c r="H223" s="359"/>
      <c r="I223" s="345"/>
      <c r="J223" s="345"/>
      <c r="L223" s="328"/>
      <c r="M223" s="345"/>
      <c r="N223" s="345"/>
      <c r="O223" s="344"/>
      <c r="P223" s="344"/>
      <c r="Q223" s="362"/>
      <c r="R223" s="299">
        <v>7000000</v>
      </c>
      <c r="S223" s="299">
        <v>7000000</v>
      </c>
      <c r="T223" s="299">
        <v>0</v>
      </c>
      <c r="U223" s="299">
        <v>0</v>
      </c>
      <c r="V223" s="299">
        <v>0</v>
      </c>
      <c r="W223" s="366" t="s">
        <v>203</v>
      </c>
      <c r="X223" s="342" t="s">
        <v>204</v>
      </c>
      <c r="Z223" s="342" t="s">
        <v>24</v>
      </c>
      <c r="AA223" s="328"/>
      <c r="AQ223" s="328"/>
      <c r="AR223" s="328"/>
      <c r="AS223" s="328"/>
      <c r="AT223" s="328"/>
      <c r="AU223" s="328"/>
      <c r="AV223" s="328"/>
      <c r="AW223" s="328"/>
      <c r="AX223" s="328"/>
      <c r="AY223" s="328"/>
      <c r="AZ223" s="328"/>
      <c r="BA223" s="328"/>
      <c r="BB223" s="328"/>
      <c r="BC223" s="342" t="s">
        <v>25</v>
      </c>
    </row>
    <row r="224" spans="2:55" s="342" customFormat="1" x14ac:dyDescent="0.25">
      <c r="B224" s="345" t="s">
        <v>33</v>
      </c>
      <c r="C224" s="345" t="s">
        <v>33</v>
      </c>
      <c r="D224" s="359">
        <v>2</v>
      </c>
      <c r="E224" s="359"/>
      <c r="F224" s="359"/>
      <c r="G224" s="359"/>
      <c r="H224" s="359"/>
      <c r="I224" s="345"/>
      <c r="J224" s="345"/>
      <c r="L224" s="328"/>
      <c r="M224" s="345"/>
      <c r="N224" s="345"/>
      <c r="O224" s="344"/>
      <c r="P224" s="344"/>
      <c r="Q224" s="362"/>
      <c r="R224" s="299">
        <f>9341281*coef17+400000+514388.7936*coef17</f>
        <v>11241236.772960002</v>
      </c>
      <c r="S224" s="299"/>
      <c r="T224" s="299">
        <v>0</v>
      </c>
      <c r="U224" s="299">
        <v>0</v>
      </c>
      <c r="V224" s="299">
        <v>0</v>
      </c>
      <c r="W224" s="366" t="s">
        <v>203</v>
      </c>
      <c r="Z224" s="342" t="s">
        <v>54</v>
      </c>
      <c r="AA224" s="328"/>
      <c r="AQ224" s="328"/>
      <c r="AR224" s="328"/>
      <c r="AS224" s="328"/>
      <c r="AT224" s="328"/>
      <c r="AU224" s="328"/>
      <c r="AV224" s="328"/>
      <c r="AW224" s="328"/>
      <c r="AX224" s="328"/>
      <c r="AY224" s="328"/>
      <c r="AZ224" s="328"/>
      <c r="BA224" s="328"/>
      <c r="BB224" s="328"/>
      <c r="BC224" s="342" t="s">
        <v>53</v>
      </c>
    </row>
    <row r="225" spans="2:55" s="342" customFormat="1" x14ac:dyDescent="0.25">
      <c r="B225" s="345" t="s">
        <v>55</v>
      </c>
      <c r="C225" s="345"/>
      <c r="D225" s="359">
        <v>2</v>
      </c>
      <c r="E225" s="359"/>
      <c r="F225" s="359"/>
      <c r="G225" s="359"/>
      <c r="H225" s="359"/>
      <c r="I225" s="345"/>
      <c r="J225" s="345"/>
      <c r="L225" s="328"/>
      <c r="M225" s="345"/>
      <c r="N225" s="345"/>
      <c r="O225" s="344"/>
      <c r="P225" s="344"/>
      <c r="Q225" s="362"/>
      <c r="R225" s="299">
        <v>2850000</v>
      </c>
      <c r="S225" s="299">
        <v>2900000</v>
      </c>
      <c r="T225" s="299">
        <v>0</v>
      </c>
      <c r="U225" s="299">
        <v>0</v>
      </c>
      <c r="V225" s="299">
        <v>0</v>
      </c>
      <c r="W225" s="366" t="s">
        <v>203</v>
      </c>
      <c r="AA225" s="328"/>
      <c r="AQ225" s="328"/>
      <c r="AR225" s="328"/>
      <c r="AS225" s="328"/>
      <c r="AT225" s="328"/>
      <c r="AU225" s="328"/>
      <c r="AV225" s="328"/>
      <c r="AW225" s="328"/>
      <c r="AX225" s="328"/>
      <c r="AY225" s="328"/>
      <c r="AZ225" s="328"/>
      <c r="BA225" s="328"/>
      <c r="BB225" s="328"/>
      <c r="BC225" s="342" t="s">
        <v>56</v>
      </c>
    </row>
    <row r="226" spans="2:55" s="342" customFormat="1" x14ac:dyDescent="0.25">
      <c r="B226" s="345" t="s">
        <v>58</v>
      </c>
      <c r="C226" s="345"/>
      <c r="D226" s="359">
        <v>3</v>
      </c>
      <c r="E226" s="359"/>
      <c r="F226" s="359"/>
      <c r="G226" s="359"/>
      <c r="H226" s="359"/>
      <c r="I226" s="345"/>
      <c r="J226" s="345"/>
      <c r="L226" s="328"/>
      <c r="M226" s="345"/>
      <c r="N226" s="345"/>
      <c r="O226" s="344"/>
      <c r="P226" s="344"/>
      <c r="Q226" s="362"/>
      <c r="R226" s="299">
        <f>1677111.7*coef17</f>
        <v>1844822.87</v>
      </c>
      <c r="S226" s="299">
        <f>1677111.7*coef18</f>
        <v>2029305.1570000004</v>
      </c>
      <c r="T226" s="299">
        <f>1677111.7*coef19</f>
        <v>2232235.6727000005</v>
      </c>
      <c r="U226" s="299">
        <f>1677111.7*coef20</f>
        <v>2455459.2399700009</v>
      </c>
      <c r="V226" s="299">
        <f>1677111.7*coef21</f>
        <v>2701005.1639670013</v>
      </c>
      <c r="W226" s="366"/>
      <c r="X226" s="342" t="s">
        <v>222</v>
      </c>
      <c r="AA226" s="328"/>
      <c r="AQ226" s="328"/>
      <c r="AR226" s="328"/>
      <c r="AS226" s="328"/>
      <c r="AT226" s="328"/>
      <c r="AU226" s="328"/>
      <c r="AV226" s="328"/>
      <c r="AW226" s="328"/>
      <c r="AX226" s="328"/>
      <c r="AY226" s="328"/>
      <c r="AZ226" s="328"/>
      <c r="BA226" s="328"/>
      <c r="BB226" s="328"/>
      <c r="BC226" s="342" t="s">
        <v>69</v>
      </c>
    </row>
    <row r="227" spans="2:55" s="342" customFormat="1" ht="14.45" customHeight="1" x14ac:dyDescent="0.25">
      <c r="B227" s="345" t="s">
        <v>34</v>
      </c>
      <c r="C227" s="345"/>
      <c r="D227" s="359">
        <v>2</v>
      </c>
      <c r="E227" s="359"/>
      <c r="F227" s="359"/>
      <c r="G227" s="359"/>
      <c r="H227" s="359"/>
      <c r="I227" s="345"/>
      <c r="J227" s="345"/>
      <c r="L227" s="328"/>
      <c r="M227" s="345"/>
      <c r="N227" s="345"/>
      <c r="O227" s="344"/>
      <c r="P227" s="344"/>
      <c r="Q227" s="362"/>
      <c r="R227" s="299">
        <v>5000000</v>
      </c>
      <c r="S227" s="299">
        <v>5000000</v>
      </c>
      <c r="T227" s="299">
        <v>0</v>
      </c>
      <c r="U227" s="299">
        <v>0</v>
      </c>
      <c r="V227" s="299">
        <v>0</v>
      </c>
      <c r="W227" s="366" t="s">
        <v>203</v>
      </c>
      <c r="Z227" s="342" t="s">
        <v>51</v>
      </c>
      <c r="AA227" s="328"/>
      <c r="AQ227" s="328"/>
      <c r="AR227" s="328"/>
      <c r="AS227" s="328"/>
      <c r="AT227" s="328"/>
      <c r="AU227" s="328"/>
      <c r="AV227" s="328"/>
      <c r="AW227" s="328"/>
      <c r="AX227" s="328"/>
      <c r="AY227" s="328"/>
      <c r="AZ227" s="328"/>
      <c r="BA227" s="328"/>
      <c r="BB227" s="328"/>
      <c r="BC227" s="342" t="s">
        <v>50</v>
      </c>
    </row>
    <row r="228" spans="2:55" s="342" customFormat="1" x14ac:dyDescent="0.25">
      <c r="B228" s="345" t="s">
        <v>34</v>
      </c>
      <c r="C228" s="345"/>
      <c r="D228" s="359">
        <v>2</v>
      </c>
      <c r="E228" s="359"/>
      <c r="F228" s="359"/>
      <c r="G228" s="359"/>
      <c r="H228" s="359"/>
      <c r="I228" s="345"/>
      <c r="J228" s="345"/>
      <c r="L228" s="328"/>
      <c r="M228" s="345"/>
      <c r="N228" s="345"/>
      <c r="O228" s="344"/>
      <c r="P228" s="344"/>
      <c r="Q228" s="362"/>
      <c r="R228" s="299">
        <f>400000*coef17+800000*coef17</f>
        <v>1320000.0000000002</v>
      </c>
      <c r="S228" s="299">
        <f>400000*coef18+800000*coef18</f>
        <v>1452000.0000000002</v>
      </c>
      <c r="T228" s="299">
        <v>0</v>
      </c>
      <c r="U228" s="299">
        <v>0</v>
      </c>
      <c r="V228" s="299">
        <v>0</v>
      </c>
      <c r="W228" s="366" t="s">
        <v>203</v>
      </c>
      <c r="AA228" s="328"/>
      <c r="AQ228" s="328"/>
      <c r="AR228" s="328"/>
      <c r="AS228" s="328"/>
      <c r="AT228" s="328"/>
      <c r="AU228" s="328"/>
      <c r="AV228" s="328"/>
      <c r="AW228" s="328"/>
      <c r="AX228" s="328"/>
      <c r="AY228" s="328"/>
      <c r="AZ228" s="328"/>
      <c r="BA228" s="328"/>
      <c r="BB228" s="328"/>
      <c r="BC228" s="342" t="s">
        <v>52</v>
      </c>
    </row>
    <row r="229" spans="2:55" s="342" customFormat="1" x14ac:dyDescent="0.25">
      <c r="B229" s="345" t="s">
        <v>34</v>
      </c>
      <c r="C229" s="345"/>
      <c r="D229" s="359">
        <v>2</v>
      </c>
      <c r="E229" s="359">
        <v>1</v>
      </c>
      <c r="F229" s="359">
        <v>2</v>
      </c>
      <c r="G229" s="359">
        <v>3</v>
      </c>
      <c r="H229" s="359"/>
      <c r="I229" s="345"/>
      <c r="J229" s="345"/>
      <c r="K229" s="367"/>
      <c r="L229" s="328">
        <f>SUM(R229:V229)/$R$1</f>
        <v>218400.00000000003</v>
      </c>
      <c r="M229" s="345"/>
      <c r="N229" s="345"/>
      <c r="O229" s="344"/>
      <c r="P229" s="344"/>
      <c r="Q229" s="362"/>
      <c r="R229" s="299">
        <f>3120000*coef17</f>
        <v>3432000.0000000005</v>
      </c>
      <c r="S229" s="299">
        <f>3120000*coef18</f>
        <v>3775200.0000000005</v>
      </c>
      <c r="T229" s="299">
        <v>0</v>
      </c>
      <c r="U229" s="299">
        <v>0</v>
      </c>
      <c r="V229" s="299">
        <v>0</v>
      </c>
      <c r="W229" s="366" t="s">
        <v>203</v>
      </c>
      <c r="X229" s="342" t="s">
        <v>211</v>
      </c>
      <c r="Z229" s="342" t="s">
        <v>44</v>
      </c>
      <c r="AA229" s="328"/>
      <c r="AQ229" s="328"/>
      <c r="AR229" s="328"/>
      <c r="AS229" s="328"/>
      <c r="AT229" s="328"/>
      <c r="AU229" s="328"/>
      <c r="AV229" s="328"/>
      <c r="AW229" s="328"/>
      <c r="AX229" s="328"/>
      <c r="AY229" s="328"/>
      <c r="AZ229" s="328"/>
      <c r="BA229" s="328"/>
      <c r="BB229" s="328"/>
      <c r="BC229" s="342" t="s">
        <v>43</v>
      </c>
    </row>
    <row r="230" spans="2:55" s="342" customFormat="1" x14ac:dyDescent="0.25">
      <c r="B230" s="345" t="s">
        <v>34</v>
      </c>
      <c r="C230" s="345"/>
      <c r="D230" s="359">
        <v>2</v>
      </c>
      <c r="E230" s="359">
        <v>1</v>
      </c>
      <c r="F230" s="359">
        <v>2</v>
      </c>
      <c r="G230" s="359">
        <v>4</v>
      </c>
      <c r="H230" s="359"/>
      <c r="I230" s="345"/>
      <c r="J230" s="345"/>
      <c r="L230" s="328">
        <f>SUM(R230:V230)/$R$1</f>
        <v>161000</v>
      </c>
      <c r="M230" s="345"/>
      <c r="N230" s="345"/>
      <c r="O230" s="344"/>
      <c r="P230" s="344"/>
      <c r="Q230" s="362"/>
      <c r="R230" s="299">
        <f>2300000*coef17</f>
        <v>2530000</v>
      </c>
      <c r="S230" s="299">
        <f>2300000*coef18</f>
        <v>2783000.0000000005</v>
      </c>
      <c r="T230" s="299">
        <v>0</v>
      </c>
      <c r="U230" s="299">
        <v>0</v>
      </c>
      <c r="V230" s="299">
        <v>0</v>
      </c>
      <c r="W230" s="366" t="s">
        <v>203</v>
      </c>
      <c r="X230" s="342" t="s">
        <v>212</v>
      </c>
      <c r="Z230" s="342" t="s">
        <v>44</v>
      </c>
      <c r="AA230" s="328"/>
      <c r="AQ230" s="328"/>
      <c r="AR230" s="328"/>
      <c r="AS230" s="328"/>
      <c r="AT230" s="328"/>
      <c r="AU230" s="328"/>
      <c r="AV230" s="328"/>
      <c r="AW230" s="328"/>
      <c r="AX230" s="328"/>
      <c r="AY230" s="328"/>
      <c r="AZ230" s="328"/>
      <c r="BA230" s="328"/>
      <c r="BB230" s="328"/>
      <c r="BC230" s="342" t="s">
        <v>45</v>
      </c>
    </row>
    <row r="231" spans="2:55" s="342" customFormat="1" x14ac:dyDescent="0.25">
      <c r="B231" s="345" t="s">
        <v>22</v>
      </c>
      <c r="C231" s="345" t="s">
        <v>72</v>
      </c>
      <c r="D231" s="359">
        <v>3</v>
      </c>
      <c r="E231" s="359">
        <v>3</v>
      </c>
      <c r="F231" s="359" t="s">
        <v>314</v>
      </c>
      <c r="G231" s="359">
        <v>7</v>
      </c>
      <c r="H231" s="359"/>
      <c r="I231" s="345" t="str">
        <f>CONCATENATE(D231,".",E231,".",F231,".",G231)</f>
        <v>3.3.e.7</v>
      </c>
      <c r="J231" s="345"/>
      <c r="K231" s="342" t="s">
        <v>120</v>
      </c>
      <c r="L231" s="328">
        <f>SUM(R231:V231)/$R$1</f>
        <v>1281030.221743104</v>
      </c>
      <c r="M231" s="345"/>
      <c r="N231" s="345"/>
      <c r="O231" s="344"/>
      <c r="P231" s="344"/>
      <c r="Q231" s="362"/>
      <c r="R231" s="299">
        <f>15111431.7391872*coef17+3189000*coef17</f>
        <v>20130474.913105924</v>
      </c>
      <c r="S231" s="299">
        <f>15111431.7391872*coef18+3189000*coef18</f>
        <v>22143522.404416513</v>
      </c>
      <c r="T231" s="299">
        <v>0</v>
      </c>
      <c r="U231" s="299">
        <v>0</v>
      </c>
      <c r="V231" s="299">
        <v>0</v>
      </c>
      <c r="W231" s="366" t="s">
        <v>203</v>
      </c>
      <c r="X231" s="342" t="s">
        <v>235</v>
      </c>
      <c r="Z231" s="342" t="s">
        <v>121</v>
      </c>
      <c r="AA231" s="328"/>
      <c r="AQ231" s="328"/>
      <c r="AR231" s="328"/>
      <c r="AS231" s="328"/>
      <c r="AT231" s="328"/>
      <c r="AU231" s="328"/>
      <c r="AV231" s="328"/>
      <c r="AW231" s="328"/>
      <c r="AX231" s="328"/>
      <c r="AY231" s="328"/>
      <c r="AZ231" s="328"/>
      <c r="BA231" s="328"/>
      <c r="BB231" s="328"/>
      <c r="BC231" s="342" t="s">
        <v>120</v>
      </c>
    </row>
    <row r="232" spans="2:55" s="342" customFormat="1" x14ac:dyDescent="0.25">
      <c r="D232" s="358"/>
      <c r="E232" s="358"/>
      <c r="F232" s="359"/>
      <c r="G232" s="358"/>
      <c r="H232" s="358"/>
      <c r="J232" s="345"/>
      <c r="L232" s="328"/>
      <c r="M232" s="345"/>
      <c r="N232" s="345"/>
      <c r="O232" s="344"/>
      <c r="P232" s="344"/>
      <c r="Q232" s="362"/>
      <c r="W232" s="345"/>
      <c r="AA232" s="328"/>
      <c r="AQ232" s="328"/>
      <c r="AR232" s="328"/>
      <c r="AS232" s="328"/>
      <c r="AT232" s="328"/>
      <c r="AU232" s="328"/>
      <c r="AV232" s="328"/>
      <c r="AW232" s="328"/>
      <c r="AX232" s="328"/>
      <c r="AY232" s="328"/>
      <c r="AZ232" s="328"/>
      <c r="BA232" s="328"/>
      <c r="BB232" s="328"/>
    </row>
    <row r="233" spans="2:55" s="342" customFormat="1" x14ac:dyDescent="0.25">
      <c r="D233" s="358"/>
      <c r="E233" s="358"/>
      <c r="F233" s="359"/>
      <c r="G233" s="358"/>
      <c r="H233" s="358"/>
      <c r="J233" s="345"/>
      <c r="L233" s="328"/>
      <c r="M233" s="345"/>
      <c r="N233" s="345"/>
      <c r="O233" s="344"/>
      <c r="P233" s="344"/>
      <c r="Q233" s="362"/>
      <c r="W233" s="345"/>
      <c r="AA233" s="328"/>
      <c r="AQ233" s="328"/>
      <c r="AR233" s="328"/>
      <c r="AS233" s="328"/>
      <c r="AT233" s="328"/>
      <c r="AU233" s="328"/>
      <c r="AV233" s="328"/>
      <c r="AW233" s="328"/>
      <c r="AX233" s="328"/>
      <c r="AY233" s="328"/>
      <c r="AZ233" s="328"/>
      <c r="BA233" s="328"/>
      <c r="BB233" s="328"/>
    </row>
    <row r="234" spans="2:55" s="342" customFormat="1" ht="12.75" customHeight="1" x14ac:dyDescent="0.25">
      <c r="D234" s="358"/>
      <c r="E234" s="358"/>
      <c r="F234" s="359"/>
      <c r="G234" s="358"/>
      <c r="H234" s="358"/>
      <c r="J234" s="345"/>
      <c r="L234" s="356" t="s">
        <v>0</v>
      </c>
      <c r="M234" s="369"/>
      <c r="N234" s="369"/>
      <c r="O234" s="368"/>
      <c r="P234" s="368"/>
      <c r="Q234" s="370"/>
      <c r="R234" s="346">
        <v>2017</v>
      </c>
      <c r="S234" s="346">
        <v>2018</v>
      </c>
      <c r="T234" s="346">
        <v>2019</v>
      </c>
      <c r="U234" s="346">
        <v>2020</v>
      </c>
      <c r="V234" s="346">
        <v>2021</v>
      </c>
      <c r="W234" s="346"/>
      <c r="Z234" s="413" t="s">
        <v>2</v>
      </c>
      <c r="AA234" s="356"/>
      <c r="AB234" s="369" t="s">
        <v>1</v>
      </c>
      <c r="BA234" s="328"/>
      <c r="BB234" s="328"/>
    </row>
    <row r="235" spans="2:55" s="342" customFormat="1" ht="12.75" customHeight="1" x14ac:dyDescent="0.25">
      <c r="D235" s="358"/>
      <c r="E235" s="358"/>
      <c r="F235" s="359"/>
      <c r="G235" s="358"/>
      <c r="H235" s="358"/>
      <c r="J235" s="345"/>
      <c r="L235" s="329">
        <v>-48990119.555658393</v>
      </c>
      <c r="M235" s="369"/>
      <c r="N235" s="369"/>
      <c r="O235" s="368"/>
      <c r="P235" s="368"/>
      <c r="Q235" s="370"/>
      <c r="R235" s="372">
        <f>R248-R3</f>
        <v>407559151.3838045</v>
      </c>
      <c r="S235" s="372">
        <f>S248-S3</f>
        <v>508519347.61493737</v>
      </c>
      <c r="T235" s="372">
        <f>T248-T3</f>
        <v>508519346.61493737</v>
      </c>
      <c r="U235" s="372">
        <f>U248-U3</f>
        <v>508519345.61493737</v>
      </c>
      <c r="V235" s="372">
        <f>V248-V3</f>
        <v>508519344.61493737</v>
      </c>
      <c r="W235" s="353"/>
      <c r="Z235" s="413"/>
      <c r="AA235" s="329"/>
      <c r="AB235" s="369"/>
      <c r="BA235" s="328"/>
      <c r="BB235" s="328"/>
      <c r="BC235" s="371">
        <f>L235/L248</f>
        <v>-0.66212445524035124</v>
      </c>
    </row>
    <row r="236" spans="2:55" s="342" customFormat="1" ht="12.75" customHeight="1" x14ac:dyDescent="0.25">
      <c r="D236" s="358"/>
      <c r="E236" s="358"/>
      <c r="F236" s="359"/>
      <c r="G236" s="358"/>
      <c r="H236" s="358"/>
      <c r="J236" s="345"/>
      <c r="L236" s="328"/>
      <c r="M236" s="355"/>
      <c r="N236" s="355"/>
      <c r="O236" s="354"/>
      <c r="P236" s="354"/>
      <c r="Q236" s="373"/>
      <c r="W236" s="345"/>
      <c r="Z236" s="413"/>
      <c r="AA236" s="328"/>
      <c r="AB236" s="355" t="s">
        <v>3</v>
      </c>
      <c r="BA236" s="328"/>
      <c r="BB236" s="328"/>
    </row>
    <row r="237" spans="2:55" s="342" customFormat="1" ht="12.75" customHeight="1" x14ac:dyDescent="0.25">
      <c r="D237" s="358"/>
      <c r="E237" s="358"/>
      <c r="F237" s="359"/>
      <c r="G237" s="358"/>
      <c r="H237" s="358"/>
      <c r="J237" s="345"/>
      <c r="L237" s="328"/>
      <c r="M237" s="355"/>
      <c r="N237" s="355"/>
      <c r="O237" s="354"/>
      <c r="P237" s="354"/>
      <c r="Q237" s="373"/>
      <c r="W237" s="345"/>
      <c r="AA237" s="328"/>
      <c r="AB237" s="355" t="s">
        <v>4</v>
      </c>
      <c r="BA237" s="328"/>
      <c r="BB237" s="328"/>
    </row>
    <row r="238" spans="2:55" s="342" customFormat="1" ht="12.75" customHeight="1" x14ac:dyDescent="0.25">
      <c r="D238" s="358"/>
      <c r="E238" s="358"/>
      <c r="F238" s="359"/>
      <c r="G238" s="358"/>
      <c r="H238" s="358"/>
      <c r="J238" s="345"/>
      <c r="L238" s="328"/>
      <c r="M238" s="355"/>
      <c r="N238" s="355"/>
      <c r="O238" s="354"/>
      <c r="P238" s="354"/>
      <c r="Q238" s="373"/>
      <c r="W238" s="345"/>
      <c r="AA238" s="328"/>
      <c r="AB238" s="355"/>
      <c r="BA238" s="328"/>
      <c r="BB238" s="328"/>
    </row>
    <row r="239" spans="2:55" s="342" customFormat="1" ht="27.6" customHeight="1" x14ac:dyDescent="0.25">
      <c r="D239" s="358"/>
      <c r="E239" s="358"/>
      <c r="F239" s="359"/>
      <c r="G239" s="358"/>
      <c r="H239" s="358"/>
      <c r="J239" s="346" t="s">
        <v>5</v>
      </c>
      <c r="K239" s="346"/>
      <c r="L239" s="346"/>
      <c r="M239" s="346"/>
      <c r="N239" s="346"/>
      <c r="O239" s="346"/>
      <c r="P239" s="346"/>
      <c r="Q239" s="346"/>
      <c r="R239" s="346"/>
      <c r="S239" s="346"/>
      <c r="T239" s="346"/>
      <c r="U239" s="346"/>
      <c r="V239" s="346"/>
      <c r="W239" s="346"/>
      <c r="AA239" s="346"/>
      <c r="AB239" s="346"/>
      <c r="BA239" s="328"/>
      <c r="BB239" s="328"/>
      <c r="BC239" s="346"/>
    </row>
    <row r="240" spans="2:55" s="342" customFormat="1" ht="12.75" customHeight="1" x14ac:dyDescent="0.25">
      <c r="D240" s="358"/>
      <c r="E240" s="358"/>
      <c r="F240" s="359"/>
      <c r="G240" s="358"/>
      <c r="H240" s="358"/>
      <c r="J240" s="345"/>
      <c r="L240" s="328"/>
      <c r="M240" s="345"/>
      <c r="N240" s="345"/>
      <c r="O240" s="344"/>
      <c r="P240" s="344"/>
      <c r="Q240" s="362"/>
      <c r="W240" s="345"/>
      <c r="AA240" s="328"/>
      <c r="BA240" s="328"/>
      <c r="BB240" s="328"/>
    </row>
    <row r="241" spans="4:55" s="342" customFormat="1" ht="12.75" customHeight="1" x14ac:dyDescent="0.25">
      <c r="D241" s="358"/>
      <c r="E241" s="358"/>
      <c r="F241" s="359"/>
      <c r="G241" s="358"/>
      <c r="H241" s="358"/>
      <c r="J241" s="345"/>
      <c r="L241" s="328"/>
      <c r="M241" s="345"/>
      <c r="N241" s="345"/>
      <c r="O241" s="344"/>
      <c r="P241" s="344"/>
      <c r="Q241" s="362"/>
      <c r="W241" s="345"/>
      <c r="AA241" s="328"/>
      <c r="BA241" s="328"/>
      <c r="BB241" s="328"/>
    </row>
    <row r="242" spans="4:55" s="342" customFormat="1" ht="12.75" customHeight="1" x14ac:dyDescent="0.25">
      <c r="D242" s="358"/>
      <c r="E242" s="358"/>
      <c r="F242" s="359"/>
      <c r="G242" s="358"/>
      <c r="H242" s="358"/>
      <c r="J242" s="374" t="s">
        <v>6</v>
      </c>
      <c r="K242" s="374"/>
      <c r="L242" s="356" t="s">
        <v>7</v>
      </c>
      <c r="M242" s="345"/>
      <c r="N242" s="345"/>
      <c r="O242" s="344"/>
      <c r="P242" s="344"/>
      <c r="Q242" s="362"/>
      <c r="R242" s="346" t="s">
        <v>8</v>
      </c>
      <c r="S242" s="346"/>
      <c r="T242" s="346"/>
      <c r="U242" s="346"/>
      <c r="V242" s="346"/>
      <c r="W242" s="346"/>
      <c r="AA242" s="356"/>
      <c r="BA242" s="328"/>
      <c r="BB242" s="328"/>
      <c r="BC242" s="374"/>
    </row>
    <row r="243" spans="4:55" s="342" customFormat="1" ht="12.75" customHeight="1" x14ac:dyDescent="0.25">
      <c r="D243" s="358"/>
      <c r="E243" s="358"/>
      <c r="F243" s="359"/>
      <c r="G243" s="358"/>
      <c r="H243" s="358"/>
      <c r="J243" s="374"/>
      <c r="K243" s="374"/>
      <c r="L243" s="356" t="s">
        <v>0</v>
      </c>
      <c r="M243" s="345"/>
      <c r="N243" s="345"/>
      <c r="O243" s="344"/>
      <c r="P243" s="344"/>
      <c r="Q243" s="362"/>
      <c r="R243" s="346">
        <v>2017</v>
      </c>
      <c r="S243" s="346">
        <v>2018</v>
      </c>
      <c r="T243" s="346">
        <v>2019</v>
      </c>
      <c r="U243" s="346">
        <v>2020</v>
      </c>
      <c r="V243" s="346">
        <v>2021</v>
      </c>
      <c r="W243" s="346"/>
      <c r="AA243" s="356"/>
      <c r="BA243" s="328"/>
      <c r="BB243" s="328"/>
      <c r="BC243" s="374"/>
    </row>
    <row r="244" spans="4:55" s="342" customFormat="1" ht="12.75" customHeight="1" x14ac:dyDescent="0.25">
      <c r="D244" s="358"/>
      <c r="E244" s="358"/>
      <c r="F244" s="359"/>
      <c r="G244" s="358"/>
      <c r="H244" s="358"/>
      <c r="J244" s="374"/>
      <c r="K244" s="374"/>
      <c r="L244" s="356">
        <v>50000000</v>
      </c>
      <c r="M244" s="327"/>
      <c r="N244" s="327"/>
      <c r="O244" s="298"/>
      <c r="P244" s="298"/>
      <c r="Q244" s="356"/>
      <c r="R244" s="372">
        <v>290400000</v>
      </c>
      <c r="S244" s="372">
        <v>339900000</v>
      </c>
      <c r="T244" s="372">
        <v>339900000</v>
      </c>
      <c r="U244" s="372">
        <v>339900000</v>
      </c>
      <c r="V244" s="372">
        <v>339900000</v>
      </c>
      <c r="W244" s="353"/>
      <c r="AA244" s="356"/>
      <c r="AB244" s="375">
        <f>L244/$L$248</f>
        <v>0.67577346334917787</v>
      </c>
      <c r="BA244" s="328"/>
      <c r="BB244" s="328"/>
      <c r="BC244" s="363" t="s">
        <v>9</v>
      </c>
    </row>
    <row r="245" spans="4:55" s="342" customFormat="1" ht="12.75" customHeight="1" x14ac:dyDescent="0.25">
      <c r="D245" s="358"/>
      <c r="E245" s="358"/>
      <c r="F245" s="359"/>
      <c r="G245" s="358"/>
      <c r="H245" s="358"/>
      <c r="J245" s="374"/>
      <c r="K245" s="374"/>
      <c r="L245" s="356">
        <v>16473591.400240475</v>
      </c>
      <c r="M245" s="327"/>
      <c r="N245" s="327"/>
      <c r="O245" s="298"/>
      <c r="P245" s="298"/>
      <c r="Q245" s="356"/>
      <c r="R245" s="372">
        <v>73437980.207935631</v>
      </c>
      <c r="S245" s="372">
        <v>117547634</v>
      </c>
      <c r="T245" s="372">
        <v>117547634</v>
      </c>
      <c r="U245" s="372">
        <v>117547634</v>
      </c>
      <c r="V245" s="372">
        <v>117547634</v>
      </c>
      <c r="W245" s="353"/>
      <c r="AA245" s="356"/>
      <c r="AB245" s="375">
        <f>L245/$L$248</f>
        <v>0.22264831828679479</v>
      </c>
      <c r="BA245" s="328"/>
      <c r="BB245" s="328"/>
      <c r="BC245" s="363" t="s">
        <v>10</v>
      </c>
    </row>
    <row r="246" spans="4:55" s="342" customFormat="1" ht="12.75" customHeight="1" x14ac:dyDescent="0.25">
      <c r="D246" s="358"/>
      <c r="E246" s="358"/>
      <c r="F246" s="359"/>
      <c r="G246" s="358"/>
      <c r="H246" s="358"/>
      <c r="J246" s="374"/>
      <c r="K246" s="374"/>
      <c r="L246" s="356">
        <v>90909.090909090897</v>
      </c>
      <c r="M246" s="327"/>
      <c r="N246" s="327"/>
      <c r="O246" s="298"/>
      <c r="P246" s="298"/>
      <c r="Q246" s="356"/>
      <c r="R246" s="372">
        <v>600000</v>
      </c>
      <c r="S246" s="372">
        <v>600000</v>
      </c>
      <c r="T246" s="372">
        <v>600000</v>
      </c>
      <c r="U246" s="372">
        <v>600000</v>
      </c>
      <c r="V246" s="372">
        <v>600000</v>
      </c>
      <c r="W246" s="353"/>
      <c r="AA246" s="356"/>
      <c r="AB246" s="375">
        <f>L246/$L$248</f>
        <v>1.2286790242712325E-3</v>
      </c>
      <c r="BA246" s="328"/>
      <c r="BB246" s="328"/>
      <c r="BC246" s="363" t="s">
        <v>11</v>
      </c>
    </row>
    <row r="247" spans="4:55" s="342" customFormat="1" ht="12.75" customHeight="1" x14ac:dyDescent="0.25">
      <c r="D247" s="358"/>
      <c r="E247" s="358"/>
      <c r="F247" s="359"/>
      <c r="G247" s="358"/>
      <c r="H247" s="358"/>
      <c r="J247" s="374"/>
      <c r="K247" s="374"/>
      <c r="L247" s="356">
        <v>7424791.3525944976</v>
      </c>
      <c r="M247" s="327"/>
      <c r="N247" s="327"/>
      <c r="O247" s="298"/>
      <c r="P247" s="298"/>
      <c r="Q247" s="356"/>
      <c r="R247" s="372">
        <v>43123188.175868846</v>
      </c>
      <c r="S247" s="372">
        <v>50473731.614937387</v>
      </c>
      <c r="T247" s="372">
        <v>50473731.614937387</v>
      </c>
      <c r="U247" s="372">
        <v>50473731.614937387</v>
      </c>
      <c r="V247" s="372">
        <v>50473731.614937387</v>
      </c>
      <c r="W247" s="353"/>
      <c r="AA247" s="356"/>
      <c r="AB247" s="375">
        <f>L247/$L$248</f>
        <v>0.10034953933975621</v>
      </c>
      <c r="BA247" s="328"/>
      <c r="BB247" s="328"/>
      <c r="BC247" s="363" t="s">
        <v>12</v>
      </c>
    </row>
    <row r="248" spans="4:55" s="342" customFormat="1" ht="12.75" customHeight="1" x14ac:dyDescent="0.25">
      <c r="D248" s="358"/>
      <c r="E248" s="358"/>
      <c r="F248" s="359"/>
      <c r="G248" s="358"/>
      <c r="H248" s="358"/>
      <c r="J248" s="374"/>
      <c r="K248" s="374"/>
      <c r="L248" s="329">
        <v>73989291.843744054</v>
      </c>
      <c r="M248" s="357"/>
      <c r="N248" s="357"/>
      <c r="O248" s="298"/>
      <c r="P248" s="298"/>
      <c r="Q248" s="356"/>
      <c r="R248" s="372">
        <f>SUM(R244:R247)</f>
        <v>407561168.3838045</v>
      </c>
      <c r="S248" s="372">
        <f>SUM(S244:S247)</f>
        <v>508521365.61493737</v>
      </c>
      <c r="T248" s="372">
        <f>SUM(T244:T247)</f>
        <v>508521365.61493737</v>
      </c>
      <c r="U248" s="372">
        <f>SUM(U244:U247)</f>
        <v>508521365.61493737</v>
      </c>
      <c r="V248" s="372">
        <f>SUM(V244:V247)</f>
        <v>508521365.61493737</v>
      </c>
      <c r="W248" s="353"/>
      <c r="AA248" s="329"/>
      <c r="AB248" s="376">
        <f>L248/$L$248</f>
        <v>1</v>
      </c>
      <c r="BA248" s="328"/>
      <c r="BB248" s="328"/>
      <c r="BC248" s="363" t="s">
        <v>13</v>
      </c>
    </row>
    <row r="249" spans="4:55" s="342" customFormat="1" x14ac:dyDescent="0.25">
      <c r="D249" s="358"/>
      <c r="E249" s="358"/>
      <c r="F249" s="359"/>
      <c r="G249" s="358"/>
      <c r="H249" s="358"/>
      <c r="J249" s="345"/>
      <c r="L249" s="328"/>
      <c r="M249" s="345"/>
      <c r="N249" s="345"/>
      <c r="O249" s="344"/>
      <c r="P249" s="344"/>
      <c r="Q249" s="362"/>
      <c r="W249" s="345"/>
      <c r="AA249" s="328"/>
      <c r="AQ249" s="328"/>
      <c r="AR249" s="328"/>
      <c r="AS249" s="328"/>
      <c r="AT249" s="328"/>
      <c r="AU249" s="328"/>
      <c r="AV249" s="328"/>
      <c r="AW249" s="328"/>
      <c r="AX249" s="328"/>
      <c r="AY249" s="328"/>
      <c r="AZ249" s="328"/>
      <c r="BA249" s="328"/>
      <c r="BB249" s="328"/>
    </row>
    <row r="250" spans="4:55" s="342" customFormat="1" x14ac:dyDescent="0.25">
      <c r="D250" s="358"/>
      <c r="E250" s="358"/>
      <c r="F250" s="359"/>
      <c r="G250" s="358"/>
      <c r="H250" s="358"/>
      <c r="J250" s="345"/>
      <c r="L250" s="328"/>
      <c r="M250" s="345"/>
      <c r="N250" s="345"/>
      <c r="O250" s="344"/>
      <c r="P250" s="344"/>
      <c r="Q250" s="362"/>
      <c r="W250" s="345"/>
      <c r="AA250" s="328"/>
      <c r="AQ250" s="328"/>
      <c r="AR250" s="328"/>
      <c r="AS250" s="328"/>
      <c r="AT250" s="328"/>
      <c r="AU250" s="328"/>
      <c r="AV250" s="328"/>
      <c r="AW250" s="328"/>
      <c r="AX250" s="328"/>
      <c r="AY250" s="328"/>
      <c r="AZ250" s="328"/>
      <c r="BA250" s="328"/>
      <c r="BB250" s="328"/>
    </row>
    <row r="251" spans="4:55" s="342" customFormat="1" x14ac:dyDescent="0.25">
      <c r="D251" s="358"/>
      <c r="E251" s="358"/>
      <c r="F251" s="359"/>
      <c r="G251" s="358"/>
      <c r="H251" s="358"/>
      <c r="J251" s="345"/>
      <c r="L251" s="328"/>
      <c r="M251" s="345"/>
      <c r="N251" s="345"/>
      <c r="O251" s="344"/>
      <c r="P251" s="344"/>
      <c r="Q251" s="362"/>
      <c r="W251" s="345"/>
      <c r="AA251" s="328"/>
      <c r="AQ251" s="328"/>
      <c r="AR251" s="328"/>
      <c r="AS251" s="328"/>
      <c r="AT251" s="328"/>
      <c r="AU251" s="328"/>
      <c r="AV251" s="328"/>
      <c r="AW251" s="328"/>
      <c r="AX251" s="328"/>
      <c r="AY251" s="328"/>
      <c r="AZ251" s="328"/>
      <c r="BA251" s="328"/>
      <c r="BB251" s="328"/>
    </row>
    <row r="252" spans="4:55" s="239" customFormat="1" x14ac:dyDescent="0.25">
      <c r="D252" s="382"/>
      <c r="E252" s="382"/>
      <c r="F252" s="383"/>
      <c r="G252" s="382"/>
      <c r="H252" s="382"/>
      <c r="I252" s="246"/>
      <c r="J252" s="235"/>
      <c r="L252" s="385"/>
      <c r="M252" s="235"/>
      <c r="N252" s="235"/>
      <c r="O252" s="83"/>
      <c r="P252" s="83"/>
      <c r="Q252" s="387"/>
      <c r="W252" s="235"/>
      <c r="X252" s="333"/>
      <c r="Y252" s="333"/>
      <c r="Z252" s="333"/>
      <c r="AA252" s="385"/>
      <c r="AP252" s="246"/>
      <c r="AQ252" s="385"/>
      <c r="AR252" s="385"/>
      <c r="AS252" s="385"/>
      <c r="AT252" s="385"/>
      <c r="AU252" s="385"/>
      <c r="AV252" s="385"/>
      <c r="AW252" s="385"/>
      <c r="AX252" s="385"/>
      <c r="AY252" s="385"/>
      <c r="AZ252" s="385"/>
      <c r="BA252" s="385"/>
      <c r="BB252" s="385"/>
    </row>
    <row r="253" spans="4:55" s="239" customFormat="1" x14ac:dyDescent="0.25">
      <c r="D253" s="382"/>
      <c r="E253" s="382"/>
      <c r="F253" s="383"/>
      <c r="G253" s="382"/>
      <c r="H253" s="382"/>
      <c r="I253" s="246"/>
      <c r="J253" s="235"/>
      <c r="L253" s="385"/>
      <c r="M253" s="235"/>
      <c r="N253" s="235"/>
      <c r="O253" s="83"/>
      <c r="P253" s="83"/>
      <c r="Q253" s="387"/>
      <c r="W253" s="235"/>
      <c r="X253" s="333"/>
      <c r="Y253" s="333"/>
      <c r="Z253" s="333"/>
      <c r="AA253" s="385"/>
      <c r="AP253" s="246"/>
      <c r="AQ253" s="385"/>
      <c r="AR253" s="385"/>
      <c r="AS253" s="385"/>
      <c r="AT253" s="385"/>
      <c r="AU253" s="385"/>
      <c r="AV253" s="385"/>
      <c r="AW253" s="385"/>
      <c r="AX253" s="385"/>
      <c r="AY253" s="385"/>
      <c r="AZ253" s="385"/>
      <c r="BA253" s="385"/>
      <c r="BB253" s="385"/>
    </row>
    <row r="254" spans="4:55" s="239" customFormat="1" x14ac:dyDescent="0.25">
      <c r="D254" s="382"/>
      <c r="E254" s="382"/>
      <c r="F254" s="383"/>
      <c r="G254" s="382"/>
      <c r="H254" s="382"/>
      <c r="I254" s="246"/>
      <c r="J254" s="235"/>
      <c r="L254" s="385"/>
      <c r="M254" s="235"/>
      <c r="N254" s="235"/>
      <c r="O254" s="83"/>
      <c r="P254" s="83"/>
      <c r="Q254" s="387"/>
      <c r="W254" s="235"/>
      <c r="X254" s="333"/>
      <c r="Y254" s="333"/>
      <c r="Z254" s="333"/>
      <c r="AA254" s="385"/>
      <c r="AP254" s="246"/>
      <c r="AQ254" s="385"/>
      <c r="AR254" s="385"/>
      <c r="AS254" s="385"/>
      <c r="AT254" s="385"/>
      <c r="AU254" s="385"/>
      <c r="AV254" s="385"/>
      <c r="AW254" s="385"/>
      <c r="AX254" s="385"/>
      <c r="AY254" s="385"/>
      <c r="AZ254" s="385"/>
      <c r="BA254" s="385"/>
      <c r="BB254" s="385"/>
    </row>
    <row r="255" spans="4:55" s="239" customFormat="1" x14ac:dyDescent="0.25">
      <c r="D255" s="382"/>
      <c r="E255" s="382"/>
      <c r="F255" s="383"/>
      <c r="G255" s="382"/>
      <c r="H255" s="382"/>
      <c r="I255" s="246"/>
      <c r="J255" s="235"/>
      <c r="L255" s="385"/>
      <c r="M255" s="235"/>
      <c r="N255" s="235"/>
      <c r="O255" s="83"/>
      <c r="P255" s="83"/>
      <c r="Q255" s="387"/>
      <c r="W255" s="235"/>
      <c r="X255" s="333"/>
      <c r="Y255" s="333"/>
      <c r="Z255" s="333"/>
      <c r="AA255" s="385"/>
      <c r="AP255" s="246"/>
      <c r="AQ255" s="385"/>
      <c r="AR255" s="385"/>
      <c r="AS255" s="385"/>
      <c r="AT255" s="385"/>
      <c r="AU255" s="385"/>
      <c r="AV255" s="385"/>
      <c r="AW255" s="385"/>
      <c r="AX255" s="385"/>
      <c r="AY255" s="385"/>
      <c r="AZ255" s="385"/>
      <c r="BA255" s="385"/>
      <c r="BB255" s="385"/>
    </row>
    <row r="256" spans="4:55" s="239" customFormat="1" x14ac:dyDescent="0.25">
      <c r="D256" s="382"/>
      <c r="E256" s="382"/>
      <c r="F256" s="383"/>
      <c r="G256" s="382"/>
      <c r="H256" s="382"/>
      <c r="I256" s="246"/>
      <c r="J256" s="235"/>
      <c r="L256" s="385"/>
      <c r="M256" s="235"/>
      <c r="N256" s="235"/>
      <c r="O256" s="83"/>
      <c r="P256" s="83"/>
      <c r="Q256" s="387"/>
      <c r="W256" s="235"/>
      <c r="X256" s="333"/>
      <c r="Y256" s="333"/>
      <c r="Z256" s="333"/>
      <c r="AA256" s="385"/>
      <c r="AP256" s="246"/>
      <c r="AQ256" s="385"/>
      <c r="AR256" s="385"/>
      <c r="AS256" s="385"/>
      <c r="AT256" s="385"/>
      <c r="AU256" s="385"/>
      <c r="AV256" s="385"/>
      <c r="AW256" s="385"/>
      <c r="AX256" s="385"/>
      <c r="AY256" s="385"/>
      <c r="AZ256" s="385"/>
      <c r="BA256" s="385"/>
      <c r="BB256" s="385"/>
    </row>
    <row r="257" spans="4:54" s="239" customFormat="1" x14ac:dyDescent="0.25">
      <c r="D257" s="382"/>
      <c r="E257" s="382"/>
      <c r="F257" s="383"/>
      <c r="G257" s="382"/>
      <c r="H257" s="382"/>
      <c r="I257" s="246"/>
      <c r="J257" s="235"/>
      <c r="L257" s="385"/>
      <c r="M257" s="235"/>
      <c r="N257" s="235"/>
      <c r="O257" s="83"/>
      <c r="P257" s="83"/>
      <c r="Q257" s="387"/>
      <c r="W257" s="235"/>
      <c r="X257" s="333"/>
      <c r="Y257" s="333"/>
      <c r="Z257" s="333"/>
      <c r="AA257" s="385"/>
      <c r="AP257" s="246"/>
      <c r="AQ257" s="385"/>
      <c r="AR257" s="385"/>
      <c r="AS257" s="385"/>
      <c r="AT257" s="385"/>
      <c r="AU257" s="385"/>
      <c r="AV257" s="385"/>
      <c r="AW257" s="385"/>
      <c r="AX257" s="385"/>
      <c r="AY257" s="385"/>
      <c r="AZ257" s="385"/>
      <c r="BA257" s="385"/>
      <c r="BB257" s="385"/>
    </row>
    <row r="258" spans="4:54" s="239" customFormat="1" x14ac:dyDescent="0.25">
      <c r="D258" s="382"/>
      <c r="E258" s="382"/>
      <c r="F258" s="383"/>
      <c r="G258" s="382"/>
      <c r="H258" s="382"/>
      <c r="I258" s="246"/>
      <c r="J258" s="235"/>
      <c r="L258" s="385"/>
      <c r="M258" s="235"/>
      <c r="N258" s="235"/>
      <c r="O258" s="83"/>
      <c r="P258" s="83"/>
      <c r="Q258" s="387"/>
      <c r="W258" s="235"/>
      <c r="X258" s="333"/>
      <c r="Y258" s="333"/>
      <c r="Z258" s="333"/>
      <c r="AA258" s="385"/>
      <c r="AP258" s="246"/>
      <c r="AQ258" s="385"/>
      <c r="AR258" s="385"/>
      <c r="AS258" s="385"/>
      <c r="AT258" s="385"/>
      <c r="AU258" s="385"/>
      <c r="AV258" s="385"/>
      <c r="AW258" s="385"/>
      <c r="AX258" s="385"/>
      <c r="AY258" s="385"/>
      <c r="AZ258" s="385"/>
      <c r="BA258" s="385"/>
      <c r="BB258" s="385"/>
    </row>
    <row r="259" spans="4:54" s="239" customFormat="1" x14ac:dyDescent="0.25">
      <c r="D259" s="382"/>
      <c r="E259" s="382"/>
      <c r="F259" s="383"/>
      <c r="G259" s="382"/>
      <c r="H259" s="382"/>
      <c r="I259" s="246"/>
      <c r="J259" s="235"/>
      <c r="L259" s="385"/>
      <c r="M259" s="235"/>
      <c r="N259" s="235"/>
      <c r="O259" s="83"/>
      <c r="P259" s="83"/>
      <c r="Q259" s="387"/>
      <c r="W259" s="235"/>
      <c r="X259" s="333"/>
      <c r="Y259" s="333"/>
      <c r="Z259" s="333"/>
      <c r="AA259" s="385"/>
      <c r="AP259" s="246"/>
      <c r="AQ259" s="385"/>
      <c r="AR259" s="385"/>
      <c r="AS259" s="385"/>
      <c r="AT259" s="385"/>
      <c r="AU259" s="385"/>
      <c r="AV259" s="385"/>
      <c r="AW259" s="385"/>
      <c r="AX259" s="385"/>
      <c r="AY259" s="385"/>
      <c r="AZ259" s="385"/>
      <c r="BA259" s="385"/>
      <c r="BB259" s="385"/>
    </row>
    <row r="260" spans="4:54" s="239" customFormat="1" x14ac:dyDescent="0.25">
      <c r="D260" s="382"/>
      <c r="E260" s="382"/>
      <c r="F260" s="383"/>
      <c r="G260" s="382"/>
      <c r="H260" s="382"/>
      <c r="I260" s="246"/>
      <c r="J260" s="235"/>
      <c r="L260" s="385"/>
      <c r="M260" s="235"/>
      <c r="N260" s="235"/>
      <c r="O260" s="83"/>
      <c r="P260" s="83"/>
      <c r="Q260" s="387"/>
      <c r="W260" s="235"/>
      <c r="X260" s="333"/>
      <c r="Y260" s="333"/>
      <c r="Z260" s="333"/>
      <c r="AA260" s="385"/>
      <c r="AP260" s="246"/>
      <c r="AQ260" s="385"/>
      <c r="AR260" s="385"/>
      <c r="AS260" s="385"/>
      <c r="AT260" s="385"/>
      <c r="AU260" s="385"/>
      <c r="AV260" s="385"/>
      <c r="AW260" s="385"/>
      <c r="AX260" s="385"/>
      <c r="AY260" s="385"/>
      <c r="AZ260" s="385"/>
      <c r="BA260" s="385"/>
      <c r="BB260" s="385"/>
    </row>
    <row r="261" spans="4:54" s="239" customFormat="1" x14ac:dyDescent="0.25">
      <c r="D261" s="382"/>
      <c r="E261" s="382"/>
      <c r="F261" s="383"/>
      <c r="G261" s="382"/>
      <c r="H261" s="382"/>
      <c r="I261" s="246"/>
      <c r="J261" s="235"/>
      <c r="L261" s="385"/>
      <c r="M261" s="235"/>
      <c r="N261" s="235"/>
      <c r="O261" s="83"/>
      <c r="P261" s="83"/>
      <c r="Q261" s="387"/>
      <c r="W261" s="235"/>
      <c r="X261" s="333"/>
      <c r="Y261" s="333"/>
      <c r="Z261" s="333"/>
      <c r="AA261" s="385"/>
      <c r="AP261" s="246"/>
      <c r="AQ261" s="385"/>
      <c r="AR261" s="385"/>
      <c r="AS261" s="385"/>
      <c r="AT261" s="385"/>
      <c r="AU261" s="385"/>
      <c r="AV261" s="385"/>
      <c r="AW261" s="385"/>
      <c r="AX261" s="385"/>
      <c r="AY261" s="385"/>
      <c r="AZ261" s="385"/>
      <c r="BA261" s="385"/>
      <c r="BB261" s="385"/>
    </row>
    <row r="262" spans="4:54" s="239" customFormat="1" x14ac:dyDescent="0.25">
      <c r="D262" s="382"/>
      <c r="E262" s="382"/>
      <c r="F262" s="383"/>
      <c r="G262" s="382"/>
      <c r="H262" s="382"/>
      <c r="I262" s="246"/>
      <c r="J262" s="235"/>
      <c r="L262" s="385"/>
      <c r="M262" s="235"/>
      <c r="N262" s="235"/>
      <c r="O262" s="83"/>
      <c r="P262" s="83"/>
      <c r="Q262" s="387"/>
      <c r="W262" s="235"/>
      <c r="X262" s="333"/>
      <c r="Y262" s="333"/>
      <c r="Z262" s="333"/>
      <c r="AA262" s="385"/>
      <c r="AP262" s="246"/>
      <c r="AQ262" s="385"/>
      <c r="AR262" s="385"/>
      <c r="AS262" s="385"/>
      <c r="AT262" s="385"/>
      <c r="AU262" s="385"/>
      <c r="AV262" s="385"/>
      <c r="AW262" s="385"/>
      <c r="AX262" s="385"/>
      <c r="AY262" s="385"/>
      <c r="AZ262" s="385"/>
      <c r="BA262" s="385"/>
      <c r="BB262" s="385"/>
    </row>
    <row r="263" spans="4:54" s="239" customFormat="1" x14ac:dyDescent="0.25">
      <c r="D263" s="382"/>
      <c r="E263" s="382"/>
      <c r="F263" s="383"/>
      <c r="G263" s="382"/>
      <c r="H263" s="382"/>
      <c r="I263" s="246"/>
      <c r="J263" s="235"/>
      <c r="L263" s="385"/>
      <c r="M263" s="235"/>
      <c r="N263" s="235"/>
      <c r="O263" s="83"/>
      <c r="P263" s="83"/>
      <c r="Q263" s="387"/>
      <c r="W263" s="235"/>
      <c r="X263" s="333"/>
      <c r="Y263" s="333"/>
      <c r="Z263" s="333"/>
      <c r="AA263" s="385"/>
      <c r="AP263" s="246"/>
      <c r="AQ263" s="385"/>
      <c r="AR263" s="385"/>
      <c r="AS263" s="385"/>
      <c r="AT263" s="385"/>
      <c r="AU263" s="385"/>
      <c r="AV263" s="385"/>
      <c r="AW263" s="385"/>
      <c r="AX263" s="385"/>
      <c r="AY263" s="385"/>
      <c r="AZ263" s="385"/>
      <c r="BA263" s="385"/>
      <c r="BB263" s="385"/>
    </row>
    <row r="264" spans="4:54" s="239" customFormat="1" x14ac:dyDescent="0.25">
      <c r="D264" s="382"/>
      <c r="E264" s="382"/>
      <c r="F264" s="383"/>
      <c r="G264" s="382"/>
      <c r="H264" s="382"/>
      <c r="I264" s="246"/>
      <c r="J264" s="235"/>
      <c r="L264" s="385"/>
      <c r="M264" s="235"/>
      <c r="N264" s="235"/>
      <c r="O264" s="83"/>
      <c r="P264" s="83"/>
      <c r="Q264" s="387"/>
      <c r="W264" s="235"/>
      <c r="X264" s="333"/>
      <c r="Y264" s="333"/>
      <c r="Z264" s="333"/>
      <c r="AA264" s="385"/>
      <c r="AP264" s="246"/>
      <c r="AQ264" s="385"/>
      <c r="AR264" s="385"/>
      <c r="AS264" s="385"/>
      <c r="AT264" s="385"/>
      <c r="AU264" s="385"/>
      <c r="AV264" s="385"/>
      <c r="AW264" s="385"/>
      <c r="AX264" s="385"/>
      <c r="AY264" s="385"/>
      <c r="AZ264" s="385"/>
      <c r="BA264" s="385"/>
      <c r="BB264" s="385"/>
    </row>
    <row r="265" spans="4:54" s="239" customFormat="1" x14ac:dyDescent="0.25">
      <c r="D265" s="382"/>
      <c r="E265" s="382"/>
      <c r="F265" s="383"/>
      <c r="G265" s="382"/>
      <c r="H265" s="382"/>
      <c r="I265" s="246"/>
      <c r="J265" s="235"/>
      <c r="L265" s="385"/>
      <c r="M265" s="235"/>
      <c r="N265" s="235"/>
      <c r="O265" s="83"/>
      <c r="P265" s="83"/>
      <c r="Q265" s="387"/>
      <c r="W265" s="235"/>
      <c r="X265" s="333"/>
      <c r="Y265" s="333"/>
      <c r="Z265" s="333"/>
      <c r="AA265" s="385"/>
      <c r="AP265" s="246"/>
      <c r="AQ265" s="385"/>
      <c r="AR265" s="385"/>
      <c r="AS265" s="385"/>
      <c r="AT265" s="385"/>
      <c r="AU265" s="385"/>
      <c r="AV265" s="385"/>
      <c r="AW265" s="385"/>
      <c r="AX265" s="385"/>
      <c r="AY265" s="385"/>
      <c r="AZ265" s="385"/>
      <c r="BA265" s="385"/>
      <c r="BB265" s="385"/>
    </row>
    <row r="266" spans="4:54" s="239" customFormat="1" x14ac:dyDescent="0.25">
      <c r="D266" s="382"/>
      <c r="E266" s="382"/>
      <c r="F266" s="383"/>
      <c r="G266" s="382"/>
      <c r="H266" s="382"/>
      <c r="I266" s="246"/>
      <c r="J266" s="235"/>
      <c r="L266" s="385"/>
      <c r="M266" s="235"/>
      <c r="N266" s="235"/>
      <c r="O266" s="83"/>
      <c r="P266" s="83"/>
      <c r="Q266" s="387"/>
      <c r="W266" s="235"/>
      <c r="X266" s="333"/>
      <c r="Y266" s="333"/>
      <c r="Z266" s="333"/>
      <c r="AA266" s="385"/>
      <c r="AP266" s="246"/>
      <c r="AQ266" s="385"/>
      <c r="AR266" s="385"/>
      <c r="AS266" s="385"/>
      <c r="AT266" s="385"/>
      <c r="AU266" s="385"/>
      <c r="AV266" s="385"/>
      <c r="AW266" s="385"/>
      <c r="AX266" s="385"/>
      <c r="AY266" s="385"/>
      <c r="AZ266" s="385"/>
      <c r="BA266" s="385"/>
      <c r="BB266" s="385"/>
    </row>
    <row r="267" spans="4:54" s="239" customFormat="1" x14ac:dyDescent="0.25">
      <c r="D267" s="382"/>
      <c r="E267" s="382"/>
      <c r="F267" s="383"/>
      <c r="G267" s="382"/>
      <c r="H267" s="382"/>
      <c r="I267" s="246"/>
      <c r="J267" s="235"/>
      <c r="L267" s="385"/>
      <c r="M267" s="235"/>
      <c r="N267" s="235"/>
      <c r="O267" s="83"/>
      <c r="P267" s="83"/>
      <c r="Q267" s="387"/>
      <c r="W267" s="235"/>
      <c r="X267" s="333"/>
      <c r="Y267" s="333"/>
      <c r="Z267" s="333"/>
      <c r="AA267" s="385"/>
      <c r="AP267" s="246"/>
      <c r="AQ267" s="385"/>
      <c r="AR267" s="385"/>
      <c r="AS267" s="385"/>
      <c r="AT267" s="385"/>
      <c r="AU267" s="385"/>
      <c r="AV267" s="385"/>
      <c r="AW267" s="385"/>
      <c r="AX267" s="385"/>
      <c r="AY267" s="385"/>
      <c r="AZ267" s="385"/>
      <c r="BA267" s="385"/>
      <c r="BB267" s="385"/>
    </row>
    <row r="268" spans="4:54" s="239" customFormat="1" x14ac:dyDescent="0.25">
      <c r="D268" s="382"/>
      <c r="E268" s="382"/>
      <c r="F268" s="383"/>
      <c r="G268" s="382"/>
      <c r="H268" s="382"/>
      <c r="I268" s="246"/>
      <c r="J268" s="235"/>
      <c r="L268" s="385"/>
      <c r="M268" s="235"/>
      <c r="N268" s="235"/>
      <c r="O268" s="83"/>
      <c r="P268" s="83"/>
      <c r="Q268" s="387"/>
      <c r="W268" s="235"/>
      <c r="X268" s="333"/>
      <c r="Y268" s="333"/>
      <c r="Z268" s="333"/>
      <c r="AA268" s="385"/>
      <c r="AP268" s="246"/>
      <c r="AQ268" s="385"/>
      <c r="AR268" s="385"/>
      <c r="AS268" s="385"/>
      <c r="AT268" s="385"/>
      <c r="AU268" s="385"/>
      <c r="AV268" s="385"/>
      <c r="AW268" s="385"/>
      <c r="AX268" s="385"/>
      <c r="AY268" s="385"/>
      <c r="AZ268" s="385"/>
      <c r="BA268" s="385"/>
      <c r="BB268" s="385"/>
    </row>
    <row r="269" spans="4:54" s="239" customFormat="1" x14ac:dyDescent="0.25">
      <c r="D269" s="382"/>
      <c r="E269" s="382"/>
      <c r="F269" s="383"/>
      <c r="G269" s="382"/>
      <c r="H269" s="382"/>
      <c r="I269" s="246"/>
      <c r="J269" s="235"/>
      <c r="L269" s="385"/>
      <c r="M269" s="235"/>
      <c r="N269" s="235"/>
      <c r="O269" s="83"/>
      <c r="P269" s="83"/>
      <c r="Q269" s="387"/>
      <c r="W269" s="235"/>
      <c r="X269" s="333"/>
      <c r="Y269" s="333"/>
      <c r="Z269" s="333"/>
      <c r="AA269" s="385"/>
      <c r="AP269" s="246"/>
      <c r="AQ269" s="385"/>
      <c r="AR269" s="385"/>
      <c r="AS269" s="385"/>
      <c r="AT269" s="385"/>
      <c r="AU269" s="385"/>
      <c r="AV269" s="385"/>
      <c r="AW269" s="385"/>
      <c r="AX269" s="385"/>
      <c r="AY269" s="385"/>
      <c r="AZ269" s="385"/>
      <c r="BA269" s="385"/>
      <c r="BB269" s="385"/>
    </row>
    <row r="270" spans="4:54" s="239" customFormat="1" x14ac:dyDescent="0.25">
      <c r="D270" s="382"/>
      <c r="E270" s="382"/>
      <c r="F270" s="383"/>
      <c r="G270" s="382"/>
      <c r="H270" s="382"/>
      <c r="I270" s="246"/>
      <c r="J270" s="235"/>
      <c r="L270" s="385"/>
      <c r="M270" s="235"/>
      <c r="N270" s="235"/>
      <c r="O270" s="83"/>
      <c r="P270" s="83"/>
      <c r="Q270" s="387"/>
      <c r="W270" s="235"/>
      <c r="X270" s="333"/>
      <c r="Y270" s="333"/>
      <c r="Z270" s="333"/>
      <c r="AA270" s="385"/>
      <c r="AP270" s="246"/>
      <c r="AQ270" s="385"/>
      <c r="AR270" s="385"/>
      <c r="AS270" s="385"/>
      <c r="AT270" s="385"/>
      <c r="AU270" s="385"/>
      <c r="AV270" s="385"/>
      <c r="AW270" s="385"/>
      <c r="AX270" s="385"/>
      <c r="AY270" s="385"/>
      <c r="AZ270" s="385"/>
      <c r="BA270" s="385"/>
      <c r="BB270" s="385"/>
    </row>
    <row r="271" spans="4:54" s="239" customFormat="1" x14ac:dyDescent="0.25">
      <c r="D271" s="382"/>
      <c r="E271" s="382"/>
      <c r="F271" s="383"/>
      <c r="G271" s="382"/>
      <c r="H271" s="382"/>
      <c r="I271" s="246"/>
      <c r="J271" s="235"/>
      <c r="L271" s="385"/>
      <c r="M271" s="235"/>
      <c r="N271" s="235"/>
      <c r="O271" s="83"/>
      <c r="P271" s="83"/>
      <c r="Q271" s="387"/>
      <c r="W271" s="235"/>
      <c r="X271" s="333"/>
      <c r="Y271" s="333"/>
      <c r="Z271" s="333"/>
      <c r="AA271" s="385"/>
      <c r="AP271" s="246"/>
      <c r="AQ271" s="385"/>
      <c r="AR271" s="385"/>
      <c r="AS271" s="385"/>
      <c r="AT271" s="385"/>
      <c r="AU271" s="385"/>
      <c r="AV271" s="385"/>
      <c r="AW271" s="385"/>
      <c r="AX271" s="385"/>
      <c r="AY271" s="385"/>
      <c r="AZ271" s="385"/>
      <c r="BA271" s="385"/>
      <c r="BB271" s="385"/>
    </row>
    <row r="272" spans="4:54" s="239" customFormat="1" x14ac:dyDescent="0.25">
      <c r="D272" s="382"/>
      <c r="E272" s="382"/>
      <c r="F272" s="383"/>
      <c r="G272" s="382"/>
      <c r="H272" s="382"/>
      <c r="I272" s="246"/>
      <c r="J272" s="235"/>
      <c r="L272" s="385"/>
      <c r="M272" s="235"/>
      <c r="N272" s="235"/>
      <c r="O272" s="83"/>
      <c r="P272" s="83"/>
      <c r="Q272" s="387"/>
      <c r="W272" s="235"/>
      <c r="X272" s="333"/>
      <c r="Y272" s="333"/>
      <c r="Z272" s="333"/>
      <c r="AA272" s="385"/>
      <c r="AP272" s="246"/>
      <c r="AQ272" s="385"/>
      <c r="AR272" s="385"/>
      <c r="AS272" s="385"/>
      <c r="AT272" s="385"/>
      <c r="AU272" s="385"/>
      <c r="AV272" s="385"/>
      <c r="AW272" s="385"/>
      <c r="AX272" s="385"/>
      <c r="AY272" s="385"/>
      <c r="AZ272" s="385"/>
      <c r="BA272" s="385"/>
      <c r="BB272" s="385"/>
    </row>
    <row r="273" spans="4:54" s="239" customFormat="1" x14ac:dyDescent="0.25">
      <c r="D273" s="382"/>
      <c r="E273" s="382"/>
      <c r="F273" s="383"/>
      <c r="G273" s="382"/>
      <c r="H273" s="382"/>
      <c r="I273" s="246"/>
      <c r="J273" s="235"/>
      <c r="L273" s="385"/>
      <c r="M273" s="235"/>
      <c r="N273" s="235"/>
      <c r="O273" s="83"/>
      <c r="P273" s="83"/>
      <c r="Q273" s="387"/>
      <c r="W273" s="235"/>
      <c r="X273" s="333"/>
      <c r="Y273" s="333"/>
      <c r="Z273" s="333"/>
      <c r="AA273" s="385"/>
      <c r="AP273" s="246"/>
      <c r="AQ273" s="385"/>
      <c r="AR273" s="385"/>
      <c r="AS273" s="385"/>
      <c r="AT273" s="385"/>
      <c r="AU273" s="385"/>
      <c r="AV273" s="385"/>
      <c r="AW273" s="385"/>
      <c r="AX273" s="385"/>
      <c r="AY273" s="385"/>
      <c r="AZ273" s="385"/>
      <c r="BA273" s="385"/>
      <c r="BB273" s="385"/>
    </row>
    <row r="274" spans="4:54" s="239" customFormat="1" x14ac:dyDescent="0.25">
      <c r="D274" s="382"/>
      <c r="E274" s="382"/>
      <c r="F274" s="383"/>
      <c r="G274" s="382"/>
      <c r="H274" s="382"/>
      <c r="I274" s="246"/>
      <c r="J274" s="235"/>
      <c r="L274" s="385"/>
      <c r="M274" s="235"/>
      <c r="N274" s="235"/>
      <c r="O274" s="83"/>
      <c r="P274" s="83"/>
      <c r="Q274" s="387"/>
      <c r="W274" s="235"/>
      <c r="X274" s="333"/>
      <c r="Y274" s="333"/>
      <c r="Z274" s="333"/>
      <c r="AA274" s="385"/>
      <c r="AP274" s="246"/>
      <c r="AQ274" s="385"/>
      <c r="AR274" s="385"/>
      <c r="AS274" s="385"/>
      <c r="AT274" s="385"/>
      <c r="AU274" s="385"/>
      <c r="AV274" s="385"/>
      <c r="AW274" s="385"/>
      <c r="AX274" s="385"/>
      <c r="AY274" s="385"/>
      <c r="AZ274" s="385"/>
      <c r="BA274" s="385"/>
      <c r="BB274" s="385"/>
    </row>
    <row r="275" spans="4:54" s="239" customFormat="1" x14ac:dyDescent="0.25">
      <c r="D275" s="382"/>
      <c r="E275" s="382"/>
      <c r="F275" s="383"/>
      <c r="G275" s="382"/>
      <c r="H275" s="382"/>
      <c r="I275" s="246"/>
      <c r="J275" s="235"/>
      <c r="L275" s="385"/>
      <c r="M275" s="235"/>
      <c r="N275" s="235"/>
      <c r="O275" s="83"/>
      <c r="P275" s="83"/>
      <c r="Q275" s="387"/>
      <c r="W275" s="235"/>
      <c r="X275" s="333"/>
      <c r="Y275" s="333"/>
      <c r="Z275" s="333"/>
      <c r="AA275" s="385"/>
      <c r="AP275" s="246"/>
      <c r="AQ275" s="385"/>
      <c r="AR275" s="385"/>
      <c r="AS275" s="385"/>
      <c r="AT275" s="385"/>
      <c r="AU275" s="385"/>
      <c r="AV275" s="385"/>
      <c r="AW275" s="385"/>
      <c r="AX275" s="385"/>
      <c r="AY275" s="385"/>
      <c r="AZ275" s="385"/>
      <c r="BA275" s="385"/>
      <c r="BB275" s="385"/>
    </row>
    <row r="276" spans="4:54" s="239" customFormat="1" x14ac:dyDescent="0.25">
      <c r="D276" s="382"/>
      <c r="E276" s="382"/>
      <c r="F276" s="383"/>
      <c r="G276" s="382"/>
      <c r="H276" s="382"/>
      <c r="I276" s="246"/>
      <c r="J276" s="235"/>
      <c r="L276" s="385"/>
      <c r="M276" s="235"/>
      <c r="N276" s="235"/>
      <c r="O276" s="83"/>
      <c r="P276" s="83"/>
      <c r="Q276" s="387"/>
      <c r="W276" s="235"/>
      <c r="X276" s="333"/>
      <c r="Y276" s="333"/>
      <c r="Z276" s="333"/>
      <c r="AA276" s="385"/>
      <c r="AP276" s="246"/>
      <c r="AQ276" s="385"/>
      <c r="AR276" s="385"/>
      <c r="AS276" s="385"/>
      <c r="AT276" s="385"/>
      <c r="AU276" s="385"/>
      <c r="AV276" s="385"/>
      <c r="AW276" s="385"/>
      <c r="AX276" s="385"/>
      <c r="AY276" s="385"/>
      <c r="AZ276" s="385"/>
      <c r="BA276" s="385"/>
      <c r="BB276" s="385"/>
    </row>
    <row r="277" spans="4:54" s="239" customFormat="1" x14ac:dyDescent="0.25">
      <c r="D277" s="382"/>
      <c r="E277" s="382"/>
      <c r="F277" s="383"/>
      <c r="G277" s="382"/>
      <c r="H277" s="382"/>
      <c r="I277" s="246"/>
      <c r="J277" s="235"/>
      <c r="L277" s="385"/>
      <c r="M277" s="235"/>
      <c r="N277" s="235"/>
      <c r="O277" s="83"/>
      <c r="P277" s="83"/>
      <c r="Q277" s="387"/>
      <c r="W277" s="235"/>
      <c r="X277" s="333"/>
      <c r="Y277" s="333"/>
      <c r="Z277" s="333"/>
      <c r="AA277" s="385"/>
      <c r="AP277" s="246"/>
      <c r="AQ277" s="385"/>
      <c r="AR277" s="385"/>
      <c r="AS277" s="385"/>
      <c r="AT277" s="385"/>
      <c r="AU277" s="385"/>
      <c r="AV277" s="385"/>
      <c r="AW277" s="385"/>
      <c r="AX277" s="385"/>
      <c r="AY277" s="385"/>
      <c r="AZ277" s="385"/>
      <c r="BA277" s="385"/>
      <c r="BB277" s="385"/>
    </row>
    <row r="278" spans="4:54" s="239" customFormat="1" x14ac:dyDescent="0.25">
      <c r="D278" s="382"/>
      <c r="E278" s="382"/>
      <c r="F278" s="383"/>
      <c r="G278" s="382"/>
      <c r="H278" s="382"/>
      <c r="I278" s="246"/>
      <c r="J278" s="235"/>
      <c r="L278" s="385"/>
      <c r="M278" s="235"/>
      <c r="N278" s="235"/>
      <c r="O278" s="83"/>
      <c r="P278" s="83"/>
      <c r="Q278" s="387"/>
      <c r="W278" s="235"/>
      <c r="X278" s="333"/>
      <c r="Y278" s="333"/>
      <c r="Z278" s="333"/>
      <c r="AA278" s="385"/>
      <c r="AP278" s="246"/>
      <c r="AQ278" s="385"/>
      <c r="AR278" s="385"/>
      <c r="AS278" s="385"/>
      <c r="AT278" s="385"/>
      <c r="AU278" s="385"/>
      <c r="AV278" s="385"/>
      <c r="AW278" s="385"/>
      <c r="AX278" s="385"/>
      <c r="AY278" s="385"/>
      <c r="AZ278" s="385"/>
      <c r="BA278" s="385"/>
      <c r="BB278" s="385"/>
    </row>
    <row r="279" spans="4:54" s="239" customFormat="1" x14ac:dyDescent="0.25">
      <c r="D279" s="382"/>
      <c r="E279" s="382"/>
      <c r="F279" s="383"/>
      <c r="G279" s="382"/>
      <c r="H279" s="382"/>
      <c r="I279" s="246"/>
      <c r="J279" s="235"/>
      <c r="L279" s="385"/>
      <c r="M279" s="235"/>
      <c r="N279" s="235"/>
      <c r="O279" s="83"/>
      <c r="P279" s="83"/>
      <c r="Q279" s="387"/>
      <c r="W279" s="235"/>
      <c r="X279" s="333"/>
      <c r="Y279" s="333"/>
      <c r="Z279" s="333"/>
      <c r="AA279" s="385"/>
      <c r="AP279" s="246"/>
      <c r="AQ279" s="385"/>
      <c r="AR279" s="385"/>
      <c r="AS279" s="385"/>
      <c r="AT279" s="385"/>
      <c r="AU279" s="385"/>
      <c r="AV279" s="385"/>
      <c r="AW279" s="385"/>
      <c r="AX279" s="385"/>
      <c r="AY279" s="385"/>
      <c r="AZ279" s="385"/>
      <c r="BA279" s="385"/>
      <c r="BB279" s="385"/>
    </row>
    <row r="280" spans="4:54" s="239" customFormat="1" x14ac:dyDescent="0.25">
      <c r="D280" s="382"/>
      <c r="E280" s="382"/>
      <c r="F280" s="383"/>
      <c r="G280" s="382"/>
      <c r="H280" s="382"/>
      <c r="I280" s="246"/>
      <c r="J280" s="235"/>
      <c r="L280" s="385"/>
      <c r="M280" s="235"/>
      <c r="N280" s="235"/>
      <c r="O280" s="83"/>
      <c r="P280" s="83"/>
      <c r="Q280" s="387"/>
      <c r="W280" s="235"/>
      <c r="X280" s="333"/>
      <c r="Y280" s="333"/>
      <c r="Z280" s="333"/>
      <c r="AA280" s="385"/>
      <c r="AP280" s="246"/>
      <c r="AQ280" s="385"/>
      <c r="AR280" s="385"/>
      <c r="AS280" s="385"/>
      <c r="AT280" s="385"/>
      <c r="AU280" s="385"/>
      <c r="AV280" s="385"/>
      <c r="AW280" s="385"/>
      <c r="AX280" s="385"/>
      <c r="AY280" s="385"/>
      <c r="AZ280" s="385"/>
      <c r="BA280" s="385"/>
      <c r="BB280" s="385"/>
    </row>
    <row r="281" spans="4:54" s="239" customFormat="1" x14ac:dyDescent="0.25">
      <c r="D281" s="382"/>
      <c r="E281" s="382"/>
      <c r="F281" s="383"/>
      <c r="G281" s="382"/>
      <c r="H281" s="382"/>
      <c r="I281" s="246"/>
      <c r="J281" s="235"/>
      <c r="L281" s="385"/>
      <c r="M281" s="235"/>
      <c r="N281" s="235"/>
      <c r="O281" s="83"/>
      <c r="P281" s="83"/>
      <c r="Q281" s="387"/>
      <c r="W281" s="235"/>
      <c r="X281" s="333"/>
      <c r="Y281" s="333"/>
      <c r="Z281" s="333"/>
      <c r="AA281" s="385"/>
      <c r="AP281" s="246"/>
      <c r="AQ281" s="385"/>
      <c r="AR281" s="385"/>
      <c r="AS281" s="385"/>
      <c r="AT281" s="385"/>
      <c r="AU281" s="385"/>
      <c r="AV281" s="385"/>
      <c r="AW281" s="385"/>
      <c r="AX281" s="385"/>
      <c r="AY281" s="385"/>
      <c r="AZ281" s="385"/>
      <c r="BA281" s="385"/>
      <c r="BB281" s="385"/>
    </row>
    <row r="282" spans="4:54" s="239" customFormat="1" x14ac:dyDescent="0.25">
      <c r="D282" s="382"/>
      <c r="E282" s="382"/>
      <c r="F282" s="383"/>
      <c r="G282" s="382"/>
      <c r="H282" s="382"/>
      <c r="I282" s="246"/>
      <c r="J282" s="235"/>
      <c r="L282" s="385"/>
      <c r="M282" s="235"/>
      <c r="N282" s="235"/>
      <c r="O282" s="83"/>
      <c r="P282" s="83"/>
      <c r="Q282" s="387"/>
      <c r="W282" s="235"/>
      <c r="X282" s="333"/>
      <c r="Y282" s="333"/>
      <c r="Z282" s="333"/>
      <c r="AA282" s="385"/>
      <c r="AP282" s="246"/>
      <c r="AQ282" s="385"/>
      <c r="AR282" s="385"/>
      <c r="AS282" s="385"/>
      <c r="AT282" s="385"/>
      <c r="AU282" s="385"/>
      <c r="AV282" s="385"/>
      <c r="AW282" s="385"/>
      <c r="AX282" s="385"/>
      <c r="AY282" s="385"/>
      <c r="AZ282" s="385"/>
      <c r="BA282" s="385"/>
      <c r="BB282" s="385"/>
    </row>
    <row r="283" spans="4:54" s="239" customFormat="1" x14ac:dyDescent="0.25">
      <c r="D283" s="382"/>
      <c r="E283" s="382"/>
      <c r="F283" s="383"/>
      <c r="G283" s="382"/>
      <c r="H283" s="382"/>
      <c r="I283" s="246"/>
      <c r="J283" s="235"/>
      <c r="L283" s="385"/>
      <c r="M283" s="235"/>
      <c r="N283" s="235"/>
      <c r="O283" s="83"/>
      <c r="P283" s="83"/>
      <c r="Q283" s="387"/>
      <c r="W283" s="235"/>
      <c r="X283" s="333"/>
      <c r="Y283" s="333"/>
      <c r="Z283" s="333"/>
      <c r="AA283" s="385"/>
      <c r="AP283" s="246"/>
      <c r="AQ283" s="385"/>
      <c r="AR283" s="385"/>
      <c r="AS283" s="385"/>
      <c r="AT283" s="385"/>
      <c r="AU283" s="385"/>
      <c r="AV283" s="385"/>
      <c r="AW283" s="385"/>
      <c r="AX283" s="385"/>
      <c r="AY283" s="385"/>
      <c r="AZ283" s="385"/>
      <c r="BA283" s="385"/>
      <c r="BB283" s="385"/>
    </row>
    <row r="284" spans="4:54" s="239" customFormat="1" x14ac:dyDescent="0.25">
      <c r="D284" s="382"/>
      <c r="E284" s="382"/>
      <c r="F284" s="383"/>
      <c r="G284" s="382"/>
      <c r="H284" s="382"/>
      <c r="I284" s="246"/>
      <c r="J284" s="235"/>
      <c r="L284" s="385"/>
      <c r="M284" s="235"/>
      <c r="N284" s="235"/>
      <c r="O284" s="83"/>
      <c r="P284" s="83"/>
      <c r="Q284" s="387"/>
      <c r="W284" s="235"/>
      <c r="X284" s="333"/>
      <c r="Y284" s="333"/>
      <c r="Z284" s="333"/>
      <c r="AA284" s="385"/>
      <c r="AP284" s="246"/>
      <c r="AQ284" s="385"/>
      <c r="AR284" s="385"/>
      <c r="AS284" s="385"/>
      <c r="AT284" s="385"/>
      <c r="AU284" s="385"/>
      <c r="AV284" s="385"/>
      <c r="AW284" s="385"/>
      <c r="AX284" s="385"/>
      <c r="AY284" s="385"/>
      <c r="AZ284" s="385"/>
      <c r="BA284" s="385"/>
      <c r="BB284" s="385"/>
    </row>
    <row r="285" spans="4:54" s="239" customFormat="1" x14ac:dyDescent="0.25">
      <c r="D285" s="382"/>
      <c r="E285" s="382"/>
      <c r="F285" s="383"/>
      <c r="G285" s="382"/>
      <c r="H285" s="382"/>
      <c r="I285" s="246"/>
      <c r="J285" s="235"/>
      <c r="L285" s="385"/>
      <c r="M285" s="235"/>
      <c r="N285" s="235"/>
      <c r="O285" s="83"/>
      <c r="P285" s="83"/>
      <c r="Q285" s="387"/>
      <c r="W285" s="235"/>
      <c r="X285" s="333"/>
      <c r="Y285" s="333"/>
      <c r="Z285" s="333"/>
      <c r="AA285" s="385"/>
      <c r="AP285" s="246"/>
      <c r="AQ285" s="385"/>
      <c r="AR285" s="385"/>
      <c r="AS285" s="385"/>
      <c r="AT285" s="385"/>
      <c r="AU285" s="385"/>
      <c r="AV285" s="385"/>
      <c r="AW285" s="385"/>
      <c r="AX285" s="385"/>
      <c r="AY285" s="385"/>
      <c r="AZ285" s="385"/>
      <c r="BA285" s="385"/>
      <c r="BB285" s="385"/>
    </row>
    <row r="286" spans="4:54" s="239" customFormat="1" x14ac:dyDescent="0.25">
      <c r="D286" s="382"/>
      <c r="E286" s="382"/>
      <c r="F286" s="383"/>
      <c r="G286" s="382"/>
      <c r="H286" s="382"/>
      <c r="I286" s="246"/>
      <c r="J286" s="235"/>
      <c r="L286" s="385"/>
      <c r="M286" s="235"/>
      <c r="N286" s="235"/>
      <c r="O286" s="83"/>
      <c r="P286" s="83"/>
      <c r="Q286" s="387"/>
      <c r="W286" s="235"/>
      <c r="X286" s="333"/>
      <c r="Y286" s="333"/>
      <c r="Z286" s="333"/>
      <c r="AA286" s="385"/>
      <c r="AP286" s="246"/>
      <c r="AQ286" s="385"/>
      <c r="AR286" s="385"/>
      <c r="AS286" s="385"/>
      <c r="AT286" s="385"/>
      <c r="AU286" s="385"/>
      <c r="AV286" s="385"/>
      <c r="AW286" s="385"/>
      <c r="AX286" s="385"/>
      <c r="AY286" s="385"/>
      <c r="AZ286" s="385"/>
      <c r="BA286" s="385"/>
      <c r="BB286" s="385"/>
    </row>
    <row r="287" spans="4:54" s="239" customFormat="1" x14ac:dyDescent="0.25">
      <c r="D287" s="382"/>
      <c r="E287" s="382"/>
      <c r="F287" s="383"/>
      <c r="G287" s="382"/>
      <c r="H287" s="382"/>
      <c r="I287" s="246"/>
      <c r="J287" s="235"/>
      <c r="L287" s="385"/>
      <c r="M287" s="235"/>
      <c r="N287" s="235"/>
      <c r="O287" s="83"/>
      <c r="P287" s="83"/>
      <c r="Q287" s="387"/>
      <c r="W287" s="235"/>
      <c r="X287" s="333"/>
      <c r="Y287" s="333"/>
      <c r="Z287" s="333"/>
      <c r="AA287" s="385"/>
      <c r="AP287" s="246"/>
      <c r="AQ287" s="385"/>
      <c r="AR287" s="385"/>
      <c r="AS287" s="385"/>
      <c r="AT287" s="385"/>
      <c r="AU287" s="385"/>
      <c r="AV287" s="385"/>
      <c r="AW287" s="385"/>
      <c r="AX287" s="385"/>
      <c r="AY287" s="385"/>
      <c r="AZ287" s="385"/>
      <c r="BA287" s="385"/>
      <c r="BB287" s="385"/>
    </row>
    <row r="288" spans="4:54" s="239" customFormat="1" x14ac:dyDescent="0.25">
      <c r="D288" s="382"/>
      <c r="E288" s="382"/>
      <c r="F288" s="383"/>
      <c r="G288" s="382"/>
      <c r="H288" s="382"/>
      <c r="I288" s="246"/>
      <c r="J288" s="235"/>
      <c r="L288" s="385"/>
      <c r="M288" s="235"/>
      <c r="N288" s="235"/>
      <c r="O288" s="83"/>
      <c r="P288" s="83"/>
      <c r="Q288" s="387"/>
      <c r="W288" s="235"/>
      <c r="X288" s="333"/>
      <c r="Y288" s="333"/>
      <c r="Z288" s="333"/>
      <c r="AA288" s="385"/>
      <c r="AP288" s="246"/>
      <c r="AQ288" s="385"/>
      <c r="AR288" s="385"/>
      <c r="AS288" s="385"/>
      <c r="AT288" s="385"/>
      <c r="AU288" s="385"/>
      <c r="AV288" s="385"/>
      <c r="AW288" s="385"/>
      <c r="AX288" s="385"/>
      <c r="AY288" s="385"/>
      <c r="AZ288" s="385"/>
      <c r="BA288" s="385"/>
      <c r="BB288" s="385"/>
    </row>
    <row r="289" spans="4:54" s="239" customFormat="1" x14ac:dyDescent="0.25">
      <c r="D289" s="382"/>
      <c r="E289" s="382"/>
      <c r="F289" s="383"/>
      <c r="G289" s="382"/>
      <c r="H289" s="382"/>
      <c r="I289" s="246"/>
      <c r="J289" s="235"/>
      <c r="L289" s="385"/>
      <c r="M289" s="235"/>
      <c r="N289" s="235"/>
      <c r="O289" s="83"/>
      <c r="P289" s="83"/>
      <c r="Q289" s="387"/>
      <c r="W289" s="235"/>
      <c r="X289" s="333"/>
      <c r="Y289" s="333"/>
      <c r="Z289" s="333"/>
      <c r="AA289" s="385"/>
      <c r="AP289" s="246"/>
      <c r="AQ289" s="385"/>
      <c r="AR289" s="385"/>
      <c r="AS289" s="385"/>
      <c r="AT289" s="385"/>
      <c r="AU289" s="385"/>
      <c r="AV289" s="385"/>
      <c r="AW289" s="385"/>
      <c r="AX289" s="385"/>
      <c r="AY289" s="385"/>
      <c r="AZ289" s="385"/>
      <c r="BA289" s="385"/>
      <c r="BB289" s="385"/>
    </row>
    <row r="290" spans="4:54" s="239" customFormat="1" x14ac:dyDescent="0.25">
      <c r="D290" s="382"/>
      <c r="E290" s="382"/>
      <c r="F290" s="383"/>
      <c r="G290" s="382"/>
      <c r="H290" s="382"/>
      <c r="I290" s="246"/>
      <c r="J290" s="235"/>
      <c r="L290" s="385"/>
      <c r="M290" s="235"/>
      <c r="N290" s="235"/>
      <c r="O290" s="83"/>
      <c r="P290" s="83"/>
      <c r="Q290" s="387"/>
      <c r="W290" s="235"/>
      <c r="X290" s="333"/>
      <c r="Y290" s="333"/>
      <c r="Z290" s="333"/>
      <c r="AA290" s="385"/>
      <c r="AP290" s="246"/>
      <c r="AQ290" s="385"/>
      <c r="AR290" s="385"/>
      <c r="AS290" s="385"/>
      <c r="AT290" s="385"/>
      <c r="AU290" s="385"/>
      <c r="AV290" s="385"/>
      <c r="AW290" s="385"/>
      <c r="AX290" s="385"/>
      <c r="AY290" s="385"/>
      <c r="AZ290" s="385"/>
      <c r="BA290" s="385"/>
      <c r="BB290" s="385"/>
    </row>
    <row r="291" spans="4:54" s="239" customFormat="1" x14ac:dyDescent="0.25">
      <c r="D291" s="382"/>
      <c r="E291" s="382"/>
      <c r="F291" s="383"/>
      <c r="G291" s="382"/>
      <c r="H291" s="382"/>
      <c r="I291" s="246"/>
      <c r="J291" s="235"/>
      <c r="L291" s="385"/>
      <c r="M291" s="235"/>
      <c r="N291" s="235"/>
      <c r="O291" s="83"/>
      <c r="P291" s="83"/>
      <c r="Q291" s="387"/>
      <c r="W291" s="235"/>
      <c r="X291" s="333"/>
      <c r="Y291" s="333"/>
      <c r="Z291" s="333"/>
      <c r="AA291" s="385"/>
      <c r="AP291" s="246"/>
      <c r="AQ291" s="385"/>
      <c r="AR291" s="385"/>
      <c r="AS291" s="385"/>
      <c r="AT291" s="385"/>
      <c r="AU291" s="385"/>
      <c r="AV291" s="385"/>
      <c r="AW291" s="385"/>
      <c r="AX291" s="385"/>
      <c r="AY291" s="385"/>
      <c r="AZ291" s="385"/>
      <c r="BA291" s="385"/>
      <c r="BB291" s="385"/>
    </row>
    <row r="292" spans="4:54" s="239" customFormat="1" x14ac:dyDescent="0.25">
      <c r="D292" s="382"/>
      <c r="E292" s="382"/>
      <c r="F292" s="383"/>
      <c r="G292" s="382"/>
      <c r="H292" s="382"/>
      <c r="I292" s="246"/>
      <c r="J292" s="235"/>
      <c r="L292" s="385"/>
      <c r="M292" s="235"/>
      <c r="N292" s="235"/>
      <c r="O292" s="83"/>
      <c r="P292" s="83"/>
      <c r="Q292" s="387"/>
      <c r="W292" s="235"/>
      <c r="X292" s="333"/>
      <c r="Y292" s="333"/>
      <c r="Z292" s="333"/>
      <c r="AA292" s="385"/>
      <c r="AP292" s="246"/>
      <c r="AQ292" s="385"/>
      <c r="AR292" s="385"/>
      <c r="AS292" s="385"/>
      <c r="AT292" s="385"/>
      <c r="AU292" s="385"/>
      <c r="AV292" s="385"/>
      <c r="AW292" s="385"/>
      <c r="AX292" s="385"/>
      <c r="AY292" s="385"/>
      <c r="AZ292" s="385"/>
      <c r="BA292" s="385"/>
      <c r="BB292" s="385"/>
    </row>
    <row r="293" spans="4:54" s="239" customFormat="1" x14ac:dyDescent="0.25">
      <c r="D293" s="382"/>
      <c r="E293" s="382"/>
      <c r="F293" s="383"/>
      <c r="G293" s="382"/>
      <c r="H293" s="382"/>
      <c r="I293" s="246"/>
      <c r="J293" s="235"/>
      <c r="L293" s="385"/>
      <c r="M293" s="235"/>
      <c r="N293" s="235"/>
      <c r="O293" s="83"/>
      <c r="P293" s="83"/>
      <c r="Q293" s="387"/>
      <c r="W293" s="235"/>
      <c r="X293" s="333"/>
      <c r="Y293" s="333"/>
      <c r="Z293" s="333"/>
      <c r="AA293" s="385"/>
      <c r="AP293" s="246"/>
      <c r="AQ293" s="385"/>
      <c r="AR293" s="385"/>
      <c r="AS293" s="385"/>
      <c r="AT293" s="385"/>
      <c r="AU293" s="385"/>
      <c r="AV293" s="385"/>
      <c r="AW293" s="385"/>
      <c r="AX293" s="385"/>
      <c r="AY293" s="385"/>
      <c r="AZ293" s="385"/>
      <c r="BA293" s="385"/>
      <c r="BB293" s="385"/>
    </row>
    <row r="294" spans="4:54" s="239" customFormat="1" x14ac:dyDescent="0.25">
      <c r="D294" s="382"/>
      <c r="E294" s="382"/>
      <c r="F294" s="383"/>
      <c r="G294" s="382"/>
      <c r="H294" s="382"/>
      <c r="I294" s="246"/>
      <c r="J294" s="235"/>
      <c r="L294" s="385"/>
      <c r="M294" s="235"/>
      <c r="N294" s="235"/>
      <c r="O294" s="83"/>
      <c r="P294" s="83"/>
      <c r="Q294" s="387"/>
      <c r="W294" s="235"/>
      <c r="X294" s="333"/>
      <c r="Y294" s="333"/>
      <c r="Z294" s="333"/>
      <c r="AA294" s="385"/>
      <c r="AP294" s="246"/>
      <c r="AQ294" s="385"/>
      <c r="AR294" s="385"/>
      <c r="AS294" s="385"/>
      <c r="AT294" s="385"/>
      <c r="AU294" s="385"/>
      <c r="AV294" s="385"/>
      <c r="AW294" s="385"/>
      <c r="AX294" s="385"/>
      <c r="AY294" s="385"/>
      <c r="AZ294" s="385"/>
      <c r="BA294" s="385"/>
      <c r="BB294" s="385"/>
    </row>
    <row r="295" spans="4:54" s="239" customFormat="1" x14ac:dyDescent="0.25">
      <c r="D295" s="382"/>
      <c r="E295" s="382"/>
      <c r="F295" s="383"/>
      <c r="G295" s="382"/>
      <c r="H295" s="382"/>
      <c r="I295" s="246"/>
      <c r="J295" s="235"/>
      <c r="L295" s="385"/>
      <c r="M295" s="235"/>
      <c r="N295" s="235"/>
      <c r="O295" s="83"/>
      <c r="P295" s="83"/>
      <c r="Q295" s="387"/>
      <c r="W295" s="235"/>
      <c r="X295" s="333"/>
      <c r="Y295" s="333"/>
      <c r="Z295" s="333"/>
      <c r="AA295" s="385"/>
      <c r="AP295" s="246"/>
      <c r="AQ295" s="385"/>
      <c r="AR295" s="385"/>
      <c r="AS295" s="385"/>
      <c r="AT295" s="385"/>
      <c r="AU295" s="385"/>
      <c r="AV295" s="385"/>
      <c r="AW295" s="385"/>
      <c r="AX295" s="385"/>
      <c r="AY295" s="385"/>
      <c r="AZ295" s="385"/>
      <c r="BA295" s="385"/>
      <c r="BB295" s="385"/>
    </row>
    <row r="296" spans="4:54" s="239" customFormat="1" x14ac:dyDescent="0.25">
      <c r="D296" s="382"/>
      <c r="E296" s="382"/>
      <c r="F296" s="383"/>
      <c r="G296" s="382"/>
      <c r="H296" s="382"/>
      <c r="I296" s="246"/>
      <c r="J296" s="235"/>
      <c r="L296" s="385"/>
      <c r="M296" s="235"/>
      <c r="N296" s="235"/>
      <c r="O296" s="83"/>
      <c r="P296" s="83"/>
      <c r="Q296" s="387"/>
      <c r="W296" s="235"/>
      <c r="X296" s="333"/>
      <c r="Y296" s="333"/>
      <c r="Z296" s="333"/>
      <c r="AA296" s="385"/>
      <c r="AP296" s="246"/>
      <c r="AQ296" s="385"/>
      <c r="AR296" s="385"/>
      <c r="AS296" s="385"/>
      <c r="AT296" s="385"/>
      <c r="AU296" s="385"/>
      <c r="AV296" s="385"/>
      <c r="AW296" s="385"/>
      <c r="AX296" s="385"/>
      <c r="AY296" s="385"/>
      <c r="AZ296" s="385"/>
      <c r="BA296" s="385"/>
      <c r="BB296" s="385"/>
    </row>
    <row r="297" spans="4:54" s="239" customFormat="1" x14ac:dyDescent="0.25">
      <c r="D297" s="382"/>
      <c r="E297" s="382"/>
      <c r="F297" s="383"/>
      <c r="G297" s="382"/>
      <c r="H297" s="382"/>
      <c r="I297" s="246"/>
      <c r="J297" s="235"/>
      <c r="L297" s="385"/>
      <c r="M297" s="235"/>
      <c r="N297" s="235"/>
      <c r="O297" s="83"/>
      <c r="P297" s="83"/>
      <c r="Q297" s="387"/>
      <c r="W297" s="235"/>
      <c r="X297" s="333"/>
      <c r="Y297" s="333"/>
      <c r="Z297" s="333"/>
      <c r="AA297" s="385"/>
      <c r="AP297" s="246"/>
      <c r="AQ297" s="385"/>
      <c r="AR297" s="385"/>
      <c r="AS297" s="385"/>
      <c r="AT297" s="385"/>
      <c r="AU297" s="385"/>
      <c r="AV297" s="385"/>
      <c r="AW297" s="385"/>
      <c r="AX297" s="385"/>
      <c r="AY297" s="385"/>
      <c r="AZ297" s="385"/>
      <c r="BA297" s="385"/>
      <c r="BB297" s="385"/>
    </row>
    <row r="298" spans="4:54" s="239" customFormat="1" x14ac:dyDescent="0.25">
      <c r="D298" s="382"/>
      <c r="E298" s="382"/>
      <c r="F298" s="383"/>
      <c r="G298" s="382"/>
      <c r="H298" s="382"/>
      <c r="I298" s="246"/>
      <c r="J298" s="235"/>
      <c r="L298" s="385"/>
      <c r="M298" s="235"/>
      <c r="N298" s="235"/>
      <c r="O298" s="83"/>
      <c r="P298" s="83"/>
      <c r="Q298" s="387"/>
      <c r="W298" s="235"/>
      <c r="X298" s="333"/>
      <c r="Y298" s="333"/>
      <c r="Z298" s="333"/>
      <c r="AA298" s="385"/>
      <c r="AP298" s="246"/>
      <c r="AQ298" s="385"/>
      <c r="AR298" s="385"/>
      <c r="AS298" s="385"/>
      <c r="AT298" s="385"/>
      <c r="AU298" s="385"/>
      <c r="AV298" s="385"/>
      <c r="AW298" s="385"/>
      <c r="AX298" s="385"/>
      <c r="AY298" s="385"/>
      <c r="AZ298" s="385"/>
      <c r="BA298" s="385"/>
      <c r="BB298" s="385"/>
    </row>
    <row r="299" spans="4:54" s="239" customFormat="1" x14ac:dyDescent="0.25">
      <c r="D299" s="382"/>
      <c r="E299" s="382"/>
      <c r="F299" s="383"/>
      <c r="G299" s="382"/>
      <c r="H299" s="382"/>
      <c r="I299" s="246"/>
      <c r="J299" s="235"/>
      <c r="L299" s="385"/>
      <c r="M299" s="235"/>
      <c r="N299" s="235"/>
      <c r="O299" s="83"/>
      <c r="P299" s="83"/>
      <c r="Q299" s="387"/>
      <c r="W299" s="235"/>
      <c r="X299" s="333"/>
      <c r="Y299" s="333"/>
      <c r="Z299" s="333"/>
      <c r="AA299" s="385"/>
      <c r="AP299" s="246"/>
      <c r="AQ299" s="385"/>
      <c r="AR299" s="385"/>
      <c r="AS299" s="385"/>
      <c r="AT299" s="385"/>
      <c r="AU299" s="385"/>
      <c r="AV299" s="385"/>
      <c r="AW299" s="385"/>
      <c r="AX299" s="385"/>
      <c r="AY299" s="385"/>
      <c r="AZ299" s="385"/>
      <c r="BA299" s="385"/>
      <c r="BB299" s="385"/>
    </row>
    <row r="300" spans="4:54" s="239" customFormat="1" x14ac:dyDescent="0.25">
      <c r="D300" s="382"/>
      <c r="E300" s="382"/>
      <c r="F300" s="383"/>
      <c r="G300" s="382"/>
      <c r="H300" s="382"/>
      <c r="I300" s="246"/>
      <c r="J300" s="235"/>
      <c r="L300" s="385"/>
      <c r="M300" s="235"/>
      <c r="N300" s="235"/>
      <c r="O300" s="83"/>
      <c r="P300" s="83"/>
      <c r="Q300" s="387"/>
      <c r="W300" s="235"/>
      <c r="X300" s="333"/>
      <c r="Y300" s="333"/>
      <c r="Z300" s="333"/>
      <c r="AA300" s="385"/>
      <c r="AP300" s="246"/>
      <c r="AQ300" s="385"/>
      <c r="AR300" s="385"/>
      <c r="AS300" s="385"/>
      <c r="AT300" s="385"/>
      <c r="AU300" s="385"/>
      <c r="AV300" s="385"/>
      <c r="AW300" s="385"/>
      <c r="AX300" s="385"/>
      <c r="AY300" s="385"/>
      <c r="AZ300" s="385"/>
      <c r="BA300" s="385"/>
      <c r="BB300" s="385"/>
    </row>
    <row r="301" spans="4:54" s="239" customFormat="1" x14ac:dyDescent="0.25">
      <c r="D301" s="382"/>
      <c r="E301" s="382"/>
      <c r="F301" s="383"/>
      <c r="G301" s="382"/>
      <c r="H301" s="382"/>
      <c r="I301" s="246"/>
      <c r="J301" s="235"/>
      <c r="L301" s="385"/>
      <c r="M301" s="235"/>
      <c r="N301" s="235"/>
      <c r="O301" s="83"/>
      <c r="P301" s="83"/>
      <c r="Q301" s="387"/>
      <c r="W301" s="235"/>
      <c r="X301" s="333"/>
      <c r="Y301" s="333"/>
      <c r="Z301" s="333"/>
      <c r="AA301" s="385"/>
      <c r="AP301" s="246"/>
      <c r="AQ301" s="385"/>
      <c r="AR301" s="385"/>
      <c r="AS301" s="385"/>
      <c r="AT301" s="385"/>
      <c r="AU301" s="385"/>
      <c r="AV301" s="385"/>
      <c r="AW301" s="385"/>
      <c r="AX301" s="385"/>
      <c r="AY301" s="385"/>
      <c r="AZ301" s="385"/>
      <c r="BA301" s="385"/>
      <c r="BB301" s="385"/>
    </row>
    <row r="302" spans="4:54" s="239" customFormat="1" x14ac:dyDescent="0.25">
      <c r="D302" s="382"/>
      <c r="E302" s="382"/>
      <c r="F302" s="383"/>
      <c r="G302" s="382"/>
      <c r="H302" s="382"/>
      <c r="I302" s="246"/>
      <c r="J302" s="235"/>
      <c r="L302" s="385"/>
      <c r="M302" s="235"/>
      <c r="N302" s="235"/>
      <c r="O302" s="83"/>
      <c r="P302" s="83"/>
      <c r="Q302" s="387"/>
      <c r="W302" s="235"/>
      <c r="X302" s="333"/>
      <c r="Y302" s="333"/>
      <c r="Z302" s="333"/>
      <c r="AA302" s="385"/>
      <c r="AP302" s="246"/>
      <c r="AQ302" s="385"/>
      <c r="AR302" s="385"/>
      <c r="AS302" s="385"/>
      <c r="AT302" s="385"/>
      <c r="AU302" s="385"/>
      <c r="AV302" s="385"/>
      <c r="AW302" s="385"/>
      <c r="AX302" s="385"/>
      <c r="AY302" s="385"/>
      <c r="AZ302" s="385"/>
      <c r="BA302" s="385"/>
      <c r="BB302" s="385"/>
    </row>
    <row r="303" spans="4:54" s="239" customFormat="1" x14ac:dyDescent="0.25">
      <c r="D303" s="382"/>
      <c r="E303" s="382"/>
      <c r="F303" s="383"/>
      <c r="G303" s="382"/>
      <c r="H303" s="382"/>
      <c r="I303" s="246"/>
      <c r="J303" s="235"/>
      <c r="L303" s="385"/>
      <c r="M303" s="235"/>
      <c r="N303" s="235"/>
      <c r="O303" s="83"/>
      <c r="P303" s="83"/>
      <c r="Q303" s="387"/>
      <c r="W303" s="235"/>
      <c r="X303" s="333"/>
      <c r="Y303" s="333"/>
      <c r="Z303" s="333"/>
      <c r="AA303" s="385"/>
      <c r="AP303" s="246"/>
      <c r="AQ303" s="385"/>
      <c r="AR303" s="385"/>
      <c r="AS303" s="385"/>
      <c r="AT303" s="385"/>
      <c r="AU303" s="385"/>
      <c r="AV303" s="385"/>
      <c r="AW303" s="385"/>
      <c r="AX303" s="385"/>
      <c r="AY303" s="385"/>
      <c r="AZ303" s="385"/>
      <c r="BA303" s="385"/>
      <c r="BB303" s="385"/>
    </row>
    <row r="304" spans="4:54" s="239" customFormat="1" x14ac:dyDescent="0.25">
      <c r="D304" s="382"/>
      <c r="E304" s="382"/>
      <c r="F304" s="383"/>
      <c r="G304" s="382"/>
      <c r="H304" s="382"/>
      <c r="I304" s="246"/>
      <c r="J304" s="235"/>
      <c r="L304" s="385"/>
      <c r="M304" s="235"/>
      <c r="N304" s="235"/>
      <c r="O304" s="83"/>
      <c r="P304" s="83"/>
      <c r="Q304" s="387"/>
      <c r="W304" s="235"/>
      <c r="X304" s="333"/>
      <c r="Y304" s="333"/>
      <c r="Z304" s="333"/>
      <c r="AA304" s="385"/>
      <c r="AP304" s="246"/>
      <c r="AQ304" s="385"/>
      <c r="AR304" s="385"/>
      <c r="AS304" s="385"/>
      <c r="AT304" s="385"/>
      <c r="AU304" s="385"/>
      <c r="AV304" s="385"/>
      <c r="AW304" s="385"/>
      <c r="AX304" s="385"/>
      <c r="AY304" s="385"/>
      <c r="AZ304" s="385"/>
      <c r="BA304" s="385"/>
      <c r="BB304" s="385"/>
    </row>
    <row r="305" spans="4:54" s="239" customFormat="1" x14ac:dyDescent="0.25">
      <c r="D305" s="382"/>
      <c r="E305" s="382"/>
      <c r="F305" s="383"/>
      <c r="G305" s="382"/>
      <c r="H305" s="382"/>
      <c r="I305" s="246"/>
      <c r="J305" s="235"/>
      <c r="L305" s="385"/>
      <c r="M305" s="235"/>
      <c r="N305" s="235"/>
      <c r="O305" s="83"/>
      <c r="P305" s="83"/>
      <c r="Q305" s="387"/>
      <c r="W305" s="235"/>
      <c r="X305" s="333"/>
      <c r="Y305" s="333"/>
      <c r="Z305" s="333"/>
      <c r="AA305" s="385"/>
      <c r="AP305" s="246"/>
      <c r="AQ305" s="385"/>
      <c r="AR305" s="385"/>
      <c r="AS305" s="385"/>
      <c r="AT305" s="385"/>
      <c r="AU305" s="385"/>
      <c r="AV305" s="385"/>
      <c r="AW305" s="385"/>
      <c r="AX305" s="385"/>
      <c r="AY305" s="385"/>
      <c r="AZ305" s="385"/>
      <c r="BA305" s="385"/>
      <c r="BB305" s="385"/>
    </row>
    <row r="306" spans="4:54" s="239" customFormat="1" x14ac:dyDescent="0.25">
      <c r="D306" s="382"/>
      <c r="E306" s="382"/>
      <c r="F306" s="383"/>
      <c r="G306" s="382"/>
      <c r="H306" s="382"/>
      <c r="I306" s="246"/>
      <c r="J306" s="235"/>
      <c r="L306" s="385"/>
      <c r="M306" s="235"/>
      <c r="N306" s="235"/>
      <c r="O306" s="83"/>
      <c r="P306" s="83"/>
      <c r="Q306" s="387"/>
      <c r="W306" s="235"/>
      <c r="X306" s="333"/>
      <c r="Y306" s="333"/>
      <c r="Z306" s="333"/>
      <c r="AA306" s="385"/>
      <c r="AP306" s="246"/>
      <c r="AQ306" s="385"/>
      <c r="AR306" s="385"/>
      <c r="AS306" s="385"/>
      <c r="AT306" s="385"/>
      <c r="AU306" s="385"/>
      <c r="AV306" s="385"/>
      <c r="AW306" s="385"/>
      <c r="AX306" s="385"/>
      <c r="AY306" s="385"/>
      <c r="AZ306" s="385"/>
      <c r="BA306" s="385"/>
      <c r="BB306" s="385"/>
    </row>
    <row r="307" spans="4:54" s="239" customFormat="1" x14ac:dyDescent="0.25">
      <c r="D307" s="382"/>
      <c r="E307" s="382"/>
      <c r="F307" s="383"/>
      <c r="G307" s="382"/>
      <c r="H307" s="382"/>
      <c r="I307" s="246"/>
      <c r="J307" s="235"/>
      <c r="L307" s="385"/>
      <c r="M307" s="235"/>
      <c r="N307" s="235"/>
      <c r="O307" s="83"/>
      <c r="P307" s="83"/>
      <c r="Q307" s="387"/>
      <c r="W307" s="235"/>
      <c r="X307" s="333"/>
      <c r="Y307" s="333"/>
      <c r="Z307" s="333"/>
      <c r="AA307" s="385"/>
      <c r="AP307" s="246"/>
      <c r="AQ307" s="385"/>
      <c r="AR307" s="385"/>
      <c r="AS307" s="385"/>
      <c r="AT307" s="385"/>
      <c r="AU307" s="385"/>
      <c r="AV307" s="385"/>
      <c r="AW307" s="385"/>
      <c r="AX307" s="385"/>
      <c r="AY307" s="385"/>
      <c r="AZ307" s="385"/>
      <c r="BA307" s="385"/>
      <c r="BB307" s="385"/>
    </row>
    <row r="308" spans="4:54" s="239" customFormat="1" x14ac:dyDescent="0.25">
      <c r="D308" s="382"/>
      <c r="E308" s="382"/>
      <c r="F308" s="383"/>
      <c r="G308" s="382"/>
      <c r="H308" s="382"/>
      <c r="I308" s="246"/>
      <c r="J308" s="235"/>
      <c r="L308" s="385"/>
      <c r="M308" s="235"/>
      <c r="N308" s="235"/>
      <c r="O308" s="83"/>
      <c r="P308" s="83"/>
      <c r="Q308" s="387"/>
      <c r="W308" s="235"/>
      <c r="X308" s="333"/>
      <c r="Y308" s="333"/>
      <c r="Z308" s="333"/>
      <c r="AA308" s="385"/>
      <c r="AP308" s="246"/>
      <c r="AQ308" s="385"/>
      <c r="AR308" s="385"/>
      <c r="AS308" s="385"/>
      <c r="AT308" s="385"/>
      <c r="AU308" s="385"/>
      <c r="AV308" s="385"/>
      <c r="AW308" s="385"/>
      <c r="AX308" s="385"/>
      <c r="AY308" s="385"/>
      <c r="AZ308" s="385"/>
      <c r="BA308" s="385"/>
      <c r="BB308" s="385"/>
    </row>
    <row r="309" spans="4:54" s="239" customFormat="1" x14ac:dyDescent="0.25">
      <c r="D309" s="382"/>
      <c r="E309" s="382"/>
      <c r="F309" s="383"/>
      <c r="G309" s="382"/>
      <c r="H309" s="382"/>
      <c r="I309" s="246"/>
      <c r="J309" s="235"/>
      <c r="L309" s="385"/>
      <c r="M309" s="235"/>
      <c r="N309" s="235"/>
      <c r="O309" s="83"/>
      <c r="P309" s="83"/>
      <c r="Q309" s="387"/>
      <c r="W309" s="235"/>
      <c r="X309" s="333"/>
      <c r="Y309" s="333"/>
      <c r="Z309" s="333"/>
      <c r="AA309" s="385"/>
      <c r="AP309" s="246"/>
      <c r="AQ309" s="385"/>
      <c r="AR309" s="385"/>
      <c r="AS309" s="385"/>
      <c r="AT309" s="385"/>
      <c r="AU309" s="385"/>
      <c r="AV309" s="385"/>
      <c r="AW309" s="385"/>
      <c r="AX309" s="385"/>
      <c r="AY309" s="385"/>
      <c r="AZ309" s="385"/>
      <c r="BA309" s="385"/>
      <c r="BB309" s="385"/>
    </row>
    <row r="310" spans="4:54" s="239" customFormat="1" x14ac:dyDescent="0.25">
      <c r="D310" s="382"/>
      <c r="E310" s="382"/>
      <c r="F310" s="383"/>
      <c r="G310" s="382"/>
      <c r="H310" s="382"/>
      <c r="I310" s="246"/>
      <c r="J310" s="235"/>
      <c r="L310" s="385"/>
      <c r="M310" s="235"/>
      <c r="N310" s="235"/>
      <c r="O310" s="83"/>
      <c r="P310" s="83"/>
      <c r="Q310" s="387"/>
      <c r="W310" s="235"/>
      <c r="X310" s="333"/>
      <c r="Y310" s="333"/>
      <c r="Z310" s="333"/>
      <c r="AA310" s="385"/>
      <c r="AP310" s="246"/>
      <c r="AQ310" s="385"/>
      <c r="AR310" s="385"/>
      <c r="AS310" s="385"/>
      <c r="AT310" s="385"/>
      <c r="AU310" s="385"/>
      <c r="AV310" s="385"/>
      <c r="AW310" s="385"/>
      <c r="AX310" s="385"/>
      <c r="AY310" s="385"/>
      <c r="AZ310" s="385"/>
      <c r="BA310" s="385"/>
      <c r="BB310" s="385"/>
    </row>
    <row r="311" spans="4:54" s="239" customFormat="1" x14ac:dyDescent="0.25">
      <c r="D311" s="382"/>
      <c r="E311" s="382"/>
      <c r="F311" s="383"/>
      <c r="G311" s="382"/>
      <c r="H311" s="382"/>
      <c r="I311" s="246"/>
      <c r="J311" s="235"/>
      <c r="L311" s="385"/>
      <c r="M311" s="235"/>
      <c r="N311" s="235"/>
      <c r="O311" s="83"/>
      <c r="P311" s="83"/>
      <c r="Q311" s="387"/>
      <c r="W311" s="235"/>
      <c r="X311" s="333"/>
      <c r="Y311" s="333"/>
      <c r="Z311" s="333"/>
      <c r="AA311" s="385"/>
      <c r="AP311" s="246"/>
      <c r="AQ311" s="385"/>
      <c r="AR311" s="385"/>
      <c r="AS311" s="385"/>
      <c r="AT311" s="385"/>
      <c r="AU311" s="385"/>
      <c r="AV311" s="385"/>
      <c r="AW311" s="385"/>
      <c r="AX311" s="385"/>
      <c r="AY311" s="385"/>
      <c r="AZ311" s="385"/>
      <c r="BA311" s="385"/>
      <c r="BB311" s="385"/>
    </row>
    <row r="312" spans="4:54" s="239" customFormat="1" x14ac:dyDescent="0.25">
      <c r="D312" s="382"/>
      <c r="E312" s="382"/>
      <c r="F312" s="383"/>
      <c r="G312" s="382"/>
      <c r="H312" s="382"/>
      <c r="I312" s="246"/>
      <c r="J312" s="235"/>
      <c r="L312" s="385"/>
      <c r="M312" s="235"/>
      <c r="N312" s="235"/>
      <c r="O312" s="83"/>
      <c r="P312" s="83"/>
      <c r="Q312" s="387"/>
      <c r="W312" s="235"/>
      <c r="X312" s="333"/>
      <c r="Y312" s="333"/>
      <c r="Z312" s="333"/>
      <c r="AA312" s="385"/>
      <c r="AP312" s="246"/>
      <c r="AQ312" s="385"/>
      <c r="AR312" s="385"/>
      <c r="AS312" s="385"/>
      <c r="AT312" s="385"/>
      <c r="AU312" s="385"/>
      <c r="AV312" s="385"/>
      <c r="AW312" s="385"/>
      <c r="AX312" s="385"/>
      <c r="AY312" s="385"/>
      <c r="AZ312" s="385"/>
      <c r="BA312" s="385"/>
      <c r="BB312" s="385"/>
    </row>
    <row r="313" spans="4:54" s="239" customFormat="1" x14ac:dyDescent="0.25">
      <c r="D313" s="382"/>
      <c r="E313" s="382"/>
      <c r="F313" s="383"/>
      <c r="G313" s="382"/>
      <c r="H313" s="382"/>
      <c r="I313" s="246"/>
      <c r="J313" s="235"/>
      <c r="L313" s="385"/>
      <c r="M313" s="235"/>
      <c r="N313" s="235"/>
      <c r="O313" s="83"/>
      <c r="P313" s="83"/>
      <c r="Q313" s="387"/>
      <c r="W313" s="235"/>
      <c r="X313" s="333"/>
      <c r="Y313" s="333"/>
      <c r="Z313" s="333"/>
      <c r="AA313" s="385"/>
      <c r="AP313" s="246"/>
      <c r="AQ313" s="385"/>
      <c r="AR313" s="385"/>
      <c r="AS313" s="385"/>
      <c r="AT313" s="385"/>
      <c r="AU313" s="385"/>
      <c r="AV313" s="385"/>
      <c r="AW313" s="385"/>
      <c r="AX313" s="385"/>
      <c r="AY313" s="385"/>
      <c r="AZ313" s="385"/>
      <c r="BA313" s="385"/>
      <c r="BB313" s="385"/>
    </row>
    <row r="314" spans="4:54" s="239" customFormat="1" x14ac:dyDescent="0.25">
      <c r="D314" s="382"/>
      <c r="E314" s="382"/>
      <c r="F314" s="383"/>
      <c r="G314" s="382"/>
      <c r="H314" s="382"/>
      <c r="I314" s="246"/>
      <c r="J314" s="235"/>
      <c r="L314" s="385"/>
      <c r="M314" s="235"/>
      <c r="N314" s="235"/>
      <c r="O314" s="83"/>
      <c r="P314" s="83"/>
      <c r="Q314" s="387"/>
      <c r="W314" s="235"/>
      <c r="X314" s="333"/>
      <c r="Y314" s="333"/>
      <c r="Z314" s="333"/>
      <c r="AA314" s="385"/>
      <c r="AP314" s="246"/>
      <c r="AQ314" s="385"/>
      <c r="AR314" s="385"/>
      <c r="AS314" s="385"/>
      <c r="AT314" s="385"/>
      <c r="AU314" s="385"/>
      <c r="AV314" s="385"/>
      <c r="AW314" s="385"/>
      <c r="AX314" s="385"/>
      <c r="AY314" s="385"/>
      <c r="AZ314" s="385"/>
      <c r="BA314" s="385"/>
      <c r="BB314" s="385"/>
    </row>
    <row r="315" spans="4:54" s="239" customFormat="1" x14ac:dyDescent="0.25">
      <c r="D315" s="382"/>
      <c r="E315" s="382"/>
      <c r="F315" s="383"/>
      <c r="G315" s="382"/>
      <c r="H315" s="382"/>
      <c r="I315" s="246"/>
      <c r="J315" s="235"/>
      <c r="L315" s="385"/>
      <c r="M315" s="235"/>
      <c r="N315" s="235"/>
      <c r="O315" s="83"/>
      <c r="P315" s="83"/>
      <c r="Q315" s="387"/>
      <c r="W315" s="235"/>
      <c r="X315" s="333"/>
      <c r="Y315" s="333"/>
      <c r="Z315" s="333"/>
      <c r="AA315" s="385"/>
      <c r="AP315" s="246"/>
      <c r="AQ315" s="385"/>
      <c r="AR315" s="385"/>
      <c r="AS315" s="385"/>
      <c r="AT315" s="385"/>
      <c r="AU315" s="385"/>
      <c r="AV315" s="385"/>
      <c r="AW315" s="385"/>
      <c r="AX315" s="385"/>
      <c r="AY315" s="385"/>
      <c r="AZ315" s="385"/>
      <c r="BA315" s="385"/>
      <c r="BB315" s="385"/>
    </row>
    <row r="316" spans="4:54" s="239" customFormat="1" x14ac:dyDescent="0.25">
      <c r="D316" s="382"/>
      <c r="E316" s="382"/>
      <c r="F316" s="383"/>
      <c r="G316" s="382"/>
      <c r="H316" s="382"/>
      <c r="I316" s="246"/>
      <c r="J316" s="235"/>
      <c r="L316" s="385"/>
      <c r="M316" s="235"/>
      <c r="N316" s="235"/>
      <c r="O316" s="83"/>
      <c r="P316" s="83"/>
      <c r="Q316" s="387"/>
      <c r="W316" s="235"/>
      <c r="X316" s="333"/>
      <c r="Y316" s="333"/>
      <c r="Z316" s="333"/>
      <c r="AA316" s="385"/>
      <c r="AP316" s="246"/>
      <c r="AQ316" s="385"/>
      <c r="AR316" s="385"/>
      <c r="AS316" s="385"/>
      <c r="AT316" s="385"/>
      <c r="AU316" s="385"/>
      <c r="AV316" s="385"/>
      <c r="AW316" s="385"/>
      <c r="AX316" s="385"/>
      <c r="AY316" s="385"/>
      <c r="AZ316" s="385"/>
      <c r="BA316" s="385"/>
      <c r="BB316" s="385"/>
    </row>
    <row r="317" spans="4:54" s="239" customFormat="1" x14ac:dyDescent="0.25">
      <c r="D317" s="382"/>
      <c r="E317" s="382"/>
      <c r="F317" s="383"/>
      <c r="G317" s="382"/>
      <c r="H317" s="382"/>
      <c r="I317" s="246"/>
      <c r="J317" s="235"/>
      <c r="L317" s="385"/>
      <c r="M317" s="235"/>
      <c r="N317" s="235"/>
      <c r="O317" s="83"/>
      <c r="P317" s="83"/>
      <c r="Q317" s="387"/>
      <c r="W317" s="235"/>
      <c r="X317" s="333"/>
      <c r="Y317" s="333"/>
      <c r="Z317" s="333"/>
      <c r="AA317" s="385"/>
      <c r="AP317" s="246"/>
      <c r="AQ317" s="385"/>
      <c r="AR317" s="385"/>
      <c r="AS317" s="385"/>
      <c r="AT317" s="385"/>
      <c r="AU317" s="385"/>
      <c r="AV317" s="385"/>
      <c r="AW317" s="385"/>
      <c r="AX317" s="385"/>
      <c r="AY317" s="385"/>
      <c r="AZ317" s="385"/>
      <c r="BA317" s="385"/>
      <c r="BB317" s="385"/>
    </row>
    <row r="318" spans="4:54" s="239" customFormat="1" x14ac:dyDescent="0.25">
      <c r="D318" s="382"/>
      <c r="E318" s="382"/>
      <c r="F318" s="383"/>
      <c r="G318" s="382"/>
      <c r="H318" s="382"/>
      <c r="I318" s="246"/>
      <c r="J318" s="235"/>
      <c r="L318" s="385"/>
      <c r="M318" s="235"/>
      <c r="N318" s="235"/>
      <c r="O318" s="83"/>
      <c r="P318" s="83"/>
      <c r="Q318" s="387"/>
      <c r="W318" s="235"/>
      <c r="X318" s="333"/>
      <c r="Y318" s="333"/>
      <c r="Z318" s="333"/>
      <c r="AA318" s="385"/>
      <c r="AP318" s="246"/>
      <c r="AQ318" s="385"/>
      <c r="AR318" s="385"/>
      <c r="AS318" s="385"/>
      <c r="AT318" s="385"/>
      <c r="AU318" s="385"/>
      <c r="AV318" s="385"/>
      <c r="AW318" s="385"/>
      <c r="AX318" s="385"/>
      <c r="AY318" s="385"/>
      <c r="AZ318" s="385"/>
      <c r="BA318" s="385"/>
      <c r="BB318" s="385"/>
    </row>
    <row r="319" spans="4:54" s="239" customFormat="1" x14ac:dyDescent="0.25">
      <c r="D319" s="382"/>
      <c r="E319" s="382"/>
      <c r="F319" s="383"/>
      <c r="G319" s="382"/>
      <c r="H319" s="382"/>
      <c r="I319" s="246"/>
      <c r="J319" s="235"/>
      <c r="L319" s="385"/>
      <c r="M319" s="235"/>
      <c r="N319" s="235"/>
      <c r="O319" s="83"/>
      <c r="P319" s="83"/>
      <c r="Q319" s="387"/>
      <c r="W319" s="235"/>
      <c r="X319" s="333"/>
      <c r="Y319" s="333"/>
      <c r="Z319" s="333"/>
      <c r="AA319" s="385"/>
      <c r="AP319" s="246"/>
      <c r="AQ319" s="385"/>
      <c r="AR319" s="385"/>
      <c r="AS319" s="385"/>
      <c r="AT319" s="385"/>
      <c r="AU319" s="385"/>
      <c r="AV319" s="385"/>
      <c r="AW319" s="385"/>
      <c r="AX319" s="385"/>
      <c r="AY319" s="385"/>
      <c r="AZ319" s="385"/>
      <c r="BA319" s="385"/>
      <c r="BB319" s="385"/>
    </row>
    <row r="320" spans="4:54" s="239" customFormat="1" x14ac:dyDescent="0.25">
      <c r="D320" s="382"/>
      <c r="E320" s="382"/>
      <c r="F320" s="383"/>
      <c r="G320" s="382"/>
      <c r="H320" s="382"/>
      <c r="I320" s="246"/>
      <c r="J320" s="235"/>
      <c r="L320" s="385"/>
      <c r="M320" s="235"/>
      <c r="N320" s="235"/>
      <c r="O320" s="83"/>
      <c r="P320" s="83"/>
      <c r="Q320" s="387"/>
      <c r="W320" s="235"/>
      <c r="X320" s="333"/>
      <c r="Y320" s="333"/>
      <c r="Z320" s="333"/>
      <c r="AA320" s="385"/>
      <c r="AP320" s="246"/>
      <c r="AQ320" s="385"/>
      <c r="AR320" s="385"/>
      <c r="AS320" s="385"/>
      <c r="AT320" s="385"/>
      <c r="AU320" s="385"/>
      <c r="AV320" s="385"/>
      <c r="AW320" s="385"/>
      <c r="AX320" s="385"/>
      <c r="AY320" s="385"/>
      <c r="AZ320" s="385"/>
      <c r="BA320" s="385"/>
      <c r="BB320" s="385"/>
    </row>
    <row r="321" spans="4:54" s="239" customFormat="1" x14ac:dyDescent="0.25">
      <c r="D321" s="382"/>
      <c r="E321" s="382"/>
      <c r="F321" s="383"/>
      <c r="G321" s="382"/>
      <c r="H321" s="382"/>
      <c r="I321" s="246"/>
      <c r="J321" s="235"/>
      <c r="L321" s="385"/>
      <c r="M321" s="235"/>
      <c r="N321" s="235"/>
      <c r="O321" s="83"/>
      <c r="P321" s="83"/>
      <c r="Q321" s="387"/>
      <c r="W321" s="235"/>
      <c r="X321" s="333"/>
      <c r="Y321" s="333"/>
      <c r="Z321" s="333"/>
      <c r="AA321" s="385"/>
      <c r="AP321" s="246"/>
      <c r="AQ321" s="385"/>
      <c r="AR321" s="385"/>
      <c r="AS321" s="385"/>
      <c r="AT321" s="385"/>
      <c r="AU321" s="385"/>
      <c r="AV321" s="385"/>
      <c r="AW321" s="385"/>
      <c r="AX321" s="385"/>
      <c r="AY321" s="385"/>
      <c r="AZ321" s="385"/>
      <c r="BA321" s="385"/>
      <c r="BB321" s="385"/>
    </row>
    <row r="322" spans="4:54" s="239" customFormat="1" x14ac:dyDescent="0.25">
      <c r="D322" s="382"/>
      <c r="E322" s="382"/>
      <c r="F322" s="383"/>
      <c r="G322" s="382"/>
      <c r="H322" s="382"/>
      <c r="I322" s="246"/>
      <c r="J322" s="235"/>
      <c r="L322" s="385"/>
      <c r="M322" s="235"/>
      <c r="N322" s="235"/>
      <c r="O322" s="83"/>
      <c r="P322" s="83"/>
      <c r="Q322" s="387"/>
      <c r="W322" s="235"/>
      <c r="X322" s="333"/>
      <c r="Y322" s="333"/>
      <c r="Z322" s="333"/>
      <c r="AA322" s="385"/>
      <c r="AP322" s="246"/>
      <c r="AQ322" s="385"/>
      <c r="AR322" s="385"/>
      <c r="AS322" s="385"/>
      <c r="AT322" s="385"/>
      <c r="AU322" s="385"/>
      <c r="AV322" s="385"/>
      <c r="AW322" s="385"/>
      <c r="AX322" s="385"/>
      <c r="AY322" s="385"/>
      <c r="AZ322" s="385"/>
      <c r="BA322" s="385"/>
      <c r="BB322" s="385"/>
    </row>
    <row r="323" spans="4:54" s="239" customFormat="1" x14ac:dyDescent="0.25">
      <c r="D323" s="382"/>
      <c r="E323" s="382"/>
      <c r="F323" s="383"/>
      <c r="G323" s="382"/>
      <c r="H323" s="382"/>
      <c r="I323" s="246"/>
      <c r="J323" s="235"/>
      <c r="L323" s="385"/>
      <c r="M323" s="235"/>
      <c r="N323" s="235"/>
      <c r="O323" s="83"/>
      <c r="P323" s="83"/>
      <c r="Q323" s="387"/>
      <c r="W323" s="235"/>
      <c r="X323" s="333"/>
      <c r="Y323" s="333"/>
      <c r="Z323" s="333"/>
      <c r="AA323" s="385"/>
      <c r="AP323" s="246"/>
      <c r="AQ323" s="385"/>
      <c r="AR323" s="385"/>
      <c r="AS323" s="385"/>
      <c r="AT323" s="385"/>
      <c r="AU323" s="385"/>
      <c r="AV323" s="385"/>
      <c r="AW323" s="385"/>
      <c r="AX323" s="385"/>
      <c r="AY323" s="385"/>
      <c r="AZ323" s="385"/>
      <c r="BA323" s="385"/>
      <c r="BB323" s="385"/>
    </row>
    <row r="324" spans="4:54" s="239" customFormat="1" x14ac:dyDescent="0.25">
      <c r="D324" s="382"/>
      <c r="E324" s="382"/>
      <c r="F324" s="383"/>
      <c r="G324" s="382"/>
      <c r="H324" s="382"/>
      <c r="I324" s="246"/>
      <c r="J324" s="235"/>
      <c r="L324" s="385"/>
      <c r="M324" s="235"/>
      <c r="N324" s="235"/>
      <c r="O324" s="83"/>
      <c r="P324" s="83"/>
      <c r="Q324" s="387"/>
      <c r="W324" s="235"/>
      <c r="X324" s="333"/>
      <c r="Y324" s="333"/>
      <c r="Z324" s="333"/>
      <c r="AA324" s="385"/>
      <c r="AP324" s="246"/>
      <c r="AQ324" s="385"/>
      <c r="AR324" s="385"/>
      <c r="AS324" s="385"/>
      <c r="AT324" s="385"/>
      <c r="AU324" s="385"/>
      <c r="AV324" s="385"/>
      <c r="AW324" s="385"/>
      <c r="AX324" s="385"/>
      <c r="AY324" s="385"/>
      <c r="AZ324" s="385"/>
      <c r="BA324" s="385"/>
      <c r="BB324" s="385"/>
    </row>
    <row r="325" spans="4:54" s="239" customFormat="1" x14ac:dyDescent="0.25">
      <c r="D325" s="382"/>
      <c r="E325" s="382"/>
      <c r="F325" s="383"/>
      <c r="G325" s="382"/>
      <c r="H325" s="382"/>
      <c r="I325" s="246"/>
      <c r="J325" s="235"/>
      <c r="L325" s="385"/>
      <c r="M325" s="235"/>
      <c r="N325" s="235"/>
      <c r="O325" s="83"/>
      <c r="P325" s="83"/>
      <c r="Q325" s="387"/>
      <c r="W325" s="235"/>
      <c r="X325" s="333"/>
      <c r="Y325" s="333"/>
      <c r="Z325" s="333"/>
      <c r="AA325" s="385"/>
      <c r="AP325" s="246"/>
      <c r="AQ325" s="385"/>
      <c r="AR325" s="385"/>
      <c r="AS325" s="385"/>
      <c r="AT325" s="385"/>
      <c r="AU325" s="385"/>
      <c r="AV325" s="385"/>
      <c r="AW325" s="385"/>
      <c r="AX325" s="385"/>
      <c r="AY325" s="385"/>
      <c r="AZ325" s="385"/>
      <c r="BA325" s="385"/>
      <c r="BB325" s="385"/>
    </row>
    <row r="326" spans="4:54" s="239" customFormat="1" x14ac:dyDescent="0.25">
      <c r="D326" s="382"/>
      <c r="E326" s="382"/>
      <c r="F326" s="383"/>
      <c r="G326" s="382"/>
      <c r="H326" s="382"/>
      <c r="I326" s="246"/>
      <c r="J326" s="235"/>
      <c r="L326" s="385"/>
      <c r="M326" s="235"/>
      <c r="N326" s="235"/>
      <c r="O326" s="83"/>
      <c r="P326" s="83"/>
      <c r="Q326" s="387"/>
      <c r="W326" s="235"/>
      <c r="X326" s="333"/>
      <c r="Y326" s="333"/>
      <c r="Z326" s="333"/>
      <c r="AA326" s="385"/>
      <c r="AP326" s="246"/>
      <c r="AQ326" s="385"/>
      <c r="AR326" s="385"/>
      <c r="AS326" s="385"/>
      <c r="AT326" s="385"/>
      <c r="AU326" s="385"/>
      <c r="AV326" s="385"/>
      <c r="AW326" s="385"/>
      <c r="AX326" s="385"/>
      <c r="AY326" s="385"/>
      <c r="AZ326" s="385"/>
      <c r="BA326" s="385"/>
      <c r="BB326" s="385"/>
    </row>
    <row r="327" spans="4:54" s="239" customFormat="1" x14ac:dyDescent="0.25">
      <c r="D327" s="382"/>
      <c r="E327" s="382"/>
      <c r="F327" s="383"/>
      <c r="G327" s="382"/>
      <c r="H327" s="382"/>
      <c r="I327" s="246"/>
      <c r="J327" s="235"/>
      <c r="L327" s="385"/>
      <c r="M327" s="235"/>
      <c r="N327" s="235"/>
      <c r="O327" s="83"/>
      <c r="P327" s="83"/>
      <c r="Q327" s="387"/>
      <c r="W327" s="235"/>
      <c r="X327" s="333"/>
      <c r="Y327" s="333"/>
      <c r="Z327" s="333"/>
      <c r="AA327" s="385"/>
      <c r="AP327" s="246"/>
      <c r="AQ327" s="385"/>
      <c r="AR327" s="385"/>
      <c r="AS327" s="385"/>
      <c r="AT327" s="385"/>
      <c r="AU327" s="385"/>
      <c r="AV327" s="385"/>
      <c r="AW327" s="385"/>
      <c r="AX327" s="385"/>
      <c r="AY327" s="385"/>
      <c r="AZ327" s="385"/>
      <c r="BA327" s="385"/>
      <c r="BB327" s="385"/>
    </row>
    <row r="328" spans="4:54" s="239" customFormat="1" x14ac:dyDescent="0.25">
      <c r="D328" s="382"/>
      <c r="E328" s="382"/>
      <c r="F328" s="383"/>
      <c r="G328" s="382"/>
      <c r="H328" s="382"/>
      <c r="I328" s="246"/>
      <c r="J328" s="235"/>
      <c r="L328" s="385"/>
      <c r="M328" s="235"/>
      <c r="N328" s="235"/>
      <c r="O328" s="83"/>
      <c r="P328" s="83"/>
      <c r="Q328" s="387"/>
      <c r="W328" s="235"/>
      <c r="X328" s="333"/>
      <c r="Y328" s="333"/>
      <c r="Z328" s="333"/>
      <c r="AA328" s="385"/>
      <c r="AP328" s="246"/>
      <c r="AQ328" s="385"/>
      <c r="AR328" s="385"/>
      <c r="AS328" s="385"/>
      <c r="AT328" s="385"/>
      <c r="AU328" s="385"/>
      <c r="AV328" s="385"/>
      <c r="AW328" s="385"/>
      <c r="AX328" s="385"/>
      <c r="AY328" s="385"/>
      <c r="AZ328" s="385"/>
      <c r="BA328" s="385"/>
      <c r="BB328" s="385"/>
    </row>
    <row r="329" spans="4:54" s="239" customFormat="1" x14ac:dyDescent="0.25">
      <c r="D329" s="382"/>
      <c r="E329" s="382"/>
      <c r="F329" s="383"/>
      <c r="G329" s="382"/>
      <c r="H329" s="382"/>
      <c r="I329" s="246"/>
      <c r="J329" s="235"/>
      <c r="L329" s="385"/>
      <c r="M329" s="235"/>
      <c r="N329" s="235"/>
      <c r="O329" s="83"/>
      <c r="P329" s="83"/>
      <c r="Q329" s="387"/>
      <c r="W329" s="235"/>
      <c r="X329" s="333"/>
      <c r="Y329" s="333"/>
      <c r="Z329" s="333"/>
      <c r="AA329" s="385"/>
      <c r="AP329" s="246"/>
      <c r="AQ329" s="385"/>
      <c r="AR329" s="385"/>
      <c r="AS329" s="385"/>
      <c r="AT329" s="385"/>
      <c r="AU329" s="385"/>
      <c r="AV329" s="385"/>
      <c r="AW329" s="385"/>
      <c r="AX329" s="385"/>
      <c r="AY329" s="385"/>
      <c r="AZ329" s="385"/>
      <c r="BA329" s="385"/>
      <c r="BB329" s="385"/>
    </row>
    <row r="330" spans="4:54" s="239" customFormat="1" x14ac:dyDescent="0.25">
      <c r="D330" s="382"/>
      <c r="E330" s="382"/>
      <c r="F330" s="383"/>
      <c r="G330" s="382"/>
      <c r="H330" s="382"/>
      <c r="I330" s="246"/>
      <c r="J330" s="235"/>
      <c r="L330" s="385"/>
      <c r="M330" s="235"/>
      <c r="N330" s="235"/>
      <c r="O330" s="83"/>
      <c r="P330" s="83"/>
      <c r="Q330" s="387"/>
      <c r="W330" s="235"/>
      <c r="X330" s="333"/>
      <c r="Y330" s="333"/>
      <c r="Z330" s="333"/>
      <c r="AA330" s="385"/>
      <c r="AP330" s="246"/>
      <c r="AQ330" s="385"/>
      <c r="AR330" s="385"/>
      <c r="AS330" s="385"/>
      <c r="AT330" s="385"/>
      <c r="AU330" s="385"/>
      <c r="AV330" s="385"/>
      <c r="AW330" s="385"/>
      <c r="AX330" s="385"/>
      <c r="AY330" s="385"/>
      <c r="AZ330" s="385"/>
      <c r="BA330" s="385"/>
      <c r="BB330" s="385"/>
    </row>
    <row r="331" spans="4:54" s="239" customFormat="1" x14ac:dyDescent="0.25">
      <c r="D331" s="382"/>
      <c r="E331" s="382"/>
      <c r="F331" s="383"/>
      <c r="G331" s="382"/>
      <c r="H331" s="382"/>
      <c r="I331" s="246"/>
      <c r="J331" s="235"/>
      <c r="L331" s="385"/>
      <c r="M331" s="235"/>
      <c r="N331" s="235"/>
      <c r="O331" s="83"/>
      <c r="P331" s="83"/>
      <c r="Q331" s="387"/>
      <c r="W331" s="235"/>
      <c r="X331" s="333"/>
      <c r="Y331" s="333"/>
      <c r="Z331" s="333"/>
      <c r="AA331" s="385"/>
      <c r="AP331" s="246"/>
      <c r="AQ331" s="385"/>
      <c r="AR331" s="385"/>
      <c r="AS331" s="385"/>
      <c r="AT331" s="385"/>
      <c r="AU331" s="385"/>
      <c r="AV331" s="385"/>
      <c r="AW331" s="385"/>
      <c r="AX331" s="385"/>
      <c r="AY331" s="385"/>
      <c r="AZ331" s="385"/>
      <c r="BA331" s="385"/>
      <c r="BB331" s="385"/>
    </row>
    <row r="332" spans="4:54" s="239" customFormat="1" x14ac:dyDescent="0.25">
      <c r="D332" s="382"/>
      <c r="E332" s="382"/>
      <c r="F332" s="383"/>
      <c r="G332" s="382"/>
      <c r="H332" s="382"/>
      <c r="I332" s="246"/>
      <c r="J332" s="235"/>
      <c r="L332" s="385"/>
      <c r="M332" s="235"/>
      <c r="N332" s="235"/>
      <c r="O332" s="83"/>
      <c r="P332" s="83"/>
      <c r="Q332" s="387"/>
      <c r="W332" s="235"/>
      <c r="X332" s="333"/>
      <c r="Y332" s="333"/>
      <c r="Z332" s="333"/>
      <c r="AA332" s="385"/>
      <c r="AP332" s="246"/>
      <c r="AQ332" s="385"/>
      <c r="AR332" s="385"/>
      <c r="AS332" s="385"/>
      <c r="AT332" s="385"/>
      <c r="AU332" s="385"/>
      <c r="AV332" s="385"/>
      <c r="AW332" s="385"/>
      <c r="AX332" s="385"/>
      <c r="AY332" s="385"/>
      <c r="AZ332" s="385"/>
      <c r="BA332" s="385"/>
      <c r="BB332" s="385"/>
    </row>
    <row r="333" spans="4:54" s="239" customFormat="1" x14ac:dyDescent="0.25">
      <c r="D333" s="382"/>
      <c r="E333" s="382"/>
      <c r="F333" s="383"/>
      <c r="G333" s="382"/>
      <c r="H333" s="382"/>
      <c r="I333" s="246"/>
      <c r="J333" s="235"/>
      <c r="L333" s="385"/>
      <c r="M333" s="235"/>
      <c r="N333" s="235"/>
      <c r="O333" s="83"/>
      <c r="P333" s="83"/>
      <c r="Q333" s="387"/>
      <c r="W333" s="235"/>
      <c r="X333" s="333"/>
      <c r="Y333" s="333"/>
      <c r="Z333" s="333"/>
      <c r="AA333" s="385"/>
      <c r="AP333" s="246"/>
      <c r="AQ333" s="385"/>
      <c r="AR333" s="385"/>
      <c r="AS333" s="385"/>
      <c r="AT333" s="385"/>
      <c r="AU333" s="385"/>
      <c r="AV333" s="385"/>
      <c r="AW333" s="385"/>
      <c r="AX333" s="385"/>
      <c r="AY333" s="385"/>
      <c r="AZ333" s="385"/>
      <c r="BA333" s="385"/>
      <c r="BB333" s="385"/>
    </row>
    <row r="334" spans="4:54" s="239" customFormat="1" x14ac:dyDescent="0.25">
      <c r="D334" s="382"/>
      <c r="E334" s="382"/>
      <c r="F334" s="383"/>
      <c r="G334" s="382"/>
      <c r="H334" s="382"/>
      <c r="I334" s="246"/>
      <c r="J334" s="235"/>
      <c r="L334" s="385"/>
      <c r="M334" s="235"/>
      <c r="N334" s="235"/>
      <c r="O334" s="83"/>
      <c r="P334" s="83"/>
      <c r="Q334" s="387"/>
      <c r="W334" s="235"/>
      <c r="X334" s="333"/>
      <c r="Y334" s="333"/>
      <c r="Z334" s="333"/>
      <c r="AA334" s="385"/>
      <c r="AP334" s="246"/>
      <c r="AQ334" s="385"/>
      <c r="AR334" s="385"/>
      <c r="AS334" s="385"/>
      <c r="AT334" s="385"/>
      <c r="AU334" s="385"/>
      <c r="AV334" s="385"/>
      <c r="AW334" s="385"/>
      <c r="AX334" s="385"/>
      <c r="AY334" s="385"/>
      <c r="AZ334" s="385"/>
      <c r="BA334" s="385"/>
      <c r="BB334" s="385"/>
    </row>
    <row r="335" spans="4:54" s="239" customFormat="1" x14ac:dyDescent="0.25">
      <c r="D335" s="382"/>
      <c r="E335" s="382"/>
      <c r="F335" s="383"/>
      <c r="G335" s="382"/>
      <c r="H335" s="382"/>
      <c r="I335" s="246"/>
      <c r="J335" s="235"/>
      <c r="L335" s="385"/>
      <c r="M335" s="235"/>
      <c r="N335" s="235"/>
      <c r="O335" s="83"/>
      <c r="P335" s="83"/>
      <c r="Q335" s="387"/>
      <c r="W335" s="235"/>
      <c r="X335" s="333"/>
      <c r="Y335" s="333"/>
      <c r="Z335" s="333"/>
      <c r="AA335" s="385"/>
      <c r="AP335" s="246"/>
      <c r="AQ335" s="385"/>
      <c r="AR335" s="385"/>
      <c r="AS335" s="385"/>
      <c r="AT335" s="385"/>
      <c r="AU335" s="385"/>
      <c r="AV335" s="385"/>
      <c r="AW335" s="385"/>
      <c r="AX335" s="385"/>
      <c r="AY335" s="385"/>
      <c r="AZ335" s="385"/>
      <c r="BA335" s="385"/>
      <c r="BB335" s="385"/>
    </row>
    <row r="336" spans="4:54" s="239" customFormat="1" x14ac:dyDescent="0.25">
      <c r="D336" s="382"/>
      <c r="E336" s="382"/>
      <c r="F336" s="383"/>
      <c r="G336" s="382"/>
      <c r="H336" s="382"/>
      <c r="I336" s="246"/>
      <c r="J336" s="235"/>
      <c r="L336" s="385"/>
      <c r="M336" s="235"/>
      <c r="N336" s="235"/>
      <c r="O336" s="83"/>
      <c r="P336" s="83"/>
      <c r="Q336" s="387"/>
      <c r="W336" s="235"/>
      <c r="X336" s="333"/>
      <c r="Y336" s="333"/>
      <c r="Z336" s="333"/>
      <c r="AA336" s="385"/>
      <c r="AP336" s="246"/>
      <c r="AQ336" s="385"/>
      <c r="AR336" s="385"/>
      <c r="AS336" s="385"/>
      <c r="AT336" s="385"/>
      <c r="AU336" s="385"/>
      <c r="AV336" s="385"/>
      <c r="AW336" s="385"/>
      <c r="AX336" s="385"/>
      <c r="AY336" s="385"/>
      <c r="AZ336" s="385"/>
      <c r="BA336" s="385"/>
      <c r="BB336" s="385"/>
    </row>
    <row r="337" spans="4:54" s="239" customFormat="1" x14ac:dyDescent="0.25">
      <c r="D337" s="382"/>
      <c r="E337" s="382"/>
      <c r="F337" s="383"/>
      <c r="G337" s="382"/>
      <c r="H337" s="382"/>
      <c r="I337" s="246"/>
      <c r="J337" s="235"/>
      <c r="L337" s="385"/>
      <c r="M337" s="235"/>
      <c r="N337" s="235"/>
      <c r="O337" s="83"/>
      <c r="P337" s="83"/>
      <c r="Q337" s="387"/>
      <c r="W337" s="235"/>
      <c r="X337" s="333"/>
      <c r="Y337" s="333"/>
      <c r="Z337" s="333"/>
      <c r="AA337" s="385"/>
      <c r="AP337" s="246"/>
      <c r="AQ337" s="385"/>
      <c r="AR337" s="385"/>
      <c r="AS337" s="385"/>
      <c r="AT337" s="385"/>
      <c r="AU337" s="385"/>
      <c r="AV337" s="385"/>
      <c r="AW337" s="385"/>
      <c r="AX337" s="385"/>
      <c r="AY337" s="385"/>
      <c r="AZ337" s="385"/>
      <c r="BA337" s="385"/>
      <c r="BB337" s="385"/>
    </row>
    <row r="338" spans="4:54" s="239" customFormat="1" x14ac:dyDescent="0.25">
      <c r="D338" s="382"/>
      <c r="E338" s="382"/>
      <c r="F338" s="383"/>
      <c r="G338" s="382"/>
      <c r="H338" s="382"/>
      <c r="I338" s="246"/>
      <c r="J338" s="235"/>
      <c r="L338" s="385"/>
      <c r="M338" s="235"/>
      <c r="N338" s="235"/>
      <c r="O338" s="83"/>
      <c r="P338" s="83"/>
      <c r="Q338" s="387"/>
      <c r="W338" s="235"/>
      <c r="X338" s="333"/>
      <c r="Y338" s="333"/>
      <c r="Z338" s="333"/>
      <c r="AA338" s="385"/>
      <c r="AP338" s="246"/>
      <c r="AQ338" s="385"/>
      <c r="AR338" s="385"/>
      <c r="AS338" s="385"/>
      <c r="AT338" s="385"/>
      <c r="AU338" s="385"/>
      <c r="AV338" s="385"/>
      <c r="AW338" s="385"/>
      <c r="AX338" s="385"/>
      <c r="AY338" s="385"/>
      <c r="AZ338" s="385"/>
      <c r="BA338" s="385"/>
      <c r="BB338" s="385"/>
    </row>
    <row r="339" spans="4:54" s="239" customFormat="1" x14ac:dyDescent="0.25">
      <c r="D339" s="382"/>
      <c r="E339" s="382"/>
      <c r="F339" s="383"/>
      <c r="G339" s="382"/>
      <c r="H339" s="382"/>
      <c r="I339" s="246"/>
      <c r="J339" s="235"/>
      <c r="L339" s="385"/>
      <c r="M339" s="235"/>
      <c r="N339" s="235"/>
      <c r="O339" s="83"/>
      <c r="P339" s="83"/>
      <c r="Q339" s="387"/>
      <c r="W339" s="235"/>
      <c r="X339" s="333"/>
      <c r="Y339" s="333"/>
      <c r="Z339" s="333"/>
      <c r="AA339" s="385"/>
      <c r="AP339" s="246"/>
      <c r="AQ339" s="385"/>
      <c r="AR339" s="385"/>
      <c r="AS339" s="385"/>
      <c r="AT339" s="385"/>
      <c r="AU339" s="385"/>
      <c r="AV339" s="385"/>
      <c r="AW339" s="385"/>
      <c r="AX339" s="385"/>
      <c r="AY339" s="385"/>
      <c r="AZ339" s="385"/>
      <c r="BA339" s="385"/>
      <c r="BB339" s="385"/>
    </row>
    <row r="340" spans="4:54" s="239" customFormat="1" x14ac:dyDescent="0.25">
      <c r="D340" s="382"/>
      <c r="E340" s="382"/>
      <c r="F340" s="383"/>
      <c r="G340" s="382"/>
      <c r="H340" s="382"/>
      <c r="I340" s="246"/>
      <c r="J340" s="235"/>
      <c r="L340" s="385"/>
      <c r="M340" s="235"/>
      <c r="N340" s="235"/>
      <c r="O340" s="83"/>
      <c r="P340" s="83"/>
      <c r="Q340" s="387"/>
      <c r="W340" s="235"/>
      <c r="X340" s="333"/>
      <c r="Y340" s="333"/>
      <c r="Z340" s="333"/>
      <c r="AA340" s="385"/>
      <c r="AP340" s="246"/>
      <c r="AQ340" s="385"/>
      <c r="AR340" s="385"/>
      <c r="AS340" s="385"/>
      <c r="AT340" s="385"/>
      <c r="AU340" s="385"/>
      <c r="AV340" s="385"/>
      <c r="AW340" s="385"/>
      <c r="AX340" s="385"/>
      <c r="AY340" s="385"/>
      <c r="AZ340" s="385"/>
      <c r="BA340" s="385"/>
      <c r="BB340" s="385"/>
    </row>
    <row r="341" spans="4:54" s="239" customFormat="1" x14ac:dyDescent="0.25">
      <c r="D341" s="382"/>
      <c r="E341" s="382"/>
      <c r="F341" s="383"/>
      <c r="G341" s="382"/>
      <c r="H341" s="382"/>
      <c r="I341" s="246"/>
      <c r="J341" s="235"/>
      <c r="L341" s="385"/>
      <c r="M341" s="235"/>
      <c r="N341" s="235"/>
      <c r="O341" s="83"/>
      <c r="P341" s="83"/>
      <c r="Q341" s="387"/>
      <c r="W341" s="235"/>
      <c r="X341" s="333"/>
      <c r="Y341" s="333"/>
      <c r="Z341" s="333"/>
      <c r="AA341" s="385"/>
      <c r="AP341" s="246"/>
      <c r="AQ341" s="385"/>
      <c r="AR341" s="385"/>
      <c r="AS341" s="385"/>
      <c r="AT341" s="385"/>
      <c r="AU341" s="385"/>
      <c r="AV341" s="385"/>
      <c r="AW341" s="385"/>
      <c r="AX341" s="385"/>
      <c r="AY341" s="385"/>
      <c r="AZ341" s="385"/>
      <c r="BA341" s="385"/>
      <c r="BB341" s="385"/>
    </row>
    <row r="342" spans="4:54" s="239" customFormat="1" x14ac:dyDescent="0.25">
      <c r="D342" s="382"/>
      <c r="E342" s="382"/>
      <c r="F342" s="383"/>
      <c r="G342" s="382"/>
      <c r="H342" s="382"/>
      <c r="I342" s="246"/>
      <c r="J342" s="235"/>
      <c r="L342" s="385"/>
      <c r="M342" s="235"/>
      <c r="N342" s="235"/>
      <c r="O342" s="83"/>
      <c r="P342" s="83"/>
      <c r="Q342" s="387"/>
      <c r="W342" s="235"/>
      <c r="X342" s="333"/>
      <c r="Y342" s="333"/>
      <c r="Z342" s="333"/>
      <c r="AA342" s="385"/>
      <c r="AP342" s="246"/>
      <c r="AQ342" s="385"/>
      <c r="AR342" s="385"/>
      <c r="AS342" s="385"/>
      <c r="AT342" s="385"/>
      <c r="AU342" s="385"/>
      <c r="AV342" s="385"/>
      <c r="AW342" s="385"/>
      <c r="AX342" s="385"/>
      <c r="AY342" s="385"/>
      <c r="AZ342" s="385"/>
      <c r="BA342" s="385"/>
      <c r="BB342" s="385"/>
    </row>
    <row r="343" spans="4:54" s="239" customFormat="1" x14ac:dyDescent="0.25">
      <c r="D343" s="382"/>
      <c r="E343" s="382"/>
      <c r="F343" s="383"/>
      <c r="G343" s="382"/>
      <c r="H343" s="382"/>
      <c r="I343" s="246"/>
      <c r="J343" s="235"/>
      <c r="L343" s="385"/>
      <c r="M343" s="235"/>
      <c r="N343" s="235"/>
      <c r="O343" s="83"/>
      <c r="P343" s="83"/>
      <c r="Q343" s="387"/>
      <c r="W343" s="235"/>
      <c r="X343" s="333"/>
      <c r="Y343" s="333"/>
      <c r="Z343" s="333"/>
      <c r="AA343" s="385"/>
      <c r="AP343" s="246"/>
      <c r="AQ343" s="385"/>
      <c r="AR343" s="385"/>
      <c r="AS343" s="385"/>
      <c r="AT343" s="385"/>
      <c r="AU343" s="385"/>
      <c r="AV343" s="385"/>
      <c r="AW343" s="385"/>
      <c r="AX343" s="385"/>
      <c r="AY343" s="385"/>
      <c r="AZ343" s="385"/>
      <c r="BA343" s="385"/>
      <c r="BB343" s="385"/>
    </row>
    <row r="344" spans="4:54" s="239" customFormat="1" x14ac:dyDescent="0.25">
      <c r="D344" s="382"/>
      <c r="E344" s="382"/>
      <c r="F344" s="383"/>
      <c r="G344" s="382"/>
      <c r="H344" s="382"/>
      <c r="I344" s="246"/>
      <c r="J344" s="235"/>
      <c r="L344" s="385"/>
      <c r="M344" s="235"/>
      <c r="N344" s="235"/>
      <c r="O344" s="83"/>
      <c r="P344" s="83"/>
      <c r="Q344" s="387"/>
      <c r="W344" s="235"/>
      <c r="X344" s="333"/>
      <c r="Y344" s="333"/>
      <c r="Z344" s="333"/>
      <c r="AA344" s="385"/>
      <c r="AP344" s="246"/>
      <c r="AQ344" s="385"/>
      <c r="AR344" s="385"/>
      <c r="AS344" s="385"/>
      <c r="AT344" s="385"/>
      <c r="AU344" s="385"/>
      <c r="AV344" s="385"/>
      <c r="AW344" s="385"/>
      <c r="AX344" s="385"/>
      <c r="AY344" s="385"/>
      <c r="AZ344" s="385"/>
      <c r="BA344" s="385"/>
      <c r="BB344" s="385"/>
    </row>
    <row r="345" spans="4:54" s="239" customFormat="1" x14ac:dyDescent="0.25">
      <c r="D345" s="382"/>
      <c r="E345" s="382"/>
      <c r="F345" s="383"/>
      <c r="G345" s="382"/>
      <c r="H345" s="382"/>
      <c r="I345" s="246"/>
      <c r="J345" s="235"/>
      <c r="L345" s="385"/>
      <c r="M345" s="235"/>
      <c r="N345" s="235"/>
      <c r="O345" s="83"/>
      <c r="P345" s="83"/>
      <c r="Q345" s="387"/>
      <c r="W345" s="235"/>
      <c r="X345" s="333"/>
      <c r="Y345" s="333"/>
      <c r="Z345" s="333"/>
      <c r="AA345" s="385"/>
      <c r="AP345" s="246"/>
      <c r="AQ345" s="385"/>
      <c r="AR345" s="385"/>
      <c r="AS345" s="385"/>
      <c r="AT345" s="385"/>
      <c r="AU345" s="385"/>
      <c r="AV345" s="385"/>
      <c r="AW345" s="385"/>
      <c r="AX345" s="385"/>
      <c r="AY345" s="385"/>
      <c r="AZ345" s="385"/>
      <c r="BA345" s="385"/>
      <c r="BB345" s="385"/>
    </row>
    <row r="346" spans="4:54" s="239" customFormat="1" x14ac:dyDescent="0.25">
      <c r="D346" s="382"/>
      <c r="E346" s="382"/>
      <c r="F346" s="383"/>
      <c r="G346" s="382"/>
      <c r="H346" s="382"/>
      <c r="I346" s="246"/>
      <c r="J346" s="235"/>
      <c r="L346" s="385"/>
      <c r="M346" s="235"/>
      <c r="N346" s="235"/>
      <c r="O346" s="83"/>
      <c r="P346" s="83"/>
      <c r="Q346" s="387"/>
      <c r="W346" s="235"/>
      <c r="X346" s="333"/>
      <c r="Y346" s="333"/>
      <c r="Z346" s="333"/>
      <c r="AA346" s="385"/>
      <c r="AP346" s="246"/>
      <c r="AQ346" s="385"/>
      <c r="AR346" s="385"/>
      <c r="AS346" s="385"/>
      <c r="AT346" s="385"/>
      <c r="AU346" s="385"/>
      <c r="AV346" s="385"/>
      <c r="AW346" s="385"/>
      <c r="AX346" s="385"/>
      <c r="AY346" s="385"/>
      <c r="AZ346" s="385"/>
      <c r="BA346" s="385"/>
      <c r="BB346" s="385"/>
    </row>
    <row r="347" spans="4:54" s="239" customFormat="1" x14ac:dyDescent="0.25">
      <c r="D347" s="382"/>
      <c r="E347" s="382"/>
      <c r="F347" s="383"/>
      <c r="G347" s="382"/>
      <c r="H347" s="382"/>
      <c r="I347" s="246"/>
      <c r="J347" s="235"/>
      <c r="L347" s="385"/>
      <c r="M347" s="235"/>
      <c r="N347" s="235"/>
      <c r="O347" s="83"/>
      <c r="P347" s="83"/>
      <c r="Q347" s="387"/>
      <c r="W347" s="235"/>
      <c r="X347" s="333"/>
      <c r="Y347" s="333"/>
      <c r="Z347" s="333"/>
      <c r="AA347" s="385"/>
      <c r="AP347" s="246"/>
      <c r="AQ347" s="385"/>
      <c r="AR347" s="385"/>
      <c r="AS347" s="385"/>
      <c r="AT347" s="385"/>
      <c r="AU347" s="385"/>
      <c r="AV347" s="385"/>
      <c r="AW347" s="385"/>
      <c r="AX347" s="385"/>
      <c r="AY347" s="385"/>
      <c r="AZ347" s="385"/>
      <c r="BA347" s="385"/>
      <c r="BB347" s="385"/>
    </row>
    <row r="348" spans="4:54" s="239" customFormat="1" x14ac:dyDescent="0.25">
      <c r="D348" s="382"/>
      <c r="E348" s="382"/>
      <c r="F348" s="383"/>
      <c r="G348" s="382"/>
      <c r="H348" s="382"/>
      <c r="I348" s="246"/>
      <c r="J348" s="235"/>
      <c r="L348" s="385"/>
      <c r="M348" s="235"/>
      <c r="N348" s="235"/>
      <c r="O348" s="83"/>
      <c r="P348" s="83"/>
      <c r="Q348" s="387"/>
      <c r="W348" s="235"/>
      <c r="X348" s="333"/>
      <c r="Y348" s="333"/>
      <c r="Z348" s="333"/>
      <c r="AA348" s="385"/>
      <c r="AP348" s="246"/>
      <c r="AQ348" s="385"/>
      <c r="AR348" s="385"/>
      <c r="AS348" s="385"/>
      <c r="AT348" s="385"/>
      <c r="AU348" s="385"/>
      <c r="AV348" s="385"/>
      <c r="AW348" s="385"/>
      <c r="AX348" s="385"/>
      <c r="AY348" s="385"/>
      <c r="AZ348" s="385"/>
      <c r="BA348" s="385"/>
      <c r="BB348" s="385"/>
    </row>
    <row r="349" spans="4:54" s="239" customFormat="1" x14ac:dyDescent="0.25">
      <c r="D349" s="382"/>
      <c r="E349" s="382"/>
      <c r="F349" s="383"/>
      <c r="G349" s="382"/>
      <c r="H349" s="382"/>
      <c r="I349" s="246"/>
      <c r="J349" s="235"/>
      <c r="L349" s="385"/>
      <c r="M349" s="235"/>
      <c r="N349" s="235"/>
      <c r="O349" s="83"/>
      <c r="P349" s="83"/>
      <c r="Q349" s="387"/>
      <c r="W349" s="235"/>
      <c r="X349" s="333"/>
      <c r="Y349" s="333"/>
      <c r="Z349" s="333"/>
      <c r="AA349" s="385"/>
      <c r="AP349" s="246"/>
      <c r="AQ349" s="385"/>
      <c r="AR349" s="385"/>
      <c r="AS349" s="385"/>
      <c r="AT349" s="385"/>
      <c r="AU349" s="385"/>
      <c r="AV349" s="385"/>
      <c r="AW349" s="385"/>
      <c r="AX349" s="385"/>
      <c r="AY349" s="385"/>
      <c r="AZ349" s="385"/>
      <c r="BA349" s="385"/>
      <c r="BB349" s="385"/>
    </row>
    <row r="350" spans="4:54" s="239" customFormat="1" x14ac:dyDescent="0.25">
      <c r="D350" s="382"/>
      <c r="E350" s="382"/>
      <c r="F350" s="383"/>
      <c r="G350" s="382"/>
      <c r="H350" s="382"/>
      <c r="I350" s="246"/>
      <c r="J350" s="235"/>
      <c r="L350" s="385"/>
      <c r="M350" s="235"/>
      <c r="N350" s="235"/>
      <c r="O350" s="83"/>
      <c r="P350" s="83"/>
      <c r="Q350" s="387"/>
      <c r="W350" s="235"/>
      <c r="X350" s="333"/>
      <c r="Y350" s="333"/>
      <c r="Z350" s="333"/>
      <c r="AA350" s="385"/>
      <c r="AP350" s="246"/>
      <c r="AQ350" s="385"/>
      <c r="AR350" s="385"/>
      <c r="AS350" s="385"/>
      <c r="AT350" s="385"/>
      <c r="AU350" s="385"/>
      <c r="AV350" s="385"/>
      <c r="AW350" s="385"/>
      <c r="AX350" s="385"/>
      <c r="AY350" s="385"/>
      <c r="AZ350" s="385"/>
      <c r="BA350" s="385"/>
      <c r="BB350" s="385"/>
    </row>
    <row r="351" spans="4:54" s="239" customFormat="1" x14ac:dyDescent="0.25">
      <c r="D351" s="382"/>
      <c r="E351" s="382"/>
      <c r="F351" s="383"/>
      <c r="G351" s="382"/>
      <c r="H351" s="382"/>
      <c r="I351" s="246"/>
      <c r="J351" s="235"/>
      <c r="L351" s="385"/>
      <c r="M351" s="235"/>
      <c r="N351" s="235"/>
      <c r="O351" s="83"/>
      <c r="P351" s="83"/>
      <c r="Q351" s="387"/>
      <c r="W351" s="235"/>
      <c r="X351" s="333"/>
      <c r="Y351" s="333"/>
      <c r="Z351" s="333"/>
      <c r="AA351" s="385"/>
      <c r="AP351" s="246"/>
      <c r="AQ351" s="385"/>
      <c r="AR351" s="385"/>
      <c r="AS351" s="385"/>
      <c r="AT351" s="385"/>
      <c r="AU351" s="385"/>
      <c r="AV351" s="385"/>
      <c r="AW351" s="385"/>
      <c r="AX351" s="385"/>
      <c r="AY351" s="385"/>
      <c r="AZ351" s="385"/>
      <c r="BA351" s="385"/>
      <c r="BB351" s="385"/>
    </row>
    <row r="352" spans="4:54" s="239" customFormat="1" x14ac:dyDescent="0.25">
      <c r="D352" s="382"/>
      <c r="E352" s="382"/>
      <c r="F352" s="383"/>
      <c r="G352" s="382"/>
      <c r="H352" s="382"/>
      <c r="I352" s="246"/>
      <c r="J352" s="235"/>
      <c r="L352" s="385"/>
      <c r="M352" s="235"/>
      <c r="N352" s="235"/>
      <c r="O352" s="83"/>
      <c r="P352" s="83"/>
      <c r="Q352" s="387"/>
      <c r="W352" s="235"/>
      <c r="X352" s="333"/>
      <c r="Y352" s="333"/>
      <c r="Z352" s="333"/>
      <c r="AA352" s="385"/>
      <c r="AP352" s="246"/>
      <c r="AQ352" s="385"/>
      <c r="AR352" s="385"/>
      <c r="AS352" s="385"/>
      <c r="AT352" s="385"/>
      <c r="AU352" s="385"/>
      <c r="AV352" s="385"/>
      <c r="AW352" s="385"/>
      <c r="AX352" s="385"/>
      <c r="AY352" s="385"/>
      <c r="AZ352" s="385"/>
      <c r="BA352" s="385"/>
      <c r="BB352" s="385"/>
    </row>
    <row r="353" spans="4:54" s="239" customFormat="1" x14ac:dyDescent="0.25">
      <c r="D353" s="382"/>
      <c r="E353" s="382"/>
      <c r="F353" s="383"/>
      <c r="G353" s="382"/>
      <c r="H353" s="382"/>
      <c r="I353" s="246"/>
      <c r="J353" s="235"/>
      <c r="L353" s="385"/>
      <c r="M353" s="235"/>
      <c r="N353" s="235"/>
      <c r="O353" s="83"/>
      <c r="P353" s="83"/>
      <c r="Q353" s="387"/>
      <c r="W353" s="235"/>
      <c r="X353" s="333"/>
      <c r="Y353" s="333"/>
      <c r="Z353" s="333"/>
      <c r="AA353" s="385"/>
      <c r="AP353" s="246"/>
      <c r="AQ353" s="385"/>
      <c r="AR353" s="385"/>
      <c r="AS353" s="385"/>
      <c r="AT353" s="385"/>
      <c r="AU353" s="385"/>
      <c r="AV353" s="385"/>
      <c r="AW353" s="385"/>
      <c r="AX353" s="385"/>
      <c r="AY353" s="385"/>
      <c r="AZ353" s="385"/>
      <c r="BA353" s="385"/>
      <c r="BB353" s="385"/>
    </row>
    <row r="354" spans="4:54" s="239" customFormat="1" x14ac:dyDescent="0.25">
      <c r="D354" s="382"/>
      <c r="E354" s="382"/>
      <c r="F354" s="383"/>
      <c r="G354" s="382"/>
      <c r="H354" s="382"/>
      <c r="I354" s="246"/>
      <c r="J354" s="235"/>
      <c r="L354" s="385"/>
      <c r="M354" s="235"/>
      <c r="N354" s="235"/>
      <c r="O354" s="83"/>
      <c r="P354" s="83"/>
      <c r="Q354" s="387"/>
      <c r="W354" s="235"/>
      <c r="X354" s="333"/>
      <c r="Y354" s="333"/>
      <c r="Z354" s="333"/>
      <c r="AA354" s="385"/>
      <c r="AP354" s="246"/>
      <c r="AQ354" s="385"/>
      <c r="AR354" s="385"/>
      <c r="AS354" s="385"/>
      <c r="AT354" s="385"/>
      <c r="AU354" s="385"/>
      <c r="AV354" s="385"/>
      <c r="AW354" s="385"/>
      <c r="AX354" s="385"/>
      <c r="AY354" s="385"/>
      <c r="AZ354" s="385"/>
      <c r="BA354" s="385"/>
      <c r="BB354" s="385"/>
    </row>
    <row r="355" spans="4:54" s="239" customFormat="1" x14ac:dyDescent="0.25">
      <c r="D355" s="382"/>
      <c r="E355" s="382"/>
      <c r="F355" s="383"/>
      <c r="G355" s="382"/>
      <c r="H355" s="382"/>
      <c r="I355" s="246"/>
      <c r="J355" s="235"/>
      <c r="L355" s="385"/>
      <c r="M355" s="235"/>
      <c r="N355" s="235"/>
      <c r="O355" s="83"/>
      <c r="P355" s="83"/>
      <c r="Q355" s="387"/>
      <c r="W355" s="235"/>
      <c r="X355" s="333"/>
      <c r="Y355" s="333"/>
      <c r="Z355" s="333"/>
      <c r="AA355" s="385"/>
      <c r="AP355" s="246"/>
      <c r="AQ355" s="385"/>
      <c r="AR355" s="385"/>
      <c r="AS355" s="385"/>
      <c r="AT355" s="385"/>
      <c r="AU355" s="385"/>
      <c r="AV355" s="385"/>
      <c r="AW355" s="385"/>
      <c r="AX355" s="385"/>
      <c r="AY355" s="385"/>
      <c r="AZ355" s="385"/>
      <c r="BA355" s="385"/>
      <c r="BB355" s="385"/>
    </row>
    <row r="356" spans="4:54" s="239" customFormat="1" x14ac:dyDescent="0.25">
      <c r="D356" s="382"/>
      <c r="E356" s="382"/>
      <c r="F356" s="383"/>
      <c r="G356" s="382"/>
      <c r="H356" s="382"/>
      <c r="I356" s="246"/>
      <c r="J356" s="235"/>
      <c r="L356" s="385"/>
      <c r="M356" s="235"/>
      <c r="N356" s="235"/>
      <c r="O356" s="83"/>
      <c r="P356" s="83"/>
      <c r="Q356" s="387"/>
      <c r="W356" s="235"/>
      <c r="X356" s="333"/>
      <c r="Y356" s="333"/>
      <c r="Z356" s="333"/>
      <c r="AA356" s="385"/>
      <c r="AP356" s="246"/>
      <c r="AQ356" s="385"/>
      <c r="AR356" s="385"/>
      <c r="AS356" s="385"/>
      <c r="AT356" s="385"/>
      <c r="AU356" s="385"/>
      <c r="AV356" s="385"/>
      <c r="AW356" s="385"/>
      <c r="AX356" s="385"/>
      <c r="AY356" s="385"/>
      <c r="AZ356" s="385"/>
      <c r="BA356" s="385"/>
      <c r="BB356" s="385"/>
    </row>
    <row r="357" spans="4:54" s="239" customFormat="1" x14ac:dyDescent="0.25">
      <c r="D357" s="382"/>
      <c r="E357" s="382"/>
      <c r="F357" s="383"/>
      <c r="G357" s="382"/>
      <c r="H357" s="382"/>
      <c r="I357" s="246"/>
      <c r="J357" s="235"/>
      <c r="L357" s="385"/>
      <c r="M357" s="235"/>
      <c r="N357" s="235"/>
      <c r="O357" s="83"/>
      <c r="P357" s="83"/>
      <c r="Q357" s="387"/>
      <c r="W357" s="235"/>
      <c r="X357" s="333"/>
      <c r="Y357" s="333"/>
      <c r="Z357" s="333"/>
      <c r="AA357" s="385"/>
      <c r="AP357" s="246"/>
      <c r="AQ357" s="385"/>
      <c r="AR357" s="385"/>
      <c r="AS357" s="385"/>
      <c r="AT357" s="385"/>
      <c r="AU357" s="385"/>
      <c r="AV357" s="385"/>
      <c r="AW357" s="385"/>
      <c r="AX357" s="385"/>
      <c r="AY357" s="385"/>
      <c r="AZ357" s="385"/>
      <c r="BA357" s="385"/>
      <c r="BB357" s="385"/>
    </row>
    <row r="358" spans="4:54" s="239" customFormat="1" x14ac:dyDescent="0.25">
      <c r="D358" s="382"/>
      <c r="E358" s="382"/>
      <c r="F358" s="383"/>
      <c r="G358" s="382"/>
      <c r="H358" s="382"/>
      <c r="I358" s="246"/>
      <c r="J358" s="235"/>
      <c r="L358" s="385"/>
      <c r="M358" s="235"/>
      <c r="N358" s="235"/>
      <c r="O358" s="83"/>
      <c r="P358" s="83"/>
      <c r="Q358" s="387"/>
      <c r="W358" s="235"/>
      <c r="X358" s="333"/>
      <c r="Y358" s="333"/>
      <c r="Z358" s="333"/>
      <c r="AA358" s="385"/>
      <c r="AP358" s="246"/>
      <c r="AQ358" s="385"/>
      <c r="AR358" s="385"/>
      <c r="AS358" s="385"/>
      <c r="AT358" s="385"/>
      <c r="AU358" s="385"/>
      <c r="AV358" s="385"/>
      <c r="AW358" s="385"/>
      <c r="AX358" s="385"/>
      <c r="AY358" s="385"/>
      <c r="AZ358" s="385"/>
      <c r="BA358" s="385"/>
      <c r="BB358" s="385"/>
    </row>
    <row r="359" spans="4:54" s="239" customFormat="1" x14ac:dyDescent="0.25">
      <c r="D359" s="382"/>
      <c r="E359" s="382"/>
      <c r="F359" s="383"/>
      <c r="G359" s="382"/>
      <c r="H359" s="382"/>
      <c r="I359" s="246"/>
      <c r="J359" s="235"/>
      <c r="L359" s="385"/>
      <c r="M359" s="235"/>
      <c r="N359" s="235"/>
      <c r="O359" s="83"/>
      <c r="P359" s="83"/>
      <c r="Q359" s="387"/>
      <c r="W359" s="235"/>
      <c r="X359" s="333"/>
      <c r="Y359" s="333"/>
      <c r="Z359" s="333"/>
      <c r="AA359" s="385"/>
      <c r="AP359" s="246"/>
      <c r="AQ359" s="385"/>
      <c r="AR359" s="385"/>
      <c r="AS359" s="385"/>
      <c r="AT359" s="385"/>
      <c r="AU359" s="385"/>
      <c r="AV359" s="385"/>
      <c r="AW359" s="385"/>
      <c r="AX359" s="385"/>
      <c r="AY359" s="385"/>
      <c r="AZ359" s="385"/>
      <c r="BA359" s="385"/>
      <c r="BB359" s="385"/>
    </row>
    <row r="360" spans="4:54" s="239" customFormat="1" x14ac:dyDescent="0.25">
      <c r="D360" s="382"/>
      <c r="E360" s="382"/>
      <c r="F360" s="383"/>
      <c r="G360" s="382"/>
      <c r="H360" s="382"/>
      <c r="I360" s="246"/>
      <c r="J360" s="235"/>
      <c r="L360" s="385"/>
      <c r="M360" s="235"/>
      <c r="N360" s="235"/>
      <c r="O360" s="83"/>
      <c r="P360" s="83"/>
      <c r="Q360" s="387"/>
      <c r="W360" s="235"/>
      <c r="X360" s="333"/>
      <c r="Y360" s="333"/>
      <c r="Z360" s="333"/>
      <c r="AA360" s="385"/>
      <c r="AP360" s="246"/>
      <c r="AQ360" s="385"/>
      <c r="AR360" s="385"/>
      <c r="AS360" s="385"/>
      <c r="AT360" s="385"/>
      <c r="AU360" s="385"/>
      <c r="AV360" s="385"/>
      <c r="AW360" s="385"/>
      <c r="AX360" s="385"/>
      <c r="AY360" s="385"/>
      <c r="AZ360" s="385"/>
      <c r="BA360" s="385"/>
      <c r="BB360" s="385"/>
    </row>
    <row r="361" spans="4:54" s="239" customFormat="1" x14ac:dyDescent="0.25">
      <c r="D361" s="382"/>
      <c r="E361" s="382"/>
      <c r="F361" s="383"/>
      <c r="G361" s="382"/>
      <c r="H361" s="382"/>
      <c r="I361" s="246"/>
      <c r="J361" s="235"/>
      <c r="L361" s="385"/>
      <c r="M361" s="235"/>
      <c r="N361" s="235"/>
      <c r="O361" s="83"/>
      <c r="P361" s="83"/>
      <c r="Q361" s="387"/>
      <c r="W361" s="235"/>
      <c r="X361" s="333"/>
      <c r="Y361" s="333"/>
      <c r="Z361" s="333"/>
      <c r="AA361" s="385"/>
      <c r="AP361" s="246"/>
      <c r="AQ361" s="385"/>
      <c r="AR361" s="385"/>
      <c r="AS361" s="385"/>
      <c r="AT361" s="385"/>
      <c r="AU361" s="385"/>
      <c r="AV361" s="385"/>
      <c r="AW361" s="385"/>
      <c r="AX361" s="385"/>
      <c r="AY361" s="385"/>
      <c r="AZ361" s="385"/>
      <c r="BA361" s="385"/>
      <c r="BB361" s="385"/>
    </row>
    <row r="362" spans="4:54" s="239" customFormat="1" x14ac:dyDescent="0.25">
      <c r="D362" s="382"/>
      <c r="E362" s="382"/>
      <c r="F362" s="383"/>
      <c r="G362" s="382"/>
      <c r="H362" s="382"/>
      <c r="I362" s="246"/>
      <c r="J362" s="235"/>
      <c r="L362" s="385"/>
      <c r="M362" s="235"/>
      <c r="N362" s="235"/>
      <c r="O362" s="83"/>
      <c r="P362" s="83"/>
      <c r="Q362" s="387"/>
      <c r="W362" s="235"/>
      <c r="X362" s="333"/>
      <c r="Y362" s="333"/>
      <c r="Z362" s="333"/>
      <c r="AA362" s="385"/>
      <c r="AP362" s="246"/>
      <c r="AQ362" s="385"/>
      <c r="AR362" s="385"/>
      <c r="AS362" s="385"/>
      <c r="AT362" s="385"/>
      <c r="AU362" s="385"/>
      <c r="AV362" s="385"/>
      <c r="AW362" s="385"/>
      <c r="AX362" s="385"/>
      <c r="AY362" s="385"/>
      <c r="AZ362" s="385"/>
      <c r="BA362" s="385"/>
      <c r="BB362" s="385"/>
    </row>
    <row r="363" spans="4:54" s="239" customFormat="1" x14ac:dyDescent="0.25">
      <c r="D363" s="382"/>
      <c r="E363" s="382"/>
      <c r="F363" s="383"/>
      <c r="G363" s="382"/>
      <c r="H363" s="382"/>
      <c r="I363" s="246"/>
      <c r="J363" s="235"/>
      <c r="L363" s="385"/>
      <c r="M363" s="235"/>
      <c r="N363" s="235"/>
      <c r="O363" s="83"/>
      <c r="P363" s="83"/>
      <c r="Q363" s="387"/>
      <c r="W363" s="235"/>
      <c r="X363" s="333"/>
      <c r="Y363" s="333"/>
      <c r="Z363" s="333"/>
      <c r="AA363" s="385"/>
      <c r="AP363" s="246"/>
      <c r="AQ363" s="385"/>
      <c r="AR363" s="385"/>
      <c r="AS363" s="385"/>
      <c r="AT363" s="385"/>
      <c r="AU363" s="385"/>
      <c r="AV363" s="385"/>
      <c r="AW363" s="385"/>
      <c r="AX363" s="385"/>
      <c r="AY363" s="385"/>
      <c r="AZ363" s="385"/>
      <c r="BA363" s="385"/>
      <c r="BB363" s="385"/>
    </row>
    <row r="364" spans="4:54" s="239" customFormat="1" x14ac:dyDescent="0.25">
      <c r="D364" s="382"/>
      <c r="E364" s="382"/>
      <c r="F364" s="383"/>
      <c r="G364" s="382"/>
      <c r="H364" s="382"/>
      <c r="I364" s="246"/>
      <c r="J364" s="235"/>
      <c r="L364" s="385"/>
      <c r="M364" s="235"/>
      <c r="N364" s="235"/>
      <c r="O364" s="83"/>
      <c r="P364" s="83"/>
      <c r="Q364" s="387"/>
      <c r="W364" s="235"/>
      <c r="X364" s="333"/>
      <c r="Y364" s="333"/>
      <c r="Z364" s="333"/>
      <c r="AA364" s="385"/>
      <c r="AP364" s="246"/>
      <c r="AQ364" s="385"/>
      <c r="AR364" s="385"/>
      <c r="AS364" s="385"/>
      <c r="AT364" s="385"/>
      <c r="AU364" s="385"/>
      <c r="AV364" s="385"/>
      <c r="AW364" s="385"/>
      <c r="AX364" s="385"/>
      <c r="AY364" s="385"/>
      <c r="AZ364" s="385"/>
      <c r="BA364" s="385"/>
      <c r="BB364" s="385"/>
    </row>
    <row r="365" spans="4:54" s="239" customFormat="1" x14ac:dyDescent="0.25">
      <c r="D365" s="382"/>
      <c r="E365" s="382"/>
      <c r="F365" s="383"/>
      <c r="G365" s="382"/>
      <c r="H365" s="382"/>
      <c r="I365" s="246"/>
      <c r="J365" s="235"/>
      <c r="L365" s="385"/>
      <c r="M365" s="235"/>
      <c r="N365" s="235"/>
      <c r="O365" s="83"/>
      <c r="P365" s="83"/>
      <c r="Q365" s="387"/>
      <c r="W365" s="235"/>
      <c r="X365" s="333"/>
      <c r="Y365" s="333"/>
      <c r="Z365" s="333"/>
      <c r="AA365" s="385"/>
      <c r="AP365" s="246"/>
      <c r="AQ365" s="385"/>
      <c r="AR365" s="385"/>
      <c r="AS365" s="385"/>
      <c r="AT365" s="385"/>
      <c r="AU365" s="385"/>
      <c r="AV365" s="385"/>
      <c r="AW365" s="385"/>
      <c r="AX365" s="385"/>
      <c r="AY365" s="385"/>
      <c r="AZ365" s="385"/>
      <c r="BA365" s="385"/>
      <c r="BB365" s="385"/>
    </row>
    <row r="366" spans="4:54" s="239" customFormat="1" x14ac:dyDescent="0.25">
      <c r="D366" s="382"/>
      <c r="E366" s="382"/>
      <c r="F366" s="383"/>
      <c r="G366" s="382"/>
      <c r="H366" s="382"/>
      <c r="I366" s="246"/>
      <c r="J366" s="235"/>
      <c r="L366" s="385"/>
      <c r="M366" s="235"/>
      <c r="N366" s="235"/>
      <c r="O366" s="83"/>
      <c r="P366" s="83"/>
      <c r="Q366" s="387"/>
      <c r="W366" s="235"/>
      <c r="X366" s="333"/>
      <c r="Y366" s="333"/>
      <c r="Z366" s="333"/>
      <c r="AA366" s="385"/>
      <c r="AP366" s="246"/>
      <c r="AQ366" s="385"/>
      <c r="AR366" s="385"/>
      <c r="AS366" s="385"/>
      <c r="AT366" s="385"/>
      <c r="AU366" s="385"/>
      <c r="AV366" s="385"/>
      <c r="AW366" s="385"/>
      <c r="AX366" s="385"/>
      <c r="AY366" s="385"/>
      <c r="AZ366" s="385"/>
      <c r="BA366" s="385"/>
      <c r="BB366" s="385"/>
    </row>
    <row r="367" spans="4:54" s="239" customFormat="1" x14ac:dyDescent="0.25">
      <c r="D367" s="382"/>
      <c r="E367" s="382"/>
      <c r="F367" s="383"/>
      <c r="G367" s="382"/>
      <c r="H367" s="382"/>
      <c r="I367" s="246"/>
      <c r="J367" s="235"/>
      <c r="L367" s="385"/>
      <c r="M367" s="235"/>
      <c r="N367" s="235"/>
      <c r="O367" s="83"/>
      <c r="P367" s="83"/>
      <c r="Q367" s="387"/>
      <c r="W367" s="235"/>
      <c r="X367" s="333"/>
      <c r="Y367" s="333"/>
      <c r="Z367" s="333"/>
      <c r="AA367" s="385"/>
      <c r="AP367" s="246"/>
      <c r="AQ367" s="385"/>
      <c r="AR367" s="385"/>
      <c r="AS367" s="385"/>
      <c r="AT367" s="385"/>
      <c r="AU367" s="385"/>
      <c r="AV367" s="385"/>
      <c r="AW367" s="385"/>
      <c r="AX367" s="385"/>
      <c r="AY367" s="385"/>
      <c r="AZ367" s="385"/>
      <c r="BA367" s="385"/>
      <c r="BB367" s="385"/>
    </row>
    <row r="368" spans="4:54" s="239" customFormat="1" x14ac:dyDescent="0.25">
      <c r="D368" s="382"/>
      <c r="E368" s="382"/>
      <c r="F368" s="383"/>
      <c r="G368" s="382"/>
      <c r="H368" s="382"/>
      <c r="I368" s="246"/>
      <c r="J368" s="235"/>
      <c r="L368" s="385"/>
      <c r="M368" s="235"/>
      <c r="N368" s="235"/>
      <c r="O368" s="83"/>
      <c r="P368" s="83"/>
      <c r="Q368" s="387"/>
      <c r="W368" s="235"/>
      <c r="X368" s="333"/>
      <c r="Y368" s="333"/>
      <c r="Z368" s="333"/>
      <c r="AA368" s="385"/>
      <c r="AP368" s="246"/>
      <c r="AQ368" s="385"/>
      <c r="AR368" s="385"/>
      <c r="AS368" s="385"/>
      <c r="AT368" s="385"/>
      <c r="AU368" s="385"/>
      <c r="AV368" s="385"/>
      <c r="AW368" s="385"/>
      <c r="AX368" s="385"/>
      <c r="AY368" s="385"/>
      <c r="AZ368" s="385"/>
      <c r="BA368" s="385"/>
      <c r="BB368" s="385"/>
    </row>
    <row r="369" spans="4:54" s="239" customFormat="1" x14ac:dyDescent="0.25">
      <c r="D369" s="382"/>
      <c r="E369" s="382"/>
      <c r="F369" s="383"/>
      <c r="G369" s="382"/>
      <c r="H369" s="382"/>
      <c r="I369" s="246"/>
      <c r="J369" s="235"/>
      <c r="L369" s="385"/>
      <c r="M369" s="235"/>
      <c r="N369" s="235"/>
      <c r="O369" s="83"/>
      <c r="P369" s="83"/>
      <c r="Q369" s="387"/>
      <c r="W369" s="235"/>
      <c r="X369" s="333"/>
      <c r="Y369" s="333"/>
      <c r="Z369" s="333"/>
      <c r="AA369" s="385"/>
      <c r="AP369" s="246"/>
      <c r="AQ369" s="385"/>
      <c r="AR369" s="385"/>
      <c r="AS369" s="385"/>
      <c r="AT369" s="385"/>
      <c r="AU369" s="385"/>
      <c r="AV369" s="385"/>
      <c r="AW369" s="385"/>
      <c r="AX369" s="385"/>
      <c r="AY369" s="385"/>
      <c r="AZ369" s="385"/>
      <c r="BA369" s="385"/>
      <c r="BB369" s="385"/>
    </row>
    <row r="370" spans="4:54" s="239" customFormat="1" x14ac:dyDescent="0.25">
      <c r="D370" s="382"/>
      <c r="E370" s="382"/>
      <c r="F370" s="383"/>
      <c r="G370" s="382"/>
      <c r="H370" s="382"/>
      <c r="I370" s="246"/>
      <c r="J370" s="235"/>
      <c r="L370" s="385"/>
      <c r="M370" s="235"/>
      <c r="N370" s="235"/>
      <c r="O370" s="83"/>
      <c r="P370" s="83"/>
      <c r="Q370" s="387"/>
      <c r="W370" s="235"/>
      <c r="X370" s="333"/>
      <c r="Y370" s="333"/>
      <c r="Z370" s="333"/>
      <c r="AA370" s="385"/>
      <c r="AP370" s="246"/>
      <c r="AQ370" s="385"/>
      <c r="AR370" s="385"/>
      <c r="AS370" s="385"/>
      <c r="AT370" s="385"/>
      <c r="AU370" s="385"/>
      <c r="AV370" s="385"/>
      <c r="AW370" s="385"/>
      <c r="AX370" s="385"/>
      <c r="AY370" s="385"/>
      <c r="AZ370" s="385"/>
      <c r="BA370" s="385"/>
      <c r="BB370" s="385"/>
    </row>
    <row r="371" spans="4:54" s="239" customFormat="1" x14ac:dyDescent="0.25">
      <c r="D371" s="382"/>
      <c r="E371" s="382"/>
      <c r="F371" s="383"/>
      <c r="G371" s="382"/>
      <c r="H371" s="382"/>
      <c r="I371" s="246"/>
      <c r="J371" s="235"/>
      <c r="L371" s="385"/>
      <c r="M371" s="235"/>
      <c r="N371" s="235"/>
      <c r="O371" s="83"/>
      <c r="P371" s="83"/>
      <c r="Q371" s="387"/>
      <c r="W371" s="235"/>
      <c r="X371" s="333"/>
      <c r="Y371" s="333"/>
      <c r="Z371" s="333"/>
      <c r="AA371" s="385"/>
      <c r="AP371" s="246"/>
      <c r="AQ371" s="385"/>
      <c r="AR371" s="385"/>
      <c r="AS371" s="385"/>
      <c r="AT371" s="385"/>
      <c r="AU371" s="385"/>
      <c r="AV371" s="385"/>
      <c r="AW371" s="385"/>
      <c r="AX371" s="385"/>
      <c r="AY371" s="385"/>
      <c r="AZ371" s="385"/>
      <c r="BA371" s="385"/>
      <c r="BB371" s="385"/>
    </row>
    <row r="372" spans="4:54" s="239" customFormat="1" x14ac:dyDescent="0.25">
      <c r="D372" s="382"/>
      <c r="E372" s="382"/>
      <c r="F372" s="383"/>
      <c r="G372" s="382"/>
      <c r="H372" s="382"/>
      <c r="I372" s="246"/>
      <c r="J372" s="235"/>
      <c r="L372" s="385"/>
      <c r="M372" s="235"/>
      <c r="N372" s="235"/>
      <c r="O372" s="83"/>
      <c r="P372" s="83"/>
      <c r="Q372" s="387"/>
      <c r="W372" s="235"/>
      <c r="X372" s="333"/>
      <c r="Y372" s="333"/>
      <c r="Z372" s="333"/>
      <c r="AA372" s="385"/>
      <c r="AP372" s="246"/>
      <c r="AQ372" s="385"/>
      <c r="AR372" s="385"/>
      <c r="AS372" s="385"/>
      <c r="AT372" s="385"/>
      <c r="AU372" s="385"/>
      <c r="AV372" s="385"/>
      <c r="AW372" s="385"/>
      <c r="AX372" s="385"/>
      <c r="AY372" s="385"/>
      <c r="AZ372" s="385"/>
      <c r="BA372" s="385"/>
      <c r="BB372" s="385"/>
    </row>
    <row r="373" spans="4:54" s="239" customFormat="1" x14ac:dyDescent="0.25">
      <c r="D373" s="382"/>
      <c r="E373" s="382"/>
      <c r="F373" s="383"/>
      <c r="G373" s="382"/>
      <c r="H373" s="382"/>
      <c r="I373" s="246"/>
      <c r="J373" s="235"/>
      <c r="L373" s="385"/>
      <c r="M373" s="235"/>
      <c r="N373" s="235"/>
      <c r="O373" s="83"/>
      <c r="P373" s="83"/>
      <c r="Q373" s="387"/>
      <c r="W373" s="235"/>
      <c r="X373" s="333"/>
      <c r="Y373" s="333"/>
      <c r="Z373" s="333"/>
      <c r="AA373" s="385"/>
      <c r="AP373" s="246"/>
      <c r="AQ373" s="385"/>
      <c r="AR373" s="385"/>
      <c r="AS373" s="385"/>
      <c r="AT373" s="385"/>
      <c r="AU373" s="385"/>
      <c r="AV373" s="385"/>
      <c r="AW373" s="385"/>
      <c r="AX373" s="385"/>
      <c r="AY373" s="385"/>
      <c r="AZ373" s="385"/>
      <c r="BA373" s="385"/>
      <c r="BB373" s="385"/>
    </row>
    <row r="374" spans="4:54" s="239" customFormat="1" x14ac:dyDescent="0.25">
      <c r="D374" s="382"/>
      <c r="E374" s="382"/>
      <c r="F374" s="383"/>
      <c r="G374" s="382"/>
      <c r="H374" s="382"/>
      <c r="I374" s="246"/>
      <c r="J374" s="235"/>
      <c r="L374" s="385"/>
      <c r="M374" s="235"/>
      <c r="N374" s="235"/>
      <c r="O374" s="83"/>
      <c r="P374" s="83"/>
      <c r="Q374" s="387"/>
      <c r="W374" s="235"/>
      <c r="X374" s="333"/>
      <c r="Y374" s="333"/>
      <c r="Z374" s="333"/>
      <c r="AA374" s="385"/>
      <c r="AP374" s="246"/>
      <c r="AQ374" s="385"/>
      <c r="AR374" s="385"/>
      <c r="AS374" s="385"/>
      <c r="AT374" s="385"/>
      <c r="AU374" s="385"/>
      <c r="AV374" s="385"/>
      <c r="AW374" s="385"/>
      <c r="AX374" s="385"/>
      <c r="AY374" s="385"/>
      <c r="AZ374" s="385"/>
      <c r="BA374" s="385"/>
      <c r="BB374" s="385"/>
    </row>
    <row r="375" spans="4:54" s="239" customFormat="1" x14ac:dyDescent="0.25">
      <c r="D375" s="382"/>
      <c r="E375" s="382"/>
      <c r="F375" s="383"/>
      <c r="G375" s="382"/>
      <c r="H375" s="382"/>
      <c r="I375" s="246"/>
      <c r="J375" s="235"/>
      <c r="L375" s="385"/>
      <c r="M375" s="235"/>
      <c r="N375" s="235"/>
      <c r="O375" s="83"/>
      <c r="P375" s="83"/>
      <c r="Q375" s="387"/>
      <c r="W375" s="235"/>
      <c r="X375" s="333"/>
      <c r="Y375" s="333"/>
      <c r="Z375" s="333"/>
      <c r="AA375" s="385"/>
      <c r="AP375" s="246"/>
      <c r="AQ375" s="385"/>
      <c r="AR375" s="385"/>
      <c r="AS375" s="385"/>
      <c r="AT375" s="385"/>
      <c r="AU375" s="385"/>
      <c r="AV375" s="385"/>
      <c r="AW375" s="385"/>
      <c r="AX375" s="385"/>
      <c r="AY375" s="385"/>
      <c r="AZ375" s="385"/>
      <c r="BA375" s="385"/>
      <c r="BB375" s="385"/>
    </row>
    <row r="376" spans="4:54" s="239" customFormat="1" x14ac:dyDescent="0.25">
      <c r="D376" s="382"/>
      <c r="E376" s="382"/>
      <c r="F376" s="383"/>
      <c r="G376" s="382"/>
      <c r="H376" s="382"/>
      <c r="I376" s="246"/>
      <c r="J376" s="235"/>
      <c r="L376" s="385"/>
      <c r="M376" s="235"/>
      <c r="N376" s="235"/>
      <c r="O376" s="83"/>
      <c r="P376" s="83"/>
      <c r="Q376" s="387"/>
      <c r="W376" s="235"/>
      <c r="X376" s="333"/>
      <c r="Y376" s="333"/>
      <c r="Z376" s="333"/>
      <c r="AA376" s="385"/>
      <c r="AP376" s="246"/>
      <c r="AQ376" s="385"/>
      <c r="AR376" s="385"/>
      <c r="AS376" s="385"/>
      <c r="AT376" s="385"/>
      <c r="AU376" s="385"/>
      <c r="AV376" s="385"/>
      <c r="AW376" s="385"/>
      <c r="AX376" s="385"/>
      <c r="AY376" s="385"/>
      <c r="AZ376" s="385"/>
      <c r="BA376" s="385"/>
      <c r="BB376" s="385"/>
    </row>
    <row r="377" spans="4:54" s="239" customFormat="1" x14ac:dyDescent="0.25">
      <c r="D377" s="382"/>
      <c r="E377" s="382"/>
      <c r="F377" s="383"/>
      <c r="G377" s="382"/>
      <c r="H377" s="382"/>
      <c r="I377" s="246"/>
      <c r="J377" s="235"/>
      <c r="L377" s="385"/>
      <c r="M377" s="235"/>
      <c r="N377" s="235"/>
      <c r="O377" s="83"/>
      <c r="P377" s="83"/>
      <c r="Q377" s="387"/>
      <c r="W377" s="235"/>
      <c r="X377" s="333"/>
      <c r="Y377" s="333"/>
      <c r="Z377" s="333"/>
      <c r="AA377" s="385"/>
      <c r="AP377" s="246"/>
      <c r="AQ377" s="385"/>
      <c r="AR377" s="385"/>
      <c r="AS377" s="385"/>
      <c r="AT377" s="385"/>
      <c r="AU377" s="385"/>
      <c r="AV377" s="385"/>
      <c r="AW377" s="385"/>
      <c r="AX377" s="385"/>
      <c r="AY377" s="385"/>
      <c r="AZ377" s="385"/>
      <c r="BA377" s="385"/>
      <c r="BB377" s="385"/>
    </row>
    <row r="378" spans="4:54" s="239" customFormat="1" x14ac:dyDescent="0.25">
      <c r="D378" s="382"/>
      <c r="E378" s="382"/>
      <c r="F378" s="383"/>
      <c r="G378" s="382"/>
      <c r="H378" s="382"/>
      <c r="I378" s="246"/>
      <c r="J378" s="235"/>
      <c r="L378" s="385"/>
      <c r="M378" s="235"/>
      <c r="N378" s="235"/>
      <c r="O378" s="83"/>
      <c r="P378" s="83"/>
      <c r="Q378" s="387"/>
      <c r="W378" s="235"/>
      <c r="X378" s="333"/>
      <c r="Y378" s="333"/>
      <c r="Z378" s="333"/>
      <c r="AA378" s="385"/>
      <c r="AP378" s="246"/>
      <c r="AQ378" s="385"/>
      <c r="AR378" s="385"/>
      <c r="AS378" s="385"/>
      <c r="AT378" s="385"/>
      <c r="AU378" s="385"/>
      <c r="AV378" s="385"/>
      <c r="AW378" s="385"/>
      <c r="AX378" s="385"/>
      <c r="AY378" s="385"/>
      <c r="AZ378" s="385"/>
      <c r="BA378" s="385"/>
      <c r="BB378" s="385"/>
    </row>
    <row r="379" spans="4:54" s="239" customFormat="1" x14ac:dyDescent="0.25">
      <c r="D379" s="382"/>
      <c r="E379" s="382"/>
      <c r="F379" s="383"/>
      <c r="G379" s="382"/>
      <c r="H379" s="382"/>
      <c r="I379" s="246"/>
      <c r="J379" s="235"/>
      <c r="L379" s="385"/>
      <c r="M379" s="235"/>
      <c r="N379" s="235"/>
      <c r="O379" s="83"/>
      <c r="P379" s="83"/>
      <c r="Q379" s="387"/>
      <c r="W379" s="235"/>
      <c r="X379" s="333"/>
      <c r="Y379" s="333"/>
      <c r="Z379" s="333"/>
      <c r="AA379" s="385"/>
      <c r="AP379" s="246"/>
      <c r="AQ379" s="385"/>
      <c r="AR379" s="385"/>
      <c r="AS379" s="385"/>
      <c r="AT379" s="385"/>
      <c r="AU379" s="385"/>
      <c r="AV379" s="385"/>
      <c r="AW379" s="385"/>
      <c r="AX379" s="385"/>
      <c r="AY379" s="385"/>
      <c r="AZ379" s="385"/>
      <c r="BA379" s="385"/>
      <c r="BB379" s="385"/>
    </row>
    <row r="380" spans="4:54" s="239" customFormat="1" x14ac:dyDescent="0.25">
      <c r="D380" s="382"/>
      <c r="E380" s="382"/>
      <c r="F380" s="383"/>
      <c r="G380" s="382"/>
      <c r="H380" s="382"/>
      <c r="I380" s="246"/>
      <c r="J380" s="235"/>
      <c r="L380" s="385"/>
      <c r="M380" s="235"/>
      <c r="N380" s="235"/>
      <c r="O380" s="83"/>
      <c r="P380" s="83"/>
      <c r="Q380" s="387"/>
      <c r="W380" s="235"/>
      <c r="X380" s="333"/>
      <c r="Y380" s="333"/>
      <c r="Z380" s="333"/>
      <c r="AA380" s="385"/>
      <c r="AP380" s="246"/>
      <c r="AQ380" s="385"/>
      <c r="AR380" s="385"/>
      <c r="AS380" s="385"/>
      <c r="AT380" s="385"/>
      <c r="AU380" s="385"/>
      <c r="AV380" s="385"/>
      <c r="AW380" s="385"/>
      <c r="AX380" s="385"/>
      <c r="AY380" s="385"/>
      <c r="AZ380" s="385"/>
      <c r="BA380" s="385"/>
      <c r="BB380" s="385"/>
    </row>
    <row r="381" spans="4:54" s="239" customFormat="1" x14ac:dyDescent="0.25">
      <c r="D381" s="382"/>
      <c r="E381" s="382"/>
      <c r="F381" s="383"/>
      <c r="G381" s="382"/>
      <c r="H381" s="382"/>
      <c r="I381" s="246"/>
      <c r="J381" s="235"/>
      <c r="L381" s="385"/>
      <c r="M381" s="235"/>
      <c r="N381" s="235"/>
      <c r="O381" s="83"/>
      <c r="P381" s="83"/>
      <c r="Q381" s="387"/>
      <c r="W381" s="235"/>
      <c r="X381" s="333"/>
      <c r="Y381" s="333"/>
      <c r="Z381" s="333"/>
      <c r="AA381" s="385"/>
      <c r="AP381" s="246"/>
      <c r="AQ381" s="385"/>
      <c r="AR381" s="385"/>
      <c r="AS381" s="385"/>
      <c r="AT381" s="385"/>
      <c r="AU381" s="385"/>
      <c r="AV381" s="385"/>
      <c r="AW381" s="385"/>
      <c r="AX381" s="385"/>
      <c r="AY381" s="385"/>
      <c r="AZ381" s="385"/>
      <c r="BA381" s="385"/>
      <c r="BB381" s="385"/>
    </row>
    <row r="382" spans="4:54" s="239" customFormat="1" x14ac:dyDescent="0.25">
      <c r="D382" s="382"/>
      <c r="E382" s="382"/>
      <c r="F382" s="383"/>
      <c r="G382" s="382"/>
      <c r="H382" s="382"/>
      <c r="I382" s="246"/>
      <c r="J382" s="235"/>
      <c r="L382" s="385"/>
      <c r="M382" s="235"/>
      <c r="N382" s="235"/>
      <c r="O382" s="83"/>
      <c r="P382" s="83"/>
      <c r="Q382" s="387"/>
      <c r="W382" s="235"/>
      <c r="X382" s="333"/>
      <c r="Y382" s="333"/>
      <c r="Z382" s="333"/>
      <c r="AA382" s="385"/>
      <c r="AP382" s="246"/>
      <c r="AQ382" s="385"/>
      <c r="AR382" s="385"/>
      <c r="AS382" s="385"/>
      <c r="AT382" s="385"/>
      <c r="AU382" s="385"/>
      <c r="AV382" s="385"/>
      <c r="AW382" s="385"/>
      <c r="AX382" s="385"/>
      <c r="AY382" s="385"/>
      <c r="AZ382" s="385"/>
      <c r="BA382" s="385"/>
      <c r="BB382" s="385"/>
    </row>
    <row r="383" spans="4:54" s="239" customFormat="1" x14ac:dyDescent="0.25">
      <c r="D383" s="382"/>
      <c r="E383" s="382"/>
      <c r="F383" s="383"/>
      <c r="G383" s="382"/>
      <c r="H383" s="382"/>
      <c r="I383" s="246"/>
      <c r="J383" s="235"/>
      <c r="L383" s="385"/>
      <c r="M383" s="235"/>
      <c r="N383" s="235"/>
      <c r="O383" s="83"/>
      <c r="P383" s="83"/>
      <c r="Q383" s="387"/>
      <c r="W383" s="235"/>
      <c r="X383" s="333"/>
      <c r="Y383" s="333"/>
      <c r="Z383" s="333"/>
      <c r="AA383" s="385"/>
      <c r="AP383" s="246"/>
      <c r="AQ383" s="385"/>
      <c r="AR383" s="385"/>
      <c r="AS383" s="385"/>
      <c r="AT383" s="385"/>
      <c r="AU383" s="385"/>
      <c r="AV383" s="385"/>
      <c r="AW383" s="385"/>
      <c r="AX383" s="385"/>
      <c r="AY383" s="385"/>
      <c r="AZ383" s="385"/>
      <c r="BA383" s="385"/>
      <c r="BB383" s="385"/>
    </row>
    <row r="384" spans="4:54" s="239" customFormat="1" x14ac:dyDescent="0.25">
      <c r="D384" s="382"/>
      <c r="E384" s="382"/>
      <c r="F384" s="383"/>
      <c r="G384" s="382"/>
      <c r="H384" s="382"/>
      <c r="I384" s="246"/>
      <c r="J384" s="235"/>
      <c r="L384" s="385"/>
      <c r="M384" s="235"/>
      <c r="N384" s="235"/>
      <c r="O384" s="83"/>
      <c r="P384" s="83"/>
      <c r="Q384" s="387"/>
      <c r="W384" s="235"/>
      <c r="X384" s="333"/>
      <c r="Y384" s="333"/>
      <c r="Z384" s="333"/>
      <c r="AA384" s="385"/>
      <c r="AP384" s="246"/>
      <c r="AQ384" s="385"/>
      <c r="AR384" s="385"/>
      <c r="AS384" s="385"/>
      <c r="AT384" s="385"/>
      <c r="AU384" s="385"/>
      <c r="AV384" s="385"/>
      <c r="AW384" s="385"/>
      <c r="AX384" s="385"/>
      <c r="AY384" s="385"/>
      <c r="AZ384" s="385"/>
      <c r="BA384" s="385"/>
      <c r="BB384" s="385"/>
    </row>
    <row r="385" spans="4:54" s="239" customFormat="1" x14ac:dyDescent="0.25">
      <c r="D385" s="382"/>
      <c r="E385" s="382"/>
      <c r="F385" s="383"/>
      <c r="G385" s="382"/>
      <c r="H385" s="382"/>
      <c r="I385" s="246"/>
      <c r="J385" s="235"/>
      <c r="L385" s="385"/>
      <c r="M385" s="235"/>
      <c r="N385" s="235"/>
      <c r="O385" s="83"/>
      <c r="P385" s="83"/>
      <c r="Q385" s="387"/>
      <c r="W385" s="235"/>
      <c r="X385" s="333"/>
      <c r="Y385" s="333"/>
      <c r="Z385" s="333"/>
      <c r="AA385" s="385"/>
      <c r="AP385" s="246"/>
      <c r="AQ385" s="385"/>
      <c r="AR385" s="385"/>
      <c r="AS385" s="385"/>
      <c r="AT385" s="385"/>
      <c r="AU385" s="385"/>
      <c r="AV385" s="385"/>
      <c r="AW385" s="385"/>
      <c r="AX385" s="385"/>
      <c r="AY385" s="385"/>
      <c r="AZ385" s="385"/>
      <c r="BA385" s="385"/>
      <c r="BB385" s="385"/>
    </row>
    <row r="386" spans="4:54" s="239" customFormat="1" x14ac:dyDescent="0.25">
      <c r="D386" s="382"/>
      <c r="E386" s="382"/>
      <c r="F386" s="383"/>
      <c r="G386" s="382"/>
      <c r="H386" s="382"/>
      <c r="I386" s="246"/>
      <c r="J386" s="235"/>
      <c r="L386" s="385"/>
      <c r="M386" s="235"/>
      <c r="N386" s="235"/>
      <c r="O386" s="83"/>
      <c r="P386" s="83"/>
      <c r="Q386" s="387"/>
      <c r="W386" s="235"/>
      <c r="X386" s="333"/>
      <c r="Y386" s="333"/>
      <c r="Z386" s="333"/>
      <c r="AA386" s="385"/>
      <c r="AP386" s="246"/>
      <c r="AQ386" s="385"/>
      <c r="AR386" s="385"/>
      <c r="AS386" s="385"/>
      <c r="AT386" s="385"/>
      <c r="AU386" s="385"/>
      <c r="AV386" s="385"/>
      <c r="AW386" s="385"/>
      <c r="AX386" s="385"/>
      <c r="AY386" s="385"/>
      <c r="AZ386" s="385"/>
      <c r="BA386" s="385"/>
      <c r="BB386" s="385"/>
    </row>
    <row r="387" spans="4:54" s="239" customFormat="1" x14ac:dyDescent="0.25">
      <c r="D387" s="382"/>
      <c r="E387" s="382"/>
      <c r="F387" s="383"/>
      <c r="G387" s="382"/>
      <c r="H387" s="382"/>
      <c r="I387" s="246"/>
      <c r="J387" s="235"/>
      <c r="L387" s="385"/>
      <c r="M387" s="235"/>
      <c r="N387" s="235"/>
      <c r="O387" s="83"/>
      <c r="P387" s="83"/>
      <c r="Q387" s="387"/>
      <c r="W387" s="235"/>
      <c r="X387" s="333"/>
      <c r="Y387" s="333"/>
      <c r="Z387" s="333"/>
      <c r="AA387" s="385"/>
      <c r="AP387" s="246"/>
      <c r="AQ387" s="385"/>
      <c r="AR387" s="385"/>
      <c r="AS387" s="385"/>
      <c r="AT387" s="385"/>
      <c r="AU387" s="385"/>
      <c r="AV387" s="385"/>
      <c r="AW387" s="385"/>
      <c r="AX387" s="385"/>
      <c r="AY387" s="385"/>
      <c r="AZ387" s="385"/>
      <c r="BA387" s="385"/>
      <c r="BB387" s="385"/>
    </row>
    <row r="388" spans="4:54" s="239" customFormat="1" x14ac:dyDescent="0.25">
      <c r="D388" s="382"/>
      <c r="E388" s="382"/>
      <c r="F388" s="383"/>
      <c r="G388" s="382"/>
      <c r="H388" s="382"/>
      <c r="I388" s="246"/>
      <c r="J388" s="235"/>
      <c r="L388" s="385"/>
      <c r="M388" s="235"/>
      <c r="N388" s="235"/>
      <c r="O388" s="83"/>
      <c r="P388" s="83"/>
      <c r="Q388" s="387"/>
      <c r="W388" s="235"/>
      <c r="X388" s="333"/>
      <c r="Y388" s="333"/>
      <c r="Z388" s="333"/>
      <c r="AA388" s="385"/>
      <c r="AP388" s="246"/>
      <c r="AQ388" s="385"/>
      <c r="AR388" s="385"/>
      <c r="AS388" s="385"/>
      <c r="AT388" s="385"/>
      <c r="AU388" s="385"/>
      <c r="AV388" s="385"/>
      <c r="AW388" s="385"/>
      <c r="AX388" s="385"/>
      <c r="AY388" s="385"/>
      <c r="AZ388" s="385"/>
      <c r="BA388" s="385"/>
      <c r="BB388" s="385"/>
    </row>
    <row r="389" spans="4:54" s="239" customFormat="1" x14ac:dyDescent="0.25">
      <c r="D389" s="382"/>
      <c r="E389" s="382"/>
      <c r="F389" s="383"/>
      <c r="G389" s="382"/>
      <c r="H389" s="382"/>
      <c r="I389" s="246"/>
      <c r="J389" s="235"/>
      <c r="L389" s="385"/>
      <c r="M389" s="235"/>
      <c r="N389" s="235"/>
      <c r="O389" s="83"/>
      <c r="P389" s="83"/>
      <c r="Q389" s="387"/>
      <c r="W389" s="235"/>
      <c r="X389" s="333"/>
      <c r="Y389" s="333"/>
      <c r="Z389" s="333"/>
      <c r="AA389" s="385"/>
      <c r="AP389" s="246"/>
      <c r="AQ389" s="385"/>
      <c r="AR389" s="385"/>
      <c r="AS389" s="385"/>
      <c r="AT389" s="385"/>
      <c r="AU389" s="385"/>
      <c r="AV389" s="385"/>
      <c r="AW389" s="385"/>
      <c r="AX389" s="385"/>
      <c r="AY389" s="385"/>
      <c r="AZ389" s="385"/>
      <c r="BA389" s="385"/>
      <c r="BB389" s="385"/>
    </row>
    <row r="390" spans="4:54" s="239" customFormat="1" x14ac:dyDescent="0.25">
      <c r="D390" s="382"/>
      <c r="E390" s="382"/>
      <c r="F390" s="383"/>
      <c r="G390" s="382"/>
      <c r="H390" s="382"/>
      <c r="I390" s="246"/>
      <c r="J390" s="235"/>
      <c r="L390" s="385"/>
      <c r="M390" s="235"/>
      <c r="N390" s="235"/>
      <c r="O390" s="83"/>
      <c r="P390" s="83"/>
      <c r="Q390" s="387"/>
      <c r="W390" s="235"/>
      <c r="X390" s="333"/>
      <c r="Y390" s="333"/>
      <c r="Z390" s="333"/>
      <c r="AA390" s="385"/>
      <c r="AP390" s="246"/>
      <c r="AQ390" s="385"/>
      <c r="AR390" s="385"/>
      <c r="AS390" s="385"/>
      <c r="AT390" s="385"/>
      <c r="AU390" s="385"/>
      <c r="AV390" s="385"/>
      <c r="AW390" s="385"/>
      <c r="AX390" s="385"/>
      <c r="AY390" s="385"/>
      <c r="AZ390" s="385"/>
      <c r="BA390" s="385"/>
      <c r="BB390" s="385"/>
    </row>
    <row r="391" spans="4:54" s="239" customFormat="1" x14ac:dyDescent="0.25">
      <c r="D391" s="382"/>
      <c r="E391" s="382"/>
      <c r="F391" s="383"/>
      <c r="G391" s="382"/>
      <c r="H391" s="382"/>
      <c r="I391" s="246"/>
      <c r="J391" s="235"/>
      <c r="L391" s="385"/>
      <c r="M391" s="235"/>
      <c r="N391" s="235"/>
      <c r="O391" s="83"/>
      <c r="P391" s="83"/>
      <c r="Q391" s="387"/>
      <c r="W391" s="235"/>
      <c r="X391" s="333"/>
      <c r="Y391" s="333"/>
      <c r="Z391" s="333"/>
      <c r="AA391" s="385"/>
      <c r="AP391" s="246"/>
      <c r="AQ391" s="385"/>
      <c r="AR391" s="385"/>
      <c r="AS391" s="385"/>
      <c r="AT391" s="385"/>
      <c r="AU391" s="385"/>
      <c r="AV391" s="385"/>
      <c r="AW391" s="385"/>
      <c r="AX391" s="385"/>
      <c r="AY391" s="385"/>
      <c r="AZ391" s="385"/>
      <c r="BA391" s="385"/>
      <c r="BB391" s="385"/>
    </row>
    <row r="392" spans="4:54" s="239" customFormat="1" x14ac:dyDescent="0.25">
      <c r="D392" s="382"/>
      <c r="E392" s="382"/>
      <c r="F392" s="383"/>
      <c r="G392" s="382"/>
      <c r="H392" s="382"/>
      <c r="I392" s="246"/>
      <c r="J392" s="235"/>
      <c r="L392" s="385"/>
      <c r="M392" s="235"/>
      <c r="N392" s="235"/>
      <c r="O392" s="83"/>
      <c r="P392" s="83"/>
      <c r="Q392" s="387"/>
      <c r="W392" s="235"/>
      <c r="X392" s="333"/>
      <c r="Y392" s="333"/>
      <c r="Z392" s="333"/>
      <c r="AA392" s="385"/>
      <c r="AP392" s="246"/>
      <c r="AQ392" s="385"/>
      <c r="AR392" s="385"/>
      <c r="AS392" s="385"/>
      <c r="AT392" s="385"/>
      <c r="AU392" s="385"/>
      <c r="AV392" s="385"/>
      <c r="AW392" s="385"/>
      <c r="AX392" s="385"/>
      <c r="AY392" s="385"/>
      <c r="AZ392" s="385"/>
      <c r="BA392" s="385"/>
      <c r="BB392" s="385"/>
    </row>
    <row r="393" spans="4:54" s="239" customFormat="1" x14ac:dyDescent="0.25">
      <c r="D393" s="382"/>
      <c r="E393" s="382"/>
      <c r="F393" s="383"/>
      <c r="G393" s="382"/>
      <c r="H393" s="382"/>
      <c r="I393" s="246"/>
      <c r="J393" s="235"/>
      <c r="L393" s="385"/>
      <c r="M393" s="235"/>
      <c r="N393" s="235"/>
      <c r="O393" s="83"/>
      <c r="P393" s="83"/>
      <c r="Q393" s="387"/>
      <c r="W393" s="235"/>
      <c r="X393" s="333"/>
      <c r="Y393" s="333"/>
      <c r="Z393" s="333"/>
      <c r="AA393" s="385"/>
      <c r="AP393" s="246"/>
      <c r="AQ393" s="385"/>
      <c r="AR393" s="385"/>
      <c r="AS393" s="385"/>
      <c r="AT393" s="385"/>
      <c r="AU393" s="385"/>
      <c r="AV393" s="385"/>
      <c r="AW393" s="385"/>
      <c r="AX393" s="385"/>
      <c r="AY393" s="385"/>
      <c r="AZ393" s="385"/>
      <c r="BA393" s="385"/>
      <c r="BB393" s="385"/>
    </row>
    <row r="394" spans="4:54" s="239" customFormat="1" x14ac:dyDescent="0.25">
      <c r="D394" s="382"/>
      <c r="E394" s="382"/>
      <c r="F394" s="383"/>
      <c r="G394" s="382"/>
      <c r="H394" s="382"/>
      <c r="I394" s="246"/>
      <c r="J394" s="235"/>
      <c r="L394" s="385"/>
      <c r="M394" s="235"/>
      <c r="N394" s="235"/>
      <c r="O394" s="83"/>
      <c r="P394" s="83"/>
      <c r="Q394" s="387"/>
      <c r="W394" s="235"/>
      <c r="X394" s="333"/>
      <c r="Y394" s="333"/>
      <c r="Z394" s="333"/>
      <c r="AA394" s="385"/>
      <c r="AP394" s="246"/>
      <c r="AQ394" s="385"/>
      <c r="AR394" s="385"/>
      <c r="AS394" s="385"/>
      <c r="AT394" s="385"/>
      <c r="AU394" s="385"/>
      <c r="AV394" s="385"/>
      <c r="AW394" s="385"/>
      <c r="AX394" s="385"/>
      <c r="AY394" s="385"/>
      <c r="AZ394" s="385"/>
      <c r="BA394" s="385"/>
      <c r="BB394" s="385"/>
    </row>
    <row r="395" spans="4:54" s="239" customFormat="1" x14ac:dyDescent="0.25">
      <c r="D395" s="382"/>
      <c r="E395" s="382"/>
      <c r="F395" s="383"/>
      <c r="G395" s="382"/>
      <c r="H395" s="382"/>
      <c r="I395" s="246"/>
      <c r="J395" s="235"/>
      <c r="L395" s="385"/>
      <c r="M395" s="235"/>
      <c r="N395" s="235"/>
      <c r="O395" s="83"/>
      <c r="P395" s="83"/>
      <c r="Q395" s="387"/>
      <c r="W395" s="235"/>
      <c r="X395" s="333"/>
      <c r="Y395" s="333"/>
      <c r="Z395" s="333"/>
      <c r="AA395" s="385"/>
      <c r="AP395" s="246"/>
      <c r="AQ395" s="385"/>
      <c r="AR395" s="385"/>
      <c r="AS395" s="385"/>
      <c r="AT395" s="385"/>
      <c r="AU395" s="385"/>
      <c r="AV395" s="385"/>
      <c r="AW395" s="385"/>
      <c r="AX395" s="385"/>
      <c r="AY395" s="385"/>
      <c r="AZ395" s="385"/>
      <c r="BA395" s="385"/>
      <c r="BB395" s="385"/>
    </row>
    <row r="396" spans="4:54" s="239" customFormat="1" x14ac:dyDescent="0.25">
      <c r="D396" s="382"/>
      <c r="E396" s="382"/>
      <c r="F396" s="383"/>
      <c r="G396" s="382"/>
      <c r="H396" s="382"/>
      <c r="I396" s="246"/>
      <c r="J396" s="235"/>
      <c r="L396" s="385"/>
      <c r="M396" s="235"/>
      <c r="N396" s="235"/>
      <c r="O396" s="83"/>
      <c r="P396" s="83"/>
      <c r="Q396" s="387"/>
      <c r="W396" s="235"/>
      <c r="X396" s="333"/>
      <c r="Y396" s="333"/>
      <c r="Z396" s="333"/>
      <c r="AA396" s="385"/>
      <c r="AP396" s="246"/>
      <c r="AQ396" s="385"/>
      <c r="AR396" s="385"/>
      <c r="AS396" s="385"/>
      <c r="AT396" s="385"/>
      <c r="AU396" s="385"/>
      <c r="AV396" s="385"/>
      <c r="AW396" s="385"/>
      <c r="AX396" s="385"/>
      <c r="AY396" s="385"/>
      <c r="AZ396" s="385"/>
      <c r="BA396" s="385"/>
      <c r="BB396" s="385"/>
    </row>
    <row r="397" spans="4:54" s="239" customFormat="1" x14ac:dyDescent="0.25">
      <c r="D397" s="382"/>
      <c r="E397" s="382"/>
      <c r="F397" s="383"/>
      <c r="G397" s="382"/>
      <c r="H397" s="382"/>
      <c r="I397" s="246"/>
      <c r="J397" s="235"/>
      <c r="L397" s="385"/>
      <c r="M397" s="235"/>
      <c r="N397" s="235"/>
      <c r="O397" s="83"/>
      <c r="P397" s="83"/>
      <c r="Q397" s="387"/>
      <c r="W397" s="235"/>
      <c r="X397" s="333"/>
      <c r="Y397" s="333"/>
      <c r="Z397" s="333"/>
      <c r="AA397" s="385"/>
      <c r="AP397" s="246"/>
      <c r="AQ397" s="385"/>
      <c r="AR397" s="385"/>
      <c r="AS397" s="385"/>
      <c r="AT397" s="385"/>
      <c r="AU397" s="385"/>
      <c r="AV397" s="385"/>
      <c r="AW397" s="385"/>
      <c r="AX397" s="385"/>
      <c r="AY397" s="385"/>
      <c r="AZ397" s="385"/>
      <c r="BA397" s="385"/>
      <c r="BB397" s="385"/>
    </row>
    <row r="398" spans="4:54" s="239" customFormat="1" x14ac:dyDescent="0.25">
      <c r="D398" s="382"/>
      <c r="E398" s="382"/>
      <c r="F398" s="383"/>
      <c r="G398" s="382"/>
      <c r="H398" s="382"/>
      <c r="I398" s="246"/>
      <c r="J398" s="235"/>
      <c r="L398" s="385"/>
      <c r="M398" s="235"/>
      <c r="N398" s="235"/>
      <c r="O398" s="83"/>
      <c r="P398" s="83"/>
      <c r="Q398" s="387"/>
      <c r="W398" s="235"/>
      <c r="X398" s="333"/>
      <c r="Y398" s="333"/>
      <c r="Z398" s="333"/>
      <c r="AA398" s="385"/>
      <c r="AP398" s="246"/>
      <c r="AQ398" s="385"/>
      <c r="AR398" s="385"/>
      <c r="AS398" s="385"/>
      <c r="AT398" s="385"/>
      <c r="AU398" s="385"/>
      <c r="AV398" s="385"/>
      <c r="AW398" s="385"/>
      <c r="AX398" s="385"/>
      <c r="AY398" s="385"/>
      <c r="AZ398" s="385"/>
      <c r="BA398" s="385"/>
      <c r="BB398" s="385"/>
    </row>
    <row r="399" spans="4:54" s="239" customFormat="1" x14ac:dyDescent="0.25">
      <c r="D399" s="382"/>
      <c r="E399" s="382"/>
      <c r="F399" s="383"/>
      <c r="G399" s="382"/>
      <c r="H399" s="382"/>
      <c r="I399" s="246"/>
      <c r="J399" s="235"/>
      <c r="L399" s="385"/>
      <c r="M399" s="235"/>
      <c r="N399" s="235"/>
      <c r="O399" s="83"/>
      <c r="P399" s="83"/>
      <c r="Q399" s="387"/>
      <c r="W399" s="235"/>
      <c r="X399" s="333"/>
      <c r="Y399" s="333"/>
      <c r="Z399" s="333"/>
      <c r="AA399" s="385"/>
      <c r="AP399" s="246"/>
      <c r="AQ399" s="385"/>
      <c r="AR399" s="385"/>
      <c r="AS399" s="385"/>
      <c r="AT399" s="385"/>
      <c r="AU399" s="385"/>
      <c r="AV399" s="385"/>
      <c r="AW399" s="385"/>
      <c r="AX399" s="385"/>
      <c r="AY399" s="385"/>
      <c r="AZ399" s="385"/>
      <c r="BA399" s="385"/>
      <c r="BB399" s="385"/>
    </row>
    <row r="400" spans="4:54" s="239" customFormat="1" x14ac:dyDescent="0.25">
      <c r="D400" s="382"/>
      <c r="E400" s="382"/>
      <c r="F400" s="383"/>
      <c r="G400" s="382"/>
      <c r="H400" s="382"/>
      <c r="I400" s="246"/>
      <c r="J400" s="235"/>
      <c r="L400" s="385"/>
      <c r="M400" s="235"/>
      <c r="N400" s="235"/>
      <c r="O400" s="83"/>
      <c r="P400" s="83"/>
      <c r="Q400" s="387"/>
      <c r="W400" s="235"/>
      <c r="X400" s="333"/>
      <c r="Y400" s="333"/>
      <c r="Z400" s="333"/>
      <c r="AA400" s="385"/>
      <c r="AP400" s="246"/>
      <c r="AQ400" s="385"/>
      <c r="AR400" s="385"/>
      <c r="AS400" s="385"/>
      <c r="AT400" s="385"/>
      <c r="AU400" s="385"/>
      <c r="AV400" s="385"/>
      <c r="AW400" s="385"/>
      <c r="AX400" s="385"/>
      <c r="AY400" s="385"/>
      <c r="AZ400" s="385"/>
      <c r="BA400" s="385"/>
      <c r="BB400" s="385"/>
    </row>
    <row r="401" spans="4:54" s="239" customFormat="1" x14ac:dyDescent="0.25">
      <c r="D401" s="382"/>
      <c r="E401" s="382"/>
      <c r="F401" s="383"/>
      <c r="G401" s="382"/>
      <c r="H401" s="382"/>
      <c r="I401" s="246"/>
      <c r="J401" s="235"/>
      <c r="L401" s="385"/>
      <c r="M401" s="235"/>
      <c r="N401" s="235"/>
      <c r="O401" s="83"/>
      <c r="P401" s="83"/>
      <c r="Q401" s="387"/>
      <c r="W401" s="235"/>
      <c r="X401" s="333"/>
      <c r="Y401" s="333"/>
      <c r="Z401" s="333"/>
      <c r="AA401" s="385"/>
      <c r="AP401" s="246"/>
      <c r="AQ401" s="385"/>
      <c r="AR401" s="385"/>
      <c r="AS401" s="385"/>
      <c r="AT401" s="385"/>
      <c r="AU401" s="385"/>
      <c r="AV401" s="385"/>
      <c r="AW401" s="385"/>
      <c r="AX401" s="385"/>
      <c r="AY401" s="385"/>
      <c r="AZ401" s="385"/>
      <c r="BA401" s="385"/>
      <c r="BB401" s="385"/>
    </row>
    <row r="402" spans="4:54" s="239" customFormat="1" x14ac:dyDescent="0.25">
      <c r="D402" s="382"/>
      <c r="E402" s="382"/>
      <c r="F402" s="383"/>
      <c r="G402" s="382"/>
      <c r="H402" s="382"/>
      <c r="I402" s="246"/>
      <c r="J402" s="235"/>
      <c r="L402" s="385"/>
      <c r="M402" s="235"/>
      <c r="N402" s="235"/>
      <c r="O402" s="83"/>
      <c r="P402" s="83"/>
      <c r="Q402" s="387"/>
      <c r="W402" s="235"/>
      <c r="X402" s="333"/>
      <c r="Y402" s="333"/>
      <c r="Z402" s="333"/>
      <c r="AA402" s="385"/>
      <c r="AP402" s="246"/>
      <c r="AQ402" s="385"/>
      <c r="AR402" s="385"/>
      <c r="AS402" s="385"/>
      <c r="AT402" s="385"/>
      <c r="AU402" s="385"/>
      <c r="AV402" s="385"/>
      <c r="AW402" s="385"/>
      <c r="AX402" s="385"/>
      <c r="AY402" s="385"/>
      <c r="AZ402" s="385"/>
      <c r="BA402" s="385"/>
      <c r="BB402" s="385"/>
    </row>
    <row r="403" spans="4:54" s="239" customFormat="1" x14ac:dyDescent="0.25">
      <c r="D403" s="382"/>
      <c r="E403" s="382"/>
      <c r="F403" s="383"/>
      <c r="G403" s="382"/>
      <c r="H403" s="382"/>
      <c r="I403" s="246"/>
      <c r="J403" s="235"/>
      <c r="L403" s="385"/>
      <c r="M403" s="235"/>
      <c r="N403" s="235"/>
      <c r="O403" s="83"/>
      <c r="P403" s="83"/>
      <c r="Q403" s="387"/>
      <c r="W403" s="235"/>
      <c r="X403" s="333"/>
      <c r="Y403" s="333"/>
      <c r="Z403" s="333"/>
      <c r="AA403" s="385"/>
      <c r="AP403" s="246"/>
      <c r="AQ403" s="385"/>
      <c r="AR403" s="385"/>
      <c r="AS403" s="385"/>
      <c r="AT403" s="385"/>
      <c r="AU403" s="385"/>
      <c r="AV403" s="385"/>
      <c r="AW403" s="385"/>
      <c r="AX403" s="385"/>
      <c r="AY403" s="385"/>
      <c r="AZ403" s="385"/>
      <c r="BA403" s="385"/>
      <c r="BB403" s="385"/>
    </row>
    <row r="404" spans="4:54" s="239" customFormat="1" x14ac:dyDescent="0.25">
      <c r="D404" s="382"/>
      <c r="E404" s="382"/>
      <c r="F404" s="383"/>
      <c r="G404" s="382"/>
      <c r="H404" s="382"/>
      <c r="I404" s="246"/>
      <c r="J404" s="235"/>
      <c r="L404" s="385"/>
      <c r="M404" s="235"/>
      <c r="N404" s="235"/>
      <c r="O404" s="83"/>
      <c r="P404" s="83"/>
      <c r="Q404" s="387"/>
      <c r="W404" s="235"/>
      <c r="X404" s="333"/>
      <c r="Y404" s="333"/>
      <c r="Z404" s="333"/>
      <c r="AA404" s="385"/>
      <c r="AP404" s="246"/>
      <c r="AQ404" s="385"/>
      <c r="AR404" s="385"/>
      <c r="AS404" s="385"/>
      <c r="AT404" s="385"/>
      <c r="AU404" s="385"/>
      <c r="AV404" s="385"/>
      <c r="AW404" s="385"/>
      <c r="AX404" s="385"/>
      <c r="AY404" s="385"/>
      <c r="AZ404" s="385"/>
      <c r="BA404" s="385"/>
      <c r="BB404" s="385"/>
    </row>
    <row r="405" spans="4:54" s="239" customFormat="1" x14ac:dyDescent="0.25">
      <c r="D405" s="382"/>
      <c r="E405" s="382"/>
      <c r="F405" s="383"/>
      <c r="G405" s="382"/>
      <c r="H405" s="382"/>
      <c r="I405" s="246"/>
      <c r="J405" s="235"/>
      <c r="L405" s="385"/>
      <c r="M405" s="235"/>
      <c r="N405" s="235"/>
      <c r="O405" s="83"/>
      <c r="P405" s="83"/>
      <c r="Q405" s="387"/>
      <c r="W405" s="235"/>
      <c r="X405" s="333"/>
      <c r="Y405" s="333"/>
      <c r="Z405" s="333"/>
      <c r="AA405" s="385"/>
      <c r="AP405" s="246"/>
      <c r="AQ405" s="385"/>
      <c r="AR405" s="385"/>
      <c r="AS405" s="385"/>
      <c r="AT405" s="385"/>
      <c r="AU405" s="385"/>
      <c r="AV405" s="385"/>
      <c r="AW405" s="385"/>
      <c r="AX405" s="385"/>
      <c r="AY405" s="385"/>
      <c r="AZ405" s="385"/>
      <c r="BA405" s="385"/>
      <c r="BB405" s="385"/>
    </row>
    <row r="406" spans="4:54" s="239" customFormat="1" x14ac:dyDescent="0.25">
      <c r="D406" s="382"/>
      <c r="E406" s="382"/>
      <c r="F406" s="383"/>
      <c r="G406" s="382"/>
      <c r="H406" s="382"/>
      <c r="I406" s="246"/>
      <c r="J406" s="235"/>
      <c r="L406" s="385"/>
      <c r="M406" s="235"/>
      <c r="N406" s="235"/>
      <c r="O406" s="83"/>
      <c r="P406" s="83"/>
      <c r="Q406" s="387"/>
      <c r="W406" s="235"/>
      <c r="X406" s="333"/>
      <c r="Y406" s="333"/>
      <c r="Z406" s="333"/>
      <c r="AA406" s="385"/>
      <c r="AP406" s="246"/>
      <c r="AQ406" s="385"/>
      <c r="AR406" s="385"/>
      <c r="AS406" s="385"/>
      <c r="AT406" s="385"/>
      <c r="AU406" s="385"/>
      <c r="AV406" s="385"/>
      <c r="AW406" s="385"/>
      <c r="AX406" s="385"/>
      <c r="AY406" s="385"/>
      <c r="AZ406" s="385"/>
      <c r="BA406" s="385"/>
      <c r="BB406" s="385"/>
    </row>
    <row r="407" spans="4:54" s="239" customFormat="1" x14ac:dyDescent="0.25">
      <c r="D407" s="382"/>
      <c r="E407" s="382"/>
      <c r="F407" s="383"/>
      <c r="G407" s="382"/>
      <c r="H407" s="382"/>
      <c r="I407" s="246"/>
      <c r="J407" s="235"/>
      <c r="L407" s="385"/>
      <c r="M407" s="235"/>
      <c r="N407" s="235"/>
      <c r="O407" s="83"/>
      <c r="P407" s="83"/>
      <c r="Q407" s="387"/>
      <c r="W407" s="235"/>
      <c r="X407" s="333"/>
      <c r="Y407" s="333"/>
      <c r="Z407" s="333"/>
      <c r="AA407" s="385"/>
      <c r="AP407" s="246"/>
      <c r="AQ407" s="385"/>
      <c r="AR407" s="385"/>
      <c r="AS407" s="385"/>
      <c r="AT407" s="385"/>
      <c r="AU407" s="385"/>
      <c r="AV407" s="385"/>
      <c r="AW407" s="385"/>
      <c r="AX407" s="385"/>
      <c r="AY407" s="385"/>
      <c r="AZ407" s="385"/>
      <c r="BA407" s="385"/>
      <c r="BB407" s="385"/>
    </row>
    <row r="408" spans="4:54" s="239" customFormat="1" x14ac:dyDescent="0.25">
      <c r="D408" s="382"/>
      <c r="E408" s="382"/>
      <c r="F408" s="383"/>
      <c r="G408" s="382"/>
      <c r="H408" s="382"/>
      <c r="I408" s="246"/>
      <c r="J408" s="235"/>
      <c r="L408" s="385"/>
      <c r="M408" s="235"/>
      <c r="N408" s="235"/>
      <c r="O408" s="83"/>
      <c r="P408" s="83"/>
      <c r="Q408" s="387"/>
      <c r="W408" s="235"/>
      <c r="X408" s="333"/>
      <c r="Y408" s="333"/>
      <c r="Z408" s="333"/>
      <c r="AA408" s="385"/>
      <c r="AP408" s="246"/>
      <c r="AQ408" s="385"/>
      <c r="AR408" s="385"/>
      <c r="AS408" s="385"/>
      <c r="AT408" s="385"/>
      <c r="AU408" s="385"/>
      <c r="AV408" s="385"/>
      <c r="AW408" s="385"/>
      <c r="AX408" s="385"/>
      <c r="AY408" s="385"/>
      <c r="AZ408" s="385"/>
      <c r="BA408" s="385"/>
      <c r="BB408" s="385"/>
    </row>
    <row r="409" spans="4:54" s="239" customFormat="1" x14ac:dyDescent="0.25">
      <c r="D409" s="382"/>
      <c r="E409" s="382"/>
      <c r="F409" s="383"/>
      <c r="G409" s="382"/>
      <c r="H409" s="382"/>
      <c r="I409" s="246"/>
      <c r="J409" s="235"/>
      <c r="L409" s="385"/>
      <c r="M409" s="235"/>
      <c r="N409" s="235"/>
      <c r="O409" s="83"/>
      <c r="P409" s="83"/>
      <c r="Q409" s="387"/>
      <c r="W409" s="235"/>
      <c r="X409" s="333"/>
      <c r="Y409" s="333"/>
      <c r="Z409" s="333"/>
      <c r="AA409" s="385"/>
      <c r="AP409" s="246"/>
      <c r="AQ409" s="385"/>
      <c r="AR409" s="385"/>
      <c r="AS409" s="385"/>
      <c r="AT409" s="385"/>
      <c r="AU409" s="385"/>
      <c r="AV409" s="385"/>
      <c r="AW409" s="385"/>
      <c r="AX409" s="385"/>
      <c r="AY409" s="385"/>
      <c r="AZ409" s="385"/>
      <c r="BA409" s="385"/>
      <c r="BB409" s="385"/>
    </row>
    <row r="410" spans="4:54" s="239" customFormat="1" x14ac:dyDescent="0.25">
      <c r="D410" s="382"/>
      <c r="E410" s="382"/>
      <c r="F410" s="383"/>
      <c r="G410" s="382"/>
      <c r="H410" s="382"/>
      <c r="I410" s="246"/>
      <c r="J410" s="235"/>
      <c r="L410" s="385"/>
      <c r="M410" s="235"/>
      <c r="N410" s="235"/>
      <c r="O410" s="83"/>
      <c r="P410" s="83"/>
      <c r="Q410" s="387"/>
      <c r="W410" s="235"/>
      <c r="X410" s="333"/>
      <c r="Y410" s="333"/>
      <c r="Z410" s="333"/>
      <c r="AA410" s="385"/>
      <c r="AP410" s="246"/>
      <c r="AQ410" s="385"/>
      <c r="AR410" s="385"/>
      <c r="AS410" s="385"/>
      <c r="AT410" s="385"/>
      <c r="AU410" s="385"/>
      <c r="AV410" s="385"/>
      <c r="AW410" s="385"/>
      <c r="AX410" s="385"/>
      <c r="AY410" s="385"/>
      <c r="AZ410" s="385"/>
      <c r="BA410" s="385"/>
      <c r="BB410" s="385"/>
    </row>
    <row r="411" spans="4:54" s="239" customFormat="1" x14ac:dyDescent="0.25">
      <c r="D411" s="382"/>
      <c r="E411" s="382"/>
      <c r="F411" s="383"/>
      <c r="G411" s="382"/>
      <c r="H411" s="382"/>
      <c r="I411" s="246"/>
      <c r="J411" s="235"/>
      <c r="L411" s="385"/>
      <c r="M411" s="235"/>
      <c r="N411" s="235"/>
      <c r="O411" s="83"/>
      <c r="P411" s="83"/>
      <c r="Q411" s="387"/>
      <c r="W411" s="235"/>
      <c r="X411" s="333"/>
      <c r="Y411" s="333"/>
      <c r="Z411" s="333"/>
      <c r="AA411" s="385"/>
      <c r="AP411" s="246"/>
      <c r="AQ411" s="385"/>
      <c r="AR411" s="385"/>
      <c r="AS411" s="385"/>
      <c r="AT411" s="385"/>
      <c r="AU411" s="385"/>
      <c r="AV411" s="385"/>
      <c r="AW411" s="385"/>
      <c r="AX411" s="385"/>
      <c r="AY411" s="385"/>
      <c r="AZ411" s="385"/>
      <c r="BA411" s="385"/>
      <c r="BB411" s="385"/>
    </row>
    <row r="412" spans="4:54" s="239" customFormat="1" x14ac:dyDescent="0.25">
      <c r="D412" s="382"/>
      <c r="E412" s="382"/>
      <c r="F412" s="383"/>
      <c r="G412" s="382"/>
      <c r="H412" s="382"/>
      <c r="I412" s="246"/>
      <c r="J412" s="235"/>
      <c r="L412" s="385"/>
      <c r="M412" s="235"/>
      <c r="N412" s="235"/>
      <c r="O412" s="83"/>
      <c r="P412" s="83"/>
      <c r="Q412" s="387"/>
      <c r="W412" s="235"/>
      <c r="X412" s="333"/>
      <c r="Y412" s="333"/>
      <c r="Z412" s="333"/>
      <c r="AA412" s="385"/>
      <c r="AP412" s="246"/>
      <c r="AQ412" s="385"/>
      <c r="AR412" s="385"/>
      <c r="AS412" s="385"/>
      <c r="AT412" s="385"/>
      <c r="AU412" s="385"/>
      <c r="AV412" s="385"/>
      <c r="AW412" s="385"/>
      <c r="AX412" s="385"/>
      <c r="AY412" s="385"/>
      <c r="AZ412" s="385"/>
      <c r="BA412" s="385"/>
      <c r="BB412" s="385"/>
    </row>
    <row r="413" spans="4:54" s="239" customFormat="1" x14ac:dyDescent="0.25">
      <c r="D413" s="382"/>
      <c r="E413" s="382"/>
      <c r="F413" s="383"/>
      <c r="G413" s="382"/>
      <c r="H413" s="382"/>
      <c r="I413" s="246"/>
      <c r="J413" s="235"/>
      <c r="L413" s="385"/>
      <c r="M413" s="235"/>
      <c r="N413" s="235"/>
      <c r="O413" s="83"/>
      <c r="P413" s="83"/>
      <c r="Q413" s="387"/>
      <c r="W413" s="235"/>
      <c r="X413" s="333"/>
      <c r="Y413" s="333"/>
      <c r="Z413" s="333"/>
      <c r="AA413" s="385"/>
      <c r="AP413" s="246"/>
      <c r="AQ413" s="385"/>
      <c r="AR413" s="385"/>
      <c r="AS413" s="385"/>
      <c r="AT413" s="385"/>
      <c r="AU413" s="385"/>
      <c r="AV413" s="385"/>
      <c r="AW413" s="385"/>
      <c r="AX413" s="385"/>
      <c r="AY413" s="385"/>
      <c r="AZ413" s="385"/>
      <c r="BA413" s="385"/>
      <c r="BB413" s="385"/>
    </row>
    <row r="414" spans="4:54" s="239" customFormat="1" x14ac:dyDescent="0.25">
      <c r="D414" s="382"/>
      <c r="E414" s="382"/>
      <c r="F414" s="383"/>
      <c r="G414" s="382"/>
      <c r="H414" s="382"/>
      <c r="I414" s="246"/>
      <c r="J414" s="235"/>
      <c r="L414" s="385"/>
      <c r="M414" s="235"/>
      <c r="N414" s="235"/>
      <c r="O414" s="83"/>
      <c r="P414" s="83"/>
      <c r="Q414" s="387"/>
      <c r="W414" s="235"/>
      <c r="X414" s="333"/>
      <c r="Y414" s="333"/>
      <c r="Z414" s="333"/>
      <c r="AA414" s="385"/>
      <c r="AP414" s="246"/>
      <c r="AQ414" s="385"/>
      <c r="AR414" s="385"/>
      <c r="AS414" s="385"/>
      <c r="AT414" s="385"/>
      <c r="AU414" s="385"/>
      <c r="AV414" s="385"/>
      <c r="AW414" s="385"/>
      <c r="AX414" s="385"/>
      <c r="AY414" s="385"/>
      <c r="AZ414" s="385"/>
      <c r="BA414" s="385"/>
      <c r="BB414" s="385"/>
    </row>
    <row r="415" spans="4:54" s="239" customFormat="1" x14ac:dyDescent="0.25">
      <c r="D415" s="382"/>
      <c r="E415" s="382"/>
      <c r="F415" s="383"/>
      <c r="G415" s="382"/>
      <c r="H415" s="382"/>
      <c r="I415" s="246"/>
      <c r="J415" s="235"/>
      <c r="L415" s="385"/>
      <c r="M415" s="235"/>
      <c r="N415" s="235"/>
      <c r="O415" s="83"/>
      <c r="P415" s="83"/>
      <c r="Q415" s="387"/>
      <c r="W415" s="235"/>
      <c r="X415" s="333"/>
      <c r="Y415" s="333"/>
      <c r="Z415" s="333"/>
      <c r="AA415" s="385"/>
      <c r="AP415" s="246"/>
      <c r="AQ415" s="385"/>
      <c r="AR415" s="385"/>
      <c r="AS415" s="385"/>
      <c r="AT415" s="385"/>
      <c r="AU415" s="385"/>
      <c r="AV415" s="385"/>
      <c r="AW415" s="385"/>
      <c r="AX415" s="385"/>
      <c r="AY415" s="385"/>
      <c r="AZ415" s="385"/>
      <c r="BA415" s="385"/>
      <c r="BB415" s="385"/>
    </row>
    <row r="416" spans="4:54" s="239" customFormat="1" x14ac:dyDescent="0.25">
      <c r="D416" s="382"/>
      <c r="E416" s="382"/>
      <c r="F416" s="383"/>
      <c r="G416" s="382"/>
      <c r="H416" s="382"/>
      <c r="I416" s="246"/>
      <c r="J416" s="235"/>
      <c r="L416" s="385"/>
      <c r="M416" s="235"/>
      <c r="N416" s="235"/>
      <c r="O416" s="83"/>
      <c r="P416" s="83"/>
      <c r="Q416" s="387"/>
      <c r="W416" s="235"/>
      <c r="X416" s="333"/>
      <c r="Y416" s="333"/>
      <c r="Z416" s="333"/>
      <c r="AA416" s="385"/>
      <c r="AP416" s="246"/>
      <c r="AQ416" s="385"/>
      <c r="AR416" s="385"/>
      <c r="AS416" s="385"/>
      <c r="AT416" s="385"/>
      <c r="AU416" s="385"/>
      <c r="AV416" s="385"/>
      <c r="AW416" s="385"/>
      <c r="AX416" s="385"/>
      <c r="AY416" s="385"/>
      <c r="AZ416" s="385"/>
      <c r="BA416" s="385"/>
      <c r="BB416" s="385"/>
    </row>
    <row r="417" spans="4:54" s="239" customFormat="1" x14ac:dyDescent="0.25">
      <c r="D417" s="382"/>
      <c r="E417" s="382"/>
      <c r="F417" s="383"/>
      <c r="G417" s="382"/>
      <c r="H417" s="382"/>
      <c r="I417" s="246"/>
      <c r="J417" s="235"/>
      <c r="L417" s="385"/>
      <c r="M417" s="235"/>
      <c r="N417" s="235"/>
      <c r="O417" s="83"/>
      <c r="P417" s="83"/>
      <c r="Q417" s="387"/>
      <c r="W417" s="235"/>
      <c r="X417" s="333"/>
      <c r="Y417" s="333"/>
      <c r="Z417" s="333"/>
      <c r="AA417" s="385"/>
      <c r="AP417" s="246"/>
      <c r="AQ417" s="385"/>
      <c r="AR417" s="385"/>
      <c r="AS417" s="385"/>
      <c r="AT417" s="385"/>
      <c r="AU417" s="385"/>
      <c r="AV417" s="385"/>
      <c r="AW417" s="385"/>
      <c r="AX417" s="385"/>
      <c r="AY417" s="385"/>
      <c r="AZ417" s="385"/>
      <c r="BA417" s="385"/>
      <c r="BB417" s="385"/>
    </row>
    <row r="418" spans="4:54" s="239" customFormat="1" x14ac:dyDescent="0.25">
      <c r="D418" s="382"/>
      <c r="E418" s="382"/>
      <c r="F418" s="383"/>
      <c r="G418" s="382"/>
      <c r="H418" s="382"/>
      <c r="I418" s="246"/>
      <c r="J418" s="235"/>
      <c r="L418" s="385"/>
      <c r="M418" s="235"/>
      <c r="N418" s="235"/>
      <c r="O418" s="83"/>
      <c r="P418" s="83"/>
      <c r="Q418" s="387"/>
      <c r="W418" s="235"/>
      <c r="X418" s="333"/>
      <c r="Y418" s="333"/>
      <c r="Z418" s="333"/>
      <c r="AA418" s="385"/>
      <c r="AP418" s="246"/>
      <c r="AQ418" s="385"/>
      <c r="AR418" s="385"/>
      <c r="AS418" s="385"/>
      <c r="AT418" s="385"/>
      <c r="AU418" s="385"/>
      <c r="AV418" s="385"/>
      <c r="AW418" s="385"/>
      <c r="AX418" s="385"/>
      <c r="AY418" s="385"/>
      <c r="AZ418" s="385"/>
      <c r="BA418" s="385"/>
      <c r="BB418" s="385"/>
    </row>
    <row r="419" spans="4:54" s="239" customFormat="1" x14ac:dyDescent="0.25">
      <c r="D419" s="382"/>
      <c r="E419" s="382"/>
      <c r="F419" s="383"/>
      <c r="G419" s="382"/>
      <c r="H419" s="382"/>
      <c r="I419" s="246"/>
      <c r="J419" s="235"/>
      <c r="L419" s="385"/>
      <c r="M419" s="235"/>
      <c r="N419" s="235"/>
      <c r="O419" s="83"/>
      <c r="P419" s="83"/>
      <c r="Q419" s="387"/>
      <c r="W419" s="235"/>
      <c r="X419" s="333"/>
      <c r="Y419" s="333"/>
      <c r="Z419" s="333"/>
      <c r="AA419" s="385"/>
      <c r="AP419" s="246"/>
      <c r="AQ419" s="385"/>
      <c r="AR419" s="385"/>
      <c r="AS419" s="385"/>
      <c r="AT419" s="385"/>
      <c r="AU419" s="385"/>
      <c r="AV419" s="385"/>
      <c r="AW419" s="385"/>
      <c r="AX419" s="385"/>
      <c r="AY419" s="385"/>
      <c r="AZ419" s="385"/>
      <c r="BA419" s="385"/>
      <c r="BB419" s="385"/>
    </row>
    <row r="420" spans="4:54" s="239" customFormat="1" x14ac:dyDescent="0.25">
      <c r="D420" s="382"/>
      <c r="E420" s="382"/>
      <c r="F420" s="383"/>
      <c r="G420" s="382"/>
      <c r="H420" s="382"/>
      <c r="I420" s="246"/>
      <c r="J420" s="235"/>
      <c r="L420" s="385"/>
      <c r="M420" s="235"/>
      <c r="N420" s="235"/>
      <c r="O420" s="83"/>
      <c r="P420" s="83"/>
      <c r="Q420" s="387"/>
      <c r="W420" s="235"/>
      <c r="X420" s="333"/>
      <c r="Y420" s="333"/>
      <c r="Z420" s="333"/>
      <c r="AA420" s="385"/>
      <c r="AP420" s="246"/>
      <c r="AQ420" s="385"/>
      <c r="AR420" s="385"/>
      <c r="AS420" s="385"/>
      <c r="AT420" s="385"/>
      <c r="AU420" s="385"/>
      <c r="AV420" s="385"/>
      <c r="AW420" s="385"/>
      <c r="AX420" s="385"/>
      <c r="AY420" s="385"/>
      <c r="AZ420" s="385"/>
      <c r="BA420" s="385"/>
      <c r="BB420" s="385"/>
    </row>
    <row r="421" spans="4:54" s="239" customFormat="1" x14ac:dyDescent="0.25">
      <c r="D421" s="382"/>
      <c r="E421" s="382"/>
      <c r="F421" s="383"/>
      <c r="G421" s="382"/>
      <c r="H421" s="382"/>
      <c r="I421" s="246"/>
      <c r="J421" s="235"/>
      <c r="L421" s="385"/>
      <c r="M421" s="235"/>
      <c r="N421" s="235"/>
      <c r="O421" s="83"/>
      <c r="P421" s="83"/>
      <c r="Q421" s="387"/>
      <c r="W421" s="235"/>
      <c r="X421" s="333"/>
      <c r="Y421" s="333"/>
      <c r="Z421" s="333"/>
      <c r="AA421" s="385"/>
      <c r="AP421" s="246"/>
      <c r="AQ421" s="385"/>
      <c r="AR421" s="385"/>
      <c r="AS421" s="385"/>
      <c r="AT421" s="385"/>
      <c r="AU421" s="385"/>
      <c r="AV421" s="385"/>
      <c r="AW421" s="385"/>
      <c r="AX421" s="385"/>
      <c r="AY421" s="385"/>
      <c r="AZ421" s="385"/>
      <c r="BA421" s="385"/>
      <c r="BB421" s="385"/>
    </row>
    <row r="422" spans="4:54" s="239" customFormat="1" x14ac:dyDescent="0.25">
      <c r="D422" s="382"/>
      <c r="E422" s="382"/>
      <c r="F422" s="383"/>
      <c r="G422" s="382"/>
      <c r="H422" s="382"/>
      <c r="I422" s="246"/>
      <c r="J422" s="235"/>
      <c r="L422" s="385"/>
      <c r="M422" s="235"/>
      <c r="N422" s="235"/>
      <c r="O422" s="83"/>
      <c r="P422" s="83"/>
      <c r="Q422" s="387"/>
      <c r="W422" s="235"/>
      <c r="X422" s="333"/>
      <c r="Y422" s="333"/>
      <c r="Z422" s="333"/>
      <c r="AA422" s="385"/>
      <c r="AP422" s="246"/>
      <c r="AQ422" s="385"/>
      <c r="AR422" s="385"/>
      <c r="AS422" s="385"/>
      <c r="AT422" s="385"/>
      <c r="AU422" s="385"/>
      <c r="AV422" s="385"/>
      <c r="AW422" s="385"/>
      <c r="AX422" s="385"/>
      <c r="AY422" s="385"/>
      <c r="AZ422" s="385"/>
      <c r="BA422" s="385"/>
      <c r="BB422" s="385"/>
    </row>
    <row r="423" spans="4:54" s="239" customFormat="1" x14ac:dyDescent="0.25">
      <c r="D423" s="382"/>
      <c r="E423" s="382"/>
      <c r="F423" s="383"/>
      <c r="G423" s="382"/>
      <c r="H423" s="382"/>
      <c r="I423" s="246"/>
      <c r="J423" s="235"/>
      <c r="L423" s="385"/>
      <c r="M423" s="235"/>
      <c r="N423" s="235"/>
      <c r="O423" s="83"/>
      <c r="P423" s="83"/>
      <c r="Q423" s="387"/>
      <c r="W423" s="235"/>
      <c r="X423" s="333"/>
      <c r="Y423" s="333"/>
      <c r="Z423" s="333"/>
      <c r="AA423" s="385"/>
      <c r="AP423" s="246"/>
      <c r="AQ423" s="385"/>
      <c r="AR423" s="385"/>
      <c r="AS423" s="385"/>
      <c r="AT423" s="385"/>
      <c r="AU423" s="385"/>
      <c r="AV423" s="385"/>
      <c r="AW423" s="385"/>
      <c r="AX423" s="385"/>
      <c r="AY423" s="385"/>
      <c r="AZ423" s="385"/>
      <c r="BA423" s="385"/>
      <c r="BB423" s="385"/>
    </row>
    <row r="424" spans="4:54" s="239" customFormat="1" x14ac:dyDescent="0.25">
      <c r="D424" s="382"/>
      <c r="E424" s="382"/>
      <c r="F424" s="383"/>
      <c r="G424" s="382"/>
      <c r="H424" s="382"/>
      <c r="I424" s="246"/>
      <c r="J424" s="235"/>
      <c r="L424" s="385"/>
      <c r="M424" s="235"/>
      <c r="N424" s="235"/>
      <c r="O424" s="83"/>
      <c r="P424" s="83"/>
      <c r="Q424" s="387"/>
      <c r="W424" s="235"/>
      <c r="X424" s="333"/>
      <c r="Y424" s="333"/>
      <c r="Z424" s="333"/>
      <c r="AA424" s="385"/>
      <c r="AP424" s="246"/>
      <c r="AQ424" s="385"/>
      <c r="AR424" s="385"/>
      <c r="AS424" s="385"/>
      <c r="AT424" s="385"/>
      <c r="AU424" s="385"/>
      <c r="AV424" s="385"/>
      <c r="AW424" s="385"/>
      <c r="AX424" s="385"/>
      <c r="AY424" s="385"/>
      <c r="AZ424" s="385"/>
      <c r="BA424" s="385"/>
      <c r="BB424" s="385"/>
    </row>
    <row r="425" spans="4:54" s="239" customFormat="1" x14ac:dyDescent="0.25">
      <c r="D425" s="382"/>
      <c r="E425" s="382"/>
      <c r="F425" s="383"/>
      <c r="G425" s="382"/>
      <c r="H425" s="382"/>
      <c r="I425" s="246"/>
      <c r="J425" s="235"/>
      <c r="L425" s="385"/>
      <c r="M425" s="235"/>
      <c r="N425" s="235"/>
      <c r="O425" s="83"/>
      <c r="P425" s="83"/>
      <c r="Q425" s="387"/>
      <c r="W425" s="235"/>
      <c r="X425" s="333"/>
      <c r="Y425" s="333"/>
      <c r="Z425" s="333"/>
      <c r="AA425" s="385"/>
      <c r="AP425" s="246"/>
      <c r="AQ425" s="385"/>
      <c r="AR425" s="385"/>
      <c r="AS425" s="385"/>
      <c r="AT425" s="385"/>
      <c r="AU425" s="385"/>
      <c r="AV425" s="385"/>
      <c r="AW425" s="385"/>
      <c r="AX425" s="385"/>
      <c r="AY425" s="385"/>
      <c r="AZ425" s="385"/>
      <c r="BA425" s="385"/>
      <c r="BB425" s="385"/>
    </row>
    <row r="426" spans="4:54" s="239" customFormat="1" x14ac:dyDescent="0.25">
      <c r="D426" s="382"/>
      <c r="E426" s="382"/>
      <c r="F426" s="383"/>
      <c r="G426" s="382"/>
      <c r="H426" s="382"/>
      <c r="I426" s="246"/>
      <c r="J426" s="235"/>
      <c r="L426" s="385"/>
      <c r="M426" s="235"/>
      <c r="N426" s="235"/>
      <c r="O426" s="83"/>
      <c r="P426" s="83"/>
      <c r="Q426" s="387"/>
      <c r="W426" s="235"/>
      <c r="X426" s="333"/>
      <c r="Y426" s="333"/>
      <c r="Z426" s="333"/>
      <c r="AA426" s="385"/>
      <c r="AP426" s="246"/>
      <c r="AQ426" s="385"/>
      <c r="AR426" s="385"/>
      <c r="AS426" s="385"/>
      <c r="AT426" s="385"/>
      <c r="AU426" s="385"/>
      <c r="AV426" s="385"/>
      <c r="AW426" s="385"/>
      <c r="AX426" s="385"/>
      <c r="AY426" s="385"/>
      <c r="AZ426" s="385"/>
      <c r="BA426" s="385"/>
      <c r="BB426" s="385"/>
    </row>
    <row r="427" spans="4:54" s="239" customFormat="1" x14ac:dyDescent="0.25">
      <c r="D427" s="382"/>
      <c r="E427" s="382"/>
      <c r="F427" s="383"/>
      <c r="G427" s="382"/>
      <c r="H427" s="382"/>
      <c r="I427" s="246"/>
      <c r="J427" s="235"/>
      <c r="L427" s="385"/>
      <c r="M427" s="235"/>
      <c r="N427" s="235"/>
      <c r="O427" s="83"/>
      <c r="P427" s="83"/>
      <c r="Q427" s="387"/>
      <c r="W427" s="235"/>
      <c r="X427" s="333"/>
      <c r="Y427" s="333"/>
      <c r="Z427" s="333"/>
      <c r="AA427" s="385"/>
      <c r="AP427" s="246"/>
      <c r="AQ427" s="385"/>
      <c r="AR427" s="385"/>
      <c r="AS427" s="385"/>
      <c r="AT427" s="385"/>
      <c r="AU427" s="385"/>
      <c r="AV427" s="385"/>
      <c r="AW427" s="385"/>
      <c r="AX427" s="385"/>
      <c r="AY427" s="385"/>
      <c r="AZ427" s="385"/>
      <c r="BA427" s="385"/>
      <c r="BB427" s="385"/>
    </row>
    <row r="428" spans="4:54" s="239" customFormat="1" x14ac:dyDescent="0.25">
      <c r="D428" s="382"/>
      <c r="E428" s="382"/>
      <c r="F428" s="383"/>
      <c r="G428" s="382"/>
      <c r="H428" s="382"/>
      <c r="I428" s="246"/>
      <c r="J428" s="235"/>
      <c r="L428" s="385"/>
      <c r="M428" s="235"/>
      <c r="N428" s="235"/>
      <c r="O428" s="83"/>
      <c r="P428" s="83"/>
      <c r="Q428" s="387"/>
      <c r="W428" s="235"/>
      <c r="X428" s="333"/>
      <c r="Y428" s="333"/>
      <c r="Z428" s="333"/>
      <c r="AA428" s="385"/>
      <c r="AP428" s="246"/>
      <c r="AQ428" s="385"/>
      <c r="AR428" s="385"/>
      <c r="AS428" s="385"/>
      <c r="AT428" s="385"/>
      <c r="AU428" s="385"/>
      <c r="AV428" s="385"/>
      <c r="AW428" s="385"/>
      <c r="AX428" s="385"/>
      <c r="AY428" s="385"/>
      <c r="AZ428" s="385"/>
      <c r="BA428" s="385"/>
      <c r="BB428" s="385"/>
    </row>
    <row r="429" spans="4:54" s="239" customFormat="1" x14ac:dyDescent="0.25">
      <c r="D429" s="382"/>
      <c r="E429" s="382"/>
      <c r="F429" s="383"/>
      <c r="G429" s="382"/>
      <c r="H429" s="382"/>
      <c r="I429" s="246"/>
      <c r="J429" s="235"/>
      <c r="L429" s="385"/>
      <c r="M429" s="235"/>
      <c r="N429" s="235"/>
      <c r="O429" s="83"/>
      <c r="P429" s="83"/>
      <c r="Q429" s="387"/>
      <c r="W429" s="235"/>
      <c r="X429" s="333"/>
      <c r="Y429" s="333"/>
      <c r="Z429" s="333"/>
      <c r="AA429" s="385"/>
      <c r="AP429" s="246"/>
      <c r="AQ429" s="385"/>
      <c r="AR429" s="385"/>
      <c r="AS429" s="385"/>
      <c r="AT429" s="385"/>
      <c r="AU429" s="385"/>
      <c r="AV429" s="385"/>
      <c r="AW429" s="385"/>
      <c r="AX429" s="385"/>
      <c r="AY429" s="385"/>
      <c r="AZ429" s="385"/>
      <c r="BA429" s="385"/>
      <c r="BB429" s="385"/>
    </row>
    <row r="430" spans="4:54" s="239" customFormat="1" x14ac:dyDescent="0.25">
      <c r="D430" s="382"/>
      <c r="E430" s="382"/>
      <c r="F430" s="383"/>
      <c r="G430" s="382"/>
      <c r="H430" s="382"/>
      <c r="I430" s="246"/>
      <c r="J430" s="235"/>
      <c r="L430" s="385"/>
      <c r="M430" s="235"/>
      <c r="N430" s="235"/>
      <c r="O430" s="83"/>
      <c r="P430" s="83"/>
      <c r="Q430" s="387"/>
      <c r="W430" s="235"/>
      <c r="X430" s="333"/>
      <c r="Y430" s="333"/>
      <c r="Z430" s="333"/>
      <c r="AA430" s="385"/>
      <c r="AP430" s="246"/>
      <c r="AQ430" s="385"/>
      <c r="AR430" s="385"/>
      <c r="AS430" s="385"/>
      <c r="AT430" s="385"/>
      <c r="AU430" s="385"/>
      <c r="AV430" s="385"/>
      <c r="AW430" s="385"/>
      <c r="AX430" s="385"/>
      <c r="AY430" s="385"/>
      <c r="AZ430" s="385"/>
      <c r="BA430" s="385"/>
      <c r="BB430" s="385"/>
    </row>
    <row r="431" spans="4:54" s="239" customFormat="1" x14ac:dyDescent="0.25">
      <c r="D431" s="382"/>
      <c r="E431" s="382"/>
      <c r="F431" s="383"/>
      <c r="G431" s="382"/>
      <c r="H431" s="382"/>
      <c r="I431" s="246"/>
      <c r="J431" s="235"/>
      <c r="L431" s="385"/>
      <c r="M431" s="235"/>
      <c r="N431" s="235"/>
      <c r="O431" s="83"/>
      <c r="P431" s="83"/>
      <c r="Q431" s="387"/>
      <c r="W431" s="235"/>
      <c r="X431" s="333"/>
      <c r="Y431" s="333"/>
      <c r="Z431" s="333"/>
      <c r="AA431" s="385"/>
      <c r="AP431" s="246"/>
      <c r="AQ431" s="385"/>
      <c r="AR431" s="385"/>
      <c r="AS431" s="385"/>
      <c r="AT431" s="385"/>
      <c r="AU431" s="385"/>
      <c r="AV431" s="385"/>
      <c r="AW431" s="385"/>
      <c r="AX431" s="385"/>
      <c r="AY431" s="385"/>
      <c r="AZ431" s="385"/>
      <c r="BA431" s="385"/>
      <c r="BB431" s="385"/>
    </row>
    <row r="432" spans="4:54" s="239" customFormat="1" x14ac:dyDescent="0.25">
      <c r="D432" s="382"/>
      <c r="E432" s="382"/>
      <c r="F432" s="383"/>
      <c r="G432" s="382"/>
      <c r="H432" s="382"/>
      <c r="I432" s="246"/>
      <c r="J432" s="235"/>
      <c r="L432" s="385"/>
      <c r="M432" s="235"/>
      <c r="N432" s="235"/>
      <c r="O432" s="83"/>
      <c r="P432" s="83"/>
      <c r="Q432" s="387"/>
      <c r="W432" s="235"/>
      <c r="X432" s="333"/>
      <c r="Y432" s="333"/>
      <c r="Z432" s="333"/>
      <c r="AA432" s="385"/>
      <c r="AP432" s="246"/>
      <c r="AQ432" s="385"/>
      <c r="AR432" s="385"/>
      <c r="AS432" s="385"/>
      <c r="AT432" s="385"/>
      <c r="AU432" s="385"/>
      <c r="AV432" s="385"/>
      <c r="AW432" s="385"/>
      <c r="AX432" s="385"/>
      <c r="AY432" s="385"/>
      <c r="AZ432" s="385"/>
      <c r="BA432" s="385"/>
      <c r="BB432" s="385"/>
    </row>
    <row r="433" spans="4:54" s="239" customFormat="1" x14ac:dyDescent="0.25">
      <c r="D433" s="382"/>
      <c r="E433" s="382"/>
      <c r="F433" s="383"/>
      <c r="G433" s="382"/>
      <c r="H433" s="382"/>
      <c r="I433" s="246"/>
      <c r="J433" s="235"/>
      <c r="L433" s="385"/>
      <c r="M433" s="235"/>
      <c r="N433" s="235"/>
      <c r="O433" s="83"/>
      <c r="P433" s="83"/>
      <c r="Q433" s="387"/>
      <c r="W433" s="235"/>
      <c r="X433" s="333"/>
      <c r="Y433" s="333"/>
      <c r="Z433" s="333"/>
      <c r="AA433" s="385"/>
      <c r="AP433" s="246"/>
      <c r="AQ433" s="385"/>
      <c r="AR433" s="385"/>
      <c r="AS433" s="385"/>
      <c r="AT433" s="385"/>
      <c r="AU433" s="385"/>
      <c r="AV433" s="385"/>
      <c r="AW433" s="385"/>
      <c r="AX433" s="385"/>
      <c r="AY433" s="385"/>
      <c r="AZ433" s="385"/>
      <c r="BA433" s="385"/>
      <c r="BB433" s="385"/>
    </row>
    <row r="434" spans="4:54" s="239" customFormat="1" x14ac:dyDescent="0.25">
      <c r="D434" s="382"/>
      <c r="E434" s="382"/>
      <c r="F434" s="383"/>
      <c r="G434" s="382"/>
      <c r="H434" s="382"/>
      <c r="I434" s="246"/>
      <c r="J434" s="235"/>
      <c r="L434" s="385"/>
      <c r="M434" s="235"/>
      <c r="N434" s="235"/>
      <c r="O434" s="83"/>
      <c r="P434" s="83"/>
      <c r="Q434" s="387"/>
      <c r="W434" s="235"/>
      <c r="X434" s="333"/>
      <c r="Y434" s="333"/>
      <c r="Z434" s="333"/>
      <c r="AA434" s="385"/>
      <c r="AP434" s="246"/>
      <c r="AQ434" s="385"/>
      <c r="AR434" s="385"/>
      <c r="AS434" s="385"/>
      <c r="AT434" s="385"/>
      <c r="AU434" s="385"/>
      <c r="AV434" s="385"/>
      <c r="AW434" s="385"/>
      <c r="AX434" s="385"/>
      <c r="AY434" s="385"/>
      <c r="AZ434" s="385"/>
      <c r="BA434" s="385"/>
      <c r="BB434" s="385"/>
    </row>
    <row r="435" spans="4:54" s="239" customFormat="1" x14ac:dyDescent="0.25">
      <c r="D435" s="382"/>
      <c r="E435" s="382"/>
      <c r="F435" s="383"/>
      <c r="G435" s="382"/>
      <c r="H435" s="382"/>
      <c r="I435" s="246"/>
      <c r="J435" s="235"/>
      <c r="L435" s="385"/>
      <c r="M435" s="235"/>
      <c r="N435" s="235"/>
      <c r="O435" s="83"/>
      <c r="P435" s="83"/>
      <c r="Q435" s="387"/>
      <c r="W435" s="235"/>
      <c r="X435" s="333"/>
      <c r="Y435" s="333"/>
      <c r="Z435" s="333"/>
      <c r="AA435" s="385"/>
      <c r="AP435" s="246"/>
      <c r="AQ435" s="385"/>
      <c r="AR435" s="385"/>
      <c r="AS435" s="385"/>
      <c r="AT435" s="385"/>
      <c r="AU435" s="385"/>
      <c r="AV435" s="385"/>
      <c r="AW435" s="385"/>
      <c r="AX435" s="385"/>
      <c r="AY435" s="385"/>
      <c r="AZ435" s="385"/>
      <c r="BA435" s="385"/>
      <c r="BB435" s="385"/>
    </row>
    <row r="436" spans="4:54" s="239" customFormat="1" x14ac:dyDescent="0.25">
      <c r="D436" s="382"/>
      <c r="E436" s="382"/>
      <c r="F436" s="383"/>
      <c r="G436" s="382"/>
      <c r="H436" s="382"/>
      <c r="I436" s="246"/>
      <c r="J436" s="235"/>
      <c r="L436" s="385"/>
      <c r="M436" s="235"/>
      <c r="N436" s="235"/>
      <c r="O436" s="83"/>
      <c r="P436" s="83"/>
      <c r="Q436" s="387"/>
      <c r="W436" s="235"/>
      <c r="X436" s="333"/>
      <c r="Y436" s="333"/>
      <c r="Z436" s="333"/>
      <c r="AA436" s="385"/>
      <c r="AP436" s="246"/>
      <c r="AQ436" s="385"/>
      <c r="AR436" s="385"/>
      <c r="AS436" s="385"/>
      <c r="AT436" s="385"/>
      <c r="AU436" s="385"/>
      <c r="AV436" s="385"/>
      <c r="AW436" s="385"/>
      <c r="AX436" s="385"/>
      <c r="AY436" s="385"/>
      <c r="AZ436" s="385"/>
      <c r="BA436" s="385"/>
      <c r="BB436" s="385"/>
    </row>
    <row r="437" spans="4:54" s="239" customFormat="1" x14ac:dyDescent="0.25">
      <c r="D437" s="382"/>
      <c r="E437" s="382"/>
      <c r="F437" s="383"/>
      <c r="G437" s="382"/>
      <c r="H437" s="382"/>
      <c r="I437" s="246"/>
      <c r="J437" s="235"/>
      <c r="L437" s="385"/>
      <c r="M437" s="235"/>
      <c r="N437" s="235"/>
      <c r="O437" s="83"/>
      <c r="P437" s="83"/>
      <c r="Q437" s="387"/>
      <c r="W437" s="235"/>
      <c r="X437" s="333"/>
      <c r="Y437" s="333"/>
      <c r="Z437" s="333"/>
      <c r="AA437" s="385"/>
      <c r="AP437" s="246"/>
      <c r="AQ437" s="385"/>
      <c r="AR437" s="385"/>
      <c r="AS437" s="385"/>
      <c r="AT437" s="385"/>
      <c r="AU437" s="385"/>
      <c r="AV437" s="385"/>
      <c r="AW437" s="385"/>
      <c r="AX437" s="385"/>
      <c r="AY437" s="385"/>
      <c r="AZ437" s="385"/>
      <c r="BA437" s="385"/>
      <c r="BB437" s="385"/>
    </row>
    <row r="438" spans="4:54" s="239" customFormat="1" x14ac:dyDescent="0.25">
      <c r="D438" s="382"/>
      <c r="E438" s="382"/>
      <c r="F438" s="383"/>
      <c r="G438" s="382"/>
      <c r="H438" s="382"/>
      <c r="I438" s="246"/>
      <c r="J438" s="235"/>
      <c r="L438" s="385"/>
      <c r="M438" s="235"/>
      <c r="N438" s="235"/>
      <c r="O438" s="83"/>
      <c r="P438" s="83"/>
      <c r="Q438" s="387"/>
      <c r="W438" s="235"/>
      <c r="X438" s="333"/>
      <c r="Y438" s="333"/>
      <c r="Z438" s="333"/>
      <c r="AA438" s="385"/>
      <c r="AP438" s="246"/>
      <c r="AQ438" s="385"/>
      <c r="AR438" s="385"/>
      <c r="AS438" s="385"/>
      <c r="AT438" s="385"/>
      <c r="AU438" s="385"/>
      <c r="AV438" s="385"/>
      <c r="AW438" s="385"/>
      <c r="AX438" s="385"/>
      <c r="AY438" s="385"/>
      <c r="AZ438" s="385"/>
      <c r="BA438" s="385"/>
      <c r="BB438" s="385"/>
    </row>
    <row r="439" spans="4:54" s="239" customFormat="1" x14ac:dyDescent="0.25">
      <c r="D439" s="382"/>
      <c r="E439" s="382"/>
      <c r="F439" s="383"/>
      <c r="G439" s="382"/>
      <c r="H439" s="382"/>
      <c r="I439" s="246"/>
      <c r="J439" s="235"/>
      <c r="L439" s="385"/>
      <c r="M439" s="235"/>
      <c r="N439" s="235"/>
      <c r="O439" s="83"/>
      <c r="P439" s="83"/>
      <c r="Q439" s="387"/>
      <c r="W439" s="235"/>
      <c r="X439" s="333"/>
      <c r="Y439" s="333"/>
      <c r="Z439" s="333"/>
      <c r="AA439" s="385"/>
      <c r="AP439" s="246"/>
      <c r="AQ439" s="385"/>
      <c r="AR439" s="385"/>
      <c r="AS439" s="385"/>
      <c r="AT439" s="385"/>
      <c r="AU439" s="385"/>
      <c r="AV439" s="385"/>
      <c r="AW439" s="385"/>
      <c r="AX439" s="385"/>
      <c r="AY439" s="385"/>
      <c r="AZ439" s="385"/>
      <c r="BA439" s="385"/>
      <c r="BB439" s="385"/>
    </row>
    <row r="440" spans="4:54" s="239" customFormat="1" x14ac:dyDescent="0.25">
      <c r="D440" s="382"/>
      <c r="E440" s="382"/>
      <c r="F440" s="383"/>
      <c r="G440" s="382"/>
      <c r="H440" s="382"/>
      <c r="I440" s="246"/>
      <c r="J440" s="235"/>
      <c r="L440" s="385"/>
      <c r="M440" s="235"/>
      <c r="N440" s="235"/>
      <c r="O440" s="83"/>
      <c r="P440" s="83"/>
      <c r="Q440" s="387"/>
      <c r="W440" s="235"/>
      <c r="X440" s="333"/>
      <c r="Y440" s="333"/>
      <c r="Z440" s="333"/>
      <c r="AA440" s="385"/>
      <c r="AP440" s="246"/>
      <c r="AQ440" s="385"/>
      <c r="AR440" s="385"/>
      <c r="AS440" s="385"/>
      <c r="AT440" s="385"/>
      <c r="AU440" s="385"/>
      <c r="AV440" s="385"/>
      <c r="AW440" s="385"/>
      <c r="AX440" s="385"/>
      <c r="AY440" s="385"/>
      <c r="AZ440" s="385"/>
      <c r="BA440" s="385"/>
      <c r="BB440" s="385"/>
    </row>
    <row r="441" spans="4:54" s="239" customFormat="1" x14ac:dyDescent="0.25">
      <c r="D441" s="382"/>
      <c r="E441" s="382"/>
      <c r="F441" s="383"/>
      <c r="G441" s="382"/>
      <c r="H441" s="382"/>
      <c r="I441" s="246"/>
      <c r="J441" s="235"/>
      <c r="L441" s="385"/>
      <c r="M441" s="235"/>
      <c r="N441" s="235"/>
      <c r="O441" s="83"/>
      <c r="P441" s="83"/>
      <c r="Q441" s="387"/>
      <c r="W441" s="235"/>
      <c r="X441" s="333"/>
      <c r="Y441" s="333"/>
      <c r="Z441" s="333"/>
      <c r="AA441" s="385"/>
      <c r="AP441" s="246"/>
      <c r="AQ441" s="385"/>
      <c r="AR441" s="385"/>
      <c r="AS441" s="385"/>
      <c r="AT441" s="385"/>
      <c r="AU441" s="385"/>
      <c r="AV441" s="385"/>
      <c r="AW441" s="385"/>
      <c r="AX441" s="385"/>
      <c r="AY441" s="385"/>
      <c r="AZ441" s="385"/>
      <c r="BA441" s="385"/>
      <c r="BB441" s="385"/>
    </row>
    <row r="442" spans="4:54" s="239" customFormat="1" x14ac:dyDescent="0.25">
      <c r="D442" s="382"/>
      <c r="E442" s="382"/>
      <c r="F442" s="383"/>
      <c r="G442" s="382"/>
      <c r="H442" s="382"/>
      <c r="I442" s="246"/>
      <c r="J442" s="235"/>
      <c r="L442" s="385"/>
      <c r="M442" s="235"/>
      <c r="N442" s="235"/>
      <c r="O442" s="83"/>
      <c r="P442" s="83"/>
      <c r="Q442" s="387"/>
      <c r="W442" s="235"/>
      <c r="X442" s="333"/>
      <c r="Y442" s="333"/>
      <c r="Z442" s="333"/>
      <c r="AA442" s="385"/>
      <c r="AP442" s="246"/>
      <c r="AQ442" s="385"/>
      <c r="AR442" s="385"/>
      <c r="AS442" s="385"/>
      <c r="AT442" s="385"/>
      <c r="AU442" s="385"/>
      <c r="AV442" s="385"/>
      <c r="AW442" s="385"/>
      <c r="AX442" s="385"/>
      <c r="AY442" s="385"/>
      <c r="AZ442" s="385"/>
      <c r="BA442" s="385"/>
      <c r="BB442" s="385"/>
    </row>
    <row r="443" spans="4:54" s="239" customFormat="1" x14ac:dyDescent="0.25">
      <c r="D443" s="382"/>
      <c r="E443" s="382"/>
      <c r="F443" s="383"/>
      <c r="G443" s="382"/>
      <c r="H443" s="382"/>
      <c r="I443" s="246"/>
      <c r="J443" s="235"/>
      <c r="L443" s="385"/>
      <c r="M443" s="235"/>
      <c r="N443" s="235"/>
      <c r="O443" s="83"/>
      <c r="P443" s="83"/>
      <c r="Q443" s="387"/>
      <c r="W443" s="235"/>
      <c r="X443" s="333"/>
      <c r="Y443" s="333"/>
      <c r="Z443" s="333"/>
      <c r="AA443" s="385"/>
      <c r="AP443" s="246"/>
      <c r="AQ443" s="385"/>
      <c r="AR443" s="385"/>
      <c r="AS443" s="385"/>
      <c r="AT443" s="385"/>
      <c r="AU443" s="385"/>
      <c r="AV443" s="385"/>
      <c r="AW443" s="385"/>
      <c r="AX443" s="385"/>
      <c r="AY443" s="385"/>
      <c r="AZ443" s="385"/>
      <c r="BA443" s="385"/>
      <c r="BB443" s="385"/>
    </row>
    <row r="444" spans="4:54" s="239" customFormat="1" x14ac:dyDescent="0.25">
      <c r="D444" s="382"/>
      <c r="E444" s="382"/>
      <c r="F444" s="383"/>
      <c r="G444" s="382"/>
      <c r="H444" s="382"/>
      <c r="I444" s="246"/>
      <c r="J444" s="235"/>
      <c r="L444" s="385"/>
      <c r="M444" s="235"/>
      <c r="N444" s="235"/>
      <c r="O444" s="83"/>
      <c r="P444" s="83"/>
      <c r="Q444" s="387"/>
      <c r="W444" s="235"/>
      <c r="X444" s="333"/>
      <c r="Y444" s="333"/>
      <c r="Z444" s="333"/>
      <c r="AA444" s="385"/>
      <c r="AP444" s="246"/>
      <c r="AQ444" s="385"/>
      <c r="AR444" s="385"/>
      <c r="AS444" s="385"/>
      <c r="AT444" s="385"/>
      <c r="AU444" s="385"/>
      <c r="AV444" s="385"/>
      <c r="AW444" s="385"/>
      <c r="AX444" s="385"/>
      <c r="AY444" s="385"/>
      <c r="AZ444" s="385"/>
      <c r="BA444" s="385"/>
      <c r="BB444" s="385"/>
    </row>
    <row r="445" spans="4:54" s="239" customFormat="1" x14ac:dyDescent="0.25">
      <c r="D445" s="382"/>
      <c r="E445" s="382"/>
      <c r="F445" s="383"/>
      <c r="G445" s="382"/>
      <c r="H445" s="382"/>
      <c r="I445" s="246"/>
      <c r="J445" s="235"/>
      <c r="L445" s="385"/>
      <c r="M445" s="235"/>
      <c r="N445" s="235"/>
      <c r="O445" s="83"/>
      <c r="P445" s="83"/>
      <c r="Q445" s="387"/>
      <c r="W445" s="235"/>
      <c r="X445" s="333"/>
      <c r="Y445" s="333"/>
      <c r="Z445" s="333"/>
      <c r="AA445" s="385"/>
      <c r="AP445" s="246"/>
      <c r="AQ445" s="385"/>
      <c r="AR445" s="385"/>
      <c r="AS445" s="385"/>
      <c r="AT445" s="385"/>
      <c r="AU445" s="385"/>
      <c r="AV445" s="385"/>
      <c r="AW445" s="385"/>
      <c r="AX445" s="385"/>
      <c r="AY445" s="385"/>
      <c r="AZ445" s="385"/>
      <c r="BA445" s="385"/>
      <c r="BB445" s="385"/>
    </row>
    <row r="446" spans="4:54" s="239" customFormat="1" x14ac:dyDescent="0.25">
      <c r="D446" s="382"/>
      <c r="E446" s="382"/>
      <c r="F446" s="383"/>
      <c r="G446" s="382"/>
      <c r="H446" s="382"/>
      <c r="I446" s="246"/>
      <c r="J446" s="235"/>
      <c r="L446" s="385"/>
      <c r="M446" s="235"/>
      <c r="N446" s="235"/>
      <c r="O446" s="83"/>
      <c r="P446" s="83"/>
      <c r="Q446" s="387"/>
      <c r="W446" s="235"/>
      <c r="X446" s="333"/>
      <c r="Y446" s="333"/>
      <c r="Z446" s="333"/>
      <c r="AA446" s="385"/>
      <c r="AP446" s="246"/>
      <c r="AQ446" s="385"/>
      <c r="AR446" s="385"/>
      <c r="AS446" s="385"/>
      <c r="AT446" s="385"/>
      <c r="AU446" s="385"/>
      <c r="AV446" s="385"/>
      <c r="AW446" s="385"/>
      <c r="AX446" s="385"/>
      <c r="AY446" s="385"/>
      <c r="AZ446" s="385"/>
      <c r="BA446" s="385"/>
      <c r="BB446" s="385"/>
    </row>
    <row r="447" spans="4:54" s="239" customFormat="1" x14ac:dyDescent="0.25">
      <c r="D447" s="382"/>
      <c r="E447" s="382"/>
      <c r="F447" s="383"/>
      <c r="G447" s="382"/>
      <c r="H447" s="382"/>
      <c r="I447" s="246"/>
      <c r="J447" s="235"/>
      <c r="L447" s="385"/>
      <c r="M447" s="235"/>
      <c r="N447" s="235"/>
      <c r="O447" s="83"/>
      <c r="P447" s="83"/>
      <c r="Q447" s="387"/>
      <c r="W447" s="235"/>
      <c r="X447" s="333"/>
      <c r="Y447" s="333"/>
      <c r="Z447" s="333"/>
      <c r="AA447" s="385"/>
      <c r="AP447" s="246"/>
      <c r="AQ447" s="385"/>
      <c r="AR447" s="385"/>
      <c r="AS447" s="385"/>
      <c r="AT447" s="385"/>
      <c r="AU447" s="385"/>
      <c r="AV447" s="385"/>
      <c r="AW447" s="385"/>
      <c r="AX447" s="385"/>
      <c r="AY447" s="385"/>
      <c r="AZ447" s="385"/>
      <c r="BA447" s="385"/>
      <c r="BB447" s="385"/>
    </row>
    <row r="448" spans="4:54" s="239" customFormat="1" x14ac:dyDescent="0.25">
      <c r="D448" s="382"/>
      <c r="E448" s="382"/>
      <c r="F448" s="383"/>
      <c r="G448" s="382"/>
      <c r="H448" s="382"/>
      <c r="I448" s="246"/>
      <c r="J448" s="235"/>
      <c r="L448" s="385"/>
      <c r="M448" s="235"/>
      <c r="N448" s="235"/>
      <c r="O448" s="83"/>
      <c r="P448" s="83"/>
      <c r="Q448" s="387"/>
      <c r="W448" s="235"/>
      <c r="X448" s="333"/>
      <c r="Y448" s="333"/>
      <c r="Z448" s="333"/>
      <c r="AA448" s="385"/>
      <c r="AP448" s="246"/>
      <c r="AQ448" s="385"/>
      <c r="AR448" s="385"/>
      <c r="AS448" s="385"/>
      <c r="AT448" s="385"/>
      <c r="AU448" s="385"/>
      <c r="AV448" s="385"/>
      <c r="AW448" s="385"/>
      <c r="AX448" s="385"/>
      <c r="AY448" s="385"/>
      <c r="AZ448" s="385"/>
      <c r="BA448" s="385"/>
      <c r="BB448" s="385"/>
    </row>
    <row r="449" spans="4:54" s="239" customFormat="1" x14ac:dyDescent="0.25">
      <c r="D449" s="382"/>
      <c r="E449" s="382"/>
      <c r="F449" s="383"/>
      <c r="G449" s="382"/>
      <c r="H449" s="382"/>
      <c r="I449" s="246"/>
      <c r="J449" s="235"/>
      <c r="L449" s="385"/>
      <c r="M449" s="235"/>
      <c r="N449" s="235"/>
      <c r="O449" s="83"/>
      <c r="P449" s="83"/>
      <c r="Q449" s="387"/>
      <c r="W449" s="235"/>
      <c r="X449" s="333"/>
      <c r="Y449" s="333"/>
      <c r="Z449" s="333"/>
      <c r="AA449" s="385"/>
      <c r="AP449" s="246"/>
      <c r="AQ449" s="385"/>
      <c r="AR449" s="385"/>
      <c r="AS449" s="385"/>
      <c r="AT449" s="385"/>
      <c r="AU449" s="385"/>
      <c r="AV449" s="385"/>
      <c r="AW449" s="385"/>
      <c r="AX449" s="385"/>
      <c r="AY449" s="385"/>
      <c r="AZ449" s="385"/>
      <c r="BA449" s="385"/>
      <c r="BB449" s="385"/>
    </row>
    <row r="450" spans="4:54" s="239" customFormat="1" x14ac:dyDescent="0.25">
      <c r="D450" s="382"/>
      <c r="E450" s="382"/>
      <c r="F450" s="383"/>
      <c r="G450" s="382"/>
      <c r="H450" s="382"/>
      <c r="I450" s="246"/>
      <c r="J450" s="235"/>
      <c r="L450" s="385"/>
      <c r="M450" s="235"/>
      <c r="N450" s="235"/>
      <c r="O450" s="83"/>
      <c r="P450" s="83"/>
      <c r="Q450" s="387"/>
      <c r="W450" s="235"/>
      <c r="X450" s="333"/>
      <c r="Y450" s="333"/>
      <c r="Z450" s="333"/>
      <c r="AA450" s="385"/>
      <c r="AP450" s="246"/>
      <c r="AQ450" s="385"/>
      <c r="AR450" s="385"/>
      <c r="AS450" s="385"/>
      <c r="AT450" s="385"/>
      <c r="AU450" s="385"/>
      <c r="AV450" s="385"/>
      <c r="AW450" s="385"/>
      <c r="AX450" s="385"/>
      <c r="AY450" s="385"/>
      <c r="AZ450" s="385"/>
      <c r="BA450" s="385"/>
      <c r="BB450" s="385"/>
    </row>
    <row r="451" spans="4:54" s="239" customFormat="1" x14ac:dyDescent="0.25">
      <c r="D451" s="382"/>
      <c r="E451" s="382"/>
      <c r="F451" s="383"/>
      <c r="G451" s="382"/>
      <c r="H451" s="382"/>
      <c r="I451" s="246"/>
      <c r="J451" s="235"/>
      <c r="L451" s="385"/>
      <c r="M451" s="235"/>
      <c r="N451" s="235"/>
      <c r="O451" s="83"/>
      <c r="P451" s="83"/>
      <c r="Q451" s="387"/>
      <c r="W451" s="235"/>
      <c r="X451" s="333"/>
      <c r="Y451" s="333"/>
      <c r="Z451" s="333"/>
      <c r="AA451" s="385"/>
      <c r="AP451" s="246"/>
      <c r="AQ451" s="385"/>
      <c r="AR451" s="385"/>
      <c r="AS451" s="385"/>
      <c r="AT451" s="385"/>
      <c r="AU451" s="385"/>
      <c r="AV451" s="385"/>
      <c r="AW451" s="385"/>
      <c r="AX451" s="385"/>
      <c r="AY451" s="385"/>
      <c r="AZ451" s="385"/>
      <c r="BA451" s="385"/>
      <c r="BB451" s="385"/>
    </row>
    <row r="452" spans="4:54" s="239" customFormat="1" x14ac:dyDescent="0.25">
      <c r="D452" s="382"/>
      <c r="E452" s="382"/>
      <c r="F452" s="383"/>
      <c r="G452" s="382"/>
      <c r="H452" s="382"/>
      <c r="I452" s="246"/>
      <c r="J452" s="235"/>
      <c r="L452" s="385"/>
      <c r="M452" s="235"/>
      <c r="N452" s="235"/>
      <c r="O452" s="83"/>
      <c r="P452" s="83"/>
      <c r="Q452" s="387"/>
      <c r="W452" s="235"/>
      <c r="X452" s="333"/>
      <c r="Y452" s="333"/>
      <c r="Z452" s="333"/>
      <c r="AA452" s="385"/>
      <c r="AP452" s="246"/>
      <c r="AQ452" s="385"/>
      <c r="AR452" s="385"/>
      <c r="AS452" s="385"/>
      <c r="AT452" s="385"/>
      <c r="AU452" s="385"/>
      <c r="AV452" s="385"/>
      <c r="AW452" s="385"/>
      <c r="AX452" s="385"/>
      <c r="AY452" s="385"/>
      <c r="AZ452" s="385"/>
      <c r="BA452" s="385"/>
      <c r="BB452" s="385"/>
    </row>
    <row r="453" spans="4:54" s="239" customFormat="1" x14ac:dyDescent="0.25">
      <c r="D453" s="382"/>
      <c r="E453" s="382"/>
      <c r="F453" s="383"/>
      <c r="G453" s="382"/>
      <c r="H453" s="382"/>
      <c r="I453" s="246"/>
      <c r="J453" s="235"/>
      <c r="L453" s="385"/>
      <c r="M453" s="235"/>
      <c r="N453" s="235"/>
      <c r="O453" s="83"/>
      <c r="P453" s="83"/>
      <c r="Q453" s="387"/>
      <c r="W453" s="235"/>
      <c r="X453" s="333"/>
      <c r="Y453" s="333"/>
      <c r="Z453" s="333"/>
      <c r="AA453" s="385"/>
      <c r="AP453" s="246"/>
      <c r="AQ453" s="385"/>
      <c r="AR453" s="385"/>
      <c r="AS453" s="385"/>
      <c r="AT453" s="385"/>
      <c r="AU453" s="385"/>
      <c r="AV453" s="385"/>
      <c r="AW453" s="385"/>
      <c r="AX453" s="385"/>
      <c r="AY453" s="385"/>
      <c r="AZ453" s="385"/>
      <c r="BA453" s="385"/>
      <c r="BB453" s="385"/>
    </row>
    <row r="454" spans="4:54" s="239" customFormat="1" x14ac:dyDescent="0.25">
      <c r="D454" s="382"/>
      <c r="E454" s="382"/>
      <c r="F454" s="383"/>
      <c r="G454" s="382"/>
      <c r="H454" s="382"/>
      <c r="I454" s="246"/>
      <c r="J454" s="235"/>
      <c r="L454" s="385"/>
      <c r="M454" s="235"/>
      <c r="N454" s="235"/>
      <c r="O454" s="83"/>
      <c r="P454" s="83"/>
      <c r="Q454" s="387"/>
      <c r="W454" s="235"/>
      <c r="X454" s="333"/>
      <c r="Y454" s="333"/>
      <c r="Z454" s="333"/>
      <c r="AA454" s="385"/>
      <c r="AP454" s="246"/>
      <c r="AQ454" s="385"/>
      <c r="AR454" s="385"/>
      <c r="AS454" s="385"/>
      <c r="AT454" s="385"/>
      <c r="AU454" s="385"/>
      <c r="AV454" s="385"/>
      <c r="AW454" s="385"/>
      <c r="AX454" s="385"/>
      <c r="AY454" s="385"/>
      <c r="AZ454" s="385"/>
      <c r="BA454" s="385"/>
      <c r="BB454" s="385"/>
    </row>
    <row r="455" spans="4:54" s="239" customFormat="1" x14ac:dyDescent="0.25">
      <c r="D455" s="382"/>
      <c r="E455" s="382"/>
      <c r="F455" s="383"/>
      <c r="G455" s="382"/>
      <c r="H455" s="382"/>
      <c r="I455" s="246"/>
      <c r="J455" s="235"/>
      <c r="L455" s="385"/>
      <c r="M455" s="235"/>
      <c r="N455" s="235"/>
      <c r="O455" s="83"/>
      <c r="P455" s="83"/>
      <c r="Q455" s="387"/>
      <c r="W455" s="235"/>
      <c r="X455" s="333"/>
      <c r="Y455" s="333"/>
      <c r="Z455" s="333"/>
      <c r="AA455" s="385"/>
      <c r="AP455" s="246"/>
      <c r="AQ455" s="385"/>
      <c r="AR455" s="385"/>
      <c r="AS455" s="385"/>
      <c r="AT455" s="385"/>
      <c r="AU455" s="385"/>
      <c r="AV455" s="385"/>
      <c r="AW455" s="385"/>
      <c r="AX455" s="385"/>
      <c r="AY455" s="385"/>
      <c r="AZ455" s="385"/>
      <c r="BA455" s="385"/>
      <c r="BB455" s="385"/>
    </row>
    <row r="456" spans="4:54" s="239" customFormat="1" x14ac:dyDescent="0.25">
      <c r="D456" s="382"/>
      <c r="E456" s="382"/>
      <c r="F456" s="383"/>
      <c r="G456" s="382"/>
      <c r="H456" s="382"/>
      <c r="I456" s="246"/>
      <c r="J456" s="235"/>
      <c r="L456" s="385"/>
      <c r="M456" s="235"/>
      <c r="N456" s="235"/>
      <c r="O456" s="83"/>
      <c r="P456" s="83"/>
      <c r="Q456" s="387"/>
      <c r="W456" s="235"/>
      <c r="X456" s="333"/>
      <c r="Y456" s="333"/>
      <c r="Z456" s="333"/>
      <c r="AA456" s="385"/>
      <c r="AP456" s="246"/>
      <c r="AQ456" s="385"/>
      <c r="AR456" s="385"/>
      <c r="AS456" s="385"/>
      <c r="AT456" s="385"/>
      <c r="AU456" s="385"/>
      <c r="AV456" s="385"/>
      <c r="AW456" s="385"/>
      <c r="AX456" s="385"/>
      <c r="AY456" s="385"/>
      <c r="AZ456" s="385"/>
      <c r="BA456" s="385"/>
      <c r="BB456" s="385"/>
    </row>
    <row r="457" spans="4:54" s="239" customFormat="1" x14ac:dyDescent="0.25">
      <c r="D457" s="382"/>
      <c r="E457" s="382"/>
      <c r="F457" s="383"/>
      <c r="G457" s="382"/>
      <c r="H457" s="382"/>
      <c r="I457" s="246"/>
      <c r="J457" s="235"/>
      <c r="L457" s="385"/>
      <c r="M457" s="235"/>
      <c r="N457" s="235"/>
      <c r="O457" s="83"/>
      <c r="P457" s="83"/>
      <c r="Q457" s="387"/>
      <c r="W457" s="235"/>
      <c r="X457" s="333"/>
      <c r="Y457" s="333"/>
      <c r="Z457" s="333"/>
      <c r="AA457" s="385"/>
      <c r="AP457" s="246"/>
      <c r="AQ457" s="385"/>
      <c r="AR457" s="385"/>
      <c r="AS457" s="385"/>
      <c r="AT457" s="385"/>
      <c r="AU457" s="385"/>
      <c r="AV457" s="385"/>
      <c r="AW457" s="385"/>
      <c r="AX457" s="385"/>
      <c r="AY457" s="385"/>
      <c r="AZ457" s="385"/>
      <c r="BA457" s="385"/>
      <c r="BB457" s="385"/>
    </row>
    <row r="458" spans="4:54" s="239" customFormat="1" x14ac:dyDescent="0.25">
      <c r="D458" s="382"/>
      <c r="E458" s="382"/>
      <c r="F458" s="383"/>
      <c r="G458" s="382"/>
      <c r="H458" s="382"/>
      <c r="I458" s="246"/>
      <c r="J458" s="235"/>
      <c r="L458" s="385"/>
      <c r="M458" s="235"/>
      <c r="N458" s="235"/>
      <c r="O458" s="83"/>
      <c r="P458" s="83"/>
      <c r="Q458" s="387"/>
      <c r="W458" s="235"/>
      <c r="X458" s="333"/>
      <c r="Y458" s="333"/>
      <c r="Z458" s="333"/>
      <c r="AA458" s="385"/>
      <c r="AP458" s="246"/>
      <c r="AQ458" s="385"/>
      <c r="AR458" s="385"/>
      <c r="AS458" s="385"/>
      <c r="AT458" s="385"/>
      <c r="AU458" s="385"/>
      <c r="AV458" s="385"/>
      <c r="AW458" s="385"/>
      <c r="AX458" s="385"/>
      <c r="AY458" s="385"/>
      <c r="AZ458" s="385"/>
      <c r="BA458" s="385"/>
      <c r="BB458" s="385"/>
    </row>
    <row r="459" spans="4:54" s="239" customFormat="1" x14ac:dyDescent="0.25">
      <c r="D459" s="382"/>
      <c r="E459" s="382"/>
      <c r="F459" s="383"/>
      <c r="G459" s="382"/>
      <c r="H459" s="382"/>
      <c r="I459" s="246"/>
      <c r="J459" s="235"/>
      <c r="L459" s="385"/>
      <c r="M459" s="235"/>
      <c r="N459" s="235"/>
      <c r="O459" s="83"/>
      <c r="P459" s="83"/>
      <c r="Q459" s="387"/>
      <c r="W459" s="235"/>
      <c r="X459" s="333"/>
      <c r="Y459" s="333"/>
      <c r="Z459" s="333"/>
      <c r="AA459" s="385"/>
      <c r="AP459" s="246"/>
      <c r="AQ459" s="385"/>
      <c r="AR459" s="385"/>
      <c r="AS459" s="385"/>
      <c r="AT459" s="385"/>
      <c r="AU459" s="385"/>
      <c r="AV459" s="385"/>
      <c r="AW459" s="385"/>
      <c r="AX459" s="385"/>
      <c r="AY459" s="385"/>
      <c r="AZ459" s="385"/>
      <c r="BA459" s="385"/>
      <c r="BB459" s="385"/>
    </row>
    <row r="460" spans="4:54" s="239" customFormat="1" x14ac:dyDescent="0.25">
      <c r="D460" s="382"/>
      <c r="E460" s="382"/>
      <c r="F460" s="383"/>
      <c r="G460" s="382"/>
      <c r="H460" s="382"/>
      <c r="I460" s="246"/>
      <c r="J460" s="235"/>
      <c r="L460" s="385"/>
      <c r="M460" s="235"/>
      <c r="N460" s="235"/>
      <c r="O460" s="83"/>
      <c r="P460" s="83"/>
      <c r="Q460" s="387"/>
      <c r="W460" s="235"/>
      <c r="X460" s="333"/>
      <c r="Y460" s="333"/>
      <c r="Z460" s="333"/>
      <c r="AA460" s="385"/>
      <c r="AP460" s="246"/>
      <c r="AQ460" s="385"/>
      <c r="AR460" s="385"/>
      <c r="AS460" s="385"/>
      <c r="AT460" s="385"/>
      <c r="AU460" s="385"/>
      <c r="AV460" s="385"/>
      <c r="AW460" s="385"/>
      <c r="AX460" s="385"/>
      <c r="AY460" s="385"/>
      <c r="AZ460" s="385"/>
      <c r="BA460" s="385"/>
      <c r="BB460" s="385"/>
    </row>
    <row r="461" spans="4:54" s="239" customFormat="1" x14ac:dyDescent="0.25">
      <c r="D461" s="382"/>
      <c r="E461" s="382"/>
      <c r="F461" s="383"/>
      <c r="G461" s="382"/>
      <c r="H461" s="382"/>
      <c r="I461" s="246"/>
      <c r="J461" s="235"/>
      <c r="L461" s="385"/>
      <c r="M461" s="235"/>
      <c r="N461" s="235"/>
      <c r="O461" s="83"/>
      <c r="P461" s="83"/>
      <c r="Q461" s="387"/>
      <c r="W461" s="235"/>
      <c r="X461" s="333"/>
      <c r="Y461" s="333"/>
      <c r="Z461" s="333"/>
      <c r="AA461" s="385"/>
      <c r="AP461" s="246"/>
      <c r="AQ461" s="385"/>
      <c r="AR461" s="385"/>
      <c r="AS461" s="385"/>
      <c r="AT461" s="385"/>
      <c r="AU461" s="385"/>
      <c r="AV461" s="385"/>
      <c r="AW461" s="385"/>
      <c r="AX461" s="385"/>
      <c r="AY461" s="385"/>
      <c r="AZ461" s="385"/>
      <c r="BA461" s="385"/>
      <c r="BB461" s="385"/>
    </row>
    <row r="462" spans="4:54" s="239" customFormat="1" x14ac:dyDescent="0.25">
      <c r="D462" s="382"/>
      <c r="E462" s="382"/>
      <c r="F462" s="383"/>
      <c r="G462" s="382"/>
      <c r="H462" s="382"/>
      <c r="I462" s="246"/>
      <c r="J462" s="235"/>
      <c r="L462" s="385"/>
      <c r="M462" s="235"/>
      <c r="N462" s="235"/>
      <c r="O462" s="83"/>
      <c r="P462" s="83"/>
      <c r="Q462" s="387"/>
      <c r="W462" s="235"/>
      <c r="X462" s="333"/>
      <c r="Y462" s="333"/>
      <c r="Z462" s="333"/>
      <c r="AA462" s="385"/>
      <c r="AP462" s="246"/>
      <c r="AQ462" s="385"/>
      <c r="AR462" s="385"/>
      <c r="AS462" s="385"/>
      <c r="AT462" s="385"/>
      <c r="AU462" s="385"/>
      <c r="AV462" s="385"/>
      <c r="AW462" s="385"/>
      <c r="AX462" s="385"/>
      <c r="AY462" s="385"/>
      <c r="AZ462" s="385"/>
      <c r="BA462" s="385"/>
      <c r="BB462" s="385"/>
    </row>
    <row r="463" spans="4:54" s="239" customFormat="1" x14ac:dyDescent="0.25">
      <c r="D463" s="382"/>
      <c r="E463" s="382"/>
      <c r="F463" s="383"/>
      <c r="G463" s="382"/>
      <c r="H463" s="382"/>
      <c r="I463" s="246"/>
      <c r="J463" s="235"/>
      <c r="L463" s="385"/>
      <c r="M463" s="235"/>
      <c r="N463" s="235"/>
      <c r="O463" s="83"/>
      <c r="P463" s="83"/>
      <c r="Q463" s="387"/>
      <c r="W463" s="235"/>
      <c r="X463" s="333"/>
      <c r="Y463" s="333"/>
      <c r="Z463" s="333"/>
      <c r="AA463" s="385"/>
      <c r="AP463" s="246"/>
      <c r="AQ463" s="385"/>
      <c r="AR463" s="385"/>
      <c r="AS463" s="385"/>
      <c r="AT463" s="385"/>
      <c r="AU463" s="385"/>
      <c r="AV463" s="385"/>
      <c r="AW463" s="385"/>
      <c r="AX463" s="385"/>
      <c r="AY463" s="385"/>
      <c r="AZ463" s="385"/>
      <c r="BA463" s="385"/>
      <c r="BB463" s="385"/>
    </row>
    <row r="464" spans="4:54" s="239" customFormat="1" x14ac:dyDescent="0.25">
      <c r="D464" s="382"/>
      <c r="E464" s="382"/>
      <c r="F464" s="383"/>
      <c r="G464" s="382"/>
      <c r="H464" s="382"/>
      <c r="I464" s="246"/>
      <c r="J464" s="235"/>
      <c r="L464" s="385"/>
      <c r="M464" s="235"/>
      <c r="N464" s="235"/>
      <c r="O464" s="83"/>
      <c r="P464" s="83"/>
      <c r="Q464" s="387"/>
      <c r="W464" s="235"/>
      <c r="X464" s="333"/>
      <c r="Y464" s="333"/>
      <c r="Z464" s="333"/>
      <c r="AA464" s="385"/>
      <c r="AP464" s="246"/>
      <c r="AQ464" s="385"/>
      <c r="AR464" s="385"/>
      <c r="AS464" s="385"/>
      <c r="AT464" s="385"/>
      <c r="AU464" s="385"/>
      <c r="AV464" s="385"/>
      <c r="AW464" s="385"/>
      <c r="AX464" s="385"/>
      <c r="AY464" s="385"/>
      <c r="AZ464" s="385"/>
      <c r="BA464" s="385"/>
      <c r="BB464" s="385"/>
    </row>
    <row r="465" spans="4:54" s="239" customFormat="1" x14ac:dyDescent="0.25">
      <c r="D465" s="382"/>
      <c r="E465" s="382"/>
      <c r="F465" s="383"/>
      <c r="G465" s="382"/>
      <c r="H465" s="382"/>
      <c r="I465" s="246"/>
      <c r="J465" s="235"/>
      <c r="L465" s="385"/>
      <c r="M465" s="235"/>
      <c r="N465" s="235"/>
      <c r="O465" s="83"/>
      <c r="P465" s="83"/>
      <c r="Q465" s="387"/>
      <c r="W465" s="235"/>
      <c r="X465" s="333"/>
      <c r="Y465" s="333"/>
      <c r="Z465" s="333"/>
      <c r="AA465" s="385"/>
      <c r="AP465" s="246"/>
      <c r="AQ465" s="385"/>
      <c r="AR465" s="385"/>
      <c r="AS465" s="385"/>
      <c r="AT465" s="385"/>
      <c r="AU465" s="385"/>
      <c r="AV465" s="385"/>
      <c r="AW465" s="385"/>
      <c r="AX465" s="385"/>
      <c r="AY465" s="385"/>
      <c r="AZ465" s="385"/>
      <c r="BA465" s="385"/>
      <c r="BB465" s="385"/>
    </row>
    <row r="466" spans="4:54" s="239" customFormat="1" x14ac:dyDescent="0.25">
      <c r="D466" s="382"/>
      <c r="E466" s="382"/>
      <c r="F466" s="383"/>
      <c r="G466" s="382"/>
      <c r="H466" s="382"/>
      <c r="I466" s="246"/>
      <c r="J466" s="235"/>
      <c r="L466" s="385"/>
      <c r="M466" s="235"/>
      <c r="N466" s="235"/>
      <c r="O466" s="83"/>
      <c r="P466" s="83"/>
      <c r="Q466" s="387"/>
      <c r="W466" s="235"/>
      <c r="X466" s="333"/>
      <c r="Y466" s="333"/>
      <c r="Z466" s="333"/>
      <c r="AA466" s="385"/>
      <c r="AP466" s="246"/>
      <c r="AQ466" s="385"/>
      <c r="AR466" s="385"/>
      <c r="AS466" s="385"/>
      <c r="AT466" s="385"/>
      <c r="AU466" s="385"/>
      <c r="AV466" s="385"/>
      <c r="AW466" s="385"/>
      <c r="AX466" s="385"/>
      <c r="AY466" s="385"/>
      <c r="AZ466" s="385"/>
      <c r="BA466" s="385"/>
      <c r="BB466" s="385"/>
    </row>
    <row r="467" spans="4:54" s="239" customFormat="1" x14ac:dyDescent="0.25">
      <c r="D467" s="382"/>
      <c r="E467" s="382"/>
      <c r="F467" s="383"/>
      <c r="G467" s="382"/>
      <c r="H467" s="382"/>
      <c r="I467" s="246"/>
      <c r="J467" s="235"/>
      <c r="L467" s="385"/>
      <c r="M467" s="235"/>
      <c r="N467" s="235"/>
      <c r="O467" s="83"/>
      <c r="P467" s="83"/>
      <c r="Q467" s="387"/>
      <c r="W467" s="235"/>
      <c r="X467" s="333"/>
      <c r="Y467" s="333"/>
      <c r="Z467" s="333"/>
      <c r="AA467" s="385"/>
      <c r="AP467" s="246"/>
      <c r="AQ467" s="385"/>
      <c r="AR467" s="385"/>
      <c r="AS467" s="385"/>
      <c r="AT467" s="385"/>
      <c r="AU467" s="385"/>
      <c r="AV467" s="385"/>
      <c r="AW467" s="385"/>
      <c r="AX467" s="385"/>
      <c r="AY467" s="385"/>
      <c r="AZ467" s="385"/>
      <c r="BA467" s="385"/>
      <c r="BB467" s="385"/>
    </row>
    <row r="468" spans="4:54" s="239" customFormat="1" x14ac:dyDescent="0.25">
      <c r="D468" s="382"/>
      <c r="E468" s="382"/>
      <c r="F468" s="383"/>
      <c r="G468" s="382"/>
      <c r="H468" s="382"/>
      <c r="I468" s="246"/>
      <c r="J468" s="235"/>
      <c r="L468" s="385"/>
      <c r="M468" s="235"/>
      <c r="N468" s="235"/>
      <c r="O468" s="83"/>
      <c r="P468" s="83"/>
      <c r="Q468" s="387"/>
      <c r="W468" s="235"/>
      <c r="X468" s="333"/>
      <c r="Y468" s="333"/>
      <c r="Z468" s="333"/>
      <c r="AA468" s="385"/>
      <c r="AP468" s="246"/>
      <c r="AQ468" s="385"/>
      <c r="AR468" s="385"/>
      <c r="AS468" s="385"/>
      <c r="AT468" s="385"/>
      <c r="AU468" s="385"/>
      <c r="AV468" s="385"/>
      <c r="AW468" s="385"/>
      <c r="AX468" s="385"/>
      <c r="AY468" s="385"/>
      <c r="AZ468" s="385"/>
      <c r="BA468" s="385"/>
      <c r="BB468" s="385"/>
    </row>
    <row r="469" spans="4:54" s="239" customFormat="1" x14ac:dyDescent="0.25">
      <c r="D469" s="382"/>
      <c r="E469" s="382"/>
      <c r="F469" s="383"/>
      <c r="G469" s="382"/>
      <c r="H469" s="382"/>
      <c r="I469" s="246"/>
      <c r="J469" s="235"/>
      <c r="L469" s="385"/>
      <c r="M469" s="235"/>
      <c r="N469" s="235"/>
      <c r="O469" s="83"/>
      <c r="P469" s="83"/>
      <c r="Q469" s="387"/>
      <c r="W469" s="235"/>
      <c r="X469" s="333"/>
      <c r="Y469" s="333"/>
      <c r="Z469" s="333"/>
      <c r="AA469" s="385"/>
      <c r="AP469" s="246"/>
      <c r="AQ469" s="385"/>
      <c r="AR469" s="385"/>
      <c r="AS469" s="385"/>
      <c r="AT469" s="385"/>
      <c r="AU469" s="385"/>
      <c r="AV469" s="385"/>
      <c r="AW469" s="385"/>
      <c r="AX469" s="385"/>
      <c r="AY469" s="385"/>
      <c r="AZ469" s="385"/>
      <c r="BA469" s="385"/>
      <c r="BB469" s="385"/>
    </row>
    <row r="470" spans="4:54" s="239" customFormat="1" x14ac:dyDescent="0.25">
      <c r="D470" s="382"/>
      <c r="E470" s="382"/>
      <c r="F470" s="383"/>
      <c r="G470" s="382"/>
      <c r="H470" s="382"/>
      <c r="I470" s="246"/>
      <c r="J470" s="235"/>
      <c r="L470" s="385"/>
      <c r="M470" s="235"/>
      <c r="N470" s="235"/>
      <c r="O470" s="83"/>
      <c r="P470" s="83"/>
      <c r="Q470" s="387"/>
      <c r="W470" s="235"/>
      <c r="X470" s="333"/>
      <c r="Y470" s="333"/>
      <c r="Z470" s="333"/>
      <c r="AA470" s="385"/>
      <c r="AP470" s="246"/>
      <c r="AQ470" s="385"/>
      <c r="AR470" s="385"/>
      <c r="AS470" s="385"/>
      <c r="AT470" s="385"/>
      <c r="AU470" s="385"/>
      <c r="AV470" s="385"/>
      <c r="AW470" s="385"/>
      <c r="AX470" s="385"/>
      <c r="AY470" s="385"/>
      <c r="AZ470" s="385"/>
      <c r="BA470" s="385"/>
      <c r="BB470" s="385"/>
    </row>
    <row r="471" spans="4:54" s="239" customFormat="1" x14ac:dyDescent="0.25">
      <c r="D471" s="382"/>
      <c r="E471" s="382"/>
      <c r="F471" s="383"/>
      <c r="G471" s="382"/>
      <c r="H471" s="382"/>
      <c r="I471" s="246"/>
      <c r="J471" s="235"/>
      <c r="L471" s="385"/>
      <c r="M471" s="235"/>
      <c r="N471" s="235"/>
      <c r="O471" s="83"/>
      <c r="P471" s="83"/>
      <c r="Q471" s="387"/>
      <c r="W471" s="235"/>
      <c r="X471" s="333"/>
      <c r="Y471" s="333"/>
      <c r="Z471" s="333"/>
      <c r="AA471" s="385"/>
      <c r="AP471" s="246"/>
      <c r="AQ471" s="385"/>
      <c r="AR471" s="385"/>
      <c r="AS471" s="385"/>
      <c r="AT471" s="385"/>
      <c r="AU471" s="385"/>
      <c r="AV471" s="385"/>
      <c r="AW471" s="385"/>
      <c r="AX471" s="385"/>
      <c r="AY471" s="385"/>
      <c r="AZ471" s="385"/>
      <c r="BA471" s="385"/>
      <c r="BB471" s="385"/>
    </row>
    <row r="472" spans="4:54" s="239" customFormat="1" x14ac:dyDescent="0.25">
      <c r="D472" s="382"/>
      <c r="E472" s="382"/>
      <c r="F472" s="383"/>
      <c r="G472" s="382"/>
      <c r="H472" s="382"/>
      <c r="I472" s="246"/>
      <c r="J472" s="235"/>
      <c r="L472" s="385"/>
      <c r="M472" s="235"/>
      <c r="N472" s="235"/>
      <c r="O472" s="83"/>
      <c r="P472" s="83"/>
      <c r="Q472" s="387"/>
      <c r="W472" s="235"/>
      <c r="X472" s="333"/>
      <c r="Y472" s="333"/>
      <c r="Z472" s="333"/>
      <c r="AA472" s="385"/>
      <c r="AP472" s="246"/>
      <c r="AQ472" s="385"/>
      <c r="AR472" s="385"/>
      <c r="AS472" s="385"/>
      <c r="AT472" s="385"/>
      <c r="AU472" s="385"/>
      <c r="AV472" s="385"/>
      <c r="AW472" s="385"/>
      <c r="AX472" s="385"/>
      <c r="AY472" s="385"/>
      <c r="AZ472" s="385"/>
      <c r="BA472" s="385"/>
      <c r="BB472" s="385"/>
    </row>
    <row r="473" spans="4:54" s="239" customFormat="1" x14ac:dyDescent="0.25">
      <c r="D473" s="382"/>
      <c r="E473" s="382"/>
      <c r="F473" s="383"/>
      <c r="G473" s="382"/>
      <c r="H473" s="382"/>
      <c r="I473" s="246"/>
      <c r="J473" s="235"/>
      <c r="L473" s="385"/>
      <c r="M473" s="235"/>
      <c r="N473" s="235"/>
      <c r="O473" s="83"/>
      <c r="P473" s="83"/>
      <c r="Q473" s="387"/>
      <c r="W473" s="235"/>
      <c r="X473" s="333"/>
      <c r="Y473" s="333"/>
      <c r="Z473" s="333"/>
      <c r="AA473" s="385"/>
      <c r="AP473" s="246"/>
      <c r="AQ473" s="385"/>
      <c r="AR473" s="385"/>
      <c r="AS473" s="385"/>
      <c r="AT473" s="385"/>
      <c r="AU473" s="385"/>
      <c r="AV473" s="385"/>
      <c r="AW473" s="385"/>
      <c r="AX473" s="385"/>
      <c r="AY473" s="385"/>
      <c r="AZ473" s="385"/>
      <c r="BA473" s="385"/>
      <c r="BB473" s="385"/>
    </row>
    <row r="474" spans="4:54" s="239" customFormat="1" x14ac:dyDescent="0.25">
      <c r="D474" s="382"/>
      <c r="E474" s="382"/>
      <c r="F474" s="383"/>
      <c r="G474" s="382"/>
      <c r="H474" s="382"/>
      <c r="I474" s="246"/>
      <c r="J474" s="235"/>
      <c r="L474" s="385"/>
      <c r="M474" s="235"/>
      <c r="N474" s="235"/>
      <c r="O474" s="83"/>
      <c r="P474" s="83"/>
      <c r="Q474" s="387"/>
      <c r="W474" s="235"/>
      <c r="X474" s="333"/>
      <c r="Y474" s="333"/>
      <c r="Z474" s="333"/>
      <c r="AA474" s="385"/>
      <c r="AP474" s="246"/>
      <c r="AQ474" s="385"/>
      <c r="AR474" s="385"/>
      <c r="AS474" s="385"/>
      <c r="AT474" s="385"/>
      <c r="AU474" s="385"/>
      <c r="AV474" s="385"/>
      <c r="AW474" s="385"/>
      <c r="AX474" s="385"/>
      <c r="AY474" s="385"/>
      <c r="AZ474" s="385"/>
      <c r="BA474" s="385"/>
      <c r="BB474" s="385"/>
    </row>
  </sheetData>
  <autoFilter ref="B3:AI194">
    <filterColumn colId="8" showButton="0"/>
  </autoFilter>
  <sortState ref="B153:AQ166">
    <sortCondition descending="1" ref="R153:R166"/>
    <sortCondition descending="1" ref="S153:S166"/>
    <sortCondition descending="1" ref="T153:T166"/>
  </sortState>
  <mergeCells count="5">
    <mergeCell ref="O2:P2"/>
    <mergeCell ref="Q2:V2"/>
    <mergeCell ref="AD2:AI2"/>
    <mergeCell ref="AJ2:AN2"/>
    <mergeCell ref="Z234:Z236"/>
  </mergeCells>
  <conditionalFormatting sqref="AD124:AI137">
    <cfRule type="cellIs" dxfId="36" priority="41" operator="greaterThan">
      <formula>0</formula>
    </cfRule>
  </conditionalFormatting>
  <conditionalFormatting sqref="AE139:AI141">
    <cfRule type="cellIs" dxfId="35" priority="40" operator="greaterThan">
      <formula>0</formula>
    </cfRule>
  </conditionalFormatting>
  <conditionalFormatting sqref="AE143:AI145">
    <cfRule type="cellIs" dxfId="34" priority="39" operator="greaterThan">
      <formula>0</formula>
    </cfRule>
  </conditionalFormatting>
  <conditionalFormatting sqref="AD148:AI160">
    <cfRule type="cellIs" dxfId="33" priority="38" operator="greaterThan">
      <formula>0</formula>
    </cfRule>
  </conditionalFormatting>
  <conditionalFormatting sqref="AD163:AI175">
    <cfRule type="cellIs" dxfId="32" priority="37" operator="greaterThan">
      <formula>0</formula>
    </cfRule>
  </conditionalFormatting>
  <conditionalFormatting sqref="AE177:AI177">
    <cfRule type="cellIs" dxfId="31" priority="36" operator="greaterThan">
      <formula>0</formula>
    </cfRule>
  </conditionalFormatting>
  <conditionalFormatting sqref="AD179:AI180">
    <cfRule type="cellIs" dxfId="30" priority="35" operator="greaterThan">
      <formula>0</formula>
    </cfRule>
  </conditionalFormatting>
  <conditionalFormatting sqref="AE86:AI100">
    <cfRule type="cellIs" dxfId="29" priority="3" operator="greaterThan">
      <formula>0</formula>
    </cfRule>
  </conditionalFormatting>
  <conditionalFormatting sqref="AD194:AF194 AH194">
    <cfRule type="cellIs" dxfId="28" priority="33" operator="greaterThan">
      <formula>0</formula>
    </cfRule>
  </conditionalFormatting>
  <conditionalFormatting sqref="AE117:AI120">
    <cfRule type="cellIs" dxfId="27" priority="1" operator="greaterThan">
      <formula>0</formula>
    </cfRule>
  </conditionalFormatting>
  <conditionalFormatting sqref="AD183:AI190">
    <cfRule type="cellIs" dxfId="26" priority="31" operator="greaterThan">
      <formula>0</formula>
    </cfRule>
  </conditionalFormatting>
  <conditionalFormatting sqref="AD192:AI193">
    <cfRule type="cellIs" dxfId="25" priority="30" operator="greaterThan">
      <formula>0</formula>
    </cfRule>
  </conditionalFormatting>
  <conditionalFormatting sqref="AG194">
    <cfRule type="cellIs" dxfId="24" priority="29" operator="greaterThan">
      <formula>0</formula>
    </cfRule>
  </conditionalFormatting>
  <conditionalFormatting sqref="AI194">
    <cfRule type="cellIs" dxfId="23" priority="28" operator="greaterThan">
      <formula>0</formula>
    </cfRule>
  </conditionalFormatting>
  <conditionalFormatting sqref="AE111:AI111">
    <cfRule type="cellIs" dxfId="22" priority="27" operator="greaterThan">
      <formula>0</formula>
    </cfRule>
  </conditionalFormatting>
  <conditionalFormatting sqref="AE112:AI112">
    <cfRule type="cellIs" dxfId="21" priority="26" operator="greaterThan">
      <formula>0</formula>
    </cfRule>
  </conditionalFormatting>
  <conditionalFormatting sqref="AE113:AI113">
    <cfRule type="cellIs" dxfId="20" priority="25" operator="greaterThan">
      <formula>0</formula>
    </cfRule>
  </conditionalFormatting>
  <conditionalFormatting sqref="AE115:AI115">
    <cfRule type="cellIs" dxfId="19" priority="24" operator="greaterThan">
      <formula>0</formula>
    </cfRule>
  </conditionalFormatting>
  <conditionalFormatting sqref="AE116:AI116">
    <cfRule type="cellIs" dxfId="18" priority="23" operator="greaterThan">
      <formula>0</formula>
    </cfRule>
  </conditionalFormatting>
  <conditionalFormatting sqref="AE84:AI84">
    <cfRule type="cellIs" dxfId="17" priority="19" operator="greaterThan">
      <formula>0</formula>
    </cfRule>
  </conditionalFormatting>
  <conditionalFormatting sqref="AE83:AI83">
    <cfRule type="cellIs" dxfId="16" priority="20" operator="greaterThan">
      <formula>0</formula>
    </cfRule>
  </conditionalFormatting>
  <conditionalFormatting sqref="AE80:AI80">
    <cfRule type="cellIs" dxfId="15" priority="18" operator="greaterThan">
      <formula>0</formula>
    </cfRule>
  </conditionalFormatting>
  <conditionalFormatting sqref="AE71:AI79">
    <cfRule type="cellIs" dxfId="14" priority="17" operator="greaterThan">
      <formula>0</formula>
    </cfRule>
  </conditionalFormatting>
  <conditionalFormatting sqref="AE61:AI69">
    <cfRule type="cellIs" dxfId="13" priority="16" operator="greaterThan">
      <formula>0</formula>
    </cfRule>
  </conditionalFormatting>
  <conditionalFormatting sqref="AE51:AI59">
    <cfRule type="cellIs" dxfId="12" priority="15" operator="greaterThan">
      <formula>0</formula>
    </cfRule>
  </conditionalFormatting>
  <conditionalFormatting sqref="AE46:AI47">
    <cfRule type="cellIs" dxfId="11" priority="14" operator="greaterThan">
      <formula>0</formula>
    </cfRule>
  </conditionalFormatting>
  <conditionalFormatting sqref="AE41:AI44">
    <cfRule type="cellIs" dxfId="10" priority="13" operator="greaterThan">
      <formula>0</formula>
    </cfRule>
  </conditionalFormatting>
  <conditionalFormatting sqref="AE37:AI39">
    <cfRule type="cellIs" dxfId="9" priority="12" operator="greaterThan">
      <formula>0</formula>
    </cfRule>
  </conditionalFormatting>
  <conditionalFormatting sqref="AE32:AI35">
    <cfRule type="cellIs" dxfId="8" priority="11" operator="greaterThan">
      <formula>0</formula>
    </cfRule>
  </conditionalFormatting>
  <conditionalFormatting sqref="AE21:AI21">
    <cfRule type="cellIs" dxfId="7" priority="10" operator="greaterThan">
      <formula>0</formula>
    </cfRule>
  </conditionalFormatting>
  <conditionalFormatting sqref="AE25:AI28">
    <cfRule type="cellIs" dxfId="6" priority="9" operator="greaterThan">
      <formula>0</formula>
    </cfRule>
  </conditionalFormatting>
  <conditionalFormatting sqref="AE23:AI23">
    <cfRule type="cellIs" dxfId="5" priority="8" operator="greaterThan">
      <formula>0</formula>
    </cfRule>
  </conditionalFormatting>
  <conditionalFormatting sqref="AE19:AI20">
    <cfRule type="cellIs" dxfId="4" priority="7" operator="greaterThan">
      <formula>0</formula>
    </cfRule>
  </conditionalFormatting>
  <conditionalFormatting sqref="AE15:AI17">
    <cfRule type="cellIs" dxfId="3" priority="6" operator="greaterThan">
      <formula>0</formula>
    </cfRule>
  </conditionalFormatting>
  <conditionalFormatting sqref="AE9:AI11">
    <cfRule type="cellIs" dxfId="2" priority="5" operator="greaterThan">
      <formula>0</formula>
    </cfRule>
  </conditionalFormatting>
  <conditionalFormatting sqref="AE7:AI7">
    <cfRule type="cellIs" dxfId="1" priority="4" operator="greaterThan">
      <formula>0</formula>
    </cfRule>
  </conditionalFormatting>
  <conditionalFormatting sqref="AE102:AI109">
    <cfRule type="cellIs" dxfId="0" priority="2" operator="greaterThan">
      <formula>0</formula>
    </cfRule>
  </conditionalFormatting>
  <printOptions horizontalCentered="1" gridLines="1"/>
  <pageMargins left="0.25" right="0.25" top="0.75" bottom="0.75" header="0.3" footer="0.3"/>
  <pageSetup scale="63" fitToHeight="6" orientation="landscape" cellComments="asDisplayed" r:id="rId1"/>
  <headerFooter>
    <oddHeader>&amp;C&amp;F - &amp;A</oddHeader>
    <oddFooter>&amp;L&amp;D&amp;R&amp;P de &amp;N</oddFooter>
  </headerFooter>
  <rowBreaks count="2" manualBreakCount="2">
    <brk id="120" min="8" max="54" man="1"/>
    <brk id="180" min="8" max="54" man="1"/>
  </rowBreaks>
  <colBreaks count="2" manualBreakCount="2">
    <brk id="35" min="1" max="194" man="1"/>
    <brk id="41" min="1" max="194"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1"/>
  <sheetViews>
    <sheetView workbookViewId="0">
      <selection activeCell="B28" sqref="B28"/>
    </sheetView>
  </sheetViews>
  <sheetFormatPr defaultColWidth="9.140625" defaultRowHeight="12.75" x14ac:dyDescent="0.25"/>
  <cols>
    <col min="1" max="1" width="4.140625" style="7" customWidth="1"/>
    <col min="2" max="2" width="45.5703125" style="7" customWidth="1"/>
    <col min="3" max="8" width="12" style="14" customWidth="1"/>
    <col min="9" max="9" width="9.140625" style="14"/>
    <col min="10" max="16384" width="9.140625" style="7"/>
  </cols>
  <sheetData>
    <row r="1" spans="1:9" s="3" customFormat="1" x14ac:dyDescent="0.25">
      <c r="A1" s="4" t="s">
        <v>240</v>
      </c>
      <c r="C1" s="415" t="s">
        <v>14</v>
      </c>
      <c r="D1" s="415"/>
      <c r="E1" s="415"/>
      <c r="F1" s="415"/>
      <c r="G1" s="415"/>
      <c r="H1" s="2"/>
      <c r="I1" s="5"/>
    </row>
    <row r="2" spans="1:9" s="3" customFormat="1" x14ac:dyDescent="0.25">
      <c r="A2" s="4" t="s">
        <v>36</v>
      </c>
      <c r="C2" s="2">
        <v>2017</v>
      </c>
      <c r="D2" s="2">
        <v>2018</v>
      </c>
      <c r="E2" s="2">
        <v>2019</v>
      </c>
      <c r="F2" s="2">
        <v>2020</v>
      </c>
      <c r="G2" s="2">
        <v>2021</v>
      </c>
      <c r="H2" s="2" t="s">
        <v>124</v>
      </c>
      <c r="I2" s="6"/>
    </row>
    <row r="3" spans="1:9" ht="15.75" customHeight="1" x14ac:dyDescent="0.25">
      <c r="A3" s="414">
        <v>2.1</v>
      </c>
      <c r="B3" s="8" t="s">
        <v>37</v>
      </c>
      <c r="C3" s="9">
        <f>750000*2</f>
        <v>1500000</v>
      </c>
      <c r="D3" s="9">
        <v>0</v>
      </c>
      <c r="E3" s="9">
        <v>0</v>
      </c>
      <c r="F3" s="9">
        <v>0</v>
      </c>
      <c r="G3" s="9">
        <v>0</v>
      </c>
      <c r="H3" s="9">
        <f>SUM(C3:G3)</f>
        <v>1500000</v>
      </c>
      <c r="I3" s="10"/>
    </row>
    <row r="4" spans="1:9" ht="15.75" customHeight="1" x14ac:dyDescent="0.25">
      <c r="A4" s="414"/>
      <c r="B4" s="8" t="s">
        <v>38</v>
      </c>
      <c r="C4" s="9">
        <v>400000</v>
      </c>
      <c r="D4" s="9">
        <v>0</v>
      </c>
      <c r="E4" s="9">
        <v>0</v>
      </c>
      <c r="F4" s="9">
        <v>0</v>
      </c>
      <c r="G4" s="9">
        <v>0</v>
      </c>
      <c r="H4" s="9">
        <f t="shared" ref="H4:H18" si="0">SUM(C4:G4)</f>
        <v>400000</v>
      </c>
      <c r="I4" s="10"/>
    </row>
    <row r="5" spans="1:9" ht="15.75" customHeight="1" x14ac:dyDescent="0.25">
      <c r="A5" s="414"/>
      <c r="B5" s="8" t="s">
        <v>39</v>
      </c>
      <c r="C5" s="9">
        <v>0</v>
      </c>
      <c r="D5" s="9">
        <f>1000000</f>
        <v>1000000</v>
      </c>
      <c r="E5" s="9">
        <f>1000000</f>
        <v>1000000</v>
      </c>
      <c r="F5" s="9">
        <v>0</v>
      </c>
      <c r="G5" s="9">
        <v>0</v>
      </c>
      <c r="H5" s="9">
        <f t="shared" si="0"/>
        <v>2000000</v>
      </c>
      <c r="I5" s="10"/>
    </row>
    <row r="6" spans="1:9" ht="15.75" customHeight="1" x14ac:dyDescent="0.25">
      <c r="A6" s="414"/>
      <c r="B6" s="8" t="s">
        <v>41</v>
      </c>
      <c r="C6" s="9">
        <v>3345153.0464261915</v>
      </c>
      <c r="D6" s="9">
        <v>4279668.3510688115</v>
      </c>
      <c r="E6" s="9">
        <v>4047635.1861756928</v>
      </c>
      <c r="F6" s="9">
        <v>4452398.7047932623</v>
      </c>
      <c r="G6" s="9">
        <v>4897638.575272589</v>
      </c>
      <c r="H6" s="9">
        <f t="shared" si="0"/>
        <v>21022493.863736548</v>
      </c>
      <c r="I6" s="10"/>
    </row>
    <row r="7" spans="1:9" ht="21" customHeight="1" x14ac:dyDescent="0.25">
      <c r="A7" s="11">
        <v>2.2000000000000002</v>
      </c>
      <c r="B7" s="8" t="s">
        <v>46</v>
      </c>
      <c r="C7" s="12">
        <f>500000+2000000</f>
        <v>2500000</v>
      </c>
      <c r="D7" s="12">
        <f>500000+1500000</f>
        <v>2000000</v>
      </c>
      <c r="E7" s="9">
        <v>0</v>
      </c>
      <c r="F7" s="9">
        <v>0</v>
      </c>
      <c r="G7" s="9">
        <v>0</v>
      </c>
      <c r="H7" s="9">
        <f t="shared" si="0"/>
        <v>4500000</v>
      </c>
      <c r="I7" s="10"/>
    </row>
    <row r="8" spans="1:9" ht="18" customHeight="1" x14ac:dyDescent="0.25">
      <c r="A8" s="11">
        <v>2.2999999999999998</v>
      </c>
      <c r="B8" s="13" t="s">
        <v>48</v>
      </c>
      <c r="C8" s="12">
        <v>3575000.0000000005</v>
      </c>
      <c r="D8" s="12">
        <v>8651500.0000000019</v>
      </c>
      <c r="E8" s="12">
        <v>9516650.0000000037</v>
      </c>
      <c r="F8" s="12">
        <v>10468315.000000004</v>
      </c>
      <c r="G8" s="12">
        <v>11515146.500000006</v>
      </c>
      <c r="H8" s="9">
        <f t="shared" si="0"/>
        <v>43726611.500000015</v>
      </c>
      <c r="I8" s="10" t="s">
        <v>214</v>
      </c>
    </row>
    <row r="9" spans="1:9" s="17" customFormat="1" x14ac:dyDescent="0.25">
      <c r="A9" s="17" t="s">
        <v>242</v>
      </c>
      <c r="C9" s="18">
        <f t="shared" ref="C9:H9" si="1">SUM(C3:C8)</f>
        <v>11320153.046426192</v>
      </c>
      <c r="D9" s="18">
        <f t="shared" si="1"/>
        <v>15931168.351068813</v>
      </c>
      <c r="E9" s="18">
        <f t="shared" si="1"/>
        <v>14564285.186175697</v>
      </c>
      <c r="F9" s="18">
        <f t="shared" si="1"/>
        <v>14920713.704793267</v>
      </c>
      <c r="G9" s="18">
        <f t="shared" si="1"/>
        <v>16412785.075272594</v>
      </c>
      <c r="H9" s="18">
        <f t="shared" si="1"/>
        <v>73149105.36373657</v>
      </c>
      <c r="I9" s="19"/>
    </row>
    <row r="10" spans="1:9" s="27" customFormat="1" ht="3.75" customHeight="1" x14ac:dyDescent="0.25">
      <c r="A10" s="23"/>
      <c r="B10" s="24"/>
      <c r="C10" s="25"/>
      <c r="D10" s="25"/>
      <c r="E10" s="25"/>
      <c r="F10" s="25"/>
      <c r="G10" s="25"/>
      <c r="H10" s="25"/>
      <c r="I10" s="26"/>
    </row>
    <row r="11" spans="1:9" s="3" customFormat="1" x14ac:dyDescent="0.25">
      <c r="A11" s="416" t="s">
        <v>241</v>
      </c>
      <c r="B11" s="417"/>
      <c r="C11" s="415" t="s">
        <v>14</v>
      </c>
      <c r="D11" s="415"/>
      <c r="E11" s="415"/>
      <c r="F11" s="415"/>
      <c r="G11" s="415"/>
      <c r="H11" s="15"/>
      <c r="I11" s="5"/>
    </row>
    <row r="12" spans="1:9" s="3" customFormat="1" x14ac:dyDescent="0.25">
      <c r="C12" s="2">
        <v>2017</v>
      </c>
      <c r="D12" s="2">
        <v>2018</v>
      </c>
      <c r="E12" s="2"/>
      <c r="F12" s="2"/>
      <c r="G12" s="2"/>
      <c r="H12" s="15"/>
      <c r="I12" s="5"/>
    </row>
    <row r="13" spans="1:9" x14ac:dyDescent="0.25">
      <c r="A13" s="8"/>
      <c r="B13" s="8" t="s">
        <v>43</v>
      </c>
      <c r="C13" s="9">
        <v>3432000.0000000005</v>
      </c>
      <c r="D13" s="9">
        <v>3775200.0000000005</v>
      </c>
      <c r="E13" s="9">
        <v>0</v>
      </c>
      <c r="F13" s="9">
        <v>0</v>
      </c>
      <c r="G13" s="9">
        <v>0</v>
      </c>
      <c r="H13" s="9">
        <f>SUM(C13:G13)</f>
        <v>7207200.0000000009</v>
      </c>
      <c r="I13" s="10" t="s">
        <v>203</v>
      </c>
    </row>
    <row r="14" spans="1:9" x14ac:dyDescent="0.25">
      <c r="A14" s="8"/>
      <c r="B14" s="8" t="s">
        <v>45</v>
      </c>
      <c r="C14" s="9">
        <v>2530000</v>
      </c>
      <c r="D14" s="9">
        <v>2783000.0000000005</v>
      </c>
      <c r="E14" s="9">
        <v>0</v>
      </c>
      <c r="F14" s="9">
        <v>0</v>
      </c>
      <c r="G14" s="9">
        <v>0</v>
      </c>
      <c r="H14" s="9">
        <f>SUM(C14:G14)</f>
        <v>5313000</v>
      </c>
      <c r="I14" s="10" t="s">
        <v>203</v>
      </c>
    </row>
    <row r="15" spans="1:9" x14ac:dyDescent="0.25">
      <c r="A15" s="8"/>
      <c r="B15" s="16" t="s">
        <v>50</v>
      </c>
      <c r="C15" s="9">
        <v>5000000</v>
      </c>
      <c r="D15" s="9">
        <v>5000000</v>
      </c>
      <c r="H15" s="9">
        <f t="shared" si="0"/>
        <v>10000000</v>
      </c>
    </row>
    <row r="16" spans="1:9" x14ac:dyDescent="0.25">
      <c r="A16" s="8"/>
      <c r="B16" s="16" t="s">
        <v>52</v>
      </c>
      <c r="C16" s="9">
        <v>1320000.0000000002</v>
      </c>
      <c r="D16" s="9">
        <v>1452000.0000000002</v>
      </c>
      <c r="H16" s="9">
        <f t="shared" si="0"/>
        <v>2772000.0000000005</v>
      </c>
    </row>
    <row r="17" spans="1:9" x14ac:dyDescent="0.25">
      <c r="A17" s="8"/>
      <c r="B17" s="16" t="s">
        <v>53</v>
      </c>
      <c r="C17" s="9">
        <v>11241236.772960002</v>
      </c>
      <c r="D17" s="9">
        <v>12375360.450256001</v>
      </c>
      <c r="H17" s="9">
        <f t="shared" si="0"/>
        <v>23616597.223216005</v>
      </c>
    </row>
    <row r="18" spans="1:9" x14ac:dyDescent="0.25">
      <c r="B18" s="16" t="s">
        <v>56</v>
      </c>
      <c r="C18" s="9">
        <v>2850000</v>
      </c>
      <c r="D18" s="9">
        <v>2900000</v>
      </c>
      <c r="H18" s="9">
        <f t="shared" si="0"/>
        <v>5750000</v>
      </c>
    </row>
    <row r="19" spans="1:9" s="17" customFormat="1" x14ac:dyDescent="0.25">
      <c r="A19" s="17" t="s">
        <v>242</v>
      </c>
      <c r="C19" s="18">
        <f>SUM(C13:C18)</f>
        <v>26373236.77296</v>
      </c>
      <c r="D19" s="18">
        <f>SUM(D13:D18)</f>
        <v>28285560.450256001</v>
      </c>
      <c r="E19" s="22"/>
      <c r="F19" s="22"/>
      <c r="G19" s="22"/>
      <c r="H19" s="18">
        <f>SUM(H13:H18)</f>
        <v>54658797.223216005</v>
      </c>
      <c r="I19" s="22"/>
    </row>
    <row r="20" spans="1:9" ht="5.25" customHeight="1" x14ac:dyDescent="0.25"/>
    <row r="21" spans="1:9" s="4" customFormat="1" x14ac:dyDescent="0.25">
      <c r="A21" s="4" t="s">
        <v>243</v>
      </c>
      <c r="C21" s="20">
        <f>+C19+C9</f>
        <v>37693389.819386192</v>
      </c>
      <c r="D21" s="20">
        <f>+D19+D9</f>
        <v>44216728.801324815</v>
      </c>
      <c r="E21" s="20">
        <f>+E19+E9</f>
        <v>14564285.186175697</v>
      </c>
      <c r="F21" s="20">
        <f>+F19+F9</f>
        <v>14920713.704793267</v>
      </c>
      <c r="G21" s="20">
        <f>+G19+G9</f>
        <v>16412785.075272594</v>
      </c>
      <c r="H21" s="20">
        <f>+H9+H19</f>
        <v>127807902.58695257</v>
      </c>
      <c r="I21" s="21"/>
    </row>
  </sheetData>
  <mergeCells count="4">
    <mergeCell ref="A3:A6"/>
    <mergeCell ref="C1:G1"/>
    <mergeCell ref="C11:G11"/>
    <mergeCell ref="A11:B11"/>
  </mergeCell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10"/>
  <sheetViews>
    <sheetView workbookViewId="0">
      <selection activeCell="H6" sqref="H6"/>
    </sheetView>
  </sheetViews>
  <sheetFormatPr defaultRowHeight="15" x14ac:dyDescent="0.25"/>
  <cols>
    <col min="7" max="10" width="13.28515625" bestFit="1" customWidth="1"/>
    <col min="11" max="11" width="15" customWidth="1"/>
  </cols>
  <sheetData>
    <row r="1" spans="3:11" x14ac:dyDescent="0.25">
      <c r="F1">
        <v>2017</v>
      </c>
      <c r="G1">
        <v>2018</v>
      </c>
      <c r="H1">
        <v>2019</v>
      </c>
      <c r="I1">
        <v>2020</v>
      </c>
      <c r="J1">
        <v>2021</v>
      </c>
    </row>
    <row r="2" spans="3:11" x14ac:dyDescent="0.25">
      <c r="C2" t="s">
        <v>361</v>
      </c>
      <c r="G2" s="63">
        <v>50</v>
      </c>
      <c r="H2" s="63">
        <v>100</v>
      </c>
      <c r="I2" s="63">
        <v>150</v>
      </c>
      <c r="J2" s="63">
        <v>200</v>
      </c>
    </row>
    <row r="3" spans="3:11" x14ac:dyDescent="0.25">
      <c r="C3" t="s">
        <v>363</v>
      </c>
      <c r="E3">
        <v>4</v>
      </c>
      <c r="G3" s="63">
        <f>+$E3*G2</f>
        <v>200</v>
      </c>
      <c r="H3" s="63">
        <f t="shared" ref="H3:J3" si="0">+$E3*H2</f>
        <v>400</v>
      </c>
      <c r="I3" s="63">
        <f t="shared" si="0"/>
        <v>600</v>
      </c>
      <c r="J3" s="63">
        <f t="shared" si="0"/>
        <v>800</v>
      </c>
    </row>
    <row r="4" spans="3:11" x14ac:dyDescent="0.25">
      <c r="C4" t="s">
        <v>362</v>
      </c>
      <c r="E4">
        <v>0.3</v>
      </c>
      <c r="G4" s="63">
        <f>+G3*$E4</f>
        <v>60</v>
      </c>
      <c r="H4" s="63">
        <f t="shared" ref="H4:J6" si="1">+H3*$E4</f>
        <v>120</v>
      </c>
      <c r="I4" s="63">
        <f t="shared" si="1"/>
        <v>180</v>
      </c>
      <c r="J4" s="63">
        <f t="shared" si="1"/>
        <v>240</v>
      </c>
    </row>
    <row r="5" spans="3:11" x14ac:dyDescent="0.25">
      <c r="C5" t="s">
        <v>364</v>
      </c>
      <c r="E5">
        <v>1600</v>
      </c>
      <c r="G5" s="63">
        <f>+G4*$E5</f>
        <v>96000</v>
      </c>
      <c r="H5" s="63">
        <f>+H4*$E5</f>
        <v>192000</v>
      </c>
      <c r="I5" s="63">
        <f>+I4*$E5</f>
        <v>288000</v>
      </c>
      <c r="J5" s="63">
        <f t="shared" si="1"/>
        <v>384000</v>
      </c>
    </row>
    <row r="6" spans="3:11" x14ac:dyDescent="0.25">
      <c r="C6" t="s">
        <v>365</v>
      </c>
      <c r="E6">
        <v>13</v>
      </c>
      <c r="G6" s="63">
        <f>+G5*$E6</f>
        <v>1248000</v>
      </c>
      <c r="H6" s="63">
        <f t="shared" si="1"/>
        <v>2496000</v>
      </c>
      <c r="I6" s="63">
        <f t="shared" si="1"/>
        <v>3744000</v>
      </c>
      <c r="J6" s="63">
        <f t="shared" si="1"/>
        <v>4992000</v>
      </c>
      <c r="K6" s="64">
        <f>SUM(G6:J6)</f>
        <v>12480000</v>
      </c>
    </row>
    <row r="9" spans="3:11" x14ac:dyDescent="0.25">
      <c r="F9" t="s">
        <v>366</v>
      </c>
      <c r="G9">
        <v>33</v>
      </c>
      <c r="H9">
        <v>33</v>
      </c>
      <c r="I9">
        <v>33</v>
      </c>
      <c r="J9">
        <v>33</v>
      </c>
      <c r="K9">
        <v>33</v>
      </c>
    </row>
    <row r="10" spans="3:11" x14ac:dyDescent="0.25">
      <c r="G10" s="63">
        <f>+G6/G9</f>
        <v>37818.181818181816</v>
      </c>
      <c r="H10" s="63">
        <f t="shared" ref="H10:J10" si="2">+H6/H9</f>
        <v>75636.363636363632</v>
      </c>
      <c r="I10" s="63">
        <f t="shared" si="2"/>
        <v>113454.54545454546</v>
      </c>
      <c r="J10" s="63">
        <f t="shared" si="2"/>
        <v>151272.72727272726</v>
      </c>
      <c r="K10" s="63">
        <f>+K6/K9</f>
        <v>378181.81818181818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6"/>
  <sheetViews>
    <sheetView topLeftCell="A112" zoomScaleNormal="100" workbookViewId="0">
      <selection activeCell="G132" sqref="G132"/>
    </sheetView>
  </sheetViews>
  <sheetFormatPr defaultColWidth="11.42578125" defaultRowHeight="15" outlineLevelRow="2" x14ac:dyDescent="0.25"/>
  <cols>
    <col min="1" max="1" width="5.28515625" customWidth="1"/>
    <col min="2" max="2" width="60" customWidth="1"/>
    <col min="3" max="3" width="28.42578125" customWidth="1"/>
    <col min="4" max="4" width="16.85546875" customWidth="1"/>
    <col min="8" max="8" width="16.42578125" customWidth="1"/>
  </cols>
  <sheetData>
    <row r="1" spans="2:8" x14ac:dyDescent="0.25">
      <c r="B1" s="44" t="s">
        <v>458</v>
      </c>
      <c r="C1" s="44"/>
      <c r="D1" s="44"/>
      <c r="E1" s="44"/>
      <c r="F1" s="44"/>
    </row>
    <row r="2" spans="2:8" x14ac:dyDescent="0.25">
      <c r="B2" s="46" t="s">
        <v>178</v>
      </c>
      <c r="C2" s="46"/>
      <c r="D2" s="46"/>
      <c r="E2" s="1">
        <v>2016</v>
      </c>
      <c r="F2" s="1">
        <v>2017</v>
      </c>
      <c r="H2" t="s">
        <v>459</v>
      </c>
    </row>
    <row r="3" spans="2:8" hidden="1" outlineLevel="2" x14ac:dyDescent="0.25">
      <c r="B3" s="200" t="s">
        <v>378</v>
      </c>
      <c r="C3" t="s">
        <v>460</v>
      </c>
      <c r="D3" s="201" t="s">
        <v>67</v>
      </c>
      <c r="E3" s="202">
        <v>1369038.18110976</v>
      </c>
      <c r="F3" s="65">
        <v>1505941.9992207361</v>
      </c>
      <c r="H3" s="63">
        <f>+F3/13</f>
        <v>115841.69224774893</v>
      </c>
    </row>
    <row r="4" spans="2:8" outlineLevel="1" collapsed="1" x14ac:dyDescent="0.25">
      <c r="B4" s="203" t="s">
        <v>461</v>
      </c>
      <c r="D4" s="201"/>
      <c r="E4" s="202"/>
      <c r="F4" s="65">
        <f>SUBTOTAL(9,F3:F3)</f>
        <v>1505941.9992207361</v>
      </c>
    </row>
    <row r="5" spans="2:8" hidden="1" outlineLevel="2" x14ac:dyDescent="0.25">
      <c r="B5" s="204" t="s">
        <v>379</v>
      </c>
      <c r="C5" s="205"/>
      <c r="D5" s="206"/>
      <c r="E5" s="207">
        <v>374130.48960000003</v>
      </c>
      <c r="F5" s="208">
        <v>411543.53856000007</v>
      </c>
      <c r="G5" t="s">
        <v>462</v>
      </c>
      <c r="H5" s="63">
        <f t="shared" ref="H5:H7" si="0">+F5/13</f>
        <v>31657.195273846159</v>
      </c>
    </row>
    <row r="6" spans="2:8" hidden="1" outlineLevel="2" x14ac:dyDescent="0.25">
      <c r="B6" s="200" t="s">
        <v>379</v>
      </c>
      <c r="C6" t="s">
        <v>463</v>
      </c>
      <c r="D6" s="201" t="s">
        <v>464</v>
      </c>
      <c r="E6" s="202">
        <v>775114.272</v>
      </c>
      <c r="F6" s="65">
        <v>852625.69920000003</v>
      </c>
      <c r="H6" s="63">
        <f t="shared" si="0"/>
        <v>65586.592246153843</v>
      </c>
    </row>
    <row r="7" spans="2:8" hidden="1" outlineLevel="2" x14ac:dyDescent="0.25">
      <c r="B7" s="200" t="s">
        <v>379</v>
      </c>
      <c r="C7" t="s">
        <v>465</v>
      </c>
      <c r="D7" s="201" t="s">
        <v>67</v>
      </c>
      <c r="E7" s="202">
        <v>642804.74228736002</v>
      </c>
      <c r="F7" s="65">
        <v>707085.21651609603</v>
      </c>
      <c r="H7" s="63">
        <f t="shared" si="0"/>
        <v>54391.170501238157</v>
      </c>
    </row>
    <row r="8" spans="2:8" outlineLevel="1" collapsed="1" x14ac:dyDescent="0.25">
      <c r="B8" s="203" t="s">
        <v>466</v>
      </c>
      <c r="D8" s="201"/>
      <c r="E8" s="202"/>
      <c r="F8" s="65">
        <f>SUBTOTAL(9,F5:F7)</f>
        <v>1971254.4542760961</v>
      </c>
    </row>
    <row r="9" spans="2:8" hidden="1" outlineLevel="2" x14ac:dyDescent="0.25">
      <c r="B9" s="200" t="s">
        <v>380</v>
      </c>
      <c r="C9" t="s">
        <v>467</v>
      </c>
      <c r="D9" s="201" t="s">
        <v>67</v>
      </c>
      <c r="E9" s="202">
        <v>1218530.9927116802</v>
      </c>
      <c r="F9" s="65">
        <v>1340384.0919828485</v>
      </c>
      <c r="H9" s="63">
        <f t="shared" ref="H9:H11" si="1">+F9/13</f>
        <v>103106.46861406526</v>
      </c>
    </row>
    <row r="10" spans="2:8" hidden="1" outlineLevel="2" x14ac:dyDescent="0.25">
      <c r="B10" s="200" t="s">
        <v>380</v>
      </c>
      <c r="C10" t="s">
        <v>468</v>
      </c>
      <c r="D10" s="201" t="s">
        <v>67</v>
      </c>
      <c r="E10" s="202">
        <v>1218530.9927116802</v>
      </c>
      <c r="F10" s="65">
        <v>1340384.0919828485</v>
      </c>
      <c r="H10" s="63">
        <f t="shared" si="1"/>
        <v>103106.46861406526</v>
      </c>
    </row>
    <row r="11" spans="2:8" hidden="1" outlineLevel="2" x14ac:dyDescent="0.25">
      <c r="B11" s="200" t="s">
        <v>380</v>
      </c>
      <c r="C11" t="s">
        <v>469</v>
      </c>
      <c r="D11" s="201" t="s">
        <v>67</v>
      </c>
      <c r="E11" s="202">
        <v>913891.13574912003</v>
      </c>
      <c r="F11" s="65">
        <v>1005280.2493240321</v>
      </c>
      <c r="H11" s="63">
        <f t="shared" si="1"/>
        <v>77329.249948002471</v>
      </c>
    </row>
    <row r="12" spans="2:8" outlineLevel="1" collapsed="1" x14ac:dyDescent="0.25">
      <c r="B12" s="203" t="s">
        <v>470</v>
      </c>
      <c r="D12" s="201"/>
      <c r="E12" s="202"/>
      <c r="F12" s="65">
        <f>SUBTOTAL(9,F9:F11)</f>
        <v>3686048.4332897291</v>
      </c>
    </row>
    <row r="13" spans="2:8" hidden="1" outlineLevel="2" x14ac:dyDescent="0.25">
      <c r="B13" s="200" t="s">
        <v>381</v>
      </c>
      <c r="C13" t="s">
        <v>471</v>
      </c>
      <c r="D13" s="201" t="s">
        <v>464</v>
      </c>
      <c r="E13" s="202">
        <v>630565.92000000004</v>
      </c>
      <c r="F13" s="65">
        <v>693622.5120000001</v>
      </c>
      <c r="H13" s="63">
        <f t="shared" ref="H13:H20" si="2">+F13/13</f>
        <v>53355.577846153858</v>
      </c>
    </row>
    <row r="14" spans="2:8" hidden="1" outlineLevel="2" x14ac:dyDescent="0.25">
      <c r="B14" s="200" t="s">
        <v>381</v>
      </c>
      <c r="C14" t="s">
        <v>472</v>
      </c>
      <c r="D14" s="201" t="s">
        <v>464</v>
      </c>
      <c r="E14" s="202">
        <v>1043661.4272</v>
      </c>
      <c r="F14" s="65">
        <v>1148027.5699200002</v>
      </c>
      <c r="H14" s="63">
        <f t="shared" si="2"/>
        <v>88309.813070769247</v>
      </c>
    </row>
    <row r="15" spans="2:8" hidden="1" outlineLevel="2" x14ac:dyDescent="0.25">
      <c r="B15" s="200" t="s">
        <v>381</v>
      </c>
      <c r="C15" t="s">
        <v>473</v>
      </c>
      <c r="D15" s="201" t="s">
        <v>464</v>
      </c>
      <c r="E15" s="202">
        <v>467880.07680000004</v>
      </c>
      <c r="F15" s="65">
        <v>514668.08448000008</v>
      </c>
      <c r="H15" s="63">
        <f t="shared" si="2"/>
        <v>39589.852652307702</v>
      </c>
    </row>
    <row r="16" spans="2:8" hidden="1" outlineLevel="2" x14ac:dyDescent="0.25">
      <c r="B16" s="200" t="s">
        <v>381</v>
      </c>
      <c r="C16" t="s">
        <v>474</v>
      </c>
      <c r="D16" s="201" t="s">
        <v>464</v>
      </c>
      <c r="E16" s="202">
        <v>472343.04000000004</v>
      </c>
      <c r="F16" s="65">
        <v>519577.3440000001</v>
      </c>
      <c r="H16" s="63">
        <f t="shared" si="2"/>
        <v>39967.488000000005</v>
      </c>
    </row>
    <row r="17" spans="2:8" hidden="1" outlineLevel="2" x14ac:dyDescent="0.25">
      <c r="B17" s="200" t="s">
        <v>381</v>
      </c>
      <c r="C17" t="s">
        <v>475</v>
      </c>
      <c r="D17" s="201" t="s">
        <v>464</v>
      </c>
      <c r="E17" s="202">
        <v>658452.32640000002</v>
      </c>
      <c r="F17" s="65">
        <v>724297.55904000008</v>
      </c>
      <c r="G17" s="209"/>
      <c r="H17" s="63">
        <f t="shared" si="2"/>
        <v>55715.196849230779</v>
      </c>
    </row>
    <row r="18" spans="2:8" hidden="1" outlineLevel="2" x14ac:dyDescent="0.25">
      <c r="B18" s="200" t="s">
        <v>381</v>
      </c>
      <c r="C18" t="s">
        <v>476</v>
      </c>
      <c r="D18" s="201" t="s">
        <v>464</v>
      </c>
      <c r="E18" s="202">
        <v>437658.22080000001</v>
      </c>
      <c r="F18" s="65">
        <v>481424.04288000002</v>
      </c>
      <c r="G18" s="209"/>
      <c r="H18" s="63">
        <f t="shared" si="2"/>
        <v>37032.618683076922</v>
      </c>
    </row>
    <row r="19" spans="2:8" hidden="1" outlineLevel="2" x14ac:dyDescent="0.25">
      <c r="B19" s="200" t="s">
        <v>381</v>
      </c>
      <c r="C19" t="s">
        <v>477</v>
      </c>
      <c r="D19" s="201" t="s">
        <v>67</v>
      </c>
      <c r="E19" s="202">
        <v>1029572.9568986113</v>
      </c>
      <c r="F19" s="65">
        <v>1132530.2525884726</v>
      </c>
      <c r="G19" s="209"/>
      <c r="H19" s="63">
        <f t="shared" si="2"/>
        <v>87117.711737574806</v>
      </c>
    </row>
    <row r="20" spans="2:8" hidden="1" outlineLevel="2" x14ac:dyDescent="0.25">
      <c r="B20" s="200" t="s">
        <v>381</v>
      </c>
      <c r="C20" t="s">
        <v>478</v>
      </c>
      <c r="D20" s="201" t="s">
        <v>67</v>
      </c>
      <c r="E20" s="202">
        <v>912241.89771264</v>
      </c>
      <c r="F20" s="65">
        <v>1003466.0874839041</v>
      </c>
      <c r="H20" s="63">
        <f t="shared" si="2"/>
        <v>77189.699037223385</v>
      </c>
    </row>
    <row r="21" spans="2:8" outlineLevel="1" collapsed="1" x14ac:dyDescent="0.25">
      <c r="B21" s="203" t="s">
        <v>479</v>
      </c>
      <c r="D21" s="201"/>
      <c r="E21" s="202"/>
      <c r="F21" s="65">
        <f>SUBTOTAL(9,F13:F20)</f>
        <v>6217613.4523923779</v>
      </c>
    </row>
    <row r="22" spans="2:8" hidden="1" outlineLevel="2" x14ac:dyDescent="0.25">
      <c r="B22" s="200" t="s">
        <v>382</v>
      </c>
      <c r="C22" t="s">
        <v>480</v>
      </c>
      <c r="D22" s="201" t="s">
        <v>67</v>
      </c>
      <c r="E22" s="202">
        <v>570160.07205120008</v>
      </c>
      <c r="F22" s="65">
        <v>627176.07925632014</v>
      </c>
      <c r="H22" s="63">
        <f t="shared" ref="H22:H24" si="3">+F22/13</f>
        <v>48244.3137889477</v>
      </c>
    </row>
    <row r="23" spans="2:8" hidden="1" outlineLevel="2" x14ac:dyDescent="0.25">
      <c r="B23" s="200" t="s">
        <v>382</v>
      </c>
      <c r="C23" t="s">
        <v>481</v>
      </c>
      <c r="D23" s="201" t="s">
        <v>67</v>
      </c>
      <c r="E23" s="202">
        <v>1133225.5770316799</v>
      </c>
      <c r="F23" s="65">
        <v>1246548.134734848</v>
      </c>
      <c r="H23" s="63">
        <f t="shared" si="3"/>
        <v>95888.318056526768</v>
      </c>
    </row>
    <row r="24" spans="2:8" hidden="1" outlineLevel="2" x14ac:dyDescent="0.25">
      <c r="B24" s="200" t="s">
        <v>382</v>
      </c>
      <c r="C24" t="s">
        <v>482</v>
      </c>
      <c r="D24" s="201" t="s">
        <v>67</v>
      </c>
      <c r="E24" s="202">
        <v>1218530.9927116802</v>
      </c>
      <c r="F24" s="65">
        <v>1340384.0919828485</v>
      </c>
      <c r="H24" s="63">
        <f t="shared" si="3"/>
        <v>103106.46861406526</v>
      </c>
    </row>
    <row r="25" spans="2:8" outlineLevel="1" collapsed="1" x14ac:dyDescent="0.25">
      <c r="B25" s="203" t="s">
        <v>483</v>
      </c>
      <c r="D25" s="201"/>
      <c r="E25" s="202"/>
      <c r="F25" s="65">
        <f>SUBTOTAL(9,F22:F24)</f>
        <v>3214108.3059740169</v>
      </c>
    </row>
    <row r="26" spans="2:8" hidden="1" outlineLevel="2" x14ac:dyDescent="0.25">
      <c r="B26" s="200" t="s">
        <v>383</v>
      </c>
      <c r="C26" t="s">
        <v>484</v>
      </c>
      <c r="D26" s="201" t="s">
        <v>464</v>
      </c>
      <c r="E26" s="202">
        <v>550997.56799999997</v>
      </c>
      <c r="F26" s="65">
        <v>606097.32480000006</v>
      </c>
      <c r="H26" s="63">
        <f t="shared" ref="H26:H28" si="4">+F26/13</f>
        <v>46622.871138461545</v>
      </c>
    </row>
    <row r="27" spans="2:8" hidden="1" outlineLevel="2" x14ac:dyDescent="0.25">
      <c r="B27" s="200" t="s">
        <v>383</v>
      </c>
      <c r="C27" t="s">
        <v>485</v>
      </c>
      <c r="D27" s="201" t="s">
        <v>464</v>
      </c>
      <c r="E27" s="202">
        <v>730601.74080000003</v>
      </c>
      <c r="F27" s="65">
        <v>803661.91488000005</v>
      </c>
      <c r="H27" s="63">
        <f t="shared" si="4"/>
        <v>61820.147298461539</v>
      </c>
    </row>
    <row r="28" spans="2:8" hidden="1" outlineLevel="2" x14ac:dyDescent="0.25">
      <c r="B28" s="200" t="s">
        <v>383</v>
      </c>
      <c r="C28" t="s">
        <v>486</v>
      </c>
      <c r="D28" s="201" t="s">
        <v>464</v>
      </c>
      <c r="E28" s="202">
        <v>521958.75839999999</v>
      </c>
      <c r="F28" s="65">
        <v>574154.63424000004</v>
      </c>
      <c r="H28" s="63">
        <f t="shared" si="4"/>
        <v>44165.741095384619</v>
      </c>
    </row>
    <row r="29" spans="2:8" outlineLevel="1" collapsed="1" x14ac:dyDescent="0.25">
      <c r="B29" s="203" t="s">
        <v>487</v>
      </c>
      <c r="D29" s="201"/>
      <c r="E29" s="202"/>
      <c r="F29" s="65">
        <f>SUBTOTAL(9,F26:F28)</f>
        <v>1983913.8739200002</v>
      </c>
    </row>
    <row r="30" spans="2:8" hidden="1" outlineLevel="2" x14ac:dyDescent="0.25">
      <c r="B30" s="200" t="s">
        <v>384</v>
      </c>
      <c r="C30" t="s">
        <v>488</v>
      </c>
      <c r="D30" s="201" t="s">
        <v>464</v>
      </c>
      <c r="E30" s="202">
        <v>444406.29120000004</v>
      </c>
      <c r="F30" s="65">
        <v>488846.92032000009</v>
      </c>
      <c r="H30" s="63">
        <f t="shared" ref="H30:H31" si="5">+F30/13</f>
        <v>37603.609255384625</v>
      </c>
    </row>
    <row r="31" spans="2:8" hidden="1" outlineLevel="2" x14ac:dyDescent="0.25">
      <c r="B31" s="200" t="s">
        <v>384</v>
      </c>
      <c r="C31" t="s">
        <v>489</v>
      </c>
      <c r="D31" s="201" t="s">
        <v>67</v>
      </c>
      <c r="E31" s="202">
        <v>1218530.9927116802</v>
      </c>
      <c r="F31" s="65">
        <v>1340384.0919828485</v>
      </c>
      <c r="H31" s="63">
        <f t="shared" si="5"/>
        <v>103106.46861406526</v>
      </c>
    </row>
    <row r="32" spans="2:8" outlineLevel="1" collapsed="1" x14ac:dyDescent="0.25">
      <c r="B32" s="203" t="s">
        <v>490</v>
      </c>
      <c r="D32" s="201"/>
      <c r="E32" s="202"/>
      <c r="F32" s="65">
        <f>SUBTOTAL(9,F30:F31)</f>
        <v>1829231.0123028485</v>
      </c>
    </row>
    <row r="33" spans="2:8" hidden="1" outlineLevel="2" x14ac:dyDescent="0.25">
      <c r="B33" s="200" t="s">
        <v>385</v>
      </c>
      <c r="C33" t="s">
        <v>491</v>
      </c>
      <c r="D33" s="201" t="s">
        <v>464</v>
      </c>
      <c r="E33" s="202">
        <v>472353.984</v>
      </c>
      <c r="F33" s="65">
        <v>519589.38240000006</v>
      </c>
      <c r="H33" s="63">
        <f t="shared" ref="H33:H35" si="6">+F33/13</f>
        <v>39968.414030769236</v>
      </c>
    </row>
    <row r="34" spans="2:8" hidden="1" outlineLevel="2" x14ac:dyDescent="0.25">
      <c r="B34" s="200" t="s">
        <v>385</v>
      </c>
      <c r="C34" t="s">
        <v>492</v>
      </c>
      <c r="D34" s="201" t="s">
        <v>67</v>
      </c>
      <c r="E34" s="202">
        <v>1218530.9927116802</v>
      </c>
      <c r="F34" s="65">
        <v>1340384.0919828485</v>
      </c>
      <c r="H34" s="63">
        <f t="shared" si="6"/>
        <v>103106.46861406526</v>
      </c>
    </row>
    <row r="35" spans="2:8" hidden="1" outlineLevel="2" x14ac:dyDescent="0.25">
      <c r="B35" s="200" t="s">
        <v>385</v>
      </c>
      <c r="C35" t="s">
        <v>493</v>
      </c>
      <c r="D35" s="201" t="s">
        <v>67</v>
      </c>
      <c r="E35" s="202">
        <v>1133225.5770316799</v>
      </c>
      <c r="F35" s="65">
        <v>1246548.134734848</v>
      </c>
      <c r="H35" s="63">
        <f t="shared" si="6"/>
        <v>95888.318056526768</v>
      </c>
    </row>
    <row r="36" spans="2:8" outlineLevel="1" collapsed="1" x14ac:dyDescent="0.25">
      <c r="B36" s="203" t="s">
        <v>494</v>
      </c>
      <c r="D36" s="201"/>
      <c r="E36" s="202"/>
      <c r="F36" s="65">
        <f>SUBTOTAL(9,F33:F35)</f>
        <v>3106521.6091176965</v>
      </c>
    </row>
    <row r="37" spans="2:8" hidden="1" outlineLevel="2" x14ac:dyDescent="0.25">
      <c r="B37" s="200" t="s">
        <v>386</v>
      </c>
      <c r="C37" t="s">
        <v>495</v>
      </c>
      <c r="D37" s="201" t="s">
        <v>464</v>
      </c>
      <c r="E37" s="202">
        <v>542391.20640000014</v>
      </c>
      <c r="F37" s="65">
        <v>596630.32704000024</v>
      </c>
      <c r="H37" s="63">
        <f t="shared" ref="H37:H39" si="7">+F37/13</f>
        <v>45894.64054153848</v>
      </c>
    </row>
    <row r="38" spans="2:8" hidden="1" outlineLevel="2" x14ac:dyDescent="0.25">
      <c r="B38" s="200" t="s">
        <v>386</v>
      </c>
      <c r="C38" t="s">
        <v>496</v>
      </c>
      <c r="D38" s="201" t="s">
        <v>464</v>
      </c>
      <c r="E38" s="202">
        <v>410383.58400000003</v>
      </c>
      <c r="F38" s="65">
        <v>451421.94240000006</v>
      </c>
      <c r="H38" s="63">
        <f t="shared" si="7"/>
        <v>34724.764800000004</v>
      </c>
    </row>
    <row r="39" spans="2:8" hidden="1" outlineLevel="2" x14ac:dyDescent="0.25">
      <c r="B39" s="200" t="s">
        <v>386</v>
      </c>
      <c r="C39" t="s">
        <v>497</v>
      </c>
      <c r="D39" s="201" t="s">
        <v>67</v>
      </c>
      <c r="E39" s="202">
        <v>913898.24453376012</v>
      </c>
      <c r="F39" s="65">
        <v>1005288.0689871362</v>
      </c>
      <c r="H39" s="63">
        <f t="shared" si="7"/>
        <v>77329.851460548947</v>
      </c>
    </row>
    <row r="40" spans="2:8" outlineLevel="1" collapsed="1" x14ac:dyDescent="0.25">
      <c r="B40" s="203" t="s">
        <v>498</v>
      </c>
      <c r="D40" s="201"/>
      <c r="E40" s="202"/>
      <c r="F40" s="65">
        <f>SUBTOTAL(9,F37:F39)</f>
        <v>2053340.3384271367</v>
      </c>
    </row>
    <row r="41" spans="2:8" x14ac:dyDescent="0.25">
      <c r="B41" s="203" t="s">
        <v>499</v>
      </c>
      <c r="D41" s="201"/>
      <c r="E41" s="202"/>
      <c r="F41" s="65">
        <f>SUBTOTAL(9,F3:F39)</f>
        <v>25567973.478920642</v>
      </c>
    </row>
    <row r="42" spans="2:8" x14ac:dyDescent="0.25">
      <c r="F42" s="48"/>
    </row>
    <row r="44" spans="2:8" x14ac:dyDescent="0.25">
      <c r="B44" s="30" t="s">
        <v>122</v>
      </c>
      <c r="C44" s="30"/>
      <c r="D44" s="30"/>
      <c r="E44" s="30"/>
      <c r="F44" s="30"/>
    </row>
    <row r="45" spans="2:8" x14ac:dyDescent="0.25">
      <c r="B45" s="46" t="s">
        <v>500</v>
      </c>
      <c r="C45" s="46"/>
      <c r="D45" s="46"/>
      <c r="E45" s="1">
        <v>2016</v>
      </c>
      <c r="F45" s="1">
        <v>2017</v>
      </c>
    </row>
    <row r="46" spans="2:8" x14ac:dyDescent="0.25">
      <c r="B46" s="51" t="s">
        <v>420</v>
      </c>
      <c r="C46" s="51"/>
      <c r="D46" s="51"/>
      <c r="E46" s="51"/>
      <c r="F46" s="51"/>
    </row>
    <row r="47" spans="2:8" x14ac:dyDescent="0.25">
      <c r="B47" s="200" t="s">
        <v>501</v>
      </c>
      <c r="C47" t="s">
        <v>502</v>
      </c>
      <c r="D47" s="201" t="s">
        <v>464</v>
      </c>
      <c r="E47" s="202">
        <v>338458.52160000004</v>
      </c>
      <c r="F47" s="65">
        <v>372304.37376000005</v>
      </c>
      <c r="H47" s="63">
        <f t="shared" ref="H47:H58" si="8">+F47/13</f>
        <v>28638.797981538464</v>
      </c>
    </row>
    <row r="48" spans="2:8" x14ac:dyDescent="0.25">
      <c r="B48" s="200" t="s">
        <v>501</v>
      </c>
      <c r="C48" t="s">
        <v>503</v>
      </c>
      <c r="D48" s="201" t="s">
        <v>464</v>
      </c>
      <c r="E48" s="202">
        <v>87106.579200000007</v>
      </c>
      <c r="F48" s="65">
        <v>95817.23712000002</v>
      </c>
      <c r="H48" s="63">
        <f t="shared" si="8"/>
        <v>7370.5567015384631</v>
      </c>
    </row>
    <row r="49" spans="2:8" x14ac:dyDescent="0.25">
      <c r="B49" s="200" t="s">
        <v>501</v>
      </c>
      <c r="C49" t="s">
        <v>504</v>
      </c>
      <c r="D49" s="201" t="s">
        <v>464</v>
      </c>
      <c r="E49" s="202">
        <v>132225.408</v>
      </c>
      <c r="F49" s="65">
        <v>145447.94880000001</v>
      </c>
      <c r="H49" s="63">
        <f t="shared" si="8"/>
        <v>11188.303753846154</v>
      </c>
    </row>
    <row r="50" spans="2:8" x14ac:dyDescent="0.25">
      <c r="B50" s="200" t="s">
        <v>501</v>
      </c>
      <c r="C50" t="s">
        <v>505</v>
      </c>
      <c r="D50" s="201" t="s">
        <v>464</v>
      </c>
      <c r="E50" s="202">
        <v>132237.44640000002</v>
      </c>
      <c r="F50" s="65">
        <v>145461.19104000003</v>
      </c>
      <c r="H50" s="63">
        <f t="shared" si="8"/>
        <v>11189.322387692311</v>
      </c>
    </row>
    <row r="51" spans="2:8" x14ac:dyDescent="0.25">
      <c r="B51" s="200" t="s">
        <v>501</v>
      </c>
      <c r="C51" t="s">
        <v>506</v>
      </c>
      <c r="D51" s="201" t="s">
        <v>464</v>
      </c>
      <c r="E51" s="202">
        <v>176040</v>
      </c>
      <c r="F51" s="65">
        <v>193644.00000000003</v>
      </c>
      <c r="H51" s="63">
        <f t="shared" si="8"/>
        <v>14895.69230769231</v>
      </c>
    </row>
    <row r="52" spans="2:8" x14ac:dyDescent="0.25">
      <c r="B52" s="200" t="s">
        <v>501</v>
      </c>
      <c r="C52" t="s">
        <v>507</v>
      </c>
      <c r="D52" s="201" t="s">
        <v>464</v>
      </c>
      <c r="E52" s="202">
        <v>394786.19520000002</v>
      </c>
      <c r="F52" s="65">
        <v>434264.81472000008</v>
      </c>
      <c r="H52" s="63">
        <f t="shared" si="8"/>
        <v>33404.985747692313</v>
      </c>
    </row>
    <row r="53" spans="2:8" x14ac:dyDescent="0.25">
      <c r="B53" s="200" t="s">
        <v>501</v>
      </c>
      <c r="C53" t="s">
        <v>508</v>
      </c>
      <c r="D53" s="201" t="s">
        <v>67</v>
      </c>
      <c r="E53" s="202">
        <v>1218530.9927116802</v>
      </c>
      <c r="F53" s="65">
        <v>1340384.0919828485</v>
      </c>
      <c r="H53" s="63">
        <f t="shared" si="8"/>
        <v>103106.46861406526</v>
      </c>
    </row>
    <row r="54" spans="2:8" x14ac:dyDescent="0.25">
      <c r="B54" s="200" t="s">
        <v>501</v>
      </c>
      <c r="C54" t="s">
        <v>509</v>
      </c>
      <c r="D54" s="201" t="s">
        <v>67</v>
      </c>
      <c r="E54" s="202">
        <v>642804.45793597447</v>
      </c>
      <c r="F54" s="65">
        <v>707084.90372957196</v>
      </c>
      <c r="H54" s="63">
        <f t="shared" si="8"/>
        <v>54391.146440736302</v>
      </c>
    </row>
    <row r="55" spans="2:8" x14ac:dyDescent="0.25">
      <c r="B55" s="200" t="s">
        <v>501</v>
      </c>
      <c r="C55" t="s">
        <v>510</v>
      </c>
      <c r="D55" s="201" t="s">
        <v>464</v>
      </c>
      <c r="E55" s="202">
        <v>416522.0736</v>
      </c>
      <c r="F55" s="65">
        <v>458174.28096000006</v>
      </c>
      <c r="H55" s="63">
        <f t="shared" si="8"/>
        <v>35244.175458461541</v>
      </c>
    </row>
    <row r="56" spans="2:8" x14ac:dyDescent="0.25">
      <c r="B56" s="200" t="s">
        <v>501</v>
      </c>
      <c r="C56" t="s">
        <v>511</v>
      </c>
      <c r="D56" s="201" t="s">
        <v>67</v>
      </c>
      <c r="E56" s="202">
        <v>642804.74228736002</v>
      </c>
      <c r="F56" s="65">
        <v>707085.21651609603</v>
      </c>
      <c r="H56" s="63">
        <f t="shared" si="8"/>
        <v>54391.170501238157</v>
      </c>
    </row>
    <row r="57" spans="2:8" x14ac:dyDescent="0.25">
      <c r="B57" s="200" t="s">
        <v>501</v>
      </c>
      <c r="C57" s="210" t="s">
        <v>16</v>
      </c>
      <c r="D57" s="211" t="s">
        <v>16</v>
      </c>
      <c r="E57" s="207">
        <f>190728.7488*2</f>
        <v>381457.4976</v>
      </c>
      <c r="F57" s="208">
        <v>419603.24736000004</v>
      </c>
      <c r="G57" t="s">
        <v>462</v>
      </c>
      <c r="H57" s="63">
        <f t="shared" si="8"/>
        <v>32277.172873846157</v>
      </c>
    </row>
    <row r="58" spans="2:8" x14ac:dyDescent="0.25">
      <c r="B58" s="200" t="s">
        <v>512</v>
      </c>
      <c r="C58" s="212" t="s">
        <v>16</v>
      </c>
      <c r="D58" s="213" t="s">
        <v>16</v>
      </c>
      <c r="E58" s="202">
        <f>3075356.06833613+1357246.65078*50%</f>
        <v>3753979.39372613</v>
      </c>
      <c r="F58" s="65">
        <v>4129377.3330987436</v>
      </c>
      <c r="H58" s="63">
        <f t="shared" si="8"/>
        <v>317644.41023836489</v>
      </c>
    </row>
    <row r="59" spans="2:8" x14ac:dyDescent="0.25">
      <c r="B59" s="28"/>
      <c r="F59" s="48">
        <v>9148648.639087256</v>
      </c>
    </row>
    <row r="60" spans="2:8" x14ac:dyDescent="0.25">
      <c r="B60" s="51" t="s">
        <v>421</v>
      </c>
      <c r="C60" s="51"/>
      <c r="D60" s="51"/>
      <c r="E60" s="51"/>
      <c r="F60" s="51"/>
    </row>
    <row r="61" spans="2:8" x14ac:dyDescent="0.25">
      <c r="B61" s="200" t="s">
        <v>513</v>
      </c>
      <c r="C61" s="214" t="s">
        <v>514</v>
      </c>
      <c r="D61" s="215" t="s">
        <v>67</v>
      </c>
      <c r="E61" s="202">
        <v>1218530.9927116802</v>
      </c>
      <c r="F61" s="65">
        <v>1340384.0919828485</v>
      </c>
      <c r="H61" s="63">
        <f t="shared" ref="H61:H79" si="9">+F61/13</f>
        <v>103106.46861406526</v>
      </c>
    </row>
    <row r="62" spans="2:8" x14ac:dyDescent="0.25">
      <c r="B62" s="200" t="s">
        <v>513</v>
      </c>
      <c r="C62" s="214" t="s">
        <v>515</v>
      </c>
      <c r="D62" s="215" t="s">
        <v>67</v>
      </c>
      <c r="E62" s="202">
        <v>1133225.5770316799</v>
      </c>
      <c r="F62" s="65">
        <v>1246548.134734848</v>
      </c>
      <c r="H62" s="63">
        <f t="shared" si="9"/>
        <v>95888.318056526768</v>
      </c>
    </row>
    <row r="63" spans="2:8" x14ac:dyDescent="0.25">
      <c r="B63" s="200" t="s">
        <v>513</v>
      </c>
      <c r="C63" s="214" t="s">
        <v>516</v>
      </c>
      <c r="D63" s="215" t="s">
        <v>67</v>
      </c>
      <c r="E63" s="202">
        <v>1133225.5770316799</v>
      </c>
      <c r="F63" s="65">
        <v>1246548.134734848</v>
      </c>
      <c r="H63" s="63">
        <f t="shared" si="9"/>
        <v>95888.318056526768</v>
      </c>
    </row>
    <row r="64" spans="2:8" x14ac:dyDescent="0.25">
      <c r="B64" s="200" t="s">
        <v>513</v>
      </c>
      <c r="C64" s="214" t="s">
        <v>517</v>
      </c>
      <c r="D64" s="215" t="s">
        <v>67</v>
      </c>
      <c r="E64" s="202">
        <v>514789.74849024002</v>
      </c>
      <c r="F64" s="65">
        <v>566268.72333926405</v>
      </c>
      <c r="H64" s="63">
        <f t="shared" si="9"/>
        <v>43559.132564558771</v>
      </c>
    </row>
    <row r="65" spans="2:8" x14ac:dyDescent="0.25">
      <c r="B65" s="200" t="s">
        <v>513</v>
      </c>
      <c r="C65" s="214" t="s">
        <v>518</v>
      </c>
      <c r="D65" s="215" t="s">
        <v>67</v>
      </c>
      <c r="E65" s="202">
        <v>642804.74228736002</v>
      </c>
      <c r="F65" s="65">
        <v>707085.21651609603</v>
      </c>
      <c r="H65" s="63">
        <f t="shared" si="9"/>
        <v>54391.170501238157</v>
      </c>
    </row>
    <row r="66" spans="2:8" x14ac:dyDescent="0.25">
      <c r="B66" s="200" t="s">
        <v>513</v>
      </c>
      <c r="C66" s="214" t="s">
        <v>519</v>
      </c>
      <c r="D66" s="215" t="s">
        <v>67</v>
      </c>
      <c r="E66" s="202">
        <v>717304.80531456007</v>
      </c>
      <c r="F66" s="65">
        <v>789035.28584601614</v>
      </c>
      <c r="H66" s="63">
        <f t="shared" si="9"/>
        <v>60695.021988155087</v>
      </c>
    </row>
    <row r="67" spans="2:8" x14ac:dyDescent="0.25">
      <c r="B67" s="200" t="s">
        <v>513</v>
      </c>
      <c r="C67" s="214" t="s">
        <v>520</v>
      </c>
      <c r="D67" s="215" t="s">
        <v>67</v>
      </c>
      <c r="E67" s="202">
        <v>717304.80531456007</v>
      </c>
      <c r="F67" s="65">
        <v>789035.28584601614</v>
      </c>
      <c r="H67" s="63">
        <f t="shared" si="9"/>
        <v>60695.021988155087</v>
      </c>
    </row>
    <row r="68" spans="2:8" x14ac:dyDescent="0.25">
      <c r="B68" s="200" t="s">
        <v>513</v>
      </c>
      <c r="C68" s="214" t="s">
        <v>521</v>
      </c>
      <c r="D68" s="215" t="s">
        <v>67</v>
      </c>
      <c r="E68" s="202">
        <v>1029579.49698048</v>
      </c>
      <c r="F68" s="65">
        <v>1132537.4466785281</v>
      </c>
      <c r="H68" s="63">
        <f t="shared" si="9"/>
        <v>87118.265129117543</v>
      </c>
    </row>
    <row r="69" spans="2:8" x14ac:dyDescent="0.25">
      <c r="B69" s="200" t="s">
        <v>513</v>
      </c>
      <c r="C69" s="214" t="s">
        <v>522</v>
      </c>
      <c r="D69" s="215" t="s">
        <v>67</v>
      </c>
      <c r="E69" s="202">
        <v>717304.80531456007</v>
      </c>
      <c r="F69" s="65">
        <v>789035.28584601614</v>
      </c>
      <c r="H69" s="63">
        <f t="shared" si="9"/>
        <v>60695.021988155087</v>
      </c>
    </row>
    <row r="70" spans="2:8" x14ac:dyDescent="0.25">
      <c r="B70" s="200" t="s">
        <v>513</v>
      </c>
      <c r="C70" s="214" t="s">
        <v>523</v>
      </c>
      <c r="D70" s="215" t="s">
        <v>67</v>
      </c>
      <c r="E70" s="202">
        <v>642804.74228736002</v>
      </c>
      <c r="F70" s="65">
        <v>707085.21651609603</v>
      </c>
      <c r="H70" s="63">
        <f t="shared" si="9"/>
        <v>54391.170501238157</v>
      </c>
    </row>
    <row r="71" spans="2:8" x14ac:dyDescent="0.25">
      <c r="B71" s="200" t="s">
        <v>513</v>
      </c>
      <c r="C71" s="214" t="s">
        <v>524</v>
      </c>
      <c r="D71" s="215" t="s">
        <v>67</v>
      </c>
      <c r="E71" s="202">
        <v>1029579.49698048</v>
      </c>
      <c r="F71" s="65">
        <v>1132537.4466785281</v>
      </c>
      <c r="H71" s="63">
        <f t="shared" si="9"/>
        <v>87118.265129117543</v>
      </c>
    </row>
    <row r="72" spans="2:8" x14ac:dyDescent="0.25">
      <c r="B72" s="200" t="s">
        <v>513</v>
      </c>
      <c r="C72" s="214" t="s">
        <v>525</v>
      </c>
      <c r="D72" s="215" t="s">
        <v>67</v>
      </c>
      <c r="E72" s="202">
        <v>912234.78892800002</v>
      </c>
      <c r="F72" s="65">
        <v>1003458.2678208001</v>
      </c>
      <c r="H72" s="63">
        <f t="shared" si="9"/>
        <v>77189.097524676923</v>
      </c>
    </row>
    <row r="73" spans="2:8" x14ac:dyDescent="0.25">
      <c r="B73" s="200" t="s">
        <v>513</v>
      </c>
      <c r="C73" s="214" t="s">
        <v>526</v>
      </c>
      <c r="D73" s="215" t="s">
        <v>67</v>
      </c>
      <c r="E73" s="202">
        <v>342093.16417294083</v>
      </c>
      <c r="F73" s="65">
        <v>376302.48059023492</v>
      </c>
      <c r="H73" s="63">
        <f t="shared" si="9"/>
        <v>28946.344660787301</v>
      </c>
    </row>
    <row r="74" spans="2:8" x14ac:dyDescent="0.25">
      <c r="B74" s="200" t="s">
        <v>513</v>
      </c>
      <c r="C74" s="214" t="s">
        <v>527</v>
      </c>
      <c r="D74" s="215" t="s">
        <v>67</v>
      </c>
      <c r="E74" s="202">
        <v>456128.05764095997</v>
      </c>
      <c r="F74" s="65">
        <v>501740.86340505601</v>
      </c>
      <c r="H74" s="63">
        <f t="shared" si="9"/>
        <v>38595.451031158154</v>
      </c>
    </row>
    <row r="75" spans="2:8" x14ac:dyDescent="0.25">
      <c r="B75" s="200" t="s">
        <v>513</v>
      </c>
      <c r="C75" s="214" t="s">
        <v>528</v>
      </c>
      <c r="D75" s="215" t="s">
        <v>67</v>
      </c>
      <c r="E75" s="202">
        <v>537978.60398591997</v>
      </c>
      <c r="F75" s="65">
        <v>591776.46438451204</v>
      </c>
      <c r="H75" s="63">
        <f t="shared" si="9"/>
        <v>45521.266491116308</v>
      </c>
    </row>
    <row r="76" spans="2:8" x14ac:dyDescent="0.25">
      <c r="B76" s="200" t="s">
        <v>513</v>
      </c>
      <c r="C76" s="214" t="s">
        <v>529</v>
      </c>
      <c r="D76" s="215" t="s">
        <v>67</v>
      </c>
      <c r="E76" s="202">
        <v>1029579.49698048</v>
      </c>
      <c r="F76" s="65">
        <v>1132537.4466785281</v>
      </c>
      <c r="H76" s="63">
        <f t="shared" si="9"/>
        <v>87118.265129117543</v>
      </c>
    </row>
    <row r="77" spans="2:8" x14ac:dyDescent="0.25">
      <c r="B77" s="200" t="s">
        <v>513</v>
      </c>
      <c r="C77" s="214" t="s">
        <v>530</v>
      </c>
      <c r="D77" s="215" t="s">
        <v>67</v>
      </c>
      <c r="E77" s="202">
        <v>912248.43779450888</v>
      </c>
      <c r="F77" s="65">
        <v>1003473.2815739599</v>
      </c>
      <c r="H77" s="63">
        <f t="shared" si="9"/>
        <v>77190.252428766136</v>
      </c>
    </row>
    <row r="78" spans="2:8" x14ac:dyDescent="0.25">
      <c r="B78" s="200" t="s">
        <v>513</v>
      </c>
      <c r="C78" s="214" t="s">
        <v>531</v>
      </c>
      <c r="D78" s="215" t="s">
        <v>67</v>
      </c>
      <c r="E78" s="202">
        <v>1133225.5770316799</v>
      </c>
      <c r="F78" s="65">
        <v>1246548.134734848</v>
      </c>
      <c r="H78" s="63">
        <f t="shared" si="9"/>
        <v>95888.318056526768</v>
      </c>
    </row>
    <row r="79" spans="2:8" x14ac:dyDescent="0.25">
      <c r="B79" s="200" t="s">
        <v>513</v>
      </c>
      <c r="C79" t="s">
        <v>532</v>
      </c>
      <c r="D79" s="215" t="s">
        <v>67</v>
      </c>
      <c r="E79" s="202">
        <v>1066218.1730150401</v>
      </c>
      <c r="F79" s="65">
        <v>1172839.9903165442</v>
      </c>
      <c r="H79" s="63">
        <f t="shared" si="9"/>
        <v>90218.460793580321</v>
      </c>
    </row>
    <row r="80" spans="2:8" x14ac:dyDescent="0.25">
      <c r="F80" s="48">
        <v>17474777.198223557</v>
      </c>
    </row>
    <row r="81" spans="2:8" x14ac:dyDescent="0.25">
      <c r="B81" s="200" t="s">
        <v>533</v>
      </c>
      <c r="C81" t="s">
        <v>534</v>
      </c>
      <c r="D81" s="215" t="s">
        <v>67</v>
      </c>
      <c r="E81" s="37">
        <v>1029579.49698048</v>
      </c>
      <c r="F81" s="65">
        <v>1132537.4466785281</v>
      </c>
      <c r="G81" s="37"/>
      <c r="H81" s="63">
        <f t="shared" ref="H81:H85" si="10">+F81/13</f>
        <v>87118.265129117543</v>
      </c>
    </row>
    <row r="82" spans="2:8" x14ac:dyDescent="0.25">
      <c r="B82" s="200" t="s">
        <v>533</v>
      </c>
      <c r="C82" t="s">
        <v>535</v>
      </c>
      <c r="D82" s="215" t="s">
        <v>67</v>
      </c>
      <c r="E82" s="37">
        <v>1029579.49698048</v>
      </c>
      <c r="F82" s="65">
        <v>1132537.4466785281</v>
      </c>
      <c r="H82" s="63">
        <f t="shared" si="10"/>
        <v>87118.265129117543</v>
      </c>
    </row>
    <row r="83" spans="2:8" x14ac:dyDescent="0.25">
      <c r="B83" s="200" t="s">
        <v>533</v>
      </c>
      <c r="C83" t="s">
        <v>536</v>
      </c>
      <c r="D83" s="215" t="s">
        <v>67</v>
      </c>
      <c r="E83" s="37">
        <v>1029579.49698048</v>
      </c>
      <c r="F83" s="65">
        <v>1132537.4466785281</v>
      </c>
      <c r="H83" s="63">
        <f t="shared" si="10"/>
        <v>87118.265129117543</v>
      </c>
    </row>
    <row r="84" spans="2:8" x14ac:dyDescent="0.25">
      <c r="B84" s="200" t="s">
        <v>533</v>
      </c>
      <c r="C84" t="s">
        <v>537</v>
      </c>
      <c r="D84" s="215" t="s">
        <v>67</v>
      </c>
      <c r="E84" s="37">
        <v>546194</v>
      </c>
      <c r="F84" s="65">
        <v>600813.4</v>
      </c>
      <c r="H84" s="63">
        <f t="shared" si="10"/>
        <v>46216.415384615386</v>
      </c>
    </row>
    <row r="85" spans="2:8" x14ac:dyDescent="0.25">
      <c r="B85" s="200" t="s">
        <v>538</v>
      </c>
      <c r="C85" s="212" t="s">
        <v>16</v>
      </c>
      <c r="D85" s="213" t="s">
        <v>16</v>
      </c>
      <c r="E85" s="213" t="s">
        <v>16</v>
      </c>
      <c r="F85" s="65">
        <f>5325277.33089584-SUM(F81:F84)</f>
        <v>1326851.590860256</v>
      </c>
      <c r="H85" s="63">
        <f t="shared" si="10"/>
        <v>102065.50698925045</v>
      </c>
    </row>
    <row r="86" spans="2:8" x14ac:dyDescent="0.25">
      <c r="F86" s="48">
        <v>5325277.3308958393</v>
      </c>
    </row>
    <row r="88" spans="2:8" x14ac:dyDescent="0.25">
      <c r="B88" s="30" t="s">
        <v>57</v>
      </c>
      <c r="C88" s="30"/>
      <c r="D88" s="30"/>
      <c r="E88" s="30"/>
      <c r="F88" s="30"/>
    </row>
    <row r="89" spans="2:8" x14ac:dyDescent="0.25">
      <c r="B89" s="46" t="s">
        <v>539</v>
      </c>
      <c r="C89" s="46"/>
      <c r="D89" s="46"/>
      <c r="E89" s="1">
        <v>2016</v>
      </c>
      <c r="F89" s="1">
        <v>2017</v>
      </c>
    </row>
    <row r="90" spans="2:8" x14ac:dyDescent="0.25">
      <c r="B90" s="51" t="s">
        <v>369</v>
      </c>
      <c r="C90" s="51"/>
      <c r="D90" s="51"/>
      <c r="E90" s="51"/>
      <c r="F90" s="51"/>
    </row>
    <row r="91" spans="2:8" x14ac:dyDescent="0.25">
      <c r="B91" s="200" t="s">
        <v>275</v>
      </c>
      <c r="C91" t="s">
        <v>540</v>
      </c>
      <c r="D91" s="215" t="s">
        <v>67</v>
      </c>
      <c r="E91" s="37">
        <v>537992.82155520003</v>
      </c>
      <c r="F91" s="65">
        <v>591792.10371072008</v>
      </c>
      <c r="G91" s="37"/>
      <c r="H91" s="63">
        <f t="shared" ref="H91:H94" si="11">+F91/13</f>
        <v>45522.469516209239</v>
      </c>
    </row>
    <row r="92" spans="2:8" x14ac:dyDescent="0.25">
      <c r="B92" s="200" t="s">
        <v>275</v>
      </c>
      <c r="C92" t="s">
        <v>541</v>
      </c>
      <c r="D92" s="215" t="s">
        <v>67</v>
      </c>
      <c r="E92" s="37">
        <v>537964.38641664002</v>
      </c>
      <c r="F92" s="65">
        <v>591760.82505830412</v>
      </c>
      <c r="H92" s="63">
        <f t="shared" si="11"/>
        <v>45520.063466023392</v>
      </c>
    </row>
    <row r="93" spans="2:8" x14ac:dyDescent="0.25">
      <c r="B93" s="200" t="s">
        <v>275</v>
      </c>
      <c r="C93" s="212" t="s">
        <v>16</v>
      </c>
      <c r="D93" s="213" t="s">
        <v>16</v>
      </c>
      <c r="E93" s="62">
        <f>(2043918.682068-424195.39703808-E91-E92-E94)+424195.39703808</f>
        <v>429976.32209615986</v>
      </c>
      <c r="F93" s="208">
        <v>472973.95430577587</v>
      </c>
      <c r="G93" t="s">
        <v>462</v>
      </c>
      <c r="H93" s="63">
        <f t="shared" si="11"/>
        <v>36382.611869675064</v>
      </c>
    </row>
    <row r="94" spans="2:8" x14ac:dyDescent="0.25">
      <c r="B94" s="200" t="s">
        <v>275</v>
      </c>
      <c r="C94" t="s">
        <v>542</v>
      </c>
      <c r="D94" s="215" t="s">
        <v>67</v>
      </c>
      <c r="E94" s="37">
        <v>537985.15200000012</v>
      </c>
      <c r="F94" s="65">
        <v>591783.66720000014</v>
      </c>
      <c r="H94" s="63">
        <f t="shared" si="11"/>
        <v>45521.820553846163</v>
      </c>
    </row>
    <row r="95" spans="2:8" x14ac:dyDescent="0.25">
      <c r="B95" s="46" t="s">
        <v>543</v>
      </c>
      <c r="C95" s="46"/>
      <c r="D95" s="46"/>
      <c r="E95" s="1">
        <v>2016</v>
      </c>
      <c r="F95" s="1">
        <v>2017</v>
      </c>
    </row>
    <row r="96" spans="2:8" x14ac:dyDescent="0.25">
      <c r="B96" s="51" t="s">
        <v>370</v>
      </c>
      <c r="C96" s="51"/>
      <c r="D96" s="51"/>
      <c r="E96" s="51"/>
      <c r="F96" s="51"/>
    </row>
    <row r="97" spans="2:8" x14ac:dyDescent="0.25">
      <c r="B97" s="200" t="s">
        <v>86</v>
      </c>
      <c r="C97" t="s">
        <v>544</v>
      </c>
      <c r="D97" s="215" t="s">
        <v>67</v>
      </c>
      <c r="E97" s="37">
        <v>1218534.1205769219</v>
      </c>
      <c r="F97" s="65">
        <v>1340387.532634614</v>
      </c>
      <c r="G97" s="202"/>
      <c r="H97" s="63">
        <f t="shared" ref="H97:H113" si="12">+F97/13</f>
        <v>103106.73327958569</v>
      </c>
    </row>
    <row r="98" spans="2:8" x14ac:dyDescent="0.25">
      <c r="B98" s="200" t="s">
        <v>86</v>
      </c>
      <c r="C98" t="s">
        <v>545</v>
      </c>
      <c r="D98" s="215" t="s">
        <v>67</v>
      </c>
      <c r="E98" s="37">
        <v>575228.63549952011</v>
      </c>
      <c r="F98" s="65">
        <v>632751.49904947216</v>
      </c>
      <c r="G98" s="202"/>
      <c r="H98" s="63">
        <f t="shared" si="12"/>
        <v>48673.192234574781</v>
      </c>
    </row>
    <row r="99" spans="2:8" x14ac:dyDescent="0.25">
      <c r="B99" s="200" t="s">
        <v>86</v>
      </c>
      <c r="C99" t="s">
        <v>546</v>
      </c>
      <c r="D99" s="215" t="s">
        <v>67</v>
      </c>
      <c r="E99" s="37">
        <v>843900.59519999998</v>
      </c>
      <c r="F99" s="65">
        <v>928290.65472000011</v>
      </c>
      <c r="G99" s="202"/>
      <c r="H99" s="63">
        <f t="shared" si="12"/>
        <v>71406.973440000002</v>
      </c>
    </row>
    <row r="100" spans="2:8" x14ac:dyDescent="0.25">
      <c r="B100" s="200" t="s">
        <v>86</v>
      </c>
      <c r="C100" t="s">
        <v>547</v>
      </c>
      <c r="D100" s="215" t="s">
        <v>67</v>
      </c>
      <c r="E100" s="37">
        <v>1029579.49698048</v>
      </c>
      <c r="F100" s="65">
        <v>1132537.4466785281</v>
      </c>
      <c r="H100" s="63">
        <f t="shared" si="12"/>
        <v>87118.265129117543</v>
      </c>
    </row>
    <row r="101" spans="2:8" x14ac:dyDescent="0.25">
      <c r="B101" s="200" t="s">
        <v>86</v>
      </c>
      <c r="C101" t="s">
        <v>548</v>
      </c>
      <c r="D101" s="201" t="s">
        <v>464</v>
      </c>
      <c r="E101" s="37">
        <v>797405.01120000007</v>
      </c>
      <c r="F101" s="65">
        <v>877145.5123200001</v>
      </c>
      <c r="H101" s="63">
        <f t="shared" si="12"/>
        <v>67472.731716923081</v>
      </c>
    </row>
    <row r="102" spans="2:8" x14ac:dyDescent="0.25">
      <c r="B102" s="200" t="s">
        <v>86</v>
      </c>
      <c r="C102" t="s">
        <v>549</v>
      </c>
      <c r="D102" s="201" t="s">
        <v>464</v>
      </c>
      <c r="E102" s="37">
        <v>622731.11040000001</v>
      </c>
      <c r="F102" s="65">
        <v>685004.22144000011</v>
      </c>
      <c r="H102" s="63">
        <f t="shared" si="12"/>
        <v>52692.632418461544</v>
      </c>
    </row>
    <row r="103" spans="2:8" x14ac:dyDescent="0.25">
      <c r="B103" s="200" t="s">
        <v>86</v>
      </c>
      <c r="C103" t="s">
        <v>550</v>
      </c>
      <c r="D103" s="215" t="s">
        <v>67</v>
      </c>
      <c r="E103" s="37">
        <v>912261.54700800008</v>
      </c>
      <c r="F103" s="65">
        <v>1003487.7017088002</v>
      </c>
      <c r="H103" s="63">
        <f t="shared" si="12"/>
        <v>77191.36166990771</v>
      </c>
    </row>
    <row r="104" spans="2:8" x14ac:dyDescent="0.25">
      <c r="B104" s="200" t="s">
        <v>86</v>
      </c>
      <c r="C104" t="s">
        <v>551</v>
      </c>
      <c r="D104" s="215" t="s">
        <v>67</v>
      </c>
      <c r="E104" s="37">
        <v>1029572.9568986113</v>
      </c>
      <c r="F104" s="65">
        <v>1132530.2525884726</v>
      </c>
      <c r="H104" s="63">
        <f t="shared" si="12"/>
        <v>87117.711737574806</v>
      </c>
    </row>
    <row r="105" spans="2:8" x14ac:dyDescent="0.25">
      <c r="B105" s="200" t="s">
        <v>86</v>
      </c>
      <c r="C105" t="s">
        <v>552</v>
      </c>
      <c r="D105" s="215" t="s">
        <v>67</v>
      </c>
      <c r="E105" s="37">
        <v>524471.9131699201</v>
      </c>
      <c r="F105" s="65">
        <v>576919.10448691214</v>
      </c>
      <c r="H105" s="63">
        <f t="shared" si="12"/>
        <v>44378.392652839393</v>
      </c>
    </row>
    <row r="106" spans="2:8" x14ac:dyDescent="0.25">
      <c r="B106" s="200" t="s">
        <v>86</v>
      </c>
      <c r="C106" t="s">
        <v>553</v>
      </c>
      <c r="D106" s="215" t="s">
        <v>67</v>
      </c>
      <c r="E106" s="37">
        <v>575228.63549952011</v>
      </c>
      <c r="F106" s="65">
        <v>632751.49904947216</v>
      </c>
      <c r="H106" s="63">
        <f t="shared" si="12"/>
        <v>48673.192234574781</v>
      </c>
    </row>
    <row r="107" spans="2:8" x14ac:dyDescent="0.25">
      <c r="B107" s="200" t="s">
        <v>86</v>
      </c>
      <c r="C107" t="s">
        <v>554</v>
      </c>
      <c r="D107" s="215" t="s">
        <v>67</v>
      </c>
      <c r="E107" s="37">
        <v>524471.9131699201</v>
      </c>
      <c r="F107" s="65">
        <v>576919.10448691214</v>
      </c>
      <c r="H107" s="63">
        <f t="shared" si="12"/>
        <v>44378.392652839393</v>
      </c>
    </row>
    <row r="108" spans="2:8" x14ac:dyDescent="0.25">
      <c r="B108" s="200" t="s">
        <v>86</v>
      </c>
      <c r="C108" t="s">
        <v>555</v>
      </c>
      <c r="D108" s="215" t="s">
        <v>67</v>
      </c>
      <c r="E108" s="37">
        <v>566612.78851583996</v>
      </c>
      <c r="F108" s="65">
        <v>623274.06736742402</v>
      </c>
      <c r="H108" s="63">
        <f t="shared" si="12"/>
        <v>47944.159028263384</v>
      </c>
    </row>
    <row r="109" spans="2:8" x14ac:dyDescent="0.25">
      <c r="B109" s="200" t="s">
        <v>86</v>
      </c>
      <c r="C109" t="s">
        <v>556</v>
      </c>
      <c r="D109" s="215" t="s">
        <v>67</v>
      </c>
      <c r="E109" s="37">
        <v>393356.51481600001</v>
      </c>
      <c r="F109" s="65">
        <v>432692.16629760002</v>
      </c>
      <c r="H109" s="63">
        <f t="shared" si="12"/>
        <v>33284.012792123081</v>
      </c>
    </row>
    <row r="110" spans="2:8" x14ac:dyDescent="0.25">
      <c r="B110" s="200" t="s">
        <v>86</v>
      </c>
      <c r="C110" t="s">
        <v>557</v>
      </c>
      <c r="D110" s="215" t="s">
        <v>67</v>
      </c>
      <c r="E110" s="37">
        <v>524480.69375999994</v>
      </c>
      <c r="F110" s="65">
        <v>576928.76313600002</v>
      </c>
      <c r="H110" s="63">
        <f t="shared" si="12"/>
        <v>44379.135625846153</v>
      </c>
    </row>
    <row r="111" spans="2:8" x14ac:dyDescent="0.25">
      <c r="B111" s="200" t="s">
        <v>86</v>
      </c>
      <c r="C111" t="s">
        <v>558</v>
      </c>
      <c r="D111" s="215" t="s">
        <v>67</v>
      </c>
      <c r="E111" s="37">
        <v>524480.69375999994</v>
      </c>
      <c r="F111" s="65">
        <v>576928.76313600002</v>
      </c>
      <c r="H111" s="63">
        <f t="shared" si="12"/>
        <v>44379.135625846153</v>
      </c>
    </row>
    <row r="112" spans="2:8" x14ac:dyDescent="0.25">
      <c r="B112" s="200" t="s">
        <v>86</v>
      </c>
      <c r="C112" t="s">
        <v>559</v>
      </c>
      <c r="D112" s="215" t="s">
        <v>67</v>
      </c>
      <c r="E112" s="37">
        <v>1133225.5770316799</v>
      </c>
      <c r="F112" s="65">
        <v>1246548.134734848</v>
      </c>
      <c r="H112" s="63">
        <f t="shared" si="12"/>
        <v>95888.318056526768</v>
      </c>
    </row>
    <row r="113" spans="2:8" x14ac:dyDescent="0.25">
      <c r="B113" s="200" t="s">
        <v>86</v>
      </c>
      <c r="C113" t="s">
        <v>560</v>
      </c>
      <c r="D113" s="215" t="s">
        <v>67</v>
      </c>
      <c r="E113" s="37">
        <v>912241.89771264</v>
      </c>
      <c r="F113" s="65">
        <v>1003466.0874839041</v>
      </c>
      <c r="H113" s="63">
        <f t="shared" si="12"/>
        <v>77189.699037223385</v>
      </c>
    </row>
    <row r="114" spans="2:8" x14ac:dyDescent="0.25">
      <c r="B114" s="28"/>
      <c r="E114" s="37"/>
      <c r="F114" s="48">
        <v>13978562.511318922</v>
      </c>
    </row>
    <row r="115" spans="2:8" x14ac:dyDescent="0.25">
      <c r="B115" s="51" t="s">
        <v>372</v>
      </c>
      <c r="C115" s="51"/>
      <c r="D115" s="51"/>
      <c r="E115" s="51"/>
      <c r="F115" s="51"/>
    </row>
    <row r="116" spans="2:8" x14ac:dyDescent="0.25">
      <c r="B116" s="200" t="s">
        <v>118</v>
      </c>
      <c r="C116" t="s">
        <v>561</v>
      </c>
      <c r="D116" s="201" t="s">
        <v>464</v>
      </c>
      <c r="E116" s="37">
        <v>506205.96480000002</v>
      </c>
      <c r="F116" s="65">
        <v>556826.56128000002</v>
      </c>
      <c r="H116" s="63">
        <f t="shared" ref="H116:H123" si="13">+F116/13</f>
        <v>42832.812406153847</v>
      </c>
    </row>
    <row r="117" spans="2:8" x14ac:dyDescent="0.25">
      <c r="B117" s="200" t="s">
        <v>118</v>
      </c>
      <c r="C117" t="s">
        <v>562</v>
      </c>
      <c r="D117" s="201" t="s">
        <v>464</v>
      </c>
      <c r="E117" s="37">
        <v>409094.38080000004</v>
      </c>
      <c r="F117" s="65">
        <v>450003.81888000009</v>
      </c>
      <c r="H117" s="63">
        <f t="shared" si="13"/>
        <v>34615.678375384625</v>
      </c>
    </row>
    <row r="118" spans="2:8" x14ac:dyDescent="0.25">
      <c r="B118" s="200" t="s">
        <v>118</v>
      </c>
      <c r="C118" t="s">
        <v>563</v>
      </c>
      <c r="D118" s="215" t="s">
        <v>67</v>
      </c>
      <c r="E118" s="37">
        <v>684192.08646144008</v>
      </c>
      <c r="F118" s="65">
        <v>752611.2951075841</v>
      </c>
      <c r="H118" s="63">
        <f t="shared" si="13"/>
        <v>57893.176546737239</v>
      </c>
    </row>
    <row r="119" spans="2:8" x14ac:dyDescent="0.25">
      <c r="B119" s="200" t="s">
        <v>118</v>
      </c>
      <c r="C119" t="s">
        <v>564</v>
      </c>
      <c r="D119" s="201" t="s">
        <v>464</v>
      </c>
      <c r="E119" s="37">
        <v>471188.55263832037</v>
      </c>
      <c r="F119" s="65">
        <v>518307.40790215245</v>
      </c>
      <c r="H119" s="63">
        <f t="shared" si="13"/>
        <v>39869.800607857884</v>
      </c>
    </row>
    <row r="120" spans="2:8" x14ac:dyDescent="0.25">
      <c r="B120" s="200" t="s">
        <v>118</v>
      </c>
      <c r="C120" t="s">
        <v>565</v>
      </c>
      <c r="D120" s="201" t="s">
        <v>464</v>
      </c>
      <c r="E120" s="37">
        <v>471188.55263832037</v>
      </c>
      <c r="F120" s="65">
        <v>518307.40790215245</v>
      </c>
      <c r="H120" s="63">
        <f t="shared" si="13"/>
        <v>39869.800607857884</v>
      </c>
    </row>
    <row r="121" spans="2:8" x14ac:dyDescent="0.25">
      <c r="B121" s="200" t="s">
        <v>118</v>
      </c>
      <c r="C121" t="s">
        <v>566</v>
      </c>
      <c r="D121" s="201" t="s">
        <v>464</v>
      </c>
      <c r="E121" s="37">
        <v>313105.46926457441</v>
      </c>
      <c r="F121" s="65">
        <v>344416.0161910319</v>
      </c>
      <c r="H121" s="63">
        <f t="shared" si="13"/>
        <v>26493.539707002456</v>
      </c>
    </row>
    <row r="122" spans="2:8" x14ac:dyDescent="0.25">
      <c r="B122" s="200" t="s">
        <v>118</v>
      </c>
      <c r="C122" t="s">
        <v>567</v>
      </c>
      <c r="D122" s="201" t="s">
        <v>464</v>
      </c>
      <c r="E122" s="37">
        <v>239291</v>
      </c>
      <c r="F122" s="65">
        <v>263220.10000000003</v>
      </c>
      <c r="H122" s="63">
        <f t="shared" si="13"/>
        <v>20247.700000000004</v>
      </c>
    </row>
    <row r="123" spans="2:8" x14ac:dyDescent="0.25">
      <c r="B123" s="200" t="s">
        <v>118</v>
      </c>
      <c r="C123" t="s">
        <v>568</v>
      </c>
      <c r="D123" s="201" t="s">
        <v>464</v>
      </c>
      <c r="E123" s="37">
        <v>127270</v>
      </c>
      <c r="F123" s="65">
        <v>139997</v>
      </c>
      <c r="H123" s="63">
        <f t="shared" si="13"/>
        <v>10769</v>
      </c>
    </row>
    <row r="124" spans="2:8" x14ac:dyDescent="0.25">
      <c r="F124" s="48">
        <v>3543689.6072629262</v>
      </c>
    </row>
    <row r="126" spans="2:8" x14ac:dyDescent="0.25">
      <c r="B126" s="30" t="s">
        <v>17</v>
      </c>
      <c r="C126" s="30"/>
      <c r="D126" s="30"/>
      <c r="E126" s="30"/>
      <c r="F126" s="30"/>
    </row>
    <row r="127" spans="2:8" x14ac:dyDescent="0.25">
      <c r="B127" s="46" t="s">
        <v>329</v>
      </c>
      <c r="C127" s="46"/>
      <c r="D127" s="46"/>
      <c r="E127" s="1">
        <v>2016</v>
      </c>
      <c r="F127" s="1">
        <v>2017</v>
      </c>
    </row>
    <row r="128" spans="2:8" x14ac:dyDescent="0.25">
      <c r="B128" s="51" t="s">
        <v>367</v>
      </c>
      <c r="C128" s="51"/>
      <c r="D128" s="51"/>
      <c r="E128" s="51"/>
      <c r="F128" s="51"/>
    </row>
    <row r="129" spans="2:8" x14ac:dyDescent="0.25">
      <c r="B129" s="200" t="s">
        <v>431</v>
      </c>
      <c r="C129" t="s">
        <v>569</v>
      </c>
      <c r="D129" s="201" t="s">
        <v>464</v>
      </c>
      <c r="E129" s="37">
        <v>406176.99757056002</v>
      </c>
      <c r="F129" s="65">
        <v>446794.69732761604</v>
      </c>
      <c r="G129" s="36"/>
      <c r="H129" s="63">
        <f t="shared" ref="H129:H131" si="14">+F129/13</f>
        <v>34368.822871355078</v>
      </c>
    </row>
    <row r="130" spans="2:8" x14ac:dyDescent="0.25">
      <c r="B130" s="200" t="s">
        <v>431</v>
      </c>
      <c r="C130" t="s">
        <v>570</v>
      </c>
      <c r="D130" s="201" t="s">
        <v>464</v>
      </c>
      <c r="E130" s="37"/>
      <c r="F130" s="65">
        <v>0</v>
      </c>
      <c r="G130" s="36"/>
      <c r="H130" s="63">
        <f t="shared" si="14"/>
        <v>0</v>
      </c>
    </row>
    <row r="131" spans="2:8" x14ac:dyDescent="0.25">
      <c r="B131" s="200" t="s">
        <v>431</v>
      </c>
      <c r="C131" t="s">
        <v>571</v>
      </c>
      <c r="D131" s="201" t="s">
        <v>464</v>
      </c>
      <c r="E131" s="37"/>
      <c r="F131" s="65">
        <v>0</v>
      </c>
      <c r="G131" s="36"/>
      <c r="H131" s="63">
        <f t="shared" si="14"/>
        <v>0</v>
      </c>
    </row>
    <row r="132" spans="2:8" x14ac:dyDescent="0.25">
      <c r="F132" s="48">
        <v>446794.69732761604</v>
      </c>
      <c r="G132" s="36"/>
    </row>
    <row r="133" spans="2:8" x14ac:dyDescent="0.25">
      <c r="B133" s="46" t="s">
        <v>309</v>
      </c>
      <c r="C133" s="46"/>
      <c r="D133" s="46"/>
      <c r="E133" s="46"/>
      <c r="F133" s="46"/>
      <c r="G133" s="36"/>
    </row>
    <row r="134" spans="2:8" hidden="1" outlineLevel="2" x14ac:dyDescent="0.25">
      <c r="B134" s="200" t="s">
        <v>352</v>
      </c>
      <c r="C134" t="s">
        <v>572</v>
      </c>
      <c r="D134" s="215" t="s">
        <v>67</v>
      </c>
      <c r="E134" s="37">
        <v>537977.32440468483</v>
      </c>
      <c r="F134" s="65">
        <v>591775.05684515333</v>
      </c>
      <c r="G134" s="36"/>
      <c r="H134" s="63">
        <f t="shared" ref="H134:H141" si="15">+F134/13</f>
        <v>45521.158218857949</v>
      </c>
    </row>
    <row r="135" spans="2:8" hidden="1" outlineLevel="2" x14ac:dyDescent="0.25">
      <c r="B135" s="200" t="s">
        <v>352</v>
      </c>
      <c r="C135" t="s">
        <v>573</v>
      </c>
      <c r="D135" s="215" t="s">
        <v>67</v>
      </c>
      <c r="E135" s="37">
        <v>636312.9290662657</v>
      </c>
      <c r="F135" s="65">
        <v>699944.22197289229</v>
      </c>
      <c r="G135" s="36"/>
      <c r="H135" s="63">
        <f t="shared" si="15"/>
        <v>53841.863228684022</v>
      </c>
    </row>
    <row r="136" spans="2:8" hidden="1" outlineLevel="2" x14ac:dyDescent="0.25">
      <c r="B136" s="200" t="s">
        <v>352</v>
      </c>
      <c r="C136" t="s">
        <v>574</v>
      </c>
      <c r="D136" s="215" t="s">
        <v>67</v>
      </c>
      <c r="E136" s="37">
        <f>1537284.87308181-E134-E135</f>
        <v>362994.61961085955</v>
      </c>
      <c r="F136" s="65">
        <v>399294.08157194551</v>
      </c>
      <c r="G136" s="36"/>
      <c r="H136" s="63">
        <f t="shared" si="15"/>
        <v>30714.929351688115</v>
      </c>
    </row>
    <row r="137" spans="2:8" outlineLevel="1" collapsed="1" x14ac:dyDescent="0.25">
      <c r="B137" s="203" t="s">
        <v>579</v>
      </c>
      <c r="D137" s="215"/>
      <c r="E137" s="37"/>
      <c r="F137" s="65">
        <f>SUBTOTAL(9,F134:F136)</f>
        <v>1691013.3603899912</v>
      </c>
      <c r="G137" s="36"/>
      <c r="H137" s="63">
        <f>SUBTOTAL(9,H134:H136)</f>
        <v>130077.95079923009</v>
      </c>
    </row>
    <row r="138" spans="2:8" hidden="1" outlineLevel="2" x14ac:dyDescent="0.25">
      <c r="B138" s="200" t="s">
        <v>41</v>
      </c>
      <c r="C138" s="216" t="s">
        <v>575</v>
      </c>
      <c r="D138" s="215" t="s">
        <v>67</v>
      </c>
      <c r="E138" s="217">
        <v>537992.82155520003</v>
      </c>
      <c r="F138" s="65">
        <v>591792.10371072008</v>
      </c>
      <c r="G138" s="36"/>
      <c r="H138" s="63">
        <f t="shared" si="15"/>
        <v>45522.469516209239</v>
      </c>
    </row>
    <row r="139" spans="2:8" hidden="1" outlineLevel="2" x14ac:dyDescent="0.25">
      <c r="B139" s="200" t="s">
        <v>41</v>
      </c>
      <c r="C139" t="s">
        <v>576</v>
      </c>
      <c r="D139" s="215" t="s">
        <v>67</v>
      </c>
      <c r="E139" s="37">
        <f>(1436837.22945357-424208.61937751-E140)+424208.61937751</f>
        <v>664657.51177961146</v>
      </c>
      <c r="F139" s="65">
        <v>731123.2629575727</v>
      </c>
      <c r="G139" s="36"/>
      <c r="H139" s="63">
        <f t="shared" si="15"/>
        <v>56240.250996736359</v>
      </c>
    </row>
    <row r="140" spans="2:8" hidden="1" outlineLevel="2" x14ac:dyDescent="0.25">
      <c r="B140" s="200" t="s">
        <v>41</v>
      </c>
      <c r="C140" t="s">
        <v>577</v>
      </c>
      <c r="D140" s="215" t="s">
        <v>67</v>
      </c>
      <c r="E140" s="37">
        <v>772179.71767395851</v>
      </c>
      <c r="F140" s="65">
        <v>849397.68944135448</v>
      </c>
      <c r="G140" s="36"/>
      <c r="H140" s="63">
        <f t="shared" si="15"/>
        <v>65338.283803181112</v>
      </c>
    </row>
    <row r="141" spans="2:8" hidden="1" outlineLevel="2" x14ac:dyDescent="0.25">
      <c r="B141" s="200" t="s">
        <v>41</v>
      </c>
      <c r="C141" t="s">
        <v>578</v>
      </c>
      <c r="D141" s="215" t="s">
        <v>67</v>
      </c>
      <c r="E141" s="37">
        <v>1066218.1730150401</v>
      </c>
      <c r="F141" s="65">
        <v>1172839.9903165442</v>
      </c>
      <c r="G141" s="36"/>
      <c r="H141" s="63">
        <f t="shared" si="15"/>
        <v>90218.460793580321</v>
      </c>
    </row>
    <row r="142" spans="2:8" outlineLevel="1" collapsed="1" x14ac:dyDescent="0.25">
      <c r="B142" s="203" t="s">
        <v>580</v>
      </c>
      <c r="D142" s="215"/>
      <c r="E142" s="37"/>
      <c r="F142" s="65">
        <f>SUBTOTAL(9,F138:F141)</f>
        <v>3345153.0464261915</v>
      </c>
      <c r="G142" s="36"/>
      <c r="H142" s="63">
        <f>SUBTOTAL(9,H138:H141)</f>
        <v>257319.46510970703</v>
      </c>
    </row>
    <row r="143" spans="2:8" x14ac:dyDescent="0.25">
      <c r="B143" s="203" t="s">
        <v>499</v>
      </c>
      <c r="D143" s="215"/>
      <c r="E143" s="37"/>
      <c r="F143" s="65">
        <f>SUBTOTAL(9,F134:F141)</f>
        <v>5036166.4068161827</v>
      </c>
      <c r="G143" s="36"/>
      <c r="H143" s="63">
        <f>SUBTOTAL(9,H134:H141)</f>
        <v>387397.41590893717</v>
      </c>
    </row>
    <row r="144" spans="2:8" x14ac:dyDescent="0.25">
      <c r="E144" s="37"/>
      <c r="F144" s="48"/>
    </row>
    <row r="146" spans="5:5" x14ac:dyDescent="0.25">
      <c r="E146" s="37"/>
    </row>
  </sheetData>
  <printOptions horizontalCentered="1" gridLines="1"/>
  <pageMargins left="0.11811023622047245" right="0.11811023622047245" top="0.55118110236220474" bottom="0.55118110236220474"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CE287C2AAB838043B7FEEB2457323F73" ma:contentTypeVersion="0" ma:contentTypeDescription="A content type to manage public (operations) IDB documents" ma:contentTypeScope="" ma:versionID="6354b31999b2362b430dcc3e38d5f982">
  <xsd:schema xmlns:xsd="http://www.w3.org/2001/XMLSchema" xmlns:xs="http://www.w3.org/2001/XMLSchema" xmlns:p="http://schemas.microsoft.com/office/2006/metadata/properties" xmlns:ns2="9c571b2f-e523-4ab2-ba2e-09e151a03ef4" targetNamespace="http://schemas.microsoft.com/office/2006/metadata/properties" ma:root="true" ma:fieldsID="fca353a57030c8e3f0c4df7811ea3665"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280a35e-b938-40a4-87f4-c822ed063427}" ma:internalName="TaxCatchAll" ma:showField="CatchAllData"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280a35e-b938-40a4-87f4-c822ed063427}" ma:internalName="TaxCatchAllLabel" ma:readOnly="true" ma:showField="CatchAllDataLabel"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40420841</IDBDocs_x0020_Number>
    <TaxCatchAll xmlns="9c571b2f-e523-4ab2-ba2e-09e151a03ef4">
      <Value>5</Value>
      <Value>6</Value>
    </TaxCatchAll>
    <Phase xmlns="9c571b2f-e523-4ab2-ba2e-09e151a03ef4" xsi:nil="true"/>
    <SISCOR_x0020_Number xmlns="9c571b2f-e523-4ab2-ba2e-09e151a03ef4" xsi:nil="true"/>
    <Division_x0020_or_x0020_Unit xmlns="9c571b2f-e523-4ab2-ba2e-09e151a03ef4">SCL/EDU</Division_x0020_or_x0020_Unit>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Perez Alfaro, Marcelo A.</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UR-L1116</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Proposal&lt;/USER_STAGE&gt;&lt;PD_OBJ_TYPE&gt;0&lt;/PD_OBJ_TYPE&gt;&lt;MAKERECORD&gt;N&lt;/MAKERECORD&gt;&lt;/Data&gt;</Migration_x0020_Info>
    <Operation_x0020_Type xmlns="9c571b2f-e523-4ab2-ba2e-09e151a03ef4" xsi:nil="true"/>
    <Document_x0020_Language_x0020_IDB xmlns="9c571b2f-e523-4ab2-ba2e-09e151a03ef4">Spanish</Document_x0020_Language_x0020_IDB>
    <Identifier xmlns="9c571b2f-e523-4ab2-ba2e-09e151a03ef4"> ANNEX</Identifier>
    <Disclosure_x0020_Activity xmlns="9c571b2f-e523-4ab2-ba2e-09e151a03ef4">Loan Proposal</Disclosure_x0020_Activity>
    <Webtopic xmlns="9c571b2f-e523-4ab2-ba2e-09e151a03ef4">ED-EDU</Webtopic>
    <Issue_x0020_Date xmlns="9c571b2f-e523-4ab2-ba2e-09e151a03ef4" xsi:nil="true"/>
    <Publication_x0020_Type xmlns="9c571b2f-e523-4ab2-ba2e-09e151a03ef4" xsi:nil="true"/>
    <Abstract xmlns="9c571b2f-e523-4ab2-ba2e-09e151a03ef4" xsi:nil="true"/>
    <KP_x0020_Topics xmlns="9c571b2f-e523-4ab2-ba2e-09e151a03ef4" xsi:nil="true"/>
    <Editor1 xmlns="9c571b2f-e523-4ab2-ba2e-09e151a03ef4" xsi:nil="true"/>
    <Region xmlns="9c571b2f-e523-4ab2-ba2e-09e151a03ef4" xsi:nil="true"/>
    <Publishing_x0020_House xmlns="9c571b2f-e523-4ab2-ba2e-09e151a03ef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cf0be0ad-272c-4e7f-a157-3f0abda6cde5" ContentTypeId="0x01010046CF21643EE8D14686A648AA6DAD0892" PreviousValue="false"/>
</file>

<file path=customXml/itemProps1.xml><?xml version="1.0" encoding="utf-8"?>
<ds:datastoreItem xmlns:ds="http://schemas.openxmlformats.org/officeDocument/2006/customXml" ds:itemID="{896EBD5D-ECAF-49DC-809B-5C2F64031E29}"/>
</file>

<file path=customXml/itemProps2.xml><?xml version="1.0" encoding="utf-8"?>
<ds:datastoreItem xmlns:ds="http://schemas.openxmlformats.org/officeDocument/2006/customXml" ds:itemID="{5C3E620D-D6AF-4068-838D-4F0C6B98EFC7}"/>
</file>

<file path=customXml/itemProps3.xml><?xml version="1.0" encoding="utf-8"?>
<ds:datastoreItem xmlns:ds="http://schemas.openxmlformats.org/officeDocument/2006/customXml" ds:itemID="{80DBFB56-5F0A-4AD0-973D-83ECF4CDAAE8}"/>
</file>

<file path=customXml/itemProps4.xml><?xml version="1.0" encoding="utf-8"?>
<ds:datastoreItem xmlns:ds="http://schemas.openxmlformats.org/officeDocument/2006/customXml" ds:itemID="{B897DB73-EEE3-4E8D-9193-40CEAC2CBBDE}"/>
</file>

<file path=customXml/itemProps5.xml><?xml version="1.0" encoding="utf-8"?>
<ds:datastoreItem xmlns:ds="http://schemas.openxmlformats.org/officeDocument/2006/customXml" ds:itemID="{244C73FE-3E66-4564-8D17-8DDBCFB298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20</vt:i4>
      </vt:variant>
    </vt:vector>
  </HeadingPairs>
  <TitlesOfParts>
    <vt:vector size="26" baseType="lpstr">
      <vt:lpstr>Cuadro Costos</vt:lpstr>
      <vt:lpstr>Presupuesto Detallado</vt:lpstr>
      <vt:lpstr>PEP</vt:lpstr>
      <vt:lpstr>CFE</vt:lpstr>
      <vt:lpstr>HS aulas digitales</vt:lpstr>
      <vt:lpstr>RRHHCDir.</vt:lpstr>
      <vt:lpstr>PEP!_ftn1</vt:lpstr>
      <vt:lpstr>PEP!_ftnref1</vt:lpstr>
      <vt:lpstr>PEP!coef17</vt:lpstr>
      <vt:lpstr>PEP!coef18</vt:lpstr>
      <vt:lpstr>PEP!coef19</vt:lpstr>
      <vt:lpstr>PEP!coef20</vt:lpstr>
      <vt:lpstr>PEP!coef21</vt:lpstr>
      <vt:lpstr>PEP!coefasesor</vt:lpstr>
      <vt:lpstr>PEP!coefmobil</vt:lpstr>
      <vt:lpstr>PEP!coefobras17</vt:lpstr>
      <vt:lpstr>PEP!coefobras18</vt:lpstr>
      <vt:lpstr>PEP!coefobras19</vt:lpstr>
      <vt:lpstr>PEP!coefobras20</vt:lpstr>
      <vt:lpstr>PEP!coefobras21</vt:lpstr>
      <vt:lpstr>PEP!ivabidobras</vt:lpstr>
      <vt:lpstr>PEP!pesobidobras</vt:lpstr>
      <vt:lpstr>'Cuadro Costos'!Print_Area</vt:lpstr>
      <vt:lpstr>PEP!Print_Area</vt:lpstr>
      <vt:lpstr>RRHHCDir.!Print_Area</vt:lpstr>
      <vt:lpstr>PEP!Print_Titles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EER1 - Plan de Ejecución Plurianual </dc:title>
  <dc:creator>Carlos Troncoso</dc:creator>
  <cp:lastModifiedBy>IADB</cp:lastModifiedBy>
  <cp:lastPrinted>2016-07-22T18:26:58Z</cp:lastPrinted>
  <dcterms:created xsi:type="dcterms:W3CDTF">2016-05-25T18:06:59Z</dcterms:created>
  <dcterms:modified xsi:type="dcterms:W3CDTF">2016-08-01T15:19:15Z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0x01010046CF21643EE8D14686A648AA6DAD089200CE287C2AAB838043B7FEEB2457323F73</vt:lpwstr>
  </property>
  <property fmtid="{D5CDD505-2E9C-101B-9397-08002B2CF9AE}" pid="3" name="TaxKeyword">
    <vt:lpwstr/>
  </property>
  <property fmtid="{D5CDD505-2E9C-101B-9397-08002B2CF9AE}" pid="4" name="Function Operations IDB">
    <vt:lpwstr>6;#IDBDocs|cca77002-e150-4b2d-ab1f-1d7a7cdcae16</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5;#Unclassified|a6dff32e-d477-44cd-a56b-85efe9e0a56c</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5;#Unclassified|a6dff32e-d477-44cd-a56b-85efe9e0a56c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Sub-Sector">
    <vt:lpwstr/>
  </property>
</Properties>
</file>