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customXml/itemProps6.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929"/>
  <workbookPr defaultThemeVersion="166925"/>
  <mc:AlternateContent xmlns:mc="http://schemas.openxmlformats.org/markup-compatibility/2006">
    <mc:Choice Requires="x15">
      <x15ac:absPath xmlns:x15ac="http://schemas.microsoft.com/office/spreadsheetml/2010/11/ac" url="https://idbg.sharepoint.com/teams/EZ-HO-LON/HO-L1202/15 LifeCycle Milestones/POD/"/>
    </mc:Choice>
  </mc:AlternateContent>
  <xr:revisionPtr revIDLastSave="0" documentId="8_{B0B368CA-5F7A-44FB-B8AA-F040637E1818}" xr6:coauthVersionLast="44" xr6:coauthVersionMax="44" xr10:uidLastSave="{00000000-0000-0000-0000-000000000000}"/>
  <bookViews>
    <workbookView xWindow="-120" yWindow="-120" windowWidth="29040" windowHeight="15840" xr2:uid="{4243B9F2-8E29-4478-AACE-9D53B36EBFDF}"/>
  </bookViews>
  <sheets>
    <sheet name="Supuestos" sheetId="1" r:id="rId1"/>
    <sheet name="Calculos Banda Ancha" sheetId="3" r:id="rId2"/>
    <sheet name="Flujo de Fondos" sheetId="2" r:id="rId3"/>
  </sheets>
  <externalReferences>
    <externalReference r:id="rId4"/>
    <externalReference r:id="rId5"/>
    <externalReference r:id="rId6"/>
  </externalReferences>
  <definedNames>
    <definedName name="_xlnm.Print_Area" localSheetId="0">Supuestos!$A$1:$J$132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B17" i="2" l="1"/>
  <c r="C19" i="2"/>
  <c r="G16" i="2"/>
  <c r="F16" i="2"/>
  <c r="G17" i="2" s="1"/>
  <c r="E16" i="2"/>
  <c r="D16" i="2"/>
  <c r="C16" i="2"/>
  <c r="D18" i="3" l="1"/>
  <c r="D19" i="3" s="1"/>
  <c r="C18" i="3"/>
  <c r="C19" i="3" s="1"/>
  <c r="Q17" i="3" l="1"/>
  <c r="P17" i="3"/>
  <c r="O17" i="3"/>
  <c r="N17" i="3"/>
  <c r="M17" i="3"/>
  <c r="L17" i="3"/>
  <c r="K17" i="3"/>
  <c r="J17" i="3"/>
  <c r="I17" i="3"/>
  <c r="H17" i="3"/>
  <c r="G17" i="3"/>
  <c r="F17" i="3"/>
  <c r="E17" i="3"/>
  <c r="D17" i="3"/>
  <c r="Q16" i="3"/>
  <c r="P16" i="3"/>
  <c r="O16" i="3"/>
  <c r="N16" i="3"/>
  <c r="M16" i="3"/>
  <c r="L16" i="3"/>
  <c r="K16" i="3"/>
  <c r="J16" i="3"/>
  <c r="I16" i="3"/>
  <c r="H16" i="3"/>
  <c r="G16" i="3"/>
  <c r="F16" i="3"/>
  <c r="E16" i="3"/>
  <c r="D16" i="3"/>
  <c r="D13" i="3" l="1"/>
  <c r="E13" i="3" s="1"/>
  <c r="F13" i="3" s="1"/>
  <c r="G13" i="3" s="1"/>
  <c r="H13" i="3" s="1"/>
  <c r="I13" i="3" s="1"/>
  <c r="J13" i="3" s="1"/>
  <c r="K13" i="3" s="1"/>
  <c r="L13" i="3" s="1"/>
  <c r="M13" i="3" s="1"/>
  <c r="N13" i="3" s="1"/>
  <c r="O13" i="3" s="1"/>
  <c r="P13" i="3" s="1"/>
  <c r="Q13" i="3" s="1"/>
  <c r="C7" i="3"/>
  <c r="C8" i="3"/>
  <c r="C9" i="3"/>
  <c r="C20" i="3" s="1"/>
  <c r="C14" i="3"/>
  <c r="D3" i="3"/>
  <c r="E3" i="3" s="1"/>
  <c r="F3" i="3" s="1"/>
  <c r="G3" i="3" s="1"/>
  <c r="H3" i="3" s="1"/>
  <c r="I3" i="3" s="1"/>
  <c r="J3" i="3" s="1"/>
  <c r="K3" i="3" s="1"/>
  <c r="L3" i="3" s="1"/>
  <c r="M3" i="3" s="1"/>
  <c r="N3" i="3" s="1"/>
  <c r="O3" i="3" s="1"/>
  <c r="P3" i="3" s="1"/>
  <c r="Q3" i="3" s="1"/>
  <c r="H91" i="3" l="1"/>
  <c r="V86" i="3" s="1"/>
  <c r="F91" i="3"/>
  <c r="W85" i="3" s="1"/>
  <c r="H90" i="3"/>
  <c r="F90" i="3"/>
  <c r="S86" i="3"/>
  <c r="M86" i="3"/>
  <c r="R85" i="3"/>
  <c r="H61" i="3"/>
  <c r="U55" i="3" s="1"/>
  <c r="O11" i="3" s="1"/>
  <c r="F61" i="3"/>
  <c r="V54" i="3" s="1"/>
  <c r="P10" i="3" s="1"/>
  <c r="W57" i="3"/>
  <c r="V57" i="3"/>
  <c r="U57" i="3"/>
  <c r="T57" i="3"/>
  <c r="S57" i="3"/>
  <c r="R57" i="3"/>
  <c r="Q57" i="3"/>
  <c r="P57" i="3"/>
  <c r="O57" i="3"/>
  <c r="N57" i="3"/>
  <c r="M57" i="3"/>
  <c r="L57" i="3"/>
  <c r="K57" i="3"/>
  <c r="J57" i="3"/>
  <c r="H57" i="3"/>
  <c r="W56" i="3"/>
  <c r="V56" i="3"/>
  <c r="U56" i="3"/>
  <c r="T56" i="3"/>
  <c r="S56" i="3"/>
  <c r="R56" i="3"/>
  <c r="Q56" i="3"/>
  <c r="P56" i="3"/>
  <c r="O56" i="3"/>
  <c r="N56" i="3"/>
  <c r="M56" i="3"/>
  <c r="L56" i="3"/>
  <c r="K56" i="3"/>
  <c r="J56" i="3"/>
  <c r="H56" i="3"/>
  <c r="C56" i="3"/>
  <c r="D49" i="3"/>
  <c r="C49" i="3"/>
  <c r="E48" i="3"/>
  <c r="E49" i="3" s="1"/>
  <c r="C41" i="3"/>
  <c r="C39" i="3"/>
  <c r="C37" i="3"/>
  <c r="C6" i="3" s="1"/>
  <c r="D6" i="3" s="1"/>
  <c r="E6" i="3" s="1"/>
  <c r="F6" i="3" s="1"/>
  <c r="G6" i="3" s="1"/>
  <c r="H6" i="3" s="1"/>
  <c r="I6" i="3" s="1"/>
  <c r="J6" i="3" s="1"/>
  <c r="K6" i="3" s="1"/>
  <c r="L6" i="3" s="1"/>
  <c r="M6" i="3" s="1"/>
  <c r="N6" i="3" s="1"/>
  <c r="O6" i="3" s="1"/>
  <c r="P6" i="3" s="1"/>
  <c r="I36" i="3"/>
  <c r="H36" i="3"/>
  <c r="G36" i="3"/>
  <c r="F36" i="3"/>
  <c r="E36" i="3"/>
  <c r="D36" i="3"/>
  <c r="C36" i="3"/>
  <c r="K35" i="3"/>
  <c r="F42" i="3" s="1"/>
  <c r="D34" i="3"/>
  <c r="C34" i="3"/>
  <c r="C29" i="3"/>
  <c r="D8" i="3" l="1"/>
  <c r="E8" i="3" s="1"/>
  <c r="F8" i="3" s="1"/>
  <c r="G8" i="3" s="1"/>
  <c r="H8" i="3" s="1"/>
  <c r="I8" i="3" s="1"/>
  <c r="J8" i="3" s="1"/>
  <c r="K8" i="3" s="1"/>
  <c r="L8" i="3" s="1"/>
  <c r="M8" i="3" s="1"/>
  <c r="N8" i="3" s="1"/>
  <c r="O8" i="3" s="1"/>
  <c r="P8" i="3" s="1"/>
  <c r="Q8" i="3" s="1"/>
  <c r="D9" i="3"/>
  <c r="D7" i="3"/>
  <c r="E7" i="3" s="1"/>
  <c r="F18" i="3"/>
  <c r="G18" i="3" s="1"/>
  <c r="Q6" i="3"/>
  <c r="T85" i="3"/>
  <c r="W86" i="3"/>
  <c r="J55" i="3"/>
  <c r="D11" i="3" s="1"/>
  <c r="M85" i="3"/>
  <c r="K86" i="3"/>
  <c r="P86" i="3"/>
  <c r="J85" i="3"/>
  <c r="O86" i="3"/>
  <c r="R55" i="3"/>
  <c r="L11" i="3" s="1"/>
  <c r="P85" i="3"/>
  <c r="L86" i="3"/>
  <c r="Q86" i="3"/>
  <c r="G54" i="3"/>
  <c r="G85" i="3" s="1"/>
  <c r="C5" i="3"/>
  <c r="C15" i="3" s="1"/>
  <c r="W54" i="3"/>
  <c r="Q10" i="3" s="1"/>
  <c r="K55" i="3"/>
  <c r="E11" i="3" s="1"/>
  <c r="F55" i="3"/>
  <c r="F86" i="3" s="1"/>
  <c r="V55" i="3"/>
  <c r="P11" i="3" s="1"/>
  <c r="C55" i="3"/>
  <c r="C86" i="3" s="1"/>
  <c r="S55" i="3"/>
  <c r="M11" i="3" s="1"/>
  <c r="N55" i="3"/>
  <c r="H11" i="3" s="1"/>
  <c r="G55" i="3"/>
  <c r="O55" i="3"/>
  <c r="I11" i="3" s="1"/>
  <c r="N85" i="3"/>
  <c r="U85" i="3"/>
  <c r="K54" i="3"/>
  <c r="E10" i="3" s="1"/>
  <c r="O54" i="3"/>
  <c r="I10" i="3" s="1"/>
  <c r="C54" i="3"/>
  <c r="C85" i="3" s="1"/>
  <c r="S54" i="3"/>
  <c r="M10" i="3" s="1"/>
  <c r="W55" i="3"/>
  <c r="Q11" i="3" s="1"/>
  <c r="L85" i="3"/>
  <c r="Q85" i="3"/>
  <c r="V85" i="3"/>
  <c r="D54" i="3"/>
  <c r="D85" i="3" s="1"/>
  <c r="H54" i="3"/>
  <c r="H85" i="3" s="1"/>
  <c r="L54" i="3"/>
  <c r="F10" i="3" s="1"/>
  <c r="P54" i="3"/>
  <c r="J10" i="3" s="1"/>
  <c r="T54" i="3"/>
  <c r="N10" i="3" s="1"/>
  <c r="E54" i="3"/>
  <c r="E85" i="3" s="1"/>
  <c r="I54" i="3"/>
  <c r="C10" i="3" s="1"/>
  <c r="M54" i="3"/>
  <c r="G10" i="3" s="1"/>
  <c r="Q54" i="3"/>
  <c r="K10" i="3" s="1"/>
  <c r="U54" i="3"/>
  <c r="O10" i="3" s="1"/>
  <c r="D55" i="3"/>
  <c r="H55" i="3"/>
  <c r="H86" i="3" s="1"/>
  <c r="L55" i="3"/>
  <c r="F11" i="3" s="1"/>
  <c r="P55" i="3"/>
  <c r="J11" i="3" s="1"/>
  <c r="T55" i="3"/>
  <c r="N11" i="3" s="1"/>
  <c r="D37" i="3"/>
  <c r="F54" i="3"/>
  <c r="F85" i="3" s="1"/>
  <c r="J54" i="3"/>
  <c r="D10" i="3" s="1"/>
  <c r="N54" i="3"/>
  <c r="H10" i="3" s="1"/>
  <c r="R54" i="3"/>
  <c r="L10" i="3" s="1"/>
  <c r="E55" i="3"/>
  <c r="E57" i="3" s="1"/>
  <c r="I55" i="3"/>
  <c r="C11" i="3" s="1"/>
  <c r="M55" i="3"/>
  <c r="G11" i="3" s="1"/>
  <c r="Q55" i="3"/>
  <c r="K11" i="3" s="1"/>
  <c r="K85" i="3"/>
  <c r="O85" i="3"/>
  <c r="S85" i="3"/>
  <c r="D4" i="3"/>
  <c r="D14" i="3" s="1"/>
  <c r="G42" i="3"/>
  <c r="T86" i="3"/>
  <c r="U86" i="3"/>
  <c r="D42" i="3"/>
  <c r="I42" i="3"/>
  <c r="E42" i="3"/>
  <c r="J86" i="3"/>
  <c r="N86" i="3"/>
  <c r="R86" i="3"/>
  <c r="E102" i="1"/>
  <c r="G88" i="1"/>
  <c r="H88" i="1" s="1"/>
  <c r="I88" i="1" s="1"/>
  <c r="J88" i="1" s="1"/>
  <c r="K88" i="1" s="1"/>
  <c r="L88" i="1" s="1"/>
  <c r="E9" i="3" l="1"/>
  <c r="D20" i="3"/>
  <c r="I86" i="3"/>
  <c r="H18" i="3"/>
  <c r="E19" i="3"/>
  <c r="F7" i="3"/>
  <c r="C57" i="3"/>
  <c r="F57" i="3"/>
  <c r="G56" i="3"/>
  <c r="G86" i="3"/>
  <c r="G57" i="3"/>
  <c r="E56" i="3"/>
  <c r="I56" i="3"/>
  <c r="E86" i="3"/>
  <c r="I57" i="3"/>
  <c r="I85" i="3"/>
  <c r="C16" i="3" s="1"/>
  <c r="D56" i="3"/>
  <c r="F56" i="3"/>
  <c r="D86" i="3"/>
  <c r="D57" i="3"/>
  <c r="E4" i="3"/>
  <c r="E14" i="3" s="1"/>
  <c r="D5" i="3"/>
  <c r="D15" i="3" s="1"/>
  <c r="F49" i="1"/>
  <c r="G49" i="1" s="1"/>
  <c r="H49" i="1" s="1"/>
  <c r="I49" i="1" s="1"/>
  <c r="J49" i="1" s="1"/>
  <c r="K49" i="1" s="1"/>
  <c r="C17" i="3" l="1"/>
  <c r="C22" i="3" s="1"/>
  <c r="I18" i="3"/>
  <c r="G7" i="3"/>
  <c r="F19" i="3"/>
  <c r="E20" i="3"/>
  <c r="F9" i="3"/>
  <c r="C21" i="3"/>
  <c r="D22" i="3"/>
  <c r="D61" i="3"/>
  <c r="D60" i="3"/>
  <c r="F4" i="3"/>
  <c r="F14" i="3" s="1"/>
  <c r="E5" i="3"/>
  <c r="E15" i="3" s="1"/>
  <c r="E22" i="3"/>
  <c r="F100" i="1" s="1"/>
  <c r="D21" i="3"/>
  <c r="F70" i="1"/>
  <c r="F71" i="1" s="1"/>
  <c r="L49" i="1"/>
  <c r="L11" i="1"/>
  <c r="K11" i="1"/>
  <c r="J11" i="1"/>
  <c r="I11" i="1"/>
  <c r="H11" i="1"/>
  <c r="G11" i="1"/>
  <c r="G74" i="1"/>
  <c r="H74" i="1" s="1"/>
  <c r="I74" i="1" s="1"/>
  <c r="J74" i="1" s="1"/>
  <c r="K74" i="1" s="1"/>
  <c r="L74" i="1" s="1"/>
  <c r="D4" i="2"/>
  <c r="E4" i="2" s="1"/>
  <c r="F4" i="2" s="1"/>
  <c r="G4" i="2" s="1"/>
  <c r="E71" i="1"/>
  <c r="C23" i="3" l="1"/>
  <c r="H7" i="3"/>
  <c r="G19" i="3"/>
  <c r="G9" i="3"/>
  <c r="F20" i="3"/>
  <c r="J18" i="3"/>
  <c r="E21" i="3"/>
  <c r="F5" i="3"/>
  <c r="F15" i="3" s="1"/>
  <c r="G4" i="3"/>
  <c r="G14" i="3" s="1"/>
  <c r="F22" i="3"/>
  <c r="G100" i="1" s="1"/>
  <c r="G70" i="1"/>
  <c r="G71" i="1" s="1"/>
  <c r="H75" i="1"/>
  <c r="G75" i="1"/>
  <c r="F75" i="1"/>
  <c r="G5" i="1"/>
  <c r="H5" i="1" s="1"/>
  <c r="I5" i="1" s="1"/>
  <c r="J5" i="1" s="1"/>
  <c r="K5" i="1" s="1"/>
  <c r="L5" i="1" s="1"/>
  <c r="G20" i="3" l="1"/>
  <c r="H9" i="3"/>
  <c r="K18" i="3"/>
  <c r="I7" i="3"/>
  <c r="H19" i="3"/>
  <c r="F21" i="3"/>
  <c r="G99" i="1" s="1"/>
  <c r="E23" i="3"/>
  <c r="F99" i="1"/>
  <c r="G5" i="3"/>
  <c r="G15" i="3" s="1"/>
  <c r="H4" i="3"/>
  <c r="H14" i="3" s="1"/>
  <c r="G22" i="3"/>
  <c r="H100" i="1" s="1"/>
  <c r="H70" i="1"/>
  <c r="H71" i="1" s="1"/>
  <c r="L18" i="3" l="1"/>
  <c r="I9" i="3"/>
  <c r="H20" i="3"/>
  <c r="J7" i="3"/>
  <c r="I19" i="3"/>
  <c r="F23" i="3"/>
  <c r="H102" i="1" s="1"/>
  <c r="C8" i="2"/>
  <c r="G102" i="1"/>
  <c r="D8" i="2" s="1"/>
  <c r="H22" i="3"/>
  <c r="I100" i="1" s="1"/>
  <c r="I4" i="3"/>
  <c r="I14" i="3" s="1"/>
  <c r="H5" i="3"/>
  <c r="H15" i="3" s="1"/>
  <c r="G21" i="3"/>
  <c r="I70" i="1"/>
  <c r="H72" i="1"/>
  <c r="H73" i="1" s="1"/>
  <c r="H76" i="1" s="1"/>
  <c r="G72" i="1"/>
  <c r="F72" i="1"/>
  <c r="E72" i="1"/>
  <c r="J9" i="3" l="1"/>
  <c r="I20" i="3"/>
  <c r="K7" i="3"/>
  <c r="J19" i="3"/>
  <c r="M18" i="3"/>
  <c r="G23" i="3"/>
  <c r="H99" i="1"/>
  <c r="H21" i="3"/>
  <c r="J4" i="3"/>
  <c r="J14" i="3" s="1"/>
  <c r="I5" i="3"/>
  <c r="I15" i="3" s="1"/>
  <c r="F73" i="1"/>
  <c r="F76" i="1" s="1"/>
  <c r="J70" i="1"/>
  <c r="I71" i="1"/>
  <c r="I72" i="1" s="1"/>
  <c r="I73" i="1" s="1"/>
  <c r="G73" i="1"/>
  <c r="G76" i="1" s="1"/>
  <c r="I75" i="1"/>
  <c r="E7" i="2"/>
  <c r="L7" i="3" l="1"/>
  <c r="K19" i="3"/>
  <c r="N18" i="3"/>
  <c r="K9" i="3"/>
  <c r="J20" i="3"/>
  <c r="E8" i="2"/>
  <c r="I102" i="1"/>
  <c r="I22" i="3"/>
  <c r="J100" i="1" s="1"/>
  <c r="H23" i="3"/>
  <c r="J102" i="1" s="1"/>
  <c r="I99" i="1"/>
  <c r="I21" i="3"/>
  <c r="J22" i="3"/>
  <c r="K4" i="3"/>
  <c r="K14" i="3" s="1"/>
  <c r="J5" i="3"/>
  <c r="J15" i="3" s="1"/>
  <c r="K70" i="1"/>
  <c r="J71" i="1"/>
  <c r="J72" i="1" s="1"/>
  <c r="J73" i="1" s="1"/>
  <c r="D7" i="2"/>
  <c r="I76" i="1"/>
  <c r="F7" i="2" s="1"/>
  <c r="J75" i="1"/>
  <c r="E45" i="1"/>
  <c r="F45" i="1" s="1"/>
  <c r="G45" i="1" s="1"/>
  <c r="H45" i="1" s="1"/>
  <c r="I45" i="1" s="1"/>
  <c r="J45" i="1" s="1"/>
  <c r="K45" i="1" s="1"/>
  <c r="E44" i="1"/>
  <c r="F44" i="1" s="1"/>
  <c r="G44" i="1" s="1"/>
  <c r="H44" i="1" s="1"/>
  <c r="I44" i="1" s="1"/>
  <c r="J44" i="1" s="1"/>
  <c r="K44" i="1" s="1"/>
  <c r="L44" i="1" s="1"/>
  <c r="F48" i="1"/>
  <c r="G48" i="1" s="1"/>
  <c r="E30" i="1"/>
  <c r="E59" i="1"/>
  <c r="D58" i="1"/>
  <c r="E56" i="1"/>
  <c r="O18" i="3" l="1"/>
  <c r="K20" i="3"/>
  <c r="L9" i="3"/>
  <c r="M7" i="3"/>
  <c r="L19" i="3"/>
  <c r="J21" i="3"/>
  <c r="J23" i="3" s="1"/>
  <c r="L102" i="1" s="1"/>
  <c r="J99" i="1"/>
  <c r="F8" i="2"/>
  <c r="K5" i="3"/>
  <c r="K15" i="3" s="1"/>
  <c r="K22" i="3"/>
  <c r="L4" i="3"/>
  <c r="L14" i="3" s="1"/>
  <c r="K71" i="1"/>
  <c r="L70" i="1"/>
  <c r="J76" i="1"/>
  <c r="G7" i="2" s="1"/>
  <c r="K75" i="1"/>
  <c r="L45" i="1"/>
  <c r="H48" i="1"/>
  <c r="E8" i="1"/>
  <c r="F8" i="1" s="1"/>
  <c r="E25" i="1"/>
  <c r="E31" i="1"/>
  <c r="E58" i="1" s="1"/>
  <c r="E61" i="1" s="1"/>
  <c r="E27" i="1"/>
  <c r="E23" i="1"/>
  <c r="E21" i="1"/>
  <c r="G67" i="1"/>
  <c r="H67" i="1" s="1"/>
  <c r="I67" i="1" s="1"/>
  <c r="J67" i="1" s="1"/>
  <c r="K67" i="1" s="1"/>
  <c r="L67" i="1" s="1"/>
  <c r="G42" i="1"/>
  <c r="H42" i="1" s="1"/>
  <c r="I42" i="1" s="1"/>
  <c r="J42" i="1" s="1"/>
  <c r="K42" i="1" s="1"/>
  <c r="L42" i="1" s="1"/>
  <c r="G6" i="1"/>
  <c r="H6" i="1"/>
  <c r="I6" i="1" s="1"/>
  <c r="J6" i="1" s="1"/>
  <c r="K6" i="1" s="1"/>
  <c r="L6" i="1" s="1"/>
  <c r="M9" i="3" l="1"/>
  <c r="L20" i="3"/>
  <c r="N7" i="3"/>
  <c r="M19" i="3"/>
  <c r="P18" i="3"/>
  <c r="I23" i="3"/>
  <c r="K102" i="1" s="1"/>
  <c r="K21" i="3"/>
  <c r="K23" i="3" s="1"/>
  <c r="L5" i="3"/>
  <c r="L15" i="3" s="1"/>
  <c r="L22" i="3"/>
  <c r="M4" i="3"/>
  <c r="M14" i="3" s="1"/>
  <c r="K72" i="1"/>
  <c r="K73" i="1" s="1"/>
  <c r="K76" i="1" s="1"/>
  <c r="L71" i="1"/>
  <c r="L72" i="1" s="1"/>
  <c r="L73" i="1" s="1"/>
  <c r="F9" i="1"/>
  <c r="F14" i="1"/>
  <c r="G8" i="1"/>
  <c r="E34" i="1"/>
  <c r="E35" i="1"/>
  <c r="E9" i="1"/>
  <c r="L75" i="1"/>
  <c r="F51" i="1"/>
  <c r="F62" i="1" s="1"/>
  <c r="I48" i="1"/>
  <c r="O7" i="3" l="1"/>
  <c r="N19" i="3"/>
  <c r="M20" i="3"/>
  <c r="N9" i="3"/>
  <c r="L76" i="1"/>
  <c r="L21" i="3"/>
  <c r="L23" i="3" s="1"/>
  <c r="G8" i="2"/>
  <c r="E103" i="1"/>
  <c r="B8" i="2" s="1"/>
  <c r="N4" i="3"/>
  <c r="N14" i="3" s="1"/>
  <c r="M22" i="3"/>
  <c r="M5" i="3"/>
  <c r="M15" i="3" s="1"/>
  <c r="Q18" i="3"/>
  <c r="E77" i="1"/>
  <c r="G14" i="1"/>
  <c r="G9" i="1"/>
  <c r="H8" i="1"/>
  <c r="E36" i="1"/>
  <c r="F13" i="1"/>
  <c r="G51" i="1"/>
  <c r="G62" i="1" s="1"/>
  <c r="J48" i="1"/>
  <c r="K48" i="1" s="1"/>
  <c r="N20" i="3" l="1"/>
  <c r="O9" i="3"/>
  <c r="P7" i="3"/>
  <c r="P19" i="3" s="1"/>
  <c r="O19" i="3"/>
  <c r="N22" i="3"/>
  <c r="O4" i="3"/>
  <c r="O14" i="3" s="1"/>
  <c r="N5" i="3"/>
  <c r="N15" i="3" s="1"/>
  <c r="M21" i="3"/>
  <c r="M23" i="3" s="1"/>
  <c r="G13" i="1"/>
  <c r="G37" i="1" s="1"/>
  <c r="D5" i="2" s="1"/>
  <c r="B7" i="2"/>
  <c r="L48" i="1"/>
  <c r="K51" i="1"/>
  <c r="K62" i="1" s="1"/>
  <c r="H9" i="1"/>
  <c r="I8" i="1"/>
  <c r="H14" i="1"/>
  <c r="F37" i="1"/>
  <c r="D6" i="2"/>
  <c r="H51" i="1"/>
  <c r="H62" i="1" s="1"/>
  <c r="E6" i="2" s="1"/>
  <c r="O20" i="3" l="1"/>
  <c r="P9" i="3"/>
  <c r="D9" i="2"/>
  <c r="Q7" i="3"/>
  <c r="Q19" i="3" s="1"/>
  <c r="N21" i="3"/>
  <c r="N23" i="3" s="1"/>
  <c r="O5" i="3"/>
  <c r="O15" i="3" s="1"/>
  <c r="P4" i="3"/>
  <c r="P14" i="3" s="1"/>
  <c r="O22" i="3"/>
  <c r="C5" i="2"/>
  <c r="C9" i="2" s="1"/>
  <c r="I9" i="1"/>
  <c r="J8" i="1"/>
  <c r="I14" i="1"/>
  <c r="H13" i="1"/>
  <c r="H37" i="1" s="1"/>
  <c r="E5" i="2" s="1"/>
  <c r="L51" i="1"/>
  <c r="L62" i="1" s="1"/>
  <c r="J51" i="1"/>
  <c r="J62" i="1" s="1"/>
  <c r="G6" i="2" s="1"/>
  <c r="I51" i="1"/>
  <c r="I62" i="1" s="1"/>
  <c r="F6" i="2" s="1"/>
  <c r="D19" i="2" l="1"/>
  <c r="P20" i="3"/>
  <c r="Q9" i="3"/>
  <c r="Q20" i="3" s="1"/>
  <c r="D10" i="2"/>
  <c r="E9" i="2"/>
  <c r="E19" i="2" s="1"/>
  <c r="Q4" i="3"/>
  <c r="Q14" i="3" s="1"/>
  <c r="P5" i="3"/>
  <c r="P15" i="3" s="1"/>
  <c r="P22" i="3"/>
  <c r="O21" i="3"/>
  <c r="O23" i="3" s="1"/>
  <c r="I13" i="1"/>
  <c r="I37" i="1" s="1"/>
  <c r="F5" i="2" s="1"/>
  <c r="F9" i="2" s="1"/>
  <c r="F19" i="2" s="1"/>
  <c r="E63" i="1"/>
  <c r="B6" i="2"/>
  <c r="K8" i="1"/>
  <c r="J14" i="1"/>
  <c r="J9" i="1"/>
  <c r="E10" i="2" l="1"/>
  <c r="P21" i="3"/>
  <c r="P23" i="3" s="1"/>
  <c r="Q5" i="3"/>
  <c r="Q15" i="3" s="1"/>
  <c r="Q22" i="3"/>
  <c r="J13" i="1"/>
  <c r="J37" i="1" s="1"/>
  <c r="G5" i="2" s="1"/>
  <c r="C10" i="2"/>
  <c r="F10" i="2"/>
  <c r="L8" i="1"/>
  <c r="K14" i="1"/>
  <c r="K9" i="1"/>
  <c r="G9" i="2" l="1"/>
  <c r="Q21" i="3"/>
  <c r="Q23" i="3" s="1"/>
  <c r="K13" i="1"/>
  <c r="K37" i="1" s="1"/>
  <c r="L14" i="1"/>
  <c r="L9" i="1"/>
  <c r="G19" i="2" l="1"/>
  <c r="B10" i="2"/>
  <c r="G10" i="2"/>
  <c r="E38" i="1"/>
  <c r="L13" i="1"/>
  <c r="L37" i="1" s="1"/>
  <c r="B22" i="2" l="1"/>
  <c r="B20" i="2"/>
  <c r="M37" i="1"/>
  <c r="E78" i="1"/>
  <c r="B23" i="2" l="1"/>
  <c r="B5" i="2"/>
  <c r="N37" i="1"/>
  <c r="C11" i="2" l="1"/>
  <c r="B21" i="2"/>
</calcChain>
</file>

<file path=xl/sharedStrings.xml><?xml version="1.0" encoding="utf-8"?>
<sst xmlns="http://schemas.openxmlformats.org/spreadsheetml/2006/main" count="242" uniqueCount="169">
  <si>
    <t>HO-L1202 - Proyecto de Transformación Digital para una Mayor Competitividad</t>
  </si>
  <si>
    <t>BENEFICIO 1: Simplificación y digitalización del certificado de antecedentes policiales</t>
  </si>
  <si>
    <t>Volumen de tramitaciones anuales</t>
  </si>
  <si>
    <t xml:space="preserve">      - SIN PROYECTO</t>
  </si>
  <si>
    <t xml:space="preserve">      - CON PROYECTO</t>
  </si>
  <si>
    <t>Unidades</t>
  </si>
  <si>
    <t>Año Base</t>
  </si>
  <si>
    <t>Tiempo Trámite Actual</t>
  </si>
  <si>
    <t>Tiempo Trámite Simplificado</t>
  </si>
  <si>
    <t>% de Adopción del tram simplificado</t>
  </si>
  <si>
    <t>Valor del tiempo ciudadano/empresa</t>
  </si>
  <si>
    <t>Valor del costo de transporte</t>
  </si>
  <si>
    <t>Valor de Ahorros por tramitación</t>
  </si>
  <si>
    <t>Valor de Ahorros Anuales</t>
  </si>
  <si>
    <t>ANÁLISIS COSTO-BENEFICIO</t>
  </si>
  <si>
    <t>BENEFICIO 2: Simplificación y digitalización de "Mi Empresa en Línea"</t>
  </si>
  <si>
    <t>Fuente</t>
  </si>
  <si>
    <t>Nota Metod.</t>
  </si>
  <si>
    <t>Monto Anual de Adquisiciones (obras, bienes y servicios)</t>
  </si>
  <si>
    <t>Porcentaje del monto anual adjudicado</t>
  </si>
  <si>
    <t>Cálculo</t>
  </si>
  <si>
    <t>Potencial de ahorros en dólares por mayor concurrencia en licitaciones</t>
  </si>
  <si>
    <t>Banco Mundial, PER Ecuador</t>
  </si>
  <si>
    <t>Porcentaje del total de procesos que aumentan participación</t>
  </si>
  <si>
    <t>Horas</t>
  </si>
  <si>
    <t>Tiempo de traslado actual</t>
  </si>
  <si>
    <t>Costos de traslado actual</t>
  </si>
  <si>
    <t>Costo de traslado simplificado</t>
  </si>
  <si>
    <t>USD</t>
  </si>
  <si>
    <t>Salario medio</t>
  </si>
  <si>
    <t>USD/hora</t>
  </si>
  <si>
    <t>Certificados</t>
  </si>
  <si>
    <t>Diario La Prensa</t>
  </si>
  <si>
    <t xml:space="preserve">    - Cantidad viajes</t>
  </si>
  <si>
    <t>Valor del tiquete de transporte por viaje</t>
  </si>
  <si>
    <t>Porcentaje</t>
  </si>
  <si>
    <t>MIEL</t>
  </si>
  <si>
    <t>Número de traslados actual</t>
  </si>
  <si>
    <t>Cantidad</t>
  </si>
  <si>
    <t>Tiempo medio por traslado</t>
  </si>
  <si>
    <t>Número de traslados Simplificado</t>
  </si>
  <si>
    <t>Tiempo de traslado Simplificado</t>
  </si>
  <si>
    <t>Valor unitario del tiempo ciudadano/empresa</t>
  </si>
  <si>
    <t>Costo de transacción actual del trámite</t>
  </si>
  <si>
    <t>Costo de transacción del trámite simplificado</t>
  </si>
  <si>
    <t>Volumen de tramitaciones por trámite tradicional</t>
  </si>
  <si>
    <t>Volumen de tramitaciones por trámite simplificado</t>
  </si>
  <si>
    <t>Distribución de las tramitaciones CON PROYECTO:</t>
  </si>
  <si>
    <t>Valor unitario del ahorro por trámite MIGRADO</t>
  </si>
  <si>
    <t>VPN de este Beneficio</t>
  </si>
  <si>
    <t>(1)(2)</t>
  </si>
  <si>
    <t>(2)   Tasa de crecimiento anual de las partidas basada en estadísticas demográficas: tasa de crecimiento de la población - 1,7%. Fuente: Banco Mundial, basado en último año disponible (2016).</t>
  </si>
  <si>
    <t>Número de traslados evitados</t>
  </si>
  <si>
    <t>Tiempo de traslados ahorrado</t>
  </si>
  <si>
    <t>Honorarios notariales ahorrados</t>
  </si>
  <si>
    <t>Lempiras</t>
  </si>
  <si>
    <t>Parámetros generales:</t>
  </si>
  <si>
    <t>Tipo de Cambio Lempira/Dólar USA</t>
  </si>
  <si>
    <t>Lempira</t>
  </si>
  <si>
    <t>(3)</t>
  </si>
  <si>
    <t>USD/traslado</t>
  </si>
  <si>
    <t>Tramitaciones electrónicas simplificadas incrementales</t>
  </si>
  <si>
    <t>Tramitaciones</t>
  </si>
  <si>
    <t>(4)</t>
  </si>
  <si>
    <t>(4) Los honorarios de los notarios públicos por hacer la escritura pública de un contrato de creación de sociedad comercial o mercantil, son de 5% sobre los primeros USD 1.000 de capital y 3% sobre el capital remanente. Según información proveniente de Mi Empresa en Línea, el monto promedio de los costos de honorarios de notario por constitución societarias ascienden a Lempiras 12.523.</t>
  </si>
  <si>
    <t>(3) Salario medio incluido impuestos y retenciones: Lempiras 10.033,14 mensuales. Fuente: www.CostodeVida.com/Honduras</t>
  </si>
  <si>
    <t>www.CostodeVida.com</t>
  </si>
  <si>
    <t>www.PreciosMundi.com</t>
  </si>
  <si>
    <t>Notas metodológicas:</t>
  </si>
  <si>
    <t>MATRIZ de RESULTADOS</t>
  </si>
  <si>
    <t>Proporción del Gasto Público que pasa a través de HonduCompras</t>
  </si>
  <si>
    <t xml:space="preserve">Porcentaje  </t>
  </si>
  <si>
    <t>Gasto en compras gestionadas por HonduCompras</t>
  </si>
  <si>
    <t>Lempiras Millones</t>
  </si>
  <si>
    <t>USD millones</t>
  </si>
  <si>
    <t>VPN de los 3 Beneficios</t>
  </si>
  <si>
    <t>Diario Proceso Digital</t>
  </si>
  <si>
    <t>Potencial de ahorros en porcentaje por aumento en el número de oferentes</t>
  </si>
  <si>
    <t>Beneficio 1</t>
  </si>
  <si>
    <t>Beneficio 2</t>
  </si>
  <si>
    <t>Beneficio 3</t>
  </si>
  <si>
    <t>VPN</t>
  </si>
  <si>
    <t>Total Beneficios</t>
  </si>
  <si>
    <t>Beneficios netos 1</t>
  </si>
  <si>
    <t>TIR 1</t>
  </si>
  <si>
    <t>Costo total del proyecto</t>
  </si>
  <si>
    <t>VPN Proyecto 1</t>
  </si>
  <si>
    <t>Razón B-C</t>
  </si>
  <si>
    <t>Valores presentes</t>
  </si>
  <si>
    <t>Porcentaje de Costos de mantenimiento incrementales posteriores a la inversión inicial</t>
  </si>
  <si>
    <t>BENEFICIO 3: Simplificación y digitalización de Procesos Internos del Sistema de Compras del Estado (HonduCompras)</t>
  </si>
  <si>
    <t>Gasto incremental en compras de HonduCompras</t>
  </si>
  <si>
    <t>VARIABLES SENSIBILIZADAS</t>
  </si>
  <si>
    <t>Tasa de adopción del canal digital para los certificados de antecedentes policiales</t>
  </si>
  <si>
    <t>Tasa de adopción del canal digital para la creación de empresas (MIEL)</t>
  </si>
  <si>
    <t>Aumento de la utilización de HonduCompras</t>
  </si>
  <si>
    <t>(1)   Fuente: Línea de base utilizada: Diario la Prensa (Honduras) del 9 de Enero de 2019 https://www.laprensa.hn/sanpedro/1248785-410/-filas-tramitar-constancias-antecedentes-judiciales-policiales- : se informa que en los meses de actividad elevada se imprimen encima de 1.000 certificados por día y en meses bajos un promedio de 700 certificados. Sobre esta base se adoptó un supuesto de trabajo de valor promedio diario de 900 certificados por cada día laboral, el cual multiplicado por 5 días y 52 semanas arroja un total anual de 234.000 certificados. La nota de prensa refiere a San Pedro Sula únicamente. Se extrapoló por población: SPS población: 1.650.000. Honduras total: 9.012.000</t>
  </si>
  <si>
    <t>Penetracion Banda Ancha fija</t>
  </si>
  <si>
    <t>BENEFICIO 4: Aumento de la conectividad a Banda Ancha</t>
  </si>
  <si>
    <t>Penetracion Banda Ancha móvil</t>
  </si>
  <si>
    <t>Valor de Ahorros por Banda Ancha fija</t>
  </si>
  <si>
    <t>Valor de Ahorros por Banda Ancha móvil</t>
  </si>
  <si>
    <t>Dolares</t>
  </si>
  <si>
    <t>Beneficio 4</t>
  </si>
  <si>
    <t>Proyecciones sin proyecto</t>
  </si>
  <si>
    <t>Población en el área de intervención</t>
  </si>
  <si>
    <t>Hogares en el área de intervención</t>
  </si>
  <si>
    <t>Renta per cápita</t>
  </si>
  <si>
    <t>ARPU Fijo</t>
  </si>
  <si>
    <t>ARPU Móvil - Datos</t>
  </si>
  <si>
    <t>ARPU Móvil - Resto</t>
  </si>
  <si>
    <t>Penetración de banda ancha fija (hogares)</t>
  </si>
  <si>
    <t>Penetración de banda ancha móvil</t>
  </si>
  <si>
    <t>Penetración de telefonía móvil</t>
  </si>
  <si>
    <t>Proyecciones con proyecto</t>
  </si>
  <si>
    <t>Población impactada por el proyecto</t>
  </si>
  <si>
    <t>Hogares impactados por el proyecto</t>
  </si>
  <si>
    <t>Ahorro Fijo</t>
  </si>
  <si>
    <t>Ahorro Móvil</t>
  </si>
  <si>
    <t>Ahorros Totales</t>
  </si>
  <si>
    <t>Parámetros de Entrada:</t>
  </si>
  <si>
    <t>Caída Anual del ARPU</t>
  </si>
  <si>
    <t xml:space="preserve">Tasa de Descuento </t>
  </si>
  <si>
    <t>DATOS HISTÓRICOS</t>
  </si>
  <si>
    <t>Población (World Bank)</t>
  </si>
  <si>
    <t>CAGR</t>
  </si>
  <si>
    <t>Hogares 2013</t>
  </si>
  <si>
    <t>GDP (Billions, World Bank)</t>
  </si>
  <si>
    <t>Personas/hogar</t>
  </si>
  <si>
    <t>GDP per capita</t>
  </si>
  <si>
    <t>Penetración BAF</t>
  </si>
  <si>
    <t>Penetración BAM</t>
  </si>
  <si>
    <t>Penetración BAF (hogares)</t>
  </si>
  <si>
    <t>Datos de TIGO</t>
  </si>
  <si>
    <t>Clientes HFC</t>
  </si>
  <si>
    <t>Clientes LTE</t>
  </si>
  <si>
    <t>Ingresos Datos Móviles</t>
  </si>
  <si>
    <t>Ingresos Hogar</t>
  </si>
  <si>
    <t>Ingresos móviles</t>
  </si>
  <si>
    <t>Clientes móvil</t>
  </si>
  <si>
    <t>ARPUS</t>
  </si>
  <si>
    <t>Cuota TIGO</t>
  </si>
  <si>
    <t>AJUSTE GOMPERTZ</t>
  </si>
  <si>
    <t>Error BAF</t>
  </si>
  <si>
    <t>Error BAM</t>
  </si>
  <si>
    <t>a1</t>
  </si>
  <si>
    <t>a2</t>
  </si>
  <si>
    <t>b1</t>
  </si>
  <si>
    <t>b2</t>
  </si>
  <si>
    <t>c1</t>
  </si>
  <si>
    <t>c2</t>
  </si>
  <si>
    <t>Real</t>
  </si>
  <si>
    <t>Estimado base</t>
  </si>
  <si>
    <t>Estimado con proyecto</t>
  </si>
  <si>
    <t>EFECTO DE LOS PROYECTOS</t>
  </si>
  <si>
    <t>a1'</t>
  </si>
  <si>
    <t>a2'</t>
  </si>
  <si>
    <t>b1'</t>
  </si>
  <si>
    <t>b2'</t>
  </si>
  <si>
    <t>c1'</t>
  </si>
  <si>
    <t>c2'</t>
  </si>
  <si>
    <t>Valor de Ahorros Anuales por incremento de la conectividad</t>
  </si>
  <si>
    <t>Margen trasladado al nuevo usuario final</t>
  </si>
  <si>
    <t>Contribución al FSU (Fondo de Servicio Universal)</t>
  </si>
  <si>
    <t>CAGR (Crecimiento anual acumulado)</t>
  </si>
  <si>
    <t>ARPU (Average Revenue Per User) Fijo</t>
  </si>
  <si>
    <t>-</t>
  </si>
  <si>
    <t>Costo Distrito Digital</t>
  </si>
  <si>
    <t>Costo Proyecto sin Distrito Digital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</si>
</sst>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6" formatCode="&quot;$&quot;#,##0_);[Red]\(&quot;$&quot;#,##0\)"/>
    <numFmt numFmtId="44" formatCode="_(&quot;$&quot;* #,##0.00_);_(&quot;$&quot;* \(#,##0.00\);_(&quot;$&quot;* &quot;-&quot;??_);_(@_)"/>
    <numFmt numFmtId="43" formatCode="_(* #,##0.00_);_(* \(#,##0.00\);_(* &quot;-&quot;??_);_(@_)"/>
    <numFmt numFmtId="164" formatCode="_(* #,##0_);_(* \(#,##0\);_(* &quot;-&quot;??_);_(@_)"/>
    <numFmt numFmtId="165" formatCode="_(* #,##0_);_(* \(#,##0\);_(* &quot;-&quot;???_);_(@_)"/>
    <numFmt numFmtId="166" formatCode="_(* #,##0.0_);_(* \(#,##0.0\);_(* &quot;-&quot;??_);_(@_)"/>
    <numFmt numFmtId="167" formatCode="_(* #,##0.0_);_(* \(#,##0.0\);_(* &quot;-&quot;?_);_(@_)"/>
    <numFmt numFmtId="168" formatCode="_(* #,##0_);_(* \(#,##0\);_(* &quot;-&quot;?_);_(@_)"/>
    <numFmt numFmtId="169" formatCode="0.0%"/>
    <numFmt numFmtId="170" formatCode="0.000%"/>
    <numFmt numFmtId="171" formatCode="_(&quot;$&quot;* #,##0_);_(&quot;$&quot;* \(#,##0\);_(&quot;$&quot;* &quot;-&quot;??_);_(@_)"/>
    <numFmt numFmtId="172" formatCode="_(* #,##0.0000_);_(* \(#,##0.0000\);_(* &quot;-&quot;??_);_(@_)"/>
    <numFmt numFmtId="173" formatCode="0.0000000%"/>
  </numFmts>
  <fonts count="8" x14ac:knownFonts="1">
    <font>
      <sz val="11"/>
      <color theme="1"/>
      <name val="Calibri"/>
      <family val="2"/>
      <scheme val="minor"/>
    </font>
    <font>
      <sz val="11"/>
      <color theme="1"/>
      <name val="Calibri"/>
      <family val="2"/>
      <scheme val="minor"/>
    </font>
    <font>
      <b/>
      <sz val="11"/>
      <color theme="1"/>
      <name val="Calibri"/>
      <family val="2"/>
      <scheme val="minor"/>
    </font>
    <font>
      <sz val="12"/>
      <color theme="1"/>
      <name val="Calibri"/>
      <family val="2"/>
      <scheme val="minor"/>
    </font>
    <font>
      <u/>
      <sz val="11"/>
      <color theme="10"/>
      <name val="Calibri"/>
      <family val="2"/>
      <scheme val="minor"/>
    </font>
    <font>
      <b/>
      <sz val="12"/>
      <color theme="1"/>
      <name val="Calibri"/>
      <family val="2"/>
      <scheme val="minor"/>
    </font>
    <font>
      <i/>
      <sz val="11"/>
      <color theme="1"/>
      <name val="Calibri"/>
      <family val="2"/>
      <scheme val="minor"/>
    </font>
    <font>
      <sz val="11"/>
      <name val="Calibri"/>
      <family val="2"/>
      <scheme val="minor"/>
    </font>
  </fonts>
  <fills count="11">
    <fill>
      <patternFill patternType="none"/>
    </fill>
    <fill>
      <patternFill patternType="gray125"/>
    </fill>
    <fill>
      <patternFill patternType="solid">
        <fgColor theme="8" tint="0.59999389629810485"/>
        <bgColor indexed="64"/>
      </patternFill>
    </fill>
    <fill>
      <patternFill patternType="solid">
        <fgColor rgb="FFFFFF00"/>
        <bgColor indexed="64"/>
      </patternFill>
    </fill>
    <fill>
      <patternFill patternType="solid">
        <fgColor theme="8" tint="0.79998168889431442"/>
        <bgColor indexed="64"/>
      </patternFill>
    </fill>
    <fill>
      <patternFill patternType="solid">
        <fgColor theme="4" tint="0.79998168889431442"/>
        <bgColor indexed="64"/>
      </patternFill>
    </fill>
    <fill>
      <patternFill patternType="solid">
        <fgColor theme="0" tint="-0.14999847407452621"/>
        <bgColor indexed="64"/>
      </patternFill>
    </fill>
    <fill>
      <patternFill patternType="solid">
        <fgColor theme="9" tint="0.59999389629810485"/>
        <bgColor indexed="64"/>
      </patternFill>
    </fill>
    <fill>
      <patternFill patternType="solid">
        <fgColor theme="4"/>
        <bgColor indexed="64"/>
      </patternFill>
    </fill>
    <fill>
      <patternFill patternType="solid">
        <fgColor theme="5" tint="0.39997558519241921"/>
        <bgColor indexed="64"/>
      </patternFill>
    </fill>
    <fill>
      <patternFill patternType="solid">
        <fgColor theme="5"/>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5">
    <xf numFmtId="0" fontId="0" fillId="0" borderId="0"/>
    <xf numFmtId="43" fontId="1" fillId="0" borderId="0" applyFont="0" applyFill="0" applyBorder="0" applyAlignment="0" applyProtection="0"/>
    <xf numFmtId="0" fontId="4" fillId="0" borderId="0" applyNumberFormat="0" applyFill="0" applyBorder="0" applyAlignment="0" applyProtection="0"/>
    <xf numFmtId="9" fontId="1" fillId="0" borderId="0" applyFont="0" applyFill="0" applyBorder="0" applyAlignment="0" applyProtection="0"/>
    <xf numFmtId="44" fontId="1" fillId="0" borderId="0" applyFont="0" applyFill="0" applyBorder="0" applyAlignment="0" applyProtection="0"/>
  </cellStyleXfs>
  <cellXfs count="95">
    <xf numFmtId="0" fontId="0" fillId="0" borderId="0" xfId="0"/>
    <xf numFmtId="0" fontId="0" fillId="0" borderId="1" xfId="0" applyBorder="1" applyAlignment="1">
      <alignment horizontal="center"/>
    </xf>
    <xf numFmtId="0" fontId="2" fillId="0" borderId="0" xfId="0" applyFont="1"/>
    <xf numFmtId="0" fontId="0" fillId="0" borderId="0" xfId="0" applyFont="1"/>
    <xf numFmtId="0" fontId="3" fillId="0" borderId="0" xfId="0" applyFont="1"/>
    <xf numFmtId="0" fontId="0" fillId="0" borderId="1" xfId="0" applyBorder="1" applyAlignment="1">
      <alignment horizontal="center" wrapText="1"/>
    </xf>
    <xf numFmtId="0" fontId="0" fillId="0" borderId="0" xfId="0" applyFont="1" applyAlignment="1">
      <alignment wrapText="1"/>
    </xf>
    <xf numFmtId="10" fontId="0" fillId="0" borderId="0" xfId="0" applyNumberFormat="1" applyFont="1"/>
    <xf numFmtId="2" fontId="0" fillId="0" borderId="0" xfId="0" applyNumberFormat="1"/>
    <xf numFmtId="0" fontId="0" fillId="0" borderId="0" xfId="0" applyAlignment="1">
      <alignment wrapText="1"/>
    </xf>
    <xf numFmtId="164" fontId="0" fillId="0" borderId="0" xfId="1" applyNumberFormat="1" applyFont="1"/>
    <xf numFmtId="165" fontId="0" fillId="0" borderId="0" xfId="0" applyNumberFormat="1"/>
    <xf numFmtId="164" fontId="0" fillId="0" borderId="0" xfId="0" applyNumberFormat="1"/>
    <xf numFmtId="9" fontId="0" fillId="0" borderId="0" xfId="0" applyNumberFormat="1"/>
    <xf numFmtId="164" fontId="0" fillId="2" borderId="0" xfId="1" applyNumberFormat="1" applyFont="1" applyFill="1"/>
    <xf numFmtId="164" fontId="0" fillId="2" borderId="0" xfId="0" applyNumberFormat="1" applyFill="1"/>
    <xf numFmtId="0" fontId="0" fillId="2" borderId="0" xfId="0" applyFill="1"/>
    <xf numFmtId="0" fontId="0" fillId="0" borderId="0" xfId="0" applyFill="1"/>
    <xf numFmtId="0" fontId="0" fillId="0" borderId="0" xfId="0" quotePrefix="1"/>
    <xf numFmtId="0" fontId="0" fillId="0" borderId="0" xfId="0" applyAlignment="1">
      <alignment wrapText="1"/>
    </xf>
    <xf numFmtId="6" fontId="2" fillId="0" borderId="0" xfId="0" applyNumberFormat="1" applyFont="1"/>
    <xf numFmtId="0" fontId="0" fillId="0" borderId="0" xfId="0" applyAlignment="1">
      <alignment wrapText="1"/>
    </xf>
    <xf numFmtId="43" fontId="0" fillId="0" borderId="0" xfId="1" applyFont="1"/>
    <xf numFmtId="43" fontId="0" fillId="0" borderId="0" xfId="0" applyNumberFormat="1"/>
    <xf numFmtId="166" fontId="0" fillId="0" borderId="0" xfId="0" applyNumberFormat="1"/>
    <xf numFmtId="0" fontId="4" fillId="0" borderId="0" xfId="2" applyAlignment="1">
      <alignment wrapText="1"/>
    </xf>
    <xf numFmtId="164" fontId="2" fillId="0" borderId="0" xfId="1" applyNumberFormat="1" applyFont="1"/>
    <xf numFmtId="164" fontId="2" fillId="0" borderId="0" xfId="0" applyNumberFormat="1" applyFont="1"/>
    <xf numFmtId="0" fontId="5" fillId="0" borderId="0" xfId="0" applyFont="1"/>
    <xf numFmtId="10" fontId="0" fillId="0" borderId="0" xfId="0" applyNumberFormat="1"/>
    <xf numFmtId="2" fontId="0" fillId="0" borderId="0" xfId="0" applyNumberFormat="1" applyFont="1"/>
    <xf numFmtId="9" fontId="0" fillId="0" borderId="0" xfId="3" applyFont="1"/>
    <xf numFmtId="167" fontId="0" fillId="0" borderId="0" xfId="0" applyNumberFormat="1"/>
    <xf numFmtId="168" fontId="0" fillId="0" borderId="0" xfId="0" applyNumberFormat="1"/>
    <xf numFmtId="0" fontId="0" fillId="0" borderId="0" xfId="0" applyAlignment="1">
      <alignment wrapText="1"/>
    </xf>
    <xf numFmtId="0" fontId="0" fillId="0" borderId="0" xfId="0" applyAlignment="1">
      <alignment horizontal="center"/>
    </xf>
    <xf numFmtId="169" fontId="0" fillId="0" borderId="0" xfId="3" applyNumberFormat="1" applyFont="1"/>
    <xf numFmtId="169" fontId="0" fillId="0" borderId="0" xfId="0" applyNumberFormat="1"/>
    <xf numFmtId="6" fontId="0" fillId="0" borderId="0" xfId="0" applyNumberFormat="1"/>
    <xf numFmtId="6" fontId="2" fillId="3" borderId="0" xfId="0" applyNumberFormat="1" applyFont="1" applyFill="1"/>
    <xf numFmtId="2" fontId="2" fillId="0" borderId="0" xfId="0" applyNumberFormat="1" applyFont="1"/>
    <xf numFmtId="0" fontId="0" fillId="0" borderId="1" xfId="0" applyBorder="1" applyAlignment="1">
      <alignment horizontal="center" vertical="center"/>
    </xf>
    <xf numFmtId="169" fontId="2" fillId="0" borderId="0" xfId="0" applyNumberFormat="1" applyFont="1"/>
    <xf numFmtId="0" fontId="0" fillId="4" borderId="1" xfId="0" applyFill="1" applyBorder="1" applyAlignment="1">
      <alignment wrapText="1"/>
    </xf>
    <xf numFmtId="9" fontId="0" fillId="4" borderId="1" xfId="3" applyFont="1" applyFill="1" applyBorder="1"/>
    <xf numFmtId="170" fontId="0" fillId="0" borderId="0" xfId="0" applyNumberFormat="1"/>
    <xf numFmtId="0" fontId="0" fillId="0" borderId="0" xfId="0" applyAlignment="1">
      <alignment wrapText="1"/>
    </xf>
    <xf numFmtId="0" fontId="0" fillId="0" borderId="0" xfId="0" applyFill="1" applyAlignment="1">
      <alignment horizontal="center"/>
    </xf>
    <xf numFmtId="164" fontId="0" fillId="0" borderId="0" xfId="1" applyNumberFormat="1" applyFont="1" applyFill="1"/>
    <xf numFmtId="164" fontId="0" fillId="0" borderId="0" xfId="0" applyNumberFormat="1" applyFill="1"/>
    <xf numFmtId="0" fontId="0" fillId="0" borderId="3" xfId="0" applyBorder="1" applyAlignment="1">
      <alignment horizontal="center"/>
    </xf>
    <xf numFmtId="0" fontId="0" fillId="0" borderId="0" xfId="0" applyBorder="1" applyAlignment="1">
      <alignment horizontal="center"/>
    </xf>
    <xf numFmtId="10" fontId="0" fillId="0" borderId="0" xfId="3" applyNumberFormat="1" applyFont="1"/>
    <xf numFmtId="171" fontId="0" fillId="0" borderId="0" xfId="4" applyNumberFormat="1" applyFont="1"/>
    <xf numFmtId="43" fontId="2" fillId="0" borderId="0" xfId="0" applyNumberFormat="1" applyFont="1"/>
    <xf numFmtId="0" fontId="2" fillId="5" borderId="1" xfId="0" applyFont="1" applyFill="1" applyBorder="1"/>
    <xf numFmtId="0" fontId="2" fillId="6" borderId="1" xfId="0" applyFont="1" applyFill="1" applyBorder="1" applyAlignment="1">
      <alignment horizontal="center"/>
    </xf>
    <xf numFmtId="0" fontId="0" fillId="0" borderId="1" xfId="0" applyBorder="1"/>
    <xf numFmtId="164" fontId="0" fillId="0" borderId="1" xfId="1" applyNumberFormat="1" applyFont="1" applyBorder="1"/>
    <xf numFmtId="43" fontId="0" fillId="0" borderId="1" xfId="1" applyFont="1" applyBorder="1"/>
    <xf numFmtId="10" fontId="0" fillId="0" borderId="1" xfId="3" applyNumberFormat="1" applyFont="1" applyBorder="1" applyAlignment="1">
      <alignment horizontal="center"/>
    </xf>
    <xf numFmtId="10" fontId="0" fillId="0" borderId="1" xfId="0" applyNumberFormat="1" applyBorder="1" applyAlignment="1">
      <alignment horizontal="center"/>
    </xf>
    <xf numFmtId="0" fontId="2" fillId="7" borderId="1" xfId="0" applyFont="1" applyFill="1" applyBorder="1"/>
    <xf numFmtId="164" fontId="0" fillId="0" borderId="1" xfId="1" applyNumberFormat="1" applyFont="1" applyBorder="1" applyAlignment="1">
      <alignment horizontal="center"/>
    </xf>
    <xf numFmtId="172" fontId="0" fillId="0" borderId="1" xfId="1" applyNumberFormat="1" applyFont="1" applyBorder="1"/>
    <xf numFmtId="164" fontId="2" fillId="0" borderId="0" xfId="1" applyNumberFormat="1" applyFont="1" applyAlignment="1">
      <alignment horizontal="center"/>
    </xf>
    <xf numFmtId="0" fontId="2" fillId="0" borderId="0" xfId="0" applyFont="1" applyAlignment="1">
      <alignment horizontal="center"/>
    </xf>
    <xf numFmtId="0" fontId="2" fillId="0" borderId="0" xfId="0" applyFont="1" applyAlignment="1">
      <alignment horizontal="left"/>
    </xf>
    <xf numFmtId="0" fontId="2" fillId="6" borderId="1" xfId="0" applyFont="1" applyFill="1" applyBorder="1"/>
    <xf numFmtId="9" fontId="0" fillId="0" borderId="1" xfId="0" applyNumberFormat="1" applyBorder="1" applyAlignment="1">
      <alignment horizontal="center"/>
    </xf>
    <xf numFmtId="10" fontId="0" fillId="0" borderId="1" xfId="0" applyNumberFormat="1" applyBorder="1"/>
    <xf numFmtId="0" fontId="2" fillId="0" borderId="1" xfId="0" applyFont="1" applyBorder="1" applyAlignment="1">
      <alignment horizontal="center"/>
    </xf>
    <xf numFmtId="10" fontId="0" fillId="0" borderId="1" xfId="3" applyNumberFormat="1" applyFont="1" applyBorder="1"/>
    <xf numFmtId="43" fontId="0" fillId="0" borderId="1" xfId="0" applyNumberFormat="1" applyBorder="1"/>
    <xf numFmtId="10" fontId="6" fillId="0" borderId="1" xfId="0" applyNumberFormat="1" applyFont="1" applyBorder="1"/>
    <xf numFmtId="2" fontId="2" fillId="0" borderId="1" xfId="0" applyNumberFormat="1" applyFont="1" applyBorder="1" applyAlignment="1">
      <alignment horizontal="center"/>
    </xf>
    <xf numFmtId="0" fontId="2" fillId="0" borderId="1" xfId="0" applyFont="1" applyBorder="1"/>
    <xf numFmtId="10" fontId="2" fillId="0" borderId="1" xfId="3" applyNumberFormat="1" applyFont="1" applyBorder="1"/>
    <xf numFmtId="10" fontId="0" fillId="0" borderId="3" xfId="0" applyNumberFormat="1" applyBorder="1"/>
    <xf numFmtId="173" fontId="0" fillId="0" borderId="0" xfId="0" applyNumberFormat="1"/>
    <xf numFmtId="0" fontId="0" fillId="8" borderId="0" xfId="0" applyFill="1"/>
    <xf numFmtId="0" fontId="0" fillId="9" borderId="0" xfId="0" applyFill="1"/>
    <xf numFmtId="0" fontId="0" fillId="10" borderId="0" xfId="0" applyFill="1"/>
    <xf numFmtId="43" fontId="0" fillId="0" borderId="1" xfId="1" applyFont="1" applyFill="1" applyBorder="1"/>
    <xf numFmtId="164" fontId="7" fillId="0" borderId="1" xfId="1" applyNumberFormat="1" applyFont="1" applyFill="1" applyBorder="1"/>
    <xf numFmtId="43" fontId="7" fillId="0" borderId="1" xfId="1" applyFont="1" applyFill="1" applyBorder="1"/>
    <xf numFmtId="10" fontId="7" fillId="0" borderId="1" xfId="3" applyNumberFormat="1" applyFont="1" applyFill="1" applyBorder="1" applyAlignment="1">
      <alignment horizontal="center"/>
    </xf>
    <xf numFmtId="10" fontId="7" fillId="0" borderId="1" xfId="0" applyNumberFormat="1" applyFont="1" applyFill="1" applyBorder="1" applyAlignment="1">
      <alignment horizontal="center"/>
    </xf>
    <xf numFmtId="0" fontId="0" fillId="0" borderId="0" xfId="0" applyFill="1" applyBorder="1" applyAlignment="1">
      <alignment horizontal="center"/>
    </xf>
    <xf numFmtId="0" fontId="0" fillId="0" borderId="0" xfId="0" applyFill="1" applyBorder="1" applyAlignment="1">
      <alignment horizontal="center" vertical="center"/>
    </xf>
    <xf numFmtId="0" fontId="0" fillId="0" borderId="0" xfId="0" applyAlignment="1">
      <alignment wrapText="1"/>
    </xf>
    <xf numFmtId="0" fontId="0" fillId="0" borderId="0" xfId="0" quotePrefix="1" applyAlignment="1">
      <alignment wrapText="1"/>
    </xf>
    <xf numFmtId="0" fontId="0" fillId="4" borderId="3" xfId="0" applyFill="1" applyBorder="1" applyAlignment="1">
      <alignment horizontal="center"/>
    </xf>
    <xf numFmtId="0" fontId="0" fillId="4" borderId="4" xfId="0" applyFill="1" applyBorder="1" applyAlignment="1">
      <alignment horizontal="center"/>
    </xf>
    <xf numFmtId="0" fontId="0" fillId="0" borderId="2" xfId="0" applyBorder="1" applyAlignment="1">
      <alignment horizontal="center" vertical="center" wrapText="1"/>
    </xf>
  </cellXfs>
  <cellStyles count="5">
    <cellStyle name="Comma" xfId="1" builtinId="3"/>
    <cellStyle name="Currency" xfId="4" builtinId="4"/>
    <cellStyle name="Hyperlink" xfId="2" builtinId="8"/>
    <cellStyle name="Normal" xfId="0" builtinId="0"/>
    <cellStyle name="Percent" xfId="3"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customXml" Target="../customXml/item6.xml"/><Relationship Id="rId1" Type="http://schemas.openxmlformats.org/officeDocument/2006/relationships/worksheet" Target="worksheets/sheet1.xml"/><Relationship Id="rId6" Type="http://schemas.openxmlformats.org/officeDocument/2006/relationships/externalLink" Target="externalLinks/externalLink3.xml"/><Relationship Id="rId11" Type="http://schemas.openxmlformats.org/officeDocument/2006/relationships/customXml" Target="../customXml/item1.xml"/><Relationship Id="rId5" Type="http://schemas.openxmlformats.org/officeDocument/2006/relationships/externalLink" Target="externalLinks/externalLink2.xml"/><Relationship Id="rId15" Type="http://schemas.openxmlformats.org/officeDocument/2006/relationships/customXml" Target="../customXml/item5.xml"/><Relationship Id="rId10" Type="http://schemas.openxmlformats.org/officeDocument/2006/relationships/calcChain" Target="calcChain.xml"/><Relationship Id="rId4" Type="http://schemas.openxmlformats.org/officeDocument/2006/relationships/externalLink" Target="externalLinks/externalLink1.xml"/><Relationship Id="rId9" Type="http://schemas.openxmlformats.org/officeDocument/2006/relationships/sharedStrings" Target="sharedStrings.xml"/><Relationship Id="rId14" Type="http://schemas.openxmlformats.org/officeDocument/2006/relationships/customXml" Target="../customXml/item4.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100" b="1" i="0" u="none" strike="noStrike" kern="1200" spc="0" baseline="0">
                <a:solidFill>
                  <a:schemeClr val="tx1">
                    <a:lumMod val="65000"/>
                    <a:lumOff val="35000"/>
                  </a:schemeClr>
                </a:solidFill>
                <a:latin typeface="Arial" panose="020B0604020202020204" pitchFamily="34" charset="0"/>
                <a:ea typeface="+mn-ea"/>
                <a:cs typeface="Arial" panose="020B0604020202020204" pitchFamily="34" charset="0"/>
              </a:defRPr>
            </a:pPr>
            <a:r>
              <a:rPr lang="en-US" sz="1100" b="1"/>
              <a:t>Banda Ancha Móvil</a:t>
            </a:r>
          </a:p>
        </c:rich>
      </c:tx>
      <c:overlay val="0"/>
      <c:spPr>
        <a:noFill/>
        <a:ln>
          <a:noFill/>
        </a:ln>
        <a:effectLst/>
      </c:spPr>
      <c:txPr>
        <a:bodyPr rot="0" spcFirstLastPara="1" vertOverflow="ellipsis" vert="horz" wrap="square" anchor="ctr" anchorCtr="1"/>
        <a:lstStyle/>
        <a:p>
          <a:pPr>
            <a:defRPr sz="1100" b="1" i="0" u="none" strike="noStrike" kern="1200" spc="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title>
    <c:autoTitleDeleted val="0"/>
    <c:plotArea>
      <c:layout/>
      <c:barChart>
        <c:barDir val="col"/>
        <c:grouping val="clustered"/>
        <c:varyColors val="0"/>
        <c:ser>
          <c:idx val="0"/>
          <c:order val="0"/>
          <c:spPr>
            <a:solidFill>
              <a:schemeClr val="accent1"/>
            </a:solidFill>
            <a:ln>
              <a:noFill/>
            </a:ln>
            <a:effectLst/>
          </c:spPr>
          <c:invertIfNegative val="0"/>
          <c:dPt>
            <c:idx val="7"/>
            <c:invertIfNegative val="0"/>
            <c:bubble3D val="0"/>
            <c:spPr>
              <a:solidFill>
                <a:schemeClr val="accent2">
                  <a:lumMod val="60000"/>
                  <a:lumOff val="40000"/>
                </a:schemeClr>
              </a:solidFill>
              <a:ln>
                <a:noFill/>
              </a:ln>
              <a:effectLst/>
            </c:spPr>
            <c:extLst>
              <c:ext xmlns:c16="http://schemas.microsoft.com/office/drawing/2014/chart" uri="{C3380CC4-5D6E-409C-BE32-E72D297353CC}">
                <c16:uniqueId val="{00000001-B9BA-4E17-B5F4-30FE72E2A3EE}"/>
              </c:ext>
            </c:extLst>
          </c:dPt>
          <c:dPt>
            <c:idx val="8"/>
            <c:invertIfNegative val="0"/>
            <c:bubble3D val="0"/>
            <c:spPr>
              <a:solidFill>
                <a:schemeClr val="accent2">
                  <a:lumMod val="60000"/>
                  <a:lumOff val="40000"/>
                </a:schemeClr>
              </a:solidFill>
              <a:ln>
                <a:noFill/>
              </a:ln>
              <a:effectLst/>
            </c:spPr>
            <c:extLst>
              <c:ext xmlns:c16="http://schemas.microsoft.com/office/drawing/2014/chart" uri="{C3380CC4-5D6E-409C-BE32-E72D297353CC}">
                <c16:uniqueId val="{00000003-B9BA-4E17-B5F4-30FE72E2A3EE}"/>
              </c:ext>
            </c:extLst>
          </c:dPt>
          <c:dPt>
            <c:idx val="9"/>
            <c:invertIfNegative val="0"/>
            <c:bubble3D val="0"/>
            <c:spPr>
              <a:solidFill>
                <a:schemeClr val="accent2">
                  <a:lumMod val="60000"/>
                  <a:lumOff val="40000"/>
                </a:schemeClr>
              </a:solidFill>
              <a:ln>
                <a:noFill/>
              </a:ln>
              <a:effectLst/>
            </c:spPr>
            <c:extLst>
              <c:ext xmlns:c16="http://schemas.microsoft.com/office/drawing/2014/chart" uri="{C3380CC4-5D6E-409C-BE32-E72D297353CC}">
                <c16:uniqueId val="{00000005-B9BA-4E17-B5F4-30FE72E2A3EE}"/>
              </c:ext>
            </c:extLst>
          </c:dPt>
          <c:dPt>
            <c:idx val="10"/>
            <c:invertIfNegative val="0"/>
            <c:bubble3D val="0"/>
            <c:spPr>
              <a:solidFill>
                <a:schemeClr val="accent2">
                  <a:lumMod val="60000"/>
                  <a:lumOff val="40000"/>
                </a:schemeClr>
              </a:solidFill>
              <a:ln>
                <a:noFill/>
              </a:ln>
              <a:effectLst/>
            </c:spPr>
            <c:extLst>
              <c:ext xmlns:c16="http://schemas.microsoft.com/office/drawing/2014/chart" uri="{C3380CC4-5D6E-409C-BE32-E72D297353CC}">
                <c16:uniqueId val="{00000007-B9BA-4E17-B5F4-30FE72E2A3EE}"/>
              </c:ext>
            </c:extLst>
          </c:dPt>
          <c:dPt>
            <c:idx val="11"/>
            <c:invertIfNegative val="0"/>
            <c:bubble3D val="0"/>
            <c:spPr>
              <a:solidFill>
                <a:schemeClr val="accent2">
                  <a:lumMod val="60000"/>
                  <a:lumOff val="40000"/>
                </a:schemeClr>
              </a:solidFill>
              <a:ln>
                <a:noFill/>
              </a:ln>
              <a:effectLst/>
            </c:spPr>
            <c:extLst>
              <c:ext xmlns:c16="http://schemas.microsoft.com/office/drawing/2014/chart" uri="{C3380CC4-5D6E-409C-BE32-E72D297353CC}">
                <c16:uniqueId val="{00000009-B9BA-4E17-B5F4-30FE72E2A3EE}"/>
              </c:ext>
            </c:extLst>
          </c:dPt>
          <c:dPt>
            <c:idx val="12"/>
            <c:invertIfNegative val="0"/>
            <c:bubble3D val="0"/>
            <c:spPr>
              <a:solidFill>
                <a:schemeClr val="accent2">
                  <a:lumMod val="60000"/>
                  <a:lumOff val="40000"/>
                </a:schemeClr>
              </a:solidFill>
              <a:ln>
                <a:noFill/>
              </a:ln>
              <a:effectLst/>
            </c:spPr>
            <c:extLst>
              <c:ext xmlns:c16="http://schemas.microsoft.com/office/drawing/2014/chart" uri="{C3380CC4-5D6E-409C-BE32-E72D297353CC}">
                <c16:uniqueId val="{0000000B-B9BA-4E17-B5F4-30FE72E2A3EE}"/>
              </c:ext>
            </c:extLst>
          </c:dPt>
          <c:dPt>
            <c:idx val="13"/>
            <c:invertIfNegative val="0"/>
            <c:bubble3D val="0"/>
            <c:spPr>
              <a:solidFill>
                <a:schemeClr val="accent2">
                  <a:lumMod val="60000"/>
                  <a:lumOff val="40000"/>
                </a:schemeClr>
              </a:solidFill>
              <a:ln>
                <a:noFill/>
              </a:ln>
              <a:effectLst/>
            </c:spPr>
            <c:extLst>
              <c:ext xmlns:c16="http://schemas.microsoft.com/office/drawing/2014/chart" uri="{C3380CC4-5D6E-409C-BE32-E72D297353CC}">
                <c16:uniqueId val="{0000000D-B9BA-4E17-B5F4-30FE72E2A3EE}"/>
              </c:ext>
            </c:extLst>
          </c:dPt>
          <c:dPt>
            <c:idx val="14"/>
            <c:invertIfNegative val="0"/>
            <c:bubble3D val="0"/>
            <c:spPr>
              <a:solidFill>
                <a:schemeClr val="accent2">
                  <a:lumMod val="60000"/>
                  <a:lumOff val="40000"/>
                </a:schemeClr>
              </a:solidFill>
              <a:ln>
                <a:noFill/>
              </a:ln>
              <a:effectLst/>
            </c:spPr>
            <c:extLst>
              <c:ext xmlns:c16="http://schemas.microsoft.com/office/drawing/2014/chart" uri="{C3380CC4-5D6E-409C-BE32-E72D297353CC}">
                <c16:uniqueId val="{0000000F-B9BA-4E17-B5F4-30FE72E2A3EE}"/>
              </c:ext>
            </c:extLst>
          </c:dPt>
          <c:dPt>
            <c:idx val="15"/>
            <c:invertIfNegative val="0"/>
            <c:bubble3D val="0"/>
            <c:spPr>
              <a:solidFill>
                <a:schemeClr val="accent2">
                  <a:lumMod val="60000"/>
                  <a:lumOff val="40000"/>
                </a:schemeClr>
              </a:solidFill>
              <a:ln>
                <a:noFill/>
              </a:ln>
              <a:effectLst/>
            </c:spPr>
            <c:extLst>
              <c:ext xmlns:c16="http://schemas.microsoft.com/office/drawing/2014/chart" uri="{C3380CC4-5D6E-409C-BE32-E72D297353CC}">
                <c16:uniqueId val="{00000011-B9BA-4E17-B5F4-30FE72E2A3EE}"/>
              </c:ext>
            </c:extLst>
          </c:dPt>
          <c:dPt>
            <c:idx val="16"/>
            <c:invertIfNegative val="0"/>
            <c:bubble3D val="0"/>
            <c:spPr>
              <a:solidFill>
                <a:schemeClr val="accent2">
                  <a:lumMod val="60000"/>
                  <a:lumOff val="40000"/>
                </a:schemeClr>
              </a:solidFill>
              <a:ln>
                <a:noFill/>
              </a:ln>
              <a:effectLst/>
            </c:spPr>
            <c:extLst>
              <c:ext xmlns:c16="http://schemas.microsoft.com/office/drawing/2014/chart" uri="{C3380CC4-5D6E-409C-BE32-E72D297353CC}">
                <c16:uniqueId val="{00000013-B9BA-4E17-B5F4-30FE72E2A3EE}"/>
              </c:ext>
            </c:extLst>
          </c:dPt>
          <c:dPt>
            <c:idx val="17"/>
            <c:invertIfNegative val="0"/>
            <c:bubble3D val="0"/>
            <c:spPr>
              <a:solidFill>
                <a:schemeClr val="accent2">
                  <a:lumMod val="60000"/>
                  <a:lumOff val="40000"/>
                </a:schemeClr>
              </a:solidFill>
              <a:ln>
                <a:noFill/>
              </a:ln>
              <a:effectLst/>
            </c:spPr>
            <c:extLst>
              <c:ext xmlns:c16="http://schemas.microsoft.com/office/drawing/2014/chart" uri="{C3380CC4-5D6E-409C-BE32-E72D297353CC}">
                <c16:uniqueId val="{00000015-B9BA-4E17-B5F4-30FE72E2A3EE}"/>
              </c:ext>
            </c:extLst>
          </c:dPt>
          <c:dPt>
            <c:idx val="18"/>
            <c:invertIfNegative val="0"/>
            <c:bubble3D val="0"/>
            <c:spPr>
              <a:solidFill>
                <a:schemeClr val="accent2">
                  <a:lumMod val="60000"/>
                  <a:lumOff val="40000"/>
                </a:schemeClr>
              </a:solidFill>
              <a:ln>
                <a:noFill/>
              </a:ln>
              <a:effectLst/>
            </c:spPr>
            <c:extLst>
              <c:ext xmlns:c16="http://schemas.microsoft.com/office/drawing/2014/chart" uri="{C3380CC4-5D6E-409C-BE32-E72D297353CC}">
                <c16:uniqueId val="{00000017-B9BA-4E17-B5F4-30FE72E2A3EE}"/>
              </c:ext>
            </c:extLst>
          </c:dPt>
          <c:dPt>
            <c:idx val="19"/>
            <c:invertIfNegative val="0"/>
            <c:bubble3D val="0"/>
            <c:spPr>
              <a:solidFill>
                <a:schemeClr val="accent2">
                  <a:lumMod val="60000"/>
                  <a:lumOff val="40000"/>
                </a:schemeClr>
              </a:solidFill>
              <a:ln>
                <a:noFill/>
              </a:ln>
              <a:effectLst/>
            </c:spPr>
            <c:extLst>
              <c:ext xmlns:c16="http://schemas.microsoft.com/office/drawing/2014/chart" uri="{C3380CC4-5D6E-409C-BE32-E72D297353CC}">
                <c16:uniqueId val="{00000019-B9BA-4E17-B5F4-30FE72E2A3EE}"/>
              </c:ext>
            </c:extLst>
          </c:dPt>
          <c:dPt>
            <c:idx val="20"/>
            <c:invertIfNegative val="0"/>
            <c:bubble3D val="0"/>
            <c:spPr>
              <a:solidFill>
                <a:schemeClr val="accent2">
                  <a:lumMod val="60000"/>
                  <a:lumOff val="40000"/>
                </a:schemeClr>
              </a:solidFill>
              <a:ln>
                <a:noFill/>
              </a:ln>
              <a:effectLst/>
            </c:spPr>
            <c:extLst>
              <c:ext xmlns:c16="http://schemas.microsoft.com/office/drawing/2014/chart" uri="{C3380CC4-5D6E-409C-BE32-E72D297353CC}">
                <c16:uniqueId val="{0000001B-B9BA-4E17-B5F4-30FE72E2A3EE}"/>
              </c:ext>
            </c:extLst>
          </c:dPt>
          <c:cat>
            <c:numRef>
              <c:f>'[3]Honduras (2)'!$C$53:$W$53</c:f>
              <c:numCache>
                <c:formatCode>General</c:formatCode>
                <c:ptCount val="21"/>
                <c:pt idx="0">
                  <c:v>2012</c:v>
                </c:pt>
                <c:pt idx="1">
                  <c:v>2013</c:v>
                </c:pt>
                <c:pt idx="2">
                  <c:v>2014</c:v>
                </c:pt>
                <c:pt idx="3">
                  <c:v>2015</c:v>
                </c:pt>
                <c:pt idx="4">
                  <c:v>2016</c:v>
                </c:pt>
                <c:pt idx="5">
                  <c:v>2017</c:v>
                </c:pt>
                <c:pt idx="6">
                  <c:v>2018</c:v>
                </c:pt>
                <c:pt idx="7">
                  <c:v>2019</c:v>
                </c:pt>
                <c:pt idx="8">
                  <c:v>2020</c:v>
                </c:pt>
                <c:pt idx="9">
                  <c:v>2021</c:v>
                </c:pt>
                <c:pt idx="10">
                  <c:v>2022</c:v>
                </c:pt>
                <c:pt idx="11">
                  <c:v>2023</c:v>
                </c:pt>
                <c:pt idx="12">
                  <c:v>2024</c:v>
                </c:pt>
                <c:pt idx="13">
                  <c:v>2025</c:v>
                </c:pt>
                <c:pt idx="14">
                  <c:v>2026</c:v>
                </c:pt>
                <c:pt idx="15">
                  <c:v>2027</c:v>
                </c:pt>
                <c:pt idx="16">
                  <c:v>2028</c:v>
                </c:pt>
                <c:pt idx="17">
                  <c:v>2029</c:v>
                </c:pt>
                <c:pt idx="18">
                  <c:v>2030</c:v>
                </c:pt>
                <c:pt idx="19">
                  <c:v>2031</c:v>
                </c:pt>
                <c:pt idx="20">
                  <c:v>2032</c:v>
                </c:pt>
              </c:numCache>
            </c:numRef>
          </c:cat>
          <c:val>
            <c:numRef>
              <c:f>'[3]Honduras (2)'!$C$55:$W$55</c:f>
              <c:numCache>
                <c:formatCode>General</c:formatCode>
                <c:ptCount val="21"/>
                <c:pt idx="0">
                  <c:v>1.7178310015154141E-2</c:v>
                </c:pt>
                <c:pt idx="1">
                  <c:v>3.4102660294443678E-2</c:v>
                </c:pt>
                <c:pt idx="2">
                  <c:v>6.0304209739016984E-2</c:v>
                </c:pt>
                <c:pt idx="3">
                  <c:v>9.6858304044895246E-2</c:v>
                </c:pt>
                <c:pt idx="4">
                  <c:v>0.14361629925881728</c:v>
                </c:pt>
                <c:pt idx="5">
                  <c:v>0.19925391815878549</c:v>
                </c:pt>
                <c:pt idx="6">
                  <c:v>0.26158714006436007</c:v>
                </c:pt>
                <c:pt idx="7">
                  <c:v>0.32800516324834583</c:v>
                </c:pt>
                <c:pt idx="8">
                  <c:v>0.39588136180403211</c:v>
                </c:pt>
                <c:pt idx="9">
                  <c:v>0.46287849906792555</c:v>
                </c:pt>
                <c:pt idx="10">
                  <c:v>0.52712305950056204</c:v>
                </c:pt>
                <c:pt idx="11">
                  <c:v>0.58726373379364749</c:v>
                </c:pt>
                <c:pt idx="12">
                  <c:v>0.64244720602372951</c:v>
                </c:pt>
                <c:pt idx="13">
                  <c:v>0.69224623918728889</c:v>
                </c:pt>
                <c:pt idx="14">
                  <c:v>0.73656839090537229</c:v>
                </c:pt>
                <c:pt idx="15">
                  <c:v>0.77556449578550402</c:v>
                </c:pt>
                <c:pt idx="16">
                  <c:v>0.80954769817101069</c:v>
                </c:pt>
                <c:pt idx="17">
                  <c:v>0.83892761588438081</c:v>
                </c:pt>
                <c:pt idx="18">
                  <c:v>0.86416025419355647</c:v>
                </c:pt>
                <c:pt idx="19">
                  <c:v>0.88571212988347225</c:v>
                </c:pt>
                <c:pt idx="20">
                  <c:v>0.90403614767527307</c:v>
                </c:pt>
              </c:numCache>
            </c:numRef>
          </c:val>
          <c:extLst>
            <c:ext xmlns:c16="http://schemas.microsoft.com/office/drawing/2014/chart" uri="{C3380CC4-5D6E-409C-BE32-E72D297353CC}">
              <c16:uniqueId val="{0000001C-B9BA-4E17-B5F4-30FE72E2A3EE}"/>
            </c:ext>
          </c:extLst>
        </c:ser>
        <c:ser>
          <c:idx val="1"/>
          <c:order val="1"/>
          <c:tx>
            <c:v>Con Proyectos</c:v>
          </c:tx>
          <c:spPr>
            <a:solidFill>
              <a:schemeClr val="accent2"/>
            </a:solidFill>
            <a:ln>
              <a:noFill/>
            </a:ln>
            <a:effectLst/>
          </c:spPr>
          <c:invertIfNegative val="0"/>
          <c:val>
            <c:numRef>
              <c:f>'[3]Honduras (2)'!$C$86:$W$86</c:f>
              <c:numCache>
                <c:formatCode>General</c:formatCode>
                <c:ptCount val="21"/>
                <c:pt idx="0">
                  <c:v>1.7178310015154141E-2</c:v>
                </c:pt>
                <c:pt idx="1">
                  <c:v>3.4102660294443678E-2</c:v>
                </c:pt>
                <c:pt idx="2">
                  <c:v>6.0304209739016984E-2</c:v>
                </c:pt>
                <c:pt idx="3">
                  <c:v>9.6858304044895246E-2</c:v>
                </c:pt>
                <c:pt idx="4">
                  <c:v>0.14361629925881728</c:v>
                </c:pt>
                <c:pt idx="5">
                  <c:v>0.19925391815878549</c:v>
                </c:pt>
                <c:pt idx="6">
                  <c:v>0.26158714006436007</c:v>
                </c:pt>
                <c:pt idx="7">
                  <c:v>0.35835546538674545</c:v>
                </c:pt>
                <c:pt idx="8">
                  <c:v>0.43286775933796562</c:v>
                </c:pt>
                <c:pt idx="9">
                  <c:v>0.50245527671888734</c:v>
                </c:pt>
                <c:pt idx="10">
                  <c:v>0.56795390505186816</c:v>
                </c:pt>
                <c:pt idx="11">
                  <c:v>0.62813705798681974</c:v>
                </c:pt>
                <c:pt idx="12">
                  <c:v>0.68235153653064229</c:v>
                </c:pt>
                <c:pt idx="13">
                  <c:v>0.73040012262602827</c:v>
                </c:pt>
                <c:pt idx="14">
                  <c:v>0.77241738072494792</c:v>
                </c:pt>
                <c:pt idx="15">
                  <c:v>0.80875784938251938</c:v>
                </c:pt>
                <c:pt idx="16">
                  <c:v>0.83990508778148076</c:v>
                </c:pt>
                <c:pt idx="17">
                  <c:v>0.86640315920374722</c:v>
                </c:pt>
                <c:pt idx="18">
                  <c:v>0.88880841561411605</c:v>
                </c:pt>
                <c:pt idx="19">
                  <c:v>0.90765790184211392</c:v>
                </c:pt>
                <c:pt idx="20">
                  <c:v>0.92345044208614668</c:v>
                </c:pt>
              </c:numCache>
            </c:numRef>
          </c:val>
          <c:extLst>
            <c:ext xmlns:c16="http://schemas.microsoft.com/office/drawing/2014/chart" uri="{C3380CC4-5D6E-409C-BE32-E72D297353CC}">
              <c16:uniqueId val="{0000001D-B9BA-4E17-B5F4-30FE72E2A3EE}"/>
            </c:ext>
          </c:extLst>
        </c:ser>
        <c:dLbls>
          <c:showLegendKey val="0"/>
          <c:showVal val="0"/>
          <c:showCatName val="0"/>
          <c:showSerName val="0"/>
          <c:showPercent val="0"/>
          <c:showBubbleSize val="0"/>
        </c:dLbls>
        <c:gapWidth val="219"/>
        <c:overlap val="-27"/>
        <c:axId val="1004433480"/>
        <c:axId val="1004438400"/>
      </c:barChart>
      <c:catAx>
        <c:axId val="100443348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crossAx val="1004438400"/>
        <c:crosses val="autoZero"/>
        <c:auto val="1"/>
        <c:lblAlgn val="ctr"/>
        <c:lblOffset val="100"/>
        <c:noMultiLvlLbl val="0"/>
      </c:catAx>
      <c:valAx>
        <c:axId val="1004438400"/>
        <c:scaling>
          <c:orientation val="minMax"/>
          <c:max val="1"/>
        </c:scaling>
        <c:delete val="0"/>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crossAx val="1004433480"/>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100" b="1" i="0" u="none" strike="noStrike" kern="1200" spc="0" baseline="0">
                <a:solidFill>
                  <a:schemeClr val="tx1">
                    <a:lumMod val="65000"/>
                    <a:lumOff val="35000"/>
                  </a:schemeClr>
                </a:solidFill>
                <a:latin typeface="Arial" panose="020B0604020202020204" pitchFamily="34" charset="0"/>
                <a:ea typeface="+mn-ea"/>
                <a:cs typeface="Arial" panose="020B0604020202020204" pitchFamily="34" charset="0"/>
              </a:defRPr>
            </a:pPr>
            <a:r>
              <a:rPr lang="en-US" sz="1100" b="1"/>
              <a:t>Banda Ancha Fija</a:t>
            </a:r>
          </a:p>
        </c:rich>
      </c:tx>
      <c:overlay val="0"/>
      <c:spPr>
        <a:noFill/>
        <a:ln>
          <a:noFill/>
        </a:ln>
        <a:effectLst/>
      </c:spPr>
      <c:txPr>
        <a:bodyPr rot="0" spcFirstLastPara="1" vertOverflow="ellipsis" vert="horz" wrap="square" anchor="ctr" anchorCtr="1"/>
        <a:lstStyle/>
        <a:p>
          <a:pPr>
            <a:defRPr sz="1100" b="1" i="0" u="none" strike="noStrike" kern="1200" spc="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title>
    <c:autoTitleDeleted val="0"/>
    <c:plotArea>
      <c:layout/>
      <c:barChart>
        <c:barDir val="col"/>
        <c:grouping val="clustered"/>
        <c:varyColors val="0"/>
        <c:ser>
          <c:idx val="0"/>
          <c:order val="0"/>
          <c:spPr>
            <a:solidFill>
              <a:schemeClr val="accent1"/>
            </a:solidFill>
            <a:ln>
              <a:noFill/>
            </a:ln>
            <a:effectLst/>
          </c:spPr>
          <c:invertIfNegative val="0"/>
          <c:dPt>
            <c:idx val="7"/>
            <c:invertIfNegative val="0"/>
            <c:bubble3D val="0"/>
            <c:spPr>
              <a:solidFill>
                <a:schemeClr val="accent2">
                  <a:lumMod val="60000"/>
                  <a:lumOff val="40000"/>
                </a:schemeClr>
              </a:solidFill>
              <a:ln>
                <a:noFill/>
              </a:ln>
              <a:effectLst/>
            </c:spPr>
            <c:extLst>
              <c:ext xmlns:c16="http://schemas.microsoft.com/office/drawing/2014/chart" uri="{C3380CC4-5D6E-409C-BE32-E72D297353CC}">
                <c16:uniqueId val="{00000001-FCD7-4590-B3E3-0C4755BB3E0E}"/>
              </c:ext>
            </c:extLst>
          </c:dPt>
          <c:dPt>
            <c:idx val="8"/>
            <c:invertIfNegative val="0"/>
            <c:bubble3D val="0"/>
            <c:spPr>
              <a:solidFill>
                <a:schemeClr val="accent2">
                  <a:lumMod val="60000"/>
                  <a:lumOff val="40000"/>
                </a:schemeClr>
              </a:solidFill>
              <a:ln>
                <a:noFill/>
              </a:ln>
              <a:effectLst/>
            </c:spPr>
            <c:extLst>
              <c:ext xmlns:c16="http://schemas.microsoft.com/office/drawing/2014/chart" uri="{C3380CC4-5D6E-409C-BE32-E72D297353CC}">
                <c16:uniqueId val="{00000003-FCD7-4590-B3E3-0C4755BB3E0E}"/>
              </c:ext>
            </c:extLst>
          </c:dPt>
          <c:dPt>
            <c:idx val="9"/>
            <c:invertIfNegative val="0"/>
            <c:bubble3D val="0"/>
            <c:spPr>
              <a:solidFill>
                <a:schemeClr val="accent2">
                  <a:lumMod val="60000"/>
                  <a:lumOff val="40000"/>
                </a:schemeClr>
              </a:solidFill>
              <a:ln>
                <a:noFill/>
              </a:ln>
              <a:effectLst/>
            </c:spPr>
            <c:extLst>
              <c:ext xmlns:c16="http://schemas.microsoft.com/office/drawing/2014/chart" uri="{C3380CC4-5D6E-409C-BE32-E72D297353CC}">
                <c16:uniqueId val="{00000005-FCD7-4590-B3E3-0C4755BB3E0E}"/>
              </c:ext>
            </c:extLst>
          </c:dPt>
          <c:dPt>
            <c:idx val="10"/>
            <c:invertIfNegative val="0"/>
            <c:bubble3D val="0"/>
            <c:spPr>
              <a:solidFill>
                <a:schemeClr val="accent2">
                  <a:lumMod val="60000"/>
                  <a:lumOff val="40000"/>
                </a:schemeClr>
              </a:solidFill>
              <a:ln>
                <a:noFill/>
              </a:ln>
              <a:effectLst/>
            </c:spPr>
            <c:extLst>
              <c:ext xmlns:c16="http://schemas.microsoft.com/office/drawing/2014/chart" uri="{C3380CC4-5D6E-409C-BE32-E72D297353CC}">
                <c16:uniqueId val="{00000007-FCD7-4590-B3E3-0C4755BB3E0E}"/>
              </c:ext>
            </c:extLst>
          </c:dPt>
          <c:dPt>
            <c:idx val="11"/>
            <c:invertIfNegative val="0"/>
            <c:bubble3D val="0"/>
            <c:spPr>
              <a:solidFill>
                <a:schemeClr val="accent2">
                  <a:lumMod val="60000"/>
                  <a:lumOff val="40000"/>
                </a:schemeClr>
              </a:solidFill>
              <a:ln>
                <a:noFill/>
              </a:ln>
              <a:effectLst/>
            </c:spPr>
            <c:extLst>
              <c:ext xmlns:c16="http://schemas.microsoft.com/office/drawing/2014/chart" uri="{C3380CC4-5D6E-409C-BE32-E72D297353CC}">
                <c16:uniqueId val="{00000009-FCD7-4590-B3E3-0C4755BB3E0E}"/>
              </c:ext>
            </c:extLst>
          </c:dPt>
          <c:dPt>
            <c:idx val="12"/>
            <c:invertIfNegative val="0"/>
            <c:bubble3D val="0"/>
            <c:spPr>
              <a:solidFill>
                <a:schemeClr val="accent2">
                  <a:lumMod val="60000"/>
                  <a:lumOff val="40000"/>
                </a:schemeClr>
              </a:solidFill>
              <a:ln>
                <a:noFill/>
              </a:ln>
              <a:effectLst/>
            </c:spPr>
            <c:extLst>
              <c:ext xmlns:c16="http://schemas.microsoft.com/office/drawing/2014/chart" uri="{C3380CC4-5D6E-409C-BE32-E72D297353CC}">
                <c16:uniqueId val="{0000000B-FCD7-4590-B3E3-0C4755BB3E0E}"/>
              </c:ext>
            </c:extLst>
          </c:dPt>
          <c:dPt>
            <c:idx val="13"/>
            <c:invertIfNegative val="0"/>
            <c:bubble3D val="0"/>
            <c:spPr>
              <a:solidFill>
                <a:schemeClr val="accent2">
                  <a:lumMod val="60000"/>
                  <a:lumOff val="40000"/>
                </a:schemeClr>
              </a:solidFill>
              <a:ln>
                <a:noFill/>
              </a:ln>
              <a:effectLst/>
            </c:spPr>
            <c:extLst>
              <c:ext xmlns:c16="http://schemas.microsoft.com/office/drawing/2014/chart" uri="{C3380CC4-5D6E-409C-BE32-E72D297353CC}">
                <c16:uniqueId val="{0000000D-FCD7-4590-B3E3-0C4755BB3E0E}"/>
              </c:ext>
            </c:extLst>
          </c:dPt>
          <c:dPt>
            <c:idx val="14"/>
            <c:invertIfNegative val="0"/>
            <c:bubble3D val="0"/>
            <c:spPr>
              <a:solidFill>
                <a:schemeClr val="accent2">
                  <a:lumMod val="60000"/>
                  <a:lumOff val="40000"/>
                </a:schemeClr>
              </a:solidFill>
              <a:ln>
                <a:noFill/>
              </a:ln>
              <a:effectLst/>
            </c:spPr>
            <c:extLst>
              <c:ext xmlns:c16="http://schemas.microsoft.com/office/drawing/2014/chart" uri="{C3380CC4-5D6E-409C-BE32-E72D297353CC}">
                <c16:uniqueId val="{0000000F-FCD7-4590-B3E3-0C4755BB3E0E}"/>
              </c:ext>
            </c:extLst>
          </c:dPt>
          <c:dPt>
            <c:idx val="15"/>
            <c:invertIfNegative val="0"/>
            <c:bubble3D val="0"/>
            <c:spPr>
              <a:solidFill>
                <a:schemeClr val="accent2">
                  <a:lumMod val="60000"/>
                  <a:lumOff val="40000"/>
                </a:schemeClr>
              </a:solidFill>
              <a:ln>
                <a:noFill/>
              </a:ln>
              <a:effectLst/>
            </c:spPr>
            <c:extLst>
              <c:ext xmlns:c16="http://schemas.microsoft.com/office/drawing/2014/chart" uri="{C3380CC4-5D6E-409C-BE32-E72D297353CC}">
                <c16:uniqueId val="{00000011-FCD7-4590-B3E3-0C4755BB3E0E}"/>
              </c:ext>
            </c:extLst>
          </c:dPt>
          <c:dPt>
            <c:idx val="16"/>
            <c:invertIfNegative val="0"/>
            <c:bubble3D val="0"/>
            <c:spPr>
              <a:solidFill>
                <a:schemeClr val="accent2">
                  <a:lumMod val="60000"/>
                  <a:lumOff val="40000"/>
                </a:schemeClr>
              </a:solidFill>
              <a:ln>
                <a:noFill/>
              </a:ln>
              <a:effectLst/>
            </c:spPr>
            <c:extLst>
              <c:ext xmlns:c16="http://schemas.microsoft.com/office/drawing/2014/chart" uri="{C3380CC4-5D6E-409C-BE32-E72D297353CC}">
                <c16:uniqueId val="{00000013-FCD7-4590-B3E3-0C4755BB3E0E}"/>
              </c:ext>
            </c:extLst>
          </c:dPt>
          <c:dPt>
            <c:idx val="17"/>
            <c:invertIfNegative val="0"/>
            <c:bubble3D val="0"/>
            <c:spPr>
              <a:solidFill>
                <a:schemeClr val="accent2">
                  <a:lumMod val="60000"/>
                  <a:lumOff val="40000"/>
                </a:schemeClr>
              </a:solidFill>
              <a:ln>
                <a:noFill/>
              </a:ln>
              <a:effectLst/>
            </c:spPr>
            <c:extLst>
              <c:ext xmlns:c16="http://schemas.microsoft.com/office/drawing/2014/chart" uri="{C3380CC4-5D6E-409C-BE32-E72D297353CC}">
                <c16:uniqueId val="{00000015-FCD7-4590-B3E3-0C4755BB3E0E}"/>
              </c:ext>
            </c:extLst>
          </c:dPt>
          <c:dPt>
            <c:idx val="18"/>
            <c:invertIfNegative val="0"/>
            <c:bubble3D val="0"/>
            <c:spPr>
              <a:solidFill>
                <a:schemeClr val="accent2">
                  <a:lumMod val="60000"/>
                  <a:lumOff val="40000"/>
                </a:schemeClr>
              </a:solidFill>
              <a:ln>
                <a:noFill/>
              </a:ln>
              <a:effectLst/>
            </c:spPr>
            <c:extLst>
              <c:ext xmlns:c16="http://schemas.microsoft.com/office/drawing/2014/chart" uri="{C3380CC4-5D6E-409C-BE32-E72D297353CC}">
                <c16:uniqueId val="{00000017-FCD7-4590-B3E3-0C4755BB3E0E}"/>
              </c:ext>
            </c:extLst>
          </c:dPt>
          <c:dPt>
            <c:idx val="19"/>
            <c:invertIfNegative val="0"/>
            <c:bubble3D val="0"/>
            <c:spPr>
              <a:solidFill>
                <a:schemeClr val="accent2">
                  <a:lumMod val="60000"/>
                  <a:lumOff val="40000"/>
                </a:schemeClr>
              </a:solidFill>
              <a:ln>
                <a:noFill/>
              </a:ln>
              <a:effectLst/>
            </c:spPr>
            <c:extLst>
              <c:ext xmlns:c16="http://schemas.microsoft.com/office/drawing/2014/chart" uri="{C3380CC4-5D6E-409C-BE32-E72D297353CC}">
                <c16:uniqueId val="{00000019-FCD7-4590-B3E3-0C4755BB3E0E}"/>
              </c:ext>
            </c:extLst>
          </c:dPt>
          <c:dPt>
            <c:idx val="20"/>
            <c:invertIfNegative val="0"/>
            <c:bubble3D val="0"/>
            <c:spPr>
              <a:solidFill>
                <a:schemeClr val="accent2">
                  <a:lumMod val="60000"/>
                  <a:lumOff val="40000"/>
                </a:schemeClr>
              </a:solidFill>
              <a:ln>
                <a:noFill/>
              </a:ln>
              <a:effectLst/>
            </c:spPr>
            <c:extLst>
              <c:ext xmlns:c16="http://schemas.microsoft.com/office/drawing/2014/chart" uri="{C3380CC4-5D6E-409C-BE32-E72D297353CC}">
                <c16:uniqueId val="{0000001B-FCD7-4590-B3E3-0C4755BB3E0E}"/>
              </c:ext>
            </c:extLst>
          </c:dPt>
          <c:cat>
            <c:numRef>
              <c:f>'[3]Honduras (2)'!$C$53:$W$53</c:f>
              <c:numCache>
                <c:formatCode>General</c:formatCode>
                <c:ptCount val="21"/>
                <c:pt idx="0">
                  <c:v>2012</c:v>
                </c:pt>
                <c:pt idx="1">
                  <c:v>2013</c:v>
                </c:pt>
                <c:pt idx="2">
                  <c:v>2014</c:v>
                </c:pt>
                <c:pt idx="3">
                  <c:v>2015</c:v>
                </c:pt>
                <c:pt idx="4">
                  <c:v>2016</c:v>
                </c:pt>
                <c:pt idx="5">
                  <c:v>2017</c:v>
                </c:pt>
                <c:pt idx="6">
                  <c:v>2018</c:v>
                </c:pt>
                <c:pt idx="7">
                  <c:v>2019</c:v>
                </c:pt>
                <c:pt idx="8">
                  <c:v>2020</c:v>
                </c:pt>
                <c:pt idx="9">
                  <c:v>2021</c:v>
                </c:pt>
                <c:pt idx="10">
                  <c:v>2022</c:v>
                </c:pt>
                <c:pt idx="11">
                  <c:v>2023</c:v>
                </c:pt>
                <c:pt idx="12">
                  <c:v>2024</c:v>
                </c:pt>
                <c:pt idx="13">
                  <c:v>2025</c:v>
                </c:pt>
                <c:pt idx="14">
                  <c:v>2026</c:v>
                </c:pt>
                <c:pt idx="15">
                  <c:v>2027</c:v>
                </c:pt>
                <c:pt idx="16">
                  <c:v>2028</c:v>
                </c:pt>
                <c:pt idx="17">
                  <c:v>2029</c:v>
                </c:pt>
                <c:pt idx="18">
                  <c:v>2030</c:v>
                </c:pt>
                <c:pt idx="19">
                  <c:v>2031</c:v>
                </c:pt>
                <c:pt idx="20">
                  <c:v>2032</c:v>
                </c:pt>
              </c:numCache>
            </c:numRef>
          </c:cat>
          <c:val>
            <c:numRef>
              <c:f>'[3]Honduras (2)'!$C$54:$W$54</c:f>
              <c:numCache>
                <c:formatCode>General</c:formatCode>
                <c:ptCount val="21"/>
                <c:pt idx="0">
                  <c:v>7.2267726693773293E-2</c:v>
                </c:pt>
                <c:pt idx="1">
                  <c:v>7.9601801726693885E-2</c:v>
                </c:pt>
                <c:pt idx="2">
                  <c:v>8.7368936079595533E-2</c:v>
                </c:pt>
                <c:pt idx="3">
                  <c:v>9.5566054717011864E-2</c:v>
                </c:pt>
                <c:pt idx="4">
                  <c:v>0.10418794049912407</c:v>
                </c:pt>
                <c:pt idx="5">
                  <c:v>0.11322729899919402</c:v>
                </c:pt>
                <c:pt idx="6">
                  <c:v>0.12267484347216825</c:v>
                </c:pt>
                <c:pt idx="7">
                  <c:v>0.13251939770444696</c:v>
                </c:pt>
                <c:pt idx="8">
                  <c:v>0.14274801433276377</c:v>
                </c:pt>
                <c:pt idx="9">
                  <c:v>0.15334610614147315</c:v>
                </c:pt>
                <c:pt idx="10">
                  <c:v>0.16429758782715709</c:v>
                </c:pt>
                <c:pt idx="11">
                  <c:v>0.17558502575124105</c:v>
                </c:pt>
                <c:pt idx="12">
                  <c:v>0.18718979327848853</c:v>
                </c:pt>
                <c:pt idx="13">
                  <c:v>0.19909222941474336</c:v>
                </c:pt>
                <c:pt idx="14">
                  <c:v>0.21127179860395687</c:v>
                </c:pt>
                <c:pt idx="15">
                  <c:v>0.22370724971537378</c:v>
                </c:pt>
                <c:pt idx="16">
                  <c:v>0.23637677244011299</c:v>
                </c:pt>
                <c:pt idx="17">
                  <c:v>0.24925814951608541</c:v>
                </c:pt>
                <c:pt idx="18">
                  <c:v>0.26232890340567161</c:v>
                </c:pt>
                <c:pt idx="19">
                  <c:v>0.27556643625688526</c:v>
                </c:pt>
                <c:pt idx="20">
                  <c:v>0.28894816218163089</c:v>
                </c:pt>
              </c:numCache>
            </c:numRef>
          </c:val>
          <c:extLst>
            <c:ext xmlns:c16="http://schemas.microsoft.com/office/drawing/2014/chart" uri="{C3380CC4-5D6E-409C-BE32-E72D297353CC}">
              <c16:uniqueId val="{0000001C-FCD7-4590-B3E3-0C4755BB3E0E}"/>
            </c:ext>
          </c:extLst>
        </c:ser>
        <c:ser>
          <c:idx val="1"/>
          <c:order val="1"/>
          <c:tx>
            <c:v>Con Proyectos</c:v>
          </c:tx>
          <c:spPr>
            <a:solidFill>
              <a:schemeClr val="accent2"/>
            </a:solidFill>
            <a:ln>
              <a:noFill/>
            </a:ln>
            <a:effectLst/>
          </c:spPr>
          <c:invertIfNegative val="0"/>
          <c:val>
            <c:numRef>
              <c:f>'[3]Honduras (2)'!$C$85:$W$85</c:f>
              <c:numCache>
                <c:formatCode>General</c:formatCode>
                <c:ptCount val="21"/>
                <c:pt idx="0">
                  <c:v>7.2267726693773293E-2</c:v>
                </c:pt>
                <c:pt idx="1">
                  <c:v>7.9601801726693885E-2</c:v>
                </c:pt>
                <c:pt idx="2">
                  <c:v>8.7368936079595533E-2</c:v>
                </c:pt>
                <c:pt idx="3">
                  <c:v>9.5566054717011864E-2</c:v>
                </c:pt>
                <c:pt idx="4">
                  <c:v>0.10418794049912407</c:v>
                </c:pt>
                <c:pt idx="5">
                  <c:v>0.11322729899919402</c:v>
                </c:pt>
                <c:pt idx="6">
                  <c:v>0.12267484347216825</c:v>
                </c:pt>
                <c:pt idx="7">
                  <c:v>0.1374590260785023</c:v>
                </c:pt>
                <c:pt idx="8">
                  <c:v>0.14851598676636976</c:v>
                </c:pt>
                <c:pt idx="9">
                  <c:v>0.15997907835704175</c:v>
                </c:pt>
                <c:pt idx="10">
                  <c:v>0.17182814032611327</c:v>
                </c:pt>
                <c:pt idx="11">
                  <c:v>0.1840414232483574</c:v>
                </c:pt>
                <c:pt idx="12">
                  <c:v>0.19659580070296073</c:v>
                </c:pt>
                <c:pt idx="13">
                  <c:v>0.20946698381994422</c:v>
                </c:pt>
                <c:pt idx="14">
                  <c:v>0.22262973540900638</c:v>
                </c:pt>
                <c:pt idx="15">
                  <c:v>0.23605808090740804</c:v>
                </c:pt>
                <c:pt idx="16">
                  <c:v>0.24972551370069415</c:v>
                </c:pt>
                <c:pt idx="17">
                  <c:v>0.26360519269870392</c:v>
                </c:pt>
                <c:pt idx="18">
                  <c:v>0.27767013038036237</c:v>
                </c:pt>
                <c:pt idx="19">
                  <c:v>0.29189336984638453</c:v>
                </c:pt>
                <c:pt idx="20">
                  <c:v>0.30624814973278519</c:v>
                </c:pt>
              </c:numCache>
            </c:numRef>
          </c:val>
          <c:extLst>
            <c:ext xmlns:c16="http://schemas.microsoft.com/office/drawing/2014/chart" uri="{C3380CC4-5D6E-409C-BE32-E72D297353CC}">
              <c16:uniqueId val="{0000001D-FCD7-4590-B3E3-0C4755BB3E0E}"/>
            </c:ext>
          </c:extLst>
        </c:ser>
        <c:dLbls>
          <c:showLegendKey val="0"/>
          <c:showVal val="0"/>
          <c:showCatName val="0"/>
          <c:showSerName val="0"/>
          <c:showPercent val="0"/>
          <c:showBubbleSize val="0"/>
        </c:dLbls>
        <c:gapWidth val="219"/>
        <c:overlap val="-27"/>
        <c:axId val="1004433480"/>
        <c:axId val="1004438400"/>
      </c:barChart>
      <c:catAx>
        <c:axId val="100443348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crossAx val="1004438400"/>
        <c:crosses val="autoZero"/>
        <c:auto val="1"/>
        <c:lblAlgn val="ctr"/>
        <c:lblOffset val="100"/>
        <c:noMultiLvlLbl val="0"/>
      </c:catAx>
      <c:valAx>
        <c:axId val="1004438400"/>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crossAx val="1004433480"/>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0"/>
          <c:order val="0"/>
          <c:tx>
            <c:strRef>
              <c:f>'[3]Honduras (2)'!$B$23</c:f>
              <c:strCache>
                <c:ptCount val="1"/>
                <c:pt idx="0">
                  <c:v>Ahorros Totales</c:v>
                </c:pt>
              </c:strCache>
            </c:strRef>
          </c:tx>
          <c:spPr>
            <a:solidFill>
              <a:schemeClr val="accent1"/>
            </a:solidFill>
            <a:ln>
              <a:noFill/>
            </a:ln>
            <a:effectLst/>
          </c:spPr>
          <c:invertIfNegative val="0"/>
          <c:cat>
            <c:numRef>
              <c:f>'[3]Honduras (2)'!$C$3:$Q$3</c:f>
              <c:numCache>
                <c:formatCode>General</c:formatCode>
                <c:ptCount val="15"/>
                <c:pt idx="0">
                  <c:v>2018</c:v>
                </c:pt>
                <c:pt idx="1">
                  <c:v>2019</c:v>
                </c:pt>
                <c:pt idx="2">
                  <c:v>2020</c:v>
                </c:pt>
                <c:pt idx="3">
                  <c:v>2021</c:v>
                </c:pt>
                <c:pt idx="4">
                  <c:v>2022</c:v>
                </c:pt>
                <c:pt idx="5">
                  <c:v>2023</c:v>
                </c:pt>
                <c:pt idx="6">
                  <c:v>2024</c:v>
                </c:pt>
                <c:pt idx="7">
                  <c:v>2025</c:v>
                </c:pt>
                <c:pt idx="8">
                  <c:v>2026</c:v>
                </c:pt>
                <c:pt idx="9">
                  <c:v>2027</c:v>
                </c:pt>
                <c:pt idx="10">
                  <c:v>2028</c:v>
                </c:pt>
                <c:pt idx="11">
                  <c:v>2029</c:v>
                </c:pt>
                <c:pt idx="12">
                  <c:v>2030</c:v>
                </c:pt>
                <c:pt idx="13">
                  <c:v>2031</c:v>
                </c:pt>
                <c:pt idx="14">
                  <c:v>2032</c:v>
                </c:pt>
              </c:numCache>
            </c:numRef>
          </c:cat>
          <c:val>
            <c:numRef>
              <c:f>'[3]Honduras (2)'!$C$23:$Q$23</c:f>
              <c:numCache>
                <c:formatCode>General</c:formatCode>
                <c:ptCount val="15"/>
                <c:pt idx="0">
                  <c:v>0</c:v>
                </c:pt>
                <c:pt idx="1">
                  <c:v>0</c:v>
                </c:pt>
                <c:pt idx="2">
                  <c:v>4396933.842684146</c:v>
                </c:pt>
                <c:pt idx="3">
                  <c:v>5047657.3954953346</c:v>
                </c:pt>
                <c:pt idx="4">
                  <c:v>5658830.5709204134</c:v>
                </c:pt>
                <c:pt idx="5">
                  <c:v>6219746.4995384319</c:v>
                </c:pt>
                <c:pt idx="6">
                  <c:v>6724947.7441627011</c:v>
                </c:pt>
                <c:pt idx="7">
                  <c:v>7173101.8669031914</c:v>
                </c:pt>
                <c:pt idx="8">
                  <c:v>7565836.8557038559</c:v>
                </c:pt>
                <c:pt idx="9">
                  <c:v>7906707.1630928311</c:v>
                </c:pt>
                <c:pt idx="10">
                  <c:v>8200362.3940525074</c:v>
                </c:pt>
                <c:pt idx="11">
                  <c:v>8451928.3594970275</c:v>
                </c:pt>
                <c:pt idx="12">
                  <c:v>8666577.338387046</c:v>
                </c:pt>
                <c:pt idx="13">
                  <c:v>8849251.4064624738</c:v>
                </c:pt>
                <c:pt idx="14">
                  <c:v>9004501.3078578617</c:v>
                </c:pt>
              </c:numCache>
            </c:numRef>
          </c:val>
          <c:extLst>
            <c:ext xmlns:c16="http://schemas.microsoft.com/office/drawing/2014/chart" uri="{C3380CC4-5D6E-409C-BE32-E72D297353CC}">
              <c16:uniqueId val="{00000000-1030-4630-8546-5B6F53F81C24}"/>
            </c:ext>
          </c:extLst>
        </c:ser>
        <c:dLbls>
          <c:showLegendKey val="0"/>
          <c:showVal val="0"/>
          <c:showCatName val="0"/>
          <c:showSerName val="0"/>
          <c:showPercent val="0"/>
          <c:showBubbleSize val="0"/>
        </c:dLbls>
        <c:gapWidth val="219"/>
        <c:overlap val="-27"/>
        <c:axId val="747706376"/>
        <c:axId val="747707032"/>
      </c:barChart>
      <c:catAx>
        <c:axId val="74770637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47707032"/>
        <c:crosses val="autoZero"/>
        <c:auto val="1"/>
        <c:lblAlgn val="ctr"/>
        <c:lblOffset val="100"/>
        <c:noMultiLvlLbl val="0"/>
      </c:catAx>
      <c:valAx>
        <c:axId val="747707032"/>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4770637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6</xdr:col>
      <xdr:colOff>27510</xdr:colOff>
      <xdr:row>61</xdr:row>
      <xdr:rowOff>156987</xdr:rowOff>
    </xdr:from>
    <xdr:to>
      <xdr:col>12</xdr:col>
      <xdr:colOff>797278</xdr:colOff>
      <xdr:row>80</xdr:row>
      <xdr:rowOff>165452</xdr:rowOff>
    </xdr:to>
    <xdr:graphicFrame macro="">
      <xdr:nvGraphicFramePr>
        <xdr:cNvPr id="2" name="Chart 1">
          <a:extLst>
            <a:ext uri="{FF2B5EF4-FFF2-40B4-BE49-F238E27FC236}">
              <a16:creationId xmlns:a16="http://schemas.microsoft.com/office/drawing/2014/main" id="{863E310F-2F44-4CA4-8A1B-BE3A2F4B8F5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303383</xdr:colOff>
      <xdr:row>61</xdr:row>
      <xdr:rowOff>148167</xdr:rowOff>
    </xdr:from>
    <xdr:to>
      <xdr:col>5</xdr:col>
      <xdr:colOff>863723</xdr:colOff>
      <xdr:row>80</xdr:row>
      <xdr:rowOff>156632</xdr:rowOff>
    </xdr:to>
    <xdr:graphicFrame macro="">
      <xdr:nvGraphicFramePr>
        <xdr:cNvPr id="3" name="Chart 2">
          <a:extLst>
            <a:ext uri="{FF2B5EF4-FFF2-40B4-BE49-F238E27FC236}">
              <a16:creationId xmlns:a16="http://schemas.microsoft.com/office/drawing/2014/main" id="{82B954D6-D013-4127-8DCF-DD436D9DE36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12</xdr:col>
      <xdr:colOff>515055</xdr:colOff>
      <xdr:row>25</xdr:row>
      <xdr:rowOff>28928</xdr:rowOff>
    </xdr:from>
    <xdr:to>
      <xdr:col>19</xdr:col>
      <xdr:colOff>437444</xdr:colOff>
      <xdr:row>40</xdr:row>
      <xdr:rowOff>176388</xdr:rowOff>
    </xdr:to>
    <xdr:graphicFrame macro="">
      <xdr:nvGraphicFramePr>
        <xdr:cNvPr id="4" name="Chart 3">
          <a:extLst>
            <a:ext uri="{FF2B5EF4-FFF2-40B4-BE49-F238E27FC236}">
              <a16:creationId xmlns:a16="http://schemas.microsoft.com/office/drawing/2014/main" id="{90B06FEE-25CF-413F-BFD9-CD2921FACAD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apareja\Documents\D%20Drive\DATA.IDB\1.%20Pa&#237;ses\Honduras\HO-L1202\QRR\HO-L1202%20paquete%20POD\An&#225;lisis%20Costo%20-%20Beneficio%20banda%20ancha%20enviado%20por%20Enrique.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enriqueig\Desktop\Pr&#233;stamos\z.%20Posibles\Bonos%20Digitales\Bonos%20digitales_v5.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Users\HAROLDVI\AppData\Local\Microsoft\Windows\INetCache\Content.Outlook\33RHN3Q3\An&#225;lisis%20Costo%20-%20Beneficio.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stancia Escuelas - EBFO (CLAR"/>
      <sheetName val="hist"/>
      <sheetName val="Distancia Plazas y Parques - EB"/>
      <sheetName val="Red de fibra propuesta"/>
      <sheetName val="ACB"/>
      <sheetName val="Honduras"/>
      <sheetName val="Honduras (2)"/>
      <sheetName val="Costos"/>
      <sheetName val="Capex Instituciones"/>
      <sheetName val="Sheet2"/>
    </sheetNames>
    <sheetDataSet>
      <sheetData sheetId="0" refreshError="1"/>
      <sheetData sheetId="1" refreshError="1"/>
      <sheetData sheetId="2" refreshError="1"/>
      <sheetData sheetId="3" refreshError="1"/>
      <sheetData sheetId="4">
        <row r="5">
          <cell r="D5">
            <v>27.549419981060602</v>
          </cell>
        </row>
      </sheetData>
      <sheetData sheetId="5" refreshError="1"/>
      <sheetData sheetId="6" refreshError="1"/>
      <sheetData sheetId="7" refreshError="1"/>
      <sheetData sheetId="8" refreshError="1"/>
      <sheetData sheetId="9"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shboard"/>
      <sheetName val="Honduras"/>
      <sheetName val="Bonos Soberanos"/>
      <sheetName val="BBDD Espectro ALC"/>
      <sheetName val="BBDD Espectro Todos"/>
      <sheetName val="Multilinear Regression (3)"/>
      <sheetName val="Multilinear Regression trim"/>
      <sheetName val="Multilinear Regression ARPU Mov"/>
      <sheetName val="Multilinear Regression ARPU Fij"/>
      <sheetName val="RG-MBMP"/>
      <sheetName val="GDP per capita"/>
      <sheetName val="IN-LBAM"/>
      <sheetName val="AU-PPRU"/>
      <sheetName val="AU-DPKM"/>
      <sheetName val="RG-COBM"/>
      <sheetName val="RG-MBFP"/>
      <sheetName val="Honduras (2)"/>
    </sheetNames>
    <sheetDataSet>
      <sheetData sheetId="0" refreshError="1">
        <row r="4">
          <cell r="C4">
            <v>-0.02</v>
          </cell>
        </row>
        <row r="5">
          <cell r="C5">
            <v>1.7251296678325367E-2</v>
          </cell>
        </row>
        <row r="6">
          <cell r="C6">
            <v>2.6284043577209371E-2</v>
          </cell>
        </row>
        <row r="7">
          <cell r="C7">
            <v>3.74829749486804E-2</v>
          </cell>
        </row>
        <row r="8">
          <cell r="C8">
            <v>0.18479794981435801</v>
          </cell>
        </row>
        <row r="53">
          <cell r="F53">
            <v>0</v>
          </cell>
        </row>
        <row r="55">
          <cell r="F55">
            <v>0.11376753194785683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stancia Escuelas - EBFO (CLAR"/>
      <sheetName val="hist"/>
      <sheetName val="Distancia Plazas y Parques - EB"/>
      <sheetName val="Red de fibra propuesta"/>
      <sheetName val="ACB"/>
      <sheetName val="Honduras"/>
      <sheetName val="Honduras (2)"/>
      <sheetName val="Costos"/>
      <sheetName val="Capex Instituciones"/>
      <sheetName val="Sheet2"/>
    </sheetNames>
    <sheetDataSet>
      <sheetData sheetId="0" refreshError="1"/>
      <sheetData sheetId="1" refreshError="1"/>
      <sheetData sheetId="2" refreshError="1"/>
      <sheetData sheetId="3" refreshError="1"/>
      <sheetData sheetId="4" refreshError="1">
        <row r="35">
          <cell r="V35">
            <v>2.7479265242265565</v>
          </cell>
        </row>
        <row r="36">
          <cell r="V36">
            <v>3.9767226088076146E-2</v>
          </cell>
        </row>
        <row r="38">
          <cell r="V38">
            <v>4.9252231389723988</v>
          </cell>
        </row>
        <row r="39">
          <cell r="V39">
            <v>0.19605972740803609</v>
          </cell>
        </row>
      </sheetData>
      <sheetData sheetId="5" refreshError="1"/>
      <sheetData sheetId="6" refreshError="1">
        <row r="3">
          <cell r="C3">
            <v>2018</v>
          </cell>
          <cell r="D3">
            <v>2019</v>
          </cell>
          <cell r="E3">
            <v>2020</v>
          </cell>
          <cell r="F3">
            <v>2021</v>
          </cell>
          <cell r="G3">
            <v>2022</v>
          </cell>
          <cell r="H3">
            <v>2023</v>
          </cell>
          <cell r="I3">
            <v>2024</v>
          </cell>
          <cell r="J3">
            <v>2025</v>
          </cell>
          <cell r="K3">
            <v>2026</v>
          </cell>
          <cell r="L3">
            <v>2027</v>
          </cell>
          <cell r="M3">
            <v>2028</v>
          </cell>
          <cell r="N3">
            <v>2029</v>
          </cell>
          <cell r="O3">
            <v>2030</v>
          </cell>
          <cell r="P3">
            <v>2031</v>
          </cell>
          <cell r="Q3">
            <v>2032</v>
          </cell>
        </row>
        <row r="23">
          <cell r="B23" t="str">
            <v>Ahorros Totales</v>
          </cell>
          <cell r="C23">
            <v>0</v>
          </cell>
          <cell r="D23">
            <v>0</v>
          </cell>
          <cell r="E23">
            <v>4396933.842684146</v>
          </cell>
          <cell r="F23">
            <v>5047657.3954953346</v>
          </cell>
          <cell r="G23">
            <v>5658830.5709204134</v>
          </cell>
          <cell r="H23">
            <v>6219746.4995384319</v>
          </cell>
          <cell r="I23">
            <v>6724947.7441627011</v>
          </cell>
          <cell r="J23">
            <v>7173101.8669031914</v>
          </cell>
          <cell r="K23">
            <v>7565836.8557038559</v>
          </cell>
          <cell r="L23">
            <v>7906707.1630928311</v>
          </cell>
          <cell r="M23">
            <v>8200362.3940525074</v>
          </cell>
          <cell r="N23">
            <v>8451928.3594970275</v>
          </cell>
          <cell r="O23">
            <v>8666577.338387046</v>
          </cell>
          <cell r="P23">
            <v>8849251.4064624738</v>
          </cell>
          <cell r="Q23">
            <v>9004501.3078578617</v>
          </cell>
        </row>
        <row r="53">
          <cell r="C53">
            <v>2012</v>
          </cell>
          <cell r="D53">
            <v>2013</v>
          </cell>
          <cell r="E53">
            <v>2014</v>
          </cell>
          <cell r="F53">
            <v>2015</v>
          </cell>
          <cell r="G53">
            <v>2016</v>
          </cell>
          <cell r="H53">
            <v>2017</v>
          </cell>
          <cell r="I53">
            <v>2018</v>
          </cell>
          <cell r="J53">
            <v>2019</v>
          </cell>
          <cell r="K53">
            <v>2020</v>
          </cell>
          <cell r="L53">
            <v>2021</v>
          </cell>
          <cell r="M53">
            <v>2022</v>
          </cell>
          <cell r="N53">
            <v>2023</v>
          </cell>
          <cell r="O53">
            <v>2024</v>
          </cell>
          <cell r="P53">
            <v>2025</v>
          </cell>
          <cell r="Q53">
            <v>2026</v>
          </cell>
          <cell r="R53">
            <v>2027</v>
          </cell>
          <cell r="S53">
            <v>2028</v>
          </cell>
          <cell r="T53">
            <v>2029</v>
          </cell>
          <cell r="U53">
            <v>2030</v>
          </cell>
          <cell r="V53">
            <v>2031</v>
          </cell>
          <cell r="W53">
            <v>2032</v>
          </cell>
        </row>
        <row r="54">
          <cell r="C54">
            <v>7.2267726693773293E-2</v>
          </cell>
          <cell r="D54">
            <v>7.9601801726693885E-2</v>
          </cell>
          <cell r="E54">
            <v>8.7368936079595533E-2</v>
          </cell>
          <cell r="F54">
            <v>9.5566054717011864E-2</v>
          </cell>
          <cell r="G54">
            <v>0.10418794049912407</v>
          </cell>
          <cell r="H54">
            <v>0.11322729899919402</v>
          </cell>
          <cell r="I54">
            <v>0.12267484347216825</v>
          </cell>
          <cell r="J54">
            <v>0.13251939770444696</v>
          </cell>
          <cell r="K54">
            <v>0.14274801433276377</v>
          </cell>
          <cell r="L54">
            <v>0.15334610614147315</v>
          </cell>
          <cell r="M54">
            <v>0.16429758782715709</v>
          </cell>
          <cell r="N54">
            <v>0.17558502575124105</v>
          </cell>
          <cell r="O54">
            <v>0.18718979327848853</v>
          </cell>
          <cell r="P54">
            <v>0.19909222941474336</v>
          </cell>
          <cell r="Q54">
            <v>0.21127179860395687</v>
          </cell>
          <cell r="R54">
            <v>0.22370724971537378</v>
          </cell>
          <cell r="S54">
            <v>0.23637677244011299</v>
          </cell>
          <cell r="T54">
            <v>0.24925814951608541</v>
          </cell>
          <cell r="U54">
            <v>0.26232890340567161</v>
          </cell>
          <cell r="V54">
            <v>0.27556643625688526</v>
          </cell>
          <cell r="W54">
            <v>0.28894816218163089</v>
          </cell>
        </row>
        <row r="55">
          <cell r="C55">
            <v>1.7178310015154141E-2</v>
          </cell>
          <cell r="D55">
            <v>3.4102660294443678E-2</v>
          </cell>
          <cell r="E55">
            <v>6.0304209739016984E-2</v>
          </cell>
          <cell r="F55">
            <v>9.6858304044895246E-2</v>
          </cell>
          <cell r="G55">
            <v>0.14361629925881728</v>
          </cell>
          <cell r="H55">
            <v>0.19925391815878549</v>
          </cell>
          <cell r="I55">
            <v>0.26158714006436007</v>
          </cell>
          <cell r="J55">
            <v>0.32800516324834583</v>
          </cell>
          <cell r="K55">
            <v>0.39588136180403211</v>
          </cell>
          <cell r="L55">
            <v>0.46287849906792555</v>
          </cell>
          <cell r="M55">
            <v>0.52712305950056204</v>
          </cell>
          <cell r="N55">
            <v>0.58726373379364749</v>
          </cell>
          <cell r="O55">
            <v>0.64244720602372951</v>
          </cell>
          <cell r="P55">
            <v>0.69224623918728889</v>
          </cell>
          <cell r="Q55">
            <v>0.73656839090537229</v>
          </cell>
          <cell r="R55">
            <v>0.77556449578550402</v>
          </cell>
          <cell r="S55">
            <v>0.80954769817101069</v>
          </cell>
          <cell r="T55">
            <v>0.83892761588438081</v>
          </cell>
          <cell r="U55">
            <v>0.86416025419355647</v>
          </cell>
          <cell r="V55">
            <v>0.88571212988347225</v>
          </cell>
          <cell r="W55">
            <v>0.90403614767527307</v>
          </cell>
        </row>
        <row r="85">
          <cell r="C85">
            <v>7.2267726693773293E-2</v>
          </cell>
          <cell r="D85">
            <v>7.9601801726693885E-2</v>
          </cell>
          <cell r="E85">
            <v>8.7368936079595533E-2</v>
          </cell>
          <cell r="F85">
            <v>9.5566054717011864E-2</v>
          </cell>
          <cell r="G85">
            <v>0.10418794049912407</v>
          </cell>
          <cell r="H85">
            <v>0.11322729899919402</v>
          </cell>
          <cell r="I85">
            <v>0.12267484347216825</v>
          </cell>
          <cell r="J85">
            <v>0.1374590260785023</v>
          </cell>
          <cell r="K85">
            <v>0.14851598676636976</v>
          </cell>
          <cell r="L85">
            <v>0.15997907835704175</v>
          </cell>
          <cell r="M85">
            <v>0.17182814032611327</v>
          </cell>
          <cell r="N85">
            <v>0.1840414232483574</v>
          </cell>
          <cell r="O85">
            <v>0.19659580070296073</v>
          </cell>
          <cell r="P85">
            <v>0.20946698381994422</v>
          </cell>
          <cell r="Q85">
            <v>0.22262973540900638</v>
          </cell>
          <cell r="R85">
            <v>0.23605808090740804</v>
          </cell>
          <cell r="S85">
            <v>0.24972551370069415</v>
          </cell>
          <cell r="T85">
            <v>0.26360519269870392</v>
          </cell>
          <cell r="U85">
            <v>0.27767013038036237</v>
          </cell>
          <cell r="V85">
            <v>0.29189336984638453</v>
          </cell>
          <cell r="W85">
            <v>0.30624814973278519</v>
          </cell>
        </row>
        <row r="86">
          <cell r="C86">
            <v>1.7178310015154141E-2</v>
          </cell>
          <cell r="D86">
            <v>3.4102660294443678E-2</v>
          </cell>
          <cell r="E86">
            <v>6.0304209739016984E-2</v>
          </cell>
          <cell r="F86">
            <v>9.6858304044895246E-2</v>
          </cell>
          <cell r="G86">
            <v>0.14361629925881728</v>
          </cell>
          <cell r="H86">
            <v>0.19925391815878549</v>
          </cell>
          <cell r="I86">
            <v>0.26158714006436007</v>
          </cell>
          <cell r="J86">
            <v>0.35835546538674545</v>
          </cell>
          <cell r="K86">
            <v>0.43286775933796562</v>
          </cell>
          <cell r="L86">
            <v>0.50245527671888734</v>
          </cell>
          <cell r="M86">
            <v>0.56795390505186816</v>
          </cell>
          <cell r="N86">
            <v>0.62813705798681974</v>
          </cell>
          <cell r="O86">
            <v>0.68235153653064229</v>
          </cell>
          <cell r="P86">
            <v>0.73040012262602827</v>
          </cell>
          <cell r="Q86">
            <v>0.77241738072494792</v>
          </cell>
          <cell r="R86">
            <v>0.80875784938251938</v>
          </cell>
          <cell r="S86">
            <v>0.83990508778148076</v>
          </cell>
          <cell r="T86">
            <v>0.86640315920374722</v>
          </cell>
          <cell r="U86">
            <v>0.88880841561411605</v>
          </cell>
          <cell r="V86">
            <v>0.90765790184211392</v>
          </cell>
          <cell r="W86">
            <v>0.92345044208614668</v>
          </cell>
        </row>
      </sheetData>
      <sheetData sheetId="7" refreshError="1"/>
      <sheetData sheetId="8" refreshError="1"/>
      <sheetData sheetId="9"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www.preciosmundi.com/" TargetMode="External"/><Relationship Id="rId1" Type="http://schemas.openxmlformats.org/officeDocument/2006/relationships/hyperlink" Target="http://www.costodevida.com/"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783096B-0321-48BD-A009-1353ACCAB9E0}">
  <sheetPr>
    <pageSetUpPr fitToPage="1"/>
  </sheetPr>
  <dimension ref="A1:N132"/>
  <sheetViews>
    <sheetView tabSelected="1" topLeftCell="A87" workbookViewId="0">
      <pane xSplit="11685" ySplit="5805" activePane="bottomLeft"/>
      <selection pane="topRight" activeCell="L102" sqref="L102"/>
      <selection pane="bottomLeft" activeCell="B109" sqref="B109"/>
      <selection pane="bottomRight" activeCell="F90" sqref="F90"/>
    </sheetView>
  </sheetViews>
  <sheetFormatPr defaultRowHeight="15" x14ac:dyDescent="0.25"/>
  <cols>
    <col min="1" max="1" width="44" customWidth="1"/>
    <col min="2" max="2" width="12.28515625" customWidth="1"/>
    <col min="3" max="3" width="8.28515625" customWidth="1"/>
    <col min="4" max="4" width="11.7109375" customWidth="1"/>
    <col min="5" max="5" width="13.140625" bestFit="1" customWidth="1"/>
    <col min="6" max="6" width="15" customWidth="1"/>
    <col min="7" max="7" width="15.28515625" customWidth="1"/>
    <col min="8" max="8" width="14.42578125" customWidth="1"/>
    <col min="9" max="9" width="14.140625" customWidth="1"/>
    <col min="10" max="10" width="14.5703125" customWidth="1"/>
    <col min="11" max="12" width="13.5703125" customWidth="1"/>
    <col min="13" max="14" width="12.7109375" customWidth="1"/>
  </cols>
  <sheetData>
    <row r="1" spans="1:14" ht="15.75" x14ac:dyDescent="0.25">
      <c r="A1" s="28" t="s">
        <v>0</v>
      </c>
      <c r="B1" s="4"/>
      <c r="C1" s="4"/>
    </row>
    <row r="2" spans="1:14" ht="15.75" x14ac:dyDescent="0.25">
      <c r="A2" s="28" t="s">
        <v>14</v>
      </c>
      <c r="B2" s="4"/>
      <c r="C2" s="4"/>
    </row>
    <row r="4" spans="1:14" x14ac:dyDescent="0.25">
      <c r="A4" s="2" t="s">
        <v>1</v>
      </c>
      <c r="B4" s="2"/>
      <c r="C4" s="2"/>
    </row>
    <row r="5" spans="1:14" x14ac:dyDescent="0.25">
      <c r="F5" s="35">
        <v>1</v>
      </c>
      <c r="G5" s="35">
        <f>F5+1</f>
        <v>2</v>
      </c>
      <c r="H5" s="35">
        <f t="shared" ref="H5:L5" si="0">G5+1</f>
        <v>3</v>
      </c>
      <c r="I5" s="35">
        <f t="shared" si="0"/>
        <v>4</v>
      </c>
      <c r="J5" s="35">
        <f t="shared" si="0"/>
        <v>5</v>
      </c>
      <c r="K5" s="35">
        <f t="shared" si="0"/>
        <v>6</v>
      </c>
      <c r="L5" s="35">
        <f t="shared" si="0"/>
        <v>7</v>
      </c>
      <c r="M5" s="51"/>
      <c r="N5" s="51"/>
    </row>
    <row r="6" spans="1:14" ht="30" x14ac:dyDescent="0.25">
      <c r="B6" s="1" t="s">
        <v>16</v>
      </c>
      <c r="C6" s="5" t="s">
        <v>17</v>
      </c>
      <c r="D6" s="1" t="s">
        <v>5</v>
      </c>
      <c r="E6" s="1" t="s">
        <v>6</v>
      </c>
      <c r="F6" s="1">
        <v>2020</v>
      </c>
      <c r="G6" s="1">
        <f>F6+1</f>
        <v>2021</v>
      </c>
      <c r="H6" s="1">
        <f t="shared" ref="H6:J6" si="1">G6+1</f>
        <v>2022</v>
      </c>
      <c r="I6" s="1">
        <f t="shared" si="1"/>
        <v>2023</v>
      </c>
      <c r="J6" s="1">
        <f t="shared" si="1"/>
        <v>2024</v>
      </c>
      <c r="K6" s="1">
        <f t="shared" ref="K6" si="2">J6+1</f>
        <v>2025</v>
      </c>
      <c r="L6" s="50">
        <f t="shared" ref="L6" si="3">K6+1</f>
        <v>2026</v>
      </c>
      <c r="M6" s="51"/>
      <c r="N6" s="51"/>
    </row>
    <row r="7" spans="1:14" x14ac:dyDescent="0.25">
      <c r="A7" t="s">
        <v>2</v>
      </c>
    </row>
    <row r="8" spans="1:14" ht="30" x14ac:dyDescent="0.25">
      <c r="A8" t="s">
        <v>3</v>
      </c>
      <c r="B8" s="9" t="s">
        <v>32</v>
      </c>
      <c r="C8" s="18" t="s">
        <v>50</v>
      </c>
      <c r="D8" t="s">
        <v>31</v>
      </c>
      <c r="E8" s="14">
        <f>234000*9012/1650</f>
        <v>1278065.4545454546</v>
      </c>
      <c r="F8" s="11">
        <f>E8*1.017</f>
        <v>1299792.5672727271</v>
      </c>
      <c r="G8" s="11">
        <f t="shared" ref="G8:J8" si="4">F8*1.017</f>
        <v>1321889.0409163635</v>
      </c>
      <c r="H8" s="11">
        <f t="shared" si="4"/>
        <v>1344361.1546119414</v>
      </c>
      <c r="I8" s="11">
        <f t="shared" si="4"/>
        <v>1367215.2942403443</v>
      </c>
      <c r="J8" s="11">
        <f t="shared" si="4"/>
        <v>1390457.9542424299</v>
      </c>
      <c r="K8" s="11">
        <f t="shared" ref="K8" si="5">J8*1.017</f>
        <v>1414095.7394645512</v>
      </c>
      <c r="L8" s="11">
        <f t="shared" ref="L8" si="6">K8*1.017</f>
        <v>1438135.3670354486</v>
      </c>
      <c r="M8" s="11"/>
      <c r="N8" s="11"/>
    </row>
    <row r="9" spans="1:14" x14ac:dyDescent="0.25">
      <c r="A9" t="s">
        <v>4</v>
      </c>
      <c r="E9" s="15">
        <f>E8</f>
        <v>1278065.4545454546</v>
      </c>
      <c r="F9" s="12">
        <f t="shared" ref="F9:J9" si="7">F8</f>
        <v>1299792.5672727271</v>
      </c>
      <c r="G9" s="12">
        <f t="shared" si="7"/>
        <v>1321889.0409163635</v>
      </c>
      <c r="H9" s="12">
        <f t="shared" si="7"/>
        <v>1344361.1546119414</v>
      </c>
      <c r="I9" s="12">
        <f t="shared" si="7"/>
        <v>1367215.2942403443</v>
      </c>
      <c r="J9" s="12">
        <f t="shared" si="7"/>
        <v>1390457.9542424299</v>
      </c>
      <c r="K9" s="12">
        <f t="shared" ref="K9:L9" si="8">K8</f>
        <v>1414095.7394645512</v>
      </c>
      <c r="L9" s="12">
        <f t="shared" si="8"/>
        <v>1438135.3670354486</v>
      </c>
      <c r="M9" s="12"/>
      <c r="N9" s="12"/>
    </row>
    <row r="11" spans="1:14" ht="30" x14ac:dyDescent="0.25">
      <c r="A11" t="s">
        <v>9</v>
      </c>
      <c r="B11" s="19" t="s">
        <v>69</v>
      </c>
      <c r="F11" s="13">
        <v>0</v>
      </c>
      <c r="G11" s="37">
        <f>10%*(1+$B$106)</f>
        <v>0.1</v>
      </c>
      <c r="H11" s="37">
        <f>20%*(1+$B$106)</f>
        <v>0.2</v>
      </c>
      <c r="I11" s="37">
        <f>25%*(1+$B$106)</f>
        <v>0.25</v>
      </c>
      <c r="J11" s="37">
        <f>30%*(1+$B$106)</f>
        <v>0.3</v>
      </c>
      <c r="K11" s="37">
        <f>30%*(1+$B$106)</f>
        <v>0.3</v>
      </c>
      <c r="L11" s="37">
        <f>30%*(1+$B$106)</f>
        <v>0.3</v>
      </c>
      <c r="M11" s="37"/>
      <c r="N11" s="37"/>
    </row>
    <row r="12" spans="1:14" x14ac:dyDescent="0.25">
      <c r="A12" t="s">
        <v>47</v>
      </c>
    </row>
    <row r="13" spans="1:14" x14ac:dyDescent="0.25">
      <c r="A13" t="s">
        <v>46</v>
      </c>
      <c r="F13" s="12">
        <f>F9-F14</f>
        <v>0</v>
      </c>
      <c r="G13" s="12">
        <f t="shared" ref="G13:J13" si="9">G9-G14</f>
        <v>132188.90409163642</v>
      </c>
      <c r="H13" s="12">
        <f t="shared" si="9"/>
        <v>268872.23092238815</v>
      </c>
      <c r="I13" s="12">
        <f t="shared" si="9"/>
        <v>341803.82356008608</v>
      </c>
      <c r="J13" s="12">
        <f t="shared" si="9"/>
        <v>417137.38627272903</v>
      </c>
      <c r="K13" s="12">
        <f t="shared" ref="K13:L13" si="10">K9-K14</f>
        <v>424228.72183936543</v>
      </c>
      <c r="L13" s="12">
        <f t="shared" si="10"/>
        <v>431440.61011063459</v>
      </c>
      <c r="M13" s="12"/>
      <c r="N13" s="12"/>
    </row>
    <row r="14" spans="1:14" x14ac:dyDescent="0.25">
      <c r="A14" t="s">
        <v>45</v>
      </c>
      <c r="F14" s="12">
        <f>F8*(1-F11)</f>
        <v>1299792.5672727271</v>
      </c>
      <c r="G14" s="12">
        <f t="shared" ref="G14:J14" si="11">G8*(1-G11)</f>
        <v>1189700.1368247271</v>
      </c>
      <c r="H14" s="12">
        <f t="shared" si="11"/>
        <v>1075488.9236895533</v>
      </c>
      <c r="I14" s="12">
        <f t="shared" si="11"/>
        <v>1025411.4706802582</v>
      </c>
      <c r="J14" s="12">
        <f t="shared" si="11"/>
        <v>973320.5679697009</v>
      </c>
      <c r="K14" s="12">
        <f t="shared" ref="K14:L14" si="12">K8*(1-K11)</f>
        <v>989867.01762518578</v>
      </c>
      <c r="L14" s="12">
        <f t="shared" si="12"/>
        <v>1006694.756924814</v>
      </c>
      <c r="M14" s="12"/>
      <c r="N14" s="12"/>
    </row>
    <row r="16" spans="1:14" x14ac:dyDescent="0.25">
      <c r="A16" t="s">
        <v>7</v>
      </c>
      <c r="D16" t="s">
        <v>24</v>
      </c>
      <c r="E16" s="16">
        <v>10</v>
      </c>
    </row>
    <row r="17" spans="1:5" x14ac:dyDescent="0.25">
      <c r="A17" t="s">
        <v>8</v>
      </c>
      <c r="D17" t="s">
        <v>24</v>
      </c>
      <c r="E17" s="16">
        <v>5</v>
      </c>
    </row>
    <row r="19" spans="1:5" x14ac:dyDescent="0.25">
      <c r="A19" t="s">
        <v>37</v>
      </c>
      <c r="D19" t="s">
        <v>38</v>
      </c>
      <c r="E19" s="16">
        <v>2</v>
      </c>
    </row>
    <row r="20" spans="1:5" x14ac:dyDescent="0.25">
      <c r="A20" t="s">
        <v>39</v>
      </c>
      <c r="D20" t="s">
        <v>24</v>
      </c>
      <c r="E20" s="16">
        <v>1.5</v>
      </c>
    </row>
    <row r="21" spans="1:5" x14ac:dyDescent="0.25">
      <c r="A21" t="s">
        <v>25</v>
      </c>
      <c r="D21" t="s">
        <v>24</v>
      </c>
      <c r="E21" s="17">
        <f>E19*E20</f>
        <v>3</v>
      </c>
    </row>
    <row r="22" spans="1:5" x14ac:dyDescent="0.25">
      <c r="A22" t="s">
        <v>40</v>
      </c>
      <c r="D22" t="s">
        <v>38</v>
      </c>
      <c r="E22" s="16">
        <v>1</v>
      </c>
    </row>
    <row r="23" spans="1:5" x14ac:dyDescent="0.25">
      <c r="A23" t="s">
        <v>41</v>
      </c>
      <c r="D23" t="s">
        <v>24</v>
      </c>
      <c r="E23" s="17">
        <f>E22*E20</f>
        <v>1.5</v>
      </c>
    </row>
    <row r="25" spans="1:5" x14ac:dyDescent="0.25">
      <c r="A25" t="s">
        <v>26</v>
      </c>
      <c r="D25" t="s">
        <v>28</v>
      </c>
      <c r="E25">
        <f>E32*E26</f>
        <v>1.72</v>
      </c>
    </row>
    <row r="26" spans="1:5" x14ac:dyDescent="0.25">
      <c r="A26" t="s">
        <v>33</v>
      </c>
      <c r="E26" s="16">
        <v>4</v>
      </c>
    </row>
    <row r="27" spans="1:5" x14ac:dyDescent="0.25">
      <c r="A27" t="s">
        <v>27</v>
      </c>
      <c r="D27" t="s">
        <v>28</v>
      </c>
      <c r="E27">
        <f>E32*E28</f>
        <v>0.86</v>
      </c>
    </row>
    <row r="28" spans="1:5" x14ac:dyDescent="0.25">
      <c r="A28" t="s">
        <v>33</v>
      </c>
      <c r="E28" s="16">
        <v>2</v>
      </c>
    </row>
    <row r="29" spans="1:5" ht="30" x14ac:dyDescent="0.25">
      <c r="A29" t="s">
        <v>29</v>
      </c>
      <c r="B29" s="25" t="s">
        <v>66</v>
      </c>
      <c r="C29" s="18" t="s">
        <v>59</v>
      </c>
      <c r="D29" t="s">
        <v>55</v>
      </c>
      <c r="E29" s="22">
        <v>10033.14</v>
      </c>
    </row>
    <row r="30" spans="1:5" x14ac:dyDescent="0.25">
      <c r="D30" t="s">
        <v>28</v>
      </c>
      <c r="E30" s="23">
        <f>E29/E80</f>
        <v>407.02393509127791</v>
      </c>
    </row>
    <row r="31" spans="1:5" x14ac:dyDescent="0.25">
      <c r="A31" t="s">
        <v>42</v>
      </c>
      <c r="D31" t="s">
        <v>30</v>
      </c>
      <c r="E31" s="8">
        <f>E30*12/44/52</f>
        <v>2.1347409183108979</v>
      </c>
    </row>
    <row r="32" spans="1:5" ht="30" x14ac:dyDescent="0.25">
      <c r="A32" t="s">
        <v>34</v>
      </c>
      <c r="B32" s="25" t="s">
        <v>67</v>
      </c>
      <c r="D32" t="s">
        <v>60</v>
      </c>
      <c r="E32">
        <v>0.43</v>
      </c>
    </row>
    <row r="34" spans="1:14" x14ac:dyDescent="0.25">
      <c r="A34" t="s">
        <v>43</v>
      </c>
      <c r="D34" t="s">
        <v>28</v>
      </c>
      <c r="E34" s="8">
        <f>E25+E31*E16</f>
        <v>23.067409183108978</v>
      </c>
      <c r="F34" s="8"/>
    </row>
    <row r="35" spans="1:14" x14ac:dyDescent="0.25">
      <c r="A35" t="s">
        <v>44</v>
      </c>
      <c r="D35" t="s">
        <v>28</v>
      </c>
      <c r="E35" s="8">
        <f>E27+E17*E31</f>
        <v>11.533704591554489</v>
      </c>
    </row>
    <row r="36" spans="1:14" x14ac:dyDescent="0.25">
      <c r="A36" t="s">
        <v>48</v>
      </c>
      <c r="D36" t="s">
        <v>28</v>
      </c>
      <c r="E36" s="8">
        <f>E34-E35</f>
        <v>11.533704591554489</v>
      </c>
    </row>
    <row r="37" spans="1:14" x14ac:dyDescent="0.25">
      <c r="A37" s="2" t="s">
        <v>13</v>
      </c>
      <c r="B37" s="2"/>
      <c r="C37" s="2"/>
      <c r="D37" s="2"/>
      <c r="E37" s="2"/>
      <c r="F37" s="27">
        <f>$E$36*F13</f>
        <v>0</v>
      </c>
      <c r="G37" s="27">
        <f t="shared" ref="G37:N37" si="13">$E$36*G13</f>
        <v>1524627.770074263</v>
      </c>
      <c r="H37" s="27">
        <f t="shared" si="13"/>
        <v>3101092.8843310471</v>
      </c>
      <c r="I37" s="27">
        <f t="shared" si="13"/>
        <v>3942264.3292058455</v>
      </c>
      <c r="J37" s="27">
        <f t="shared" si="13"/>
        <v>4811139.3873628136</v>
      </c>
      <c r="K37" s="27">
        <f t="shared" si="13"/>
        <v>4892928.7569479812</v>
      </c>
      <c r="L37" s="27">
        <f t="shared" si="13"/>
        <v>4976108.5458160965</v>
      </c>
      <c r="M37" s="27">
        <f t="shared" si="13"/>
        <v>0</v>
      </c>
      <c r="N37" s="27">
        <f t="shared" si="13"/>
        <v>0</v>
      </c>
    </row>
    <row r="38" spans="1:14" x14ac:dyDescent="0.25">
      <c r="A38" s="2" t="s">
        <v>49</v>
      </c>
      <c r="B38" s="2"/>
      <c r="C38" s="2"/>
      <c r="D38" s="2"/>
      <c r="E38" s="20">
        <f>NPV(0.12,F37:K37)</f>
        <v>11136980.513578331</v>
      </c>
    </row>
    <row r="40" spans="1:14" x14ac:dyDescent="0.25">
      <c r="A40" s="2" t="s">
        <v>15</v>
      </c>
      <c r="B40" s="2"/>
      <c r="C40" s="2"/>
    </row>
    <row r="42" spans="1:14" ht="30" x14ac:dyDescent="0.25">
      <c r="B42" s="1" t="s">
        <v>16</v>
      </c>
      <c r="C42" s="5" t="s">
        <v>17</v>
      </c>
      <c r="D42" s="1" t="s">
        <v>5</v>
      </c>
      <c r="E42" s="1" t="s">
        <v>6</v>
      </c>
      <c r="F42" s="1">
        <v>2020</v>
      </c>
      <c r="G42" s="1">
        <f>F42+1</f>
        <v>2021</v>
      </c>
      <c r="H42" s="1">
        <f t="shared" ref="H42:J42" si="14">G42+1</f>
        <v>2022</v>
      </c>
      <c r="I42" s="1">
        <f t="shared" si="14"/>
        <v>2023</v>
      </c>
      <c r="J42" s="1">
        <f t="shared" si="14"/>
        <v>2024</v>
      </c>
      <c r="K42" s="1">
        <f t="shared" ref="K42" si="15">J42+1</f>
        <v>2025</v>
      </c>
      <c r="L42" s="1">
        <f t="shared" ref="L42" si="16">K42+1</f>
        <v>2026</v>
      </c>
    </row>
    <row r="43" spans="1:14" x14ac:dyDescent="0.25">
      <c r="A43" t="s">
        <v>2</v>
      </c>
    </row>
    <row r="44" spans="1:14" x14ac:dyDescent="0.25">
      <c r="A44" t="s">
        <v>3</v>
      </c>
      <c r="B44" t="s">
        <v>36</v>
      </c>
      <c r="D44" t="s">
        <v>62</v>
      </c>
      <c r="E44" s="10">
        <f>3384*3</f>
        <v>10152</v>
      </c>
      <c r="F44" s="10">
        <f>E44*1.02</f>
        <v>10355.040000000001</v>
      </c>
      <c r="G44" s="10">
        <f t="shared" ref="G44:L45" si="17">F44*1.02</f>
        <v>10562.140800000001</v>
      </c>
      <c r="H44" s="10">
        <f t="shared" si="17"/>
        <v>10773.383616000001</v>
      </c>
      <c r="I44" s="10">
        <f t="shared" si="17"/>
        <v>10988.851288320002</v>
      </c>
      <c r="J44" s="10">
        <f t="shared" si="17"/>
        <v>11208.628314086402</v>
      </c>
      <c r="K44" s="10">
        <f t="shared" si="17"/>
        <v>11432.80088036813</v>
      </c>
      <c r="L44" s="10">
        <f t="shared" si="17"/>
        <v>11661.456897975493</v>
      </c>
      <c r="M44" s="10"/>
      <c r="N44" s="10"/>
    </row>
    <row r="45" spans="1:14" x14ac:dyDescent="0.25">
      <c r="A45" t="s">
        <v>4</v>
      </c>
      <c r="B45" t="s">
        <v>36</v>
      </c>
      <c r="D45" t="s">
        <v>62</v>
      </c>
      <c r="E45" s="10">
        <f>3384*3</f>
        <v>10152</v>
      </c>
      <c r="F45" s="10">
        <f>E45*1.1</f>
        <v>11167.2</v>
      </c>
      <c r="G45" s="10">
        <f t="shared" ref="G45:J45" si="18">F45*1.1</f>
        <v>12283.920000000002</v>
      </c>
      <c r="H45" s="10">
        <f t="shared" si="18"/>
        <v>13512.312000000004</v>
      </c>
      <c r="I45" s="10">
        <f t="shared" si="18"/>
        <v>14863.543200000006</v>
      </c>
      <c r="J45" s="10">
        <f t="shared" si="18"/>
        <v>16349.897520000008</v>
      </c>
      <c r="K45" s="10">
        <f t="shared" si="17"/>
        <v>16676.89547040001</v>
      </c>
      <c r="L45" s="10">
        <f t="shared" si="17"/>
        <v>17010.433379808012</v>
      </c>
      <c r="M45" s="10"/>
      <c r="N45" s="10"/>
    </row>
    <row r="46" spans="1:14" x14ac:dyDescent="0.25">
      <c r="E46" s="10"/>
      <c r="F46" s="10"/>
      <c r="G46" s="10"/>
      <c r="H46" s="10"/>
      <c r="I46" s="10"/>
      <c r="J46" s="10"/>
    </row>
    <row r="47" spans="1:14" x14ac:dyDescent="0.25">
      <c r="A47" t="s">
        <v>9</v>
      </c>
    </row>
    <row r="48" spans="1:14" x14ac:dyDescent="0.25">
      <c r="A48" t="s">
        <v>3</v>
      </c>
      <c r="B48" t="s">
        <v>36</v>
      </c>
      <c r="D48" t="s">
        <v>35</v>
      </c>
      <c r="E48" s="13">
        <v>0.22</v>
      </c>
      <c r="F48" s="13">
        <f>E48</f>
        <v>0.22</v>
      </c>
      <c r="G48" s="13">
        <f t="shared" ref="G48:J48" si="19">F48</f>
        <v>0.22</v>
      </c>
      <c r="H48" s="13">
        <f t="shared" si="19"/>
        <v>0.22</v>
      </c>
      <c r="I48" s="13">
        <f t="shared" si="19"/>
        <v>0.22</v>
      </c>
      <c r="J48" s="13">
        <f t="shared" si="19"/>
        <v>0.22</v>
      </c>
      <c r="K48" s="13">
        <f t="shared" ref="K48" si="20">J48</f>
        <v>0.22</v>
      </c>
      <c r="L48" s="13">
        <f t="shared" ref="L48" si="21">K48</f>
        <v>0.22</v>
      </c>
      <c r="M48" s="13"/>
      <c r="N48" s="13"/>
    </row>
    <row r="49" spans="1:14" ht="30" x14ac:dyDescent="0.25">
      <c r="A49" t="s">
        <v>4</v>
      </c>
      <c r="B49" s="19" t="s">
        <v>69</v>
      </c>
      <c r="D49" t="s">
        <v>35</v>
      </c>
      <c r="E49" s="13">
        <v>0.22</v>
      </c>
      <c r="F49" s="29">
        <f>E49+5%*(1+$B$107)</f>
        <v>0.27</v>
      </c>
      <c r="G49" s="29">
        <f>F49+5%*(1+$B$107)</f>
        <v>0.32</v>
      </c>
      <c r="H49" s="29">
        <f>G49+6%*(1+$B$107)</f>
        <v>0.38</v>
      </c>
      <c r="I49" s="29">
        <f>H49+6%*(1+$B$107)</f>
        <v>0.44</v>
      </c>
      <c r="J49" s="37">
        <f>I49+6%*(1+$B$107)</f>
        <v>0.5</v>
      </c>
      <c r="K49" s="29">
        <f>J49</f>
        <v>0.5</v>
      </c>
      <c r="L49" s="29">
        <f>K49</f>
        <v>0.5</v>
      </c>
      <c r="M49" s="29"/>
      <c r="N49" s="29"/>
    </row>
    <row r="51" spans="1:14" x14ac:dyDescent="0.25">
      <c r="A51" t="s">
        <v>61</v>
      </c>
      <c r="D51" t="s">
        <v>62</v>
      </c>
      <c r="F51" s="24">
        <f>F45*F49-F44*F48</f>
        <v>737.0351999999998</v>
      </c>
      <c r="G51" s="24">
        <f t="shared" ref="G51:L51" si="22">G45*G49-G44*G48</f>
        <v>1607.1834240000003</v>
      </c>
      <c r="H51" s="24">
        <f t="shared" si="22"/>
        <v>2764.534164480001</v>
      </c>
      <c r="I51" s="24">
        <f t="shared" si="22"/>
        <v>4122.4117245696016</v>
      </c>
      <c r="J51" s="24">
        <f t="shared" si="22"/>
        <v>5709.050530900995</v>
      </c>
      <c r="K51" s="24">
        <f t="shared" si="22"/>
        <v>5823.2315415190169</v>
      </c>
      <c r="L51" s="24">
        <f t="shared" si="22"/>
        <v>5939.6961723493969</v>
      </c>
      <c r="M51" s="24"/>
      <c r="N51" s="24"/>
    </row>
    <row r="53" spans="1:14" x14ac:dyDescent="0.25">
      <c r="A53" t="s">
        <v>52</v>
      </c>
      <c r="D53" t="s">
        <v>38</v>
      </c>
      <c r="E53">
        <v>2</v>
      </c>
    </row>
    <row r="54" spans="1:14" x14ac:dyDescent="0.25">
      <c r="A54" t="s">
        <v>53</v>
      </c>
      <c r="D54" t="s">
        <v>24</v>
      </c>
      <c r="E54">
        <v>4</v>
      </c>
    </row>
    <row r="55" spans="1:14" x14ac:dyDescent="0.25">
      <c r="A55" t="s">
        <v>54</v>
      </c>
      <c r="B55" t="s">
        <v>36</v>
      </c>
      <c r="C55" s="18" t="s">
        <v>63</v>
      </c>
      <c r="D55" t="s">
        <v>55</v>
      </c>
      <c r="E55" s="10">
        <v>16490</v>
      </c>
    </row>
    <row r="56" spans="1:14" x14ac:dyDescent="0.25">
      <c r="D56" t="s">
        <v>28</v>
      </c>
      <c r="E56" s="23">
        <f>E55/E80</f>
        <v>668.9655172413793</v>
      </c>
    </row>
    <row r="57" spans="1:14" x14ac:dyDescent="0.25">
      <c r="E57" s="23"/>
    </row>
    <row r="58" spans="1:14" x14ac:dyDescent="0.25">
      <c r="A58" t="s">
        <v>10</v>
      </c>
      <c r="D58" s="8" t="str">
        <f t="shared" ref="D58" si="23">D31</f>
        <v>USD/hora</v>
      </c>
      <c r="E58" s="8">
        <f>E31</f>
        <v>2.1347409183108979</v>
      </c>
    </row>
    <row r="59" spans="1:14" x14ac:dyDescent="0.25">
      <c r="A59" t="s">
        <v>11</v>
      </c>
      <c r="D59" s="8" t="s">
        <v>60</v>
      </c>
      <c r="E59" s="8">
        <f>E32</f>
        <v>0.43</v>
      </c>
    </row>
    <row r="61" spans="1:14" x14ac:dyDescent="0.25">
      <c r="A61" t="s">
        <v>12</v>
      </c>
      <c r="E61" s="23">
        <f>E53*E59+E54*E58+E56</f>
        <v>678.36448091462285</v>
      </c>
    </row>
    <row r="62" spans="1:14" x14ac:dyDescent="0.25">
      <c r="A62" s="2" t="s">
        <v>13</v>
      </c>
      <c r="B62" s="2"/>
      <c r="C62" s="2"/>
      <c r="D62" s="2"/>
      <c r="E62" s="2"/>
      <c r="F62" s="26">
        <f>$E$61*F51</f>
        <v>499978.50086380512</v>
      </c>
      <c r="G62" s="26">
        <f t="shared" ref="G62:L62" si="24">$E$61*G51</f>
        <v>1090256.1491563465</v>
      </c>
      <c r="H62" s="26">
        <f t="shared" si="24"/>
        <v>1875361.7834582163</v>
      </c>
      <c r="I62" s="26">
        <f t="shared" si="24"/>
        <v>2796497.6896540131</v>
      </c>
      <c r="J62" s="26">
        <f t="shared" si="24"/>
        <v>3872817.0999100055</v>
      </c>
      <c r="K62" s="26">
        <f t="shared" si="24"/>
        <v>3950273.4419082068</v>
      </c>
      <c r="L62" s="26">
        <f t="shared" si="24"/>
        <v>4029278.9107463709</v>
      </c>
      <c r="M62" s="26"/>
      <c r="N62" s="26"/>
    </row>
    <row r="63" spans="1:14" x14ac:dyDescent="0.25">
      <c r="A63" s="2" t="s">
        <v>49</v>
      </c>
      <c r="B63" s="2"/>
      <c r="C63" s="2"/>
      <c r="D63" s="2"/>
      <c r="E63" s="20">
        <f>NPV(0.12,F62:K62)</f>
        <v>8626497.1084093098</v>
      </c>
    </row>
    <row r="65" spans="1:14" x14ac:dyDescent="0.25">
      <c r="A65" s="2" t="s">
        <v>90</v>
      </c>
      <c r="B65" s="2"/>
      <c r="C65" s="2"/>
    </row>
    <row r="67" spans="1:14" ht="30" x14ac:dyDescent="0.25">
      <c r="B67" s="1" t="s">
        <v>16</v>
      </c>
      <c r="C67" s="5" t="s">
        <v>17</v>
      </c>
      <c r="D67" s="1" t="s">
        <v>5</v>
      </c>
      <c r="E67" s="1" t="s">
        <v>6</v>
      </c>
      <c r="F67" s="1">
        <v>2020</v>
      </c>
      <c r="G67" s="1">
        <f>F67+1</f>
        <v>2021</v>
      </c>
      <c r="H67" s="1">
        <f t="shared" ref="H67:J67" si="25">G67+1</f>
        <v>2022</v>
      </c>
      <c r="I67" s="1">
        <f t="shared" si="25"/>
        <v>2023</v>
      </c>
      <c r="J67" s="1">
        <f t="shared" si="25"/>
        <v>2024</v>
      </c>
      <c r="K67" s="1">
        <f t="shared" ref="K67" si="26">J67+1</f>
        <v>2025</v>
      </c>
      <c r="L67" s="1">
        <f t="shared" ref="L67" si="27">K67+1</f>
        <v>2026</v>
      </c>
    </row>
    <row r="68" spans="1:14" ht="30" x14ac:dyDescent="0.25">
      <c r="A68" s="6" t="s">
        <v>18</v>
      </c>
      <c r="B68" s="6"/>
      <c r="C68" s="6"/>
      <c r="D68" s="6" t="s">
        <v>73</v>
      </c>
      <c r="E68" s="10">
        <v>40000</v>
      </c>
    </row>
    <row r="69" spans="1:14" ht="58.15" customHeight="1" x14ac:dyDescent="0.25">
      <c r="A69" s="6" t="s">
        <v>77</v>
      </c>
      <c r="B69" s="6" t="s">
        <v>22</v>
      </c>
      <c r="C69" s="3"/>
      <c r="D69" s="6" t="s">
        <v>19</v>
      </c>
      <c r="E69" s="7">
        <v>2.4E-2</v>
      </c>
    </row>
    <row r="70" spans="1:14" ht="30" x14ac:dyDescent="0.25">
      <c r="A70" s="6" t="s">
        <v>70</v>
      </c>
      <c r="B70" s="19" t="s">
        <v>69</v>
      </c>
      <c r="C70" s="3"/>
      <c r="D70" s="6" t="s">
        <v>71</v>
      </c>
      <c r="E70" s="7">
        <v>0.17499999999999999</v>
      </c>
      <c r="F70" s="29">
        <f>E70+2.5%*(1+$B$108)</f>
        <v>0.19999999999999998</v>
      </c>
      <c r="G70" s="29">
        <f>F70+4%*(1+$B$108)</f>
        <v>0.24</v>
      </c>
      <c r="H70" s="29">
        <f>G70+9%*(1+$B$108)</f>
        <v>0.32999999999999996</v>
      </c>
      <c r="I70" s="29">
        <f>H70+6%*(1+$B$108)</f>
        <v>0.38999999999999996</v>
      </c>
      <c r="J70" s="29">
        <f>I70+11%*(1+$B$108)</f>
        <v>0.49999999999999994</v>
      </c>
      <c r="K70" s="29">
        <f>J70</f>
        <v>0.49999999999999994</v>
      </c>
      <c r="L70" s="29">
        <f>K70</f>
        <v>0.49999999999999994</v>
      </c>
      <c r="M70" s="45"/>
      <c r="N70" s="45"/>
    </row>
    <row r="71" spans="1:14" ht="45" x14ac:dyDescent="0.25">
      <c r="A71" s="6" t="s">
        <v>72</v>
      </c>
      <c r="B71" s="21" t="s">
        <v>76</v>
      </c>
      <c r="C71" s="3"/>
      <c r="D71" s="6" t="s">
        <v>73</v>
      </c>
      <c r="E71" s="10">
        <f>$E$68*E70</f>
        <v>7000</v>
      </c>
      <c r="F71" s="10">
        <f t="shared" ref="F71:K71" si="28">$E$68*F70</f>
        <v>7999.9999999999991</v>
      </c>
      <c r="G71" s="10">
        <f t="shared" si="28"/>
        <v>9600</v>
      </c>
      <c r="H71" s="10">
        <f t="shared" si="28"/>
        <v>13199.999999999998</v>
      </c>
      <c r="I71" s="10">
        <f t="shared" si="28"/>
        <v>15599.999999999998</v>
      </c>
      <c r="J71" s="10">
        <f t="shared" si="28"/>
        <v>19999.999999999996</v>
      </c>
      <c r="K71" s="10">
        <f t="shared" si="28"/>
        <v>19999.999999999996</v>
      </c>
      <c r="L71" s="10">
        <f>K71</f>
        <v>19999.999999999996</v>
      </c>
      <c r="M71" s="10"/>
      <c r="N71" s="10"/>
    </row>
    <row r="72" spans="1:14" ht="30" x14ac:dyDescent="0.25">
      <c r="A72" s="6" t="s">
        <v>72</v>
      </c>
      <c r="B72" s="21"/>
      <c r="C72" s="3"/>
      <c r="D72" s="6" t="s">
        <v>74</v>
      </c>
      <c r="E72" s="30">
        <f>E71/$E$80</f>
        <v>283.97565922920893</v>
      </c>
      <c r="F72" s="30">
        <f t="shared" ref="F72:L72" si="29">F71/$E$80</f>
        <v>324.5436105476673</v>
      </c>
      <c r="G72" s="30">
        <f t="shared" si="29"/>
        <v>389.45233265720083</v>
      </c>
      <c r="H72" s="30">
        <f t="shared" si="29"/>
        <v>535.49695740365109</v>
      </c>
      <c r="I72" s="30">
        <f t="shared" si="29"/>
        <v>632.86004056795127</v>
      </c>
      <c r="J72" s="30">
        <f t="shared" si="29"/>
        <v>811.3590263691683</v>
      </c>
      <c r="K72" s="30">
        <f t="shared" si="29"/>
        <v>811.3590263691683</v>
      </c>
      <c r="L72" s="30">
        <f t="shared" si="29"/>
        <v>811.3590263691683</v>
      </c>
      <c r="M72" s="30"/>
      <c r="N72" s="30"/>
    </row>
    <row r="73" spans="1:14" ht="30" x14ac:dyDescent="0.25">
      <c r="A73" s="6" t="s">
        <v>91</v>
      </c>
      <c r="B73" s="34"/>
      <c r="C73" s="3"/>
      <c r="D73" s="6"/>
      <c r="E73" s="30"/>
      <c r="F73" s="30">
        <f>F72-$E$72</f>
        <v>40.56795131845837</v>
      </c>
      <c r="G73" s="30">
        <f t="shared" ref="G73:L73" si="30">G72-$E$72</f>
        <v>105.4766734279919</v>
      </c>
      <c r="H73" s="30">
        <f t="shared" si="30"/>
        <v>251.52129817444217</v>
      </c>
      <c r="I73" s="30">
        <f t="shared" si="30"/>
        <v>348.88438133874234</v>
      </c>
      <c r="J73" s="30">
        <f t="shared" si="30"/>
        <v>527.38336713995932</v>
      </c>
      <c r="K73" s="30">
        <f t="shared" si="30"/>
        <v>527.38336713995932</v>
      </c>
      <c r="L73" s="30">
        <f t="shared" si="30"/>
        <v>527.38336713995932</v>
      </c>
      <c r="M73" s="30"/>
      <c r="N73" s="30"/>
    </row>
    <row r="74" spans="1:14" ht="30" x14ac:dyDescent="0.25">
      <c r="A74" s="6" t="s">
        <v>23</v>
      </c>
      <c r="B74" s="6"/>
      <c r="C74" s="3"/>
      <c r="D74" s="3"/>
      <c r="E74" s="3"/>
      <c r="F74" s="31">
        <v>1</v>
      </c>
      <c r="G74" s="31">
        <f>F74</f>
        <v>1</v>
      </c>
      <c r="H74" s="31">
        <f t="shared" ref="H74:L74" si="31">G74</f>
        <v>1</v>
      </c>
      <c r="I74" s="31">
        <f t="shared" si="31"/>
        <v>1</v>
      </c>
      <c r="J74" s="31">
        <f t="shared" si="31"/>
        <v>1</v>
      </c>
      <c r="K74" s="31">
        <f t="shared" si="31"/>
        <v>1</v>
      </c>
      <c r="L74" s="31">
        <f t="shared" si="31"/>
        <v>1</v>
      </c>
      <c r="M74" s="31"/>
      <c r="N74" s="31"/>
    </row>
    <row r="75" spans="1:14" ht="30" x14ac:dyDescent="0.25">
      <c r="A75" s="6" t="s">
        <v>77</v>
      </c>
      <c r="B75" s="6" t="s">
        <v>20</v>
      </c>
      <c r="C75" s="3"/>
      <c r="D75" s="3"/>
      <c r="E75" s="3"/>
      <c r="F75" s="36">
        <f>F74*$E$69</f>
        <v>2.4E-2</v>
      </c>
      <c r="G75" s="36">
        <f t="shared" ref="G75:L75" si="32">G74*$E$69</f>
        <v>2.4E-2</v>
      </c>
      <c r="H75" s="36">
        <f t="shared" si="32"/>
        <v>2.4E-2</v>
      </c>
      <c r="I75" s="36">
        <f t="shared" si="32"/>
        <v>2.4E-2</v>
      </c>
      <c r="J75" s="36">
        <f t="shared" si="32"/>
        <v>2.4E-2</v>
      </c>
      <c r="K75" s="36">
        <f t="shared" si="32"/>
        <v>2.4E-2</v>
      </c>
      <c r="L75" s="36">
        <f t="shared" si="32"/>
        <v>2.4E-2</v>
      </c>
      <c r="M75" s="36"/>
      <c r="N75" s="36"/>
    </row>
    <row r="76" spans="1:14" ht="30" x14ac:dyDescent="0.25">
      <c r="A76" s="6" t="s">
        <v>21</v>
      </c>
      <c r="B76" s="6" t="s">
        <v>20</v>
      </c>
      <c r="C76" s="3"/>
      <c r="D76" s="3"/>
      <c r="E76" s="3"/>
      <c r="F76" s="12">
        <f>F73*F75*1000000</f>
        <v>973630.83164300094</v>
      </c>
      <c r="G76" s="12">
        <f t="shared" ref="G76:L76" si="33">G73*G75*1000000</f>
        <v>2531440.1622718056</v>
      </c>
      <c r="H76" s="12">
        <f t="shared" si="33"/>
        <v>6036511.1561866123</v>
      </c>
      <c r="I76" s="12">
        <f t="shared" si="33"/>
        <v>8373225.1521298159</v>
      </c>
      <c r="J76" s="12">
        <f t="shared" si="33"/>
        <v>12657200.811359024</v>
      </c>
      <c r="K76" s="12">
        <f t="shared" si="33"/>
        <v>12657200.811359024</v>
      </c>
      <c r="L76" s="12">
        <f t="shared" si="33"/>
        <v>12657200.811359024</v>
      </c>
      <c r="M76" s="12"/>
      <c r="N76" s="12"/>
    </row>
    <row r="77" spans="1:14" x14ac:dyDescent="0.25">
      <c r="A77" s="2" t="s">
        <v>49</v>
      </c>
      <c r="B77" s="2"/>
      <c r="C77" s="2"/>
      <c r="D77" s="2"/>
      <c r="E77" s="20">
        <f>NPV(0.12,F76:K76)</f>
        <v>26099934.703313373</v>
      </c>
    </row>
    <row r="78" spans="1:14" x14ac:dyDescent="0.25">
      <c r="A78" s="2" t="s">
        <v>75</v>
      </c>
      <c r="B78" s="2"/>
      <c r="C78" s="2"/>
      <c r="D78" s="2"/>
      <c r="E78" s="20">
        <f>E77+E63+E38</f>
        <v>45863412.325301014</v>
      </c>
    </row>
    <row r="79" spans="1:14" x14ac:dyDescent="0.25">
      <c r="A79" s="6" t="s">
        <v>56</v>
      </c>
    </row>
    <row r="80" spans="1:14" x14ac:dyDescent="0.25">
      <c r="A80" s="6" t="s">
        <v>57</v>
      </c>
      <c r="D80" t="s">
        <v>58</v>
      </c>
      <c r="E80">
        <v>24.65</v>
      </c>
    </row>
    <row r="81" spans="1:12" x14ac:dyDescent="0.25">
      <c r="A81" s="6"/>
    </row>
    <row r="82" spans="1:12" x14ac:dyDescent="0.25">
      <c r="A82" t="s">
        <v>85</v>
      </c>
      <c r="B82" s="12">
        <v>52700000</v>
      </c>
    </row>
    <row r="83" spans="1:12" ht="30" x14ac:dyDescent="0.25">
      <c r="A83" s="6" t="s">
        <v>89</v>
      </c>
      <c r="B83" s="31">
        <v>0.05</v>
      </c>
    </row>
    <row r="84" spans="1:12" x14ac:dyDescent="0.25">
      <c r="A84" s="6"/>
      <c r="B84" s="31"/>
    </row>
    <row r="85" spans="1:12" x14ac:dyDescent="0.25">
      <c r="A85" s="6"/>
      <c r="B85" s="31"/>
    </row>
    <row r="86" spans="1:12" x14ac:dyDescent="0.25">
      <c r="A86" s="2" t="s">
        <v>98</v>
      </c>
      <c r="B86" s="31"/>
    </row>
    <row r="87" spans="1:12" x14ac:dyDescent="0.25">
      <c r="A87" s="6"/>
      <c r="B87" s="31"/>
    </row>
    <row r="88" spans="1:12" ht="30" x14ac:dyDescent="0.25">
      <c r="B88" s="1" t="s">
        <v>16</v>
      </c>
      <c r="C88" s="5" t="s">
        <v>17</v>
      </c>
      <c r="D88" s="1" t="s">
        <v>5</v>
      </c>
      <c r="E88" s="1" t="s">
        <v>6</v>
      </c>
      <c r="F88" s="1">
        <v>2020</v>
      </c>
      <c r="G88" s="1">
        <f>F88+1</f>
        <v>2021</v>
      </c>
      <c r="H88" s="1">
        <f t="shared" ref="H88" si="34">G88+1</f>
        <v>2022</v>
      </c>
      <c r="I88" s="1">
        <f t="shared" ref="I88" si="35">H88+1</f>
        <v>2023</v>
      </c>
      <c r="J88" s="1">
        <f t="shared" ref="J88" si="36">I88+1</f>
        <v>2024</v>
      </c>
      <c r="K88" s="1">
        <f t="shared" ref="K88" si="37">J88+1</f>
        <v>2025</v>
      </c>
      <c r="L88" s="1">
        <f t="shared" ref="L88" si="38">K88+1</f>
        <v>2026</v>
      </c>
    </row>
    <row r="89" spans="1:12" x14ac:dyDescent="0.25">
      <c r="A89" t="s">
        <v>97</v>
      </c>
    </row>
    <row r="90" spans="1:12" x14ac:dyDescent="0.25">
      <c r="A90" t="s">
        <v>3</v>
      </c>
      <c r="D90" t="s">
        <v>35</v>
      </c>
      <c r="E90" s="52">
        <v>0.13250000000000001</v>
      </c>
      <c r="F90" s="52">
        <v>0.14269999999999999</v>
      </c>
      <c r="G90" s="52">
        <v>0.15329999999999999</v>
      </c>
      <c r="H90" s="52">
        <v>0.1643</v>
      </c>
      <c r="I90" s="52">
        <v>0.17560000000000001</v>
      </c>
      <c r="J90" s="52">
        <v>0.18720000000000001</v>
      </c>
      <c r="K90" s="52">
        <v>0.1991</v>
      </c>
      <c r="L90" s="52">
        <v>0.21129999999999999</v>
      </c>
    </row>
    <row r="91" spans="1:12" x14ac:dyDescent="0.25">
      <c r="A91" t="s">
        <v>4</v>
      </c>
      <c r="E91" s="52">
        <v>0.13250000000000001</v>
      </c>
      <c r="F91" s="52">
        <v>0.14849999999999999</v>
      </c>
      <c r="G91" s="52">
        <v>0.16</v>
      </c>
      <c r="H91" s="52">
        <v>0.17180000000000001</v>
      </c>
      <c r="I91" s="52">
        <v>0.184</v>
      </c>
      <c r="J91" s="52">
        <v>0.1966</v>
      </c>
      <c r="K91" s="52">
        <v>0.20949999999999999</v>
      </c>
      <c r="L91" s="52">
        <v>0.22259999999999999</v>
      </c>
    </row>
    <row r="92" spans="1:12" x14ac:dyDescent="0.25">
      <c r="E92" s="10"/>
      <c r="F92" s="10"/>
      <c r="G92" s="10"/>
      <c r="H92" s="10"/>
      <c r="I92" s="10"/>
      <c r="J92" s="10"/>
    </row>
    <row r="93" spans="1:12" x14ac:dyDescent="0.25">
      <c r="A93" t="s">
        <v>99</v>
      </c>
    </row>
    <row r="94" spans="1:12" x14ac:dyDescent="0.25">
      <c r="A94" t="s">
        <v>3</v>
      </c>
      <c r="D94" t="s">
        <v>35</v>
      </c>
      <c r="E94" s="52">
        <v>0.32800000000000001</v>
      </c>
      <c r="F94" s="52">
        <v>0.39589999999999997</v>
      </c>
      <c r="G94" s="52">
        <v>0.46289999999999998</v>
      </c>
      <c r="H94" s="52">
        <v>0.52710000000000001</v>
      </c>
      <c r="I94" s="52">
        <v>0.58730000000000004</v>
      </c>
      <c r="J94" s="52">
        <v>0.64239999999999997</v>
      </c>
      <c r="K94" s="52">
        <v>0.69220000000000004</v>
      </c>
      <c r="L94" s="52">
        <v>0.73660000000000003</v>
      </c>
    </row>
    <row r="95" spans="1:12" x14ac:dyDescent="0.25">
      <c r="A95" t="s">
        <v>4</v>
      </c>
      <c r="B95" s="46"/>
      <c r="D95" t="s">
        <v>35</v>
      </c>
      <c r="E95" s="52">
        <v>0.32800000000000001</v>
      </c>
      <c r="F95" s="52">
        <v>0.43290000000000001</v>
      </c>
      <c r="G95" s="52">
        <v>0.50249999999999995</v>
      </c>
      <c r="H95" s="52">
        <v>0.56799999999999995</v>
      </c>
      <c r="I95" s="52">
        <v>0.62809999999999999</v>
      </c>
      <c r="J95" s="52">
        <v>0.68240000000000001</v>
      </c>
      <c r="K95" s="52">
        <v>0.73040000000000005</v>
      </c>
      <c r="L95" s="52">
        <v>0.77239999999999998</v>
      </c>
    </row>
    <row r="96" spans="1:12" x14ac:dyDescent="0.25">
      <c r="E96" s="52"/>
    </row>
    <row r="97" spans="1:12" x14ac:dyDescent="0.25">
      <c r="F97" s="24"/>
      <c r="G97" s="24"/>
      <c r="H97" s="24"/>
      <c r="I97" s="24"/>
      <c r="J97" s="24"/>
      <c r="K97" s="24"/>
      <c r="L97" s="24"/>
    </row>
    <row r="99" spans="1:12" x14ac:dyDescent="0.25">
      <c r="A99" t="s">
        <v>100</v>
      </c>
      <c r="D99" t="s">
        <v>102</v>
      </c>
      <c r="E99">
        <v>0</v>
      </c>
      <c r="F99" s="53">
        <f>'Calculos Banda Ancha'!E$21</f>
        <v>220556.07254625831</v>
      </c>
      <c r="G99" s="53">
        <f>'Calculos Banda Ancha'!F$21</f>
        <v>236844.51572997414</v>
      </c>
      <c r="H99" s="53">
        <f>'Calculos Banda Ancha'!G$21</f>
        <v>253599.71432106692</v>
      </c>
      <c r="I99" s="53">
        <f>'Calculos Banda Ancha'!H$21</f>
        <v>270784.86155964207</v>
      </c>
      <c r="J99" s="53">
        <f>'Calculos Banda Ancha'!I$21</f>
        <v>288361.55767164746</v>
      </c>
      <c r="K99" s="53"/>
      <c r="L99" s="53"/>
    </row>
    <row r="100" spans="1:12" x14ac:dyDescent="0.25">
      <c r="A100" t="s">
        <v>101</v>
      </c>
      <c r="D100" t="s">
        <v>102</v>
      </c>
      <c r="E100" s="23">
        <v>0</v>
      </c>
      <c r="F100" s="53">
        <f>'Calculos Banda Ancha'!E$22</f>
        <v>1782628.1868647442</v>
      </c>
      <c r="G100" s="53">
        <f>'Calculos Banda Ancha'!F$22</f>
        <v>2062800.6923460262</v>
      </c>
      <c r="H100" s="53">
        <f>'Calculos Banda Ancha'!G$22</f>
        <v>2324487.8193820976</v>
      </c>
      <c r="I100" s="53">
        <f>'Calculos Banda Ancha'!H$22</f>
        <v>2562848.4682054892</v>
      </c>
      <c r="J100" s="53">
        <f>'Calculos Banda Ancha'!I$22</f>
        <v>2775434.703189211</v>
      </c>
      <c r="K100" s="53"/>
      <c r="L100" s="53"/>
    </row>
    <row r="101" spans="1:12" x14ac:dyDescent="0.25">
      <c r="E101" s="23"/>
    </row>
    <row r="102" spans="1:12" x14ac:dyDescent="0.25">
      <c r="A102" s="2" t="s">
        <v>161</v>
      </c>
      <c r="B102" s="2"/>
      <c r="C102" s="2"/>
      <c r="D102" s="2"/>
      <c r="E102" s="54">
        <f>E99+E100</f>
        <v>0</v>
      </c>
      <c r="F102" s="54"/>
      <c r="G102" s="54">
        <f>'Calculos Banda Ancha'!E23*$B109</f>
        <v>1001592.1297055013</v>
      </c>
      <c r="H102" s="54">
        <f>'Calculos Banda Ancha'!F23*$B109</f>
        <v>1149822.6040380001</v>
      </c>
      <c r="I102" s="54">
        <f>'Calculos Banda Ancha'!G23*$B109</f>
        <v>1289043.7668515823</v>
      </c>
      <c r="J102" s="54">
        <f>'Calculos Banda Ancha'!H23*$B109</f>
        <v>1416816.6648825656</v>
      </c>
      <c r="K102" s="54">
        <f>'Calculos Banda Ancha'!I23*$B109</f>
        <v>1531898.1304304292</v>
      </c>
      <c r="L102" s="54">
        <f>'Calculos Banda Ancha'!J23*$B109</f>
        <v>1633984.643053038</v>
      </c>
    </row>
    <row r="103" spans="1:12" x14ac:dyDescent="0.25">
      <c r="A103" s="2" t="s">
        <v>49</v>
      </c>
      <c r="B103" s="2"/>
      <c r="C103" s="2"/>
      <c r="D103" s="2"/>
      <c r="E103" s="20">
        <f>NPV(0.12,F102:K102)</f>
        <v>4498078.8630073192</v>
      </c>
    </row>
    <row r="104" spans="1:12" x14ac:dyDescent="0.25">
      <c r="A104" s="6"/>
      <c r="B104" s="31"/>
    </row>
    <row r="105" spans="1:12" x14ac:dyDescent="0.25">
      <c r="A105" s="92" t="s">
        <v>92</v>
      </c>
      <c r="B105" s="93"/>
    </row>
    <row r="106" spans="1:12" ht="30" x14ac:dyDescent="0.25">
      <c r="A106" s="43" t="s">
        <v>93</v>
      </c>
      <c r="B106" s="44">
        <v>0</v>
      </c>
    </row>
    <row r="107" spans="1:12" ht="30" x14ac:dyDescent="0.25">
      <c r="A107" s="43" t="s">
        <v>94</v>
      </c>
      <c r="B107" s="44">
        <v>0</v>
      </c>
    </row>
    <row r="108" spans="1:12" x14ac:dyDescent="0.25">
      <c r="A108" s="43" t="s">
        <v>95</v>
      </c>
      <c r="B108" s="44">
        <v>0</v>
      </c>
    </row>
    <row r="109" spans="1:12" x14ac:dyDescent="0.25">
      <c r="A109" s="43" t="s">
        <v>162</v>
      </c>
      <c r="B109" s="44">
        <v>0.5</v>
      </c>
    </row>
    <row r="110" spans="1:12" x14ac:dyDescent="0.25">
      <c r="A110" s="6"/>
      <c r="B110" s="31"/>
    </row>
    <row r="111" spans="1:12" x14ac:dyDescent="0.25">
      <c r="B111" s="12"/>
    </row>
    <row r="112" spans="1:12" x14ac:dyDescent="0.25">
      <c r="B112" s="12"/>
    </row>
    <row r="113" spans="1:2" x14ac:dyDescent="0.25">
      <c r="B113" s="12"/>
    </row>
    <row r="114" spans="1:2" x14ac:dyDescent="0.25">
      <c r="B114" s="12"/>
    </row>
    <row r="115" spans="1:2" x14ac:dyDescent="0.25">
      <c r="B115" s="12"/>
    </row>
    <row r="116" spans="1:2" x14ac:dyDescent="0.25">
      <c r="B116" s="12"/>
    </row>
    <row r="117" spans="1:2" x14ac:dyDescent="0.25">
      <c r="B117" s="12"/>
    </row>
    <row r="118" spans="1:2" x14ac:dyDescent="0.25">
      <c r="B118" s="12"/>
    </row>
    <row r="119" spans="1:2" x14ac:dyDescent="0.25">
      <c r="B119" s="12"/>
    </row>
    <row r="120" spans="1:2" x14ac:dyDescent="0.25">
      <c r="B120" s="12"/>
    </row>
    <row r="121" spans="1:2" x14ac:dyDescent="0.25">
      <c r="B121" s="12"/>
    </row>
    <row r="122" spans="1:2" x14ac:dyDescent="0.25">
      <c r="B122" s="12"/>
    </row>
    <row r="123" spans="1:2" x14ac:dyDescent="0.25">
      <c r="B123" s="12"/>
    </row>
    <row r="124" spans="1:2" x14ac:dyDescent="0.25">
      <c r="B124" s="12"/>
    </row>
    <row r="125" spans="1:2" x14ac:dyDescent="0.25">
      <c r="B125" s="12"/>
    </row>
    <row r="126" spans="1:2" x14ac:dyDescent="0.25">
      <c r="B126" s="12"/>
    </row>
    <row r="127" spans="1:2" x14ac:dyDescent="0.25">
      <c r="B127" s="12"/>
    </row>
    <row r="128" spans="1:2" x14ac:dyDescent="0.25">
      <c r="A128" s="2" t="s">
        <v>68</v>
      </c>
    </row>
    <row r="129" spans="1:10" ht="60" customHeight="1" x14ac:dyDescent="0.25">
      <c r="A129" s="90" t="s">
        <v>96</v>
      </c>
      <c r="B129" s="90"/>
      <c r="C129" s="90"/>
      <c r="D129" s="90"/>
      <c r="E129" s="90"/>
      <c r="F129" s="90"/>
      <c r="G129" s="90"/>
      <c r="H129" s="90"/>
      <c r="I129" s="90"/>
      <c r="J129" s="90"/>
    </row>
    <row r="130" spans="1:10" ht="28.15" customHeight="1" x14ac:dyDescent="0.25">
      <c r="A130" s="91" t="s">
        <v>51</v>
      </c>
      <c r="B130" s="90"/>
      <c r="C130" s="90"/>
      <c r="D130" s="90"/>
      <c r="E130" s="90"/>
      <c r="F130" s="90"/>
      <c r="G130" s="90"/>
      <c r="H130" s="90"/>
      <c r="I130" s="90"/>
      <c r="J130" s="90"/>
    </row>
    <row r="131" spans="1:10" ht="17.45" customHeight="1" x14ac:dyDescent="0.25">
      <c r="A131" s="91" t="s">
        <v>65</v>
      </c>
      <c r="B131" s="91"/>
      <c r="C131" s="91"/>
      <c r="D131" s="91"/>
      <c r="E131" s="91"/>
      <c r="F131" s="91"/>
      <c r="G131" s="91"/>
      <c r="H131" s="91"/>
      <c r="I131" s="91"/>
      <c r="J131" s="91"/>
    </row>
    <row r="132" spans="1:10" ht="44.45" customHeight="1" x14ac:dyDescent="0.25">
      <c r="A132" s="90" t="s">
        <v>64</v>
      </c>
      <c r="B132" s="90"/>
      <c r="C132" s="90"/>
      <c r="D132" s="90"/>
      <c r="E132" s="90"/>
      <c r="F132" s="90"/>
      <c r="G132" s="90"/>
      <c r="H132" s="90"/>
      <c r="I132" s="90"/>
      <c r="J132" s="90"/>
    </row>
  </sheetData>
  <mergeCells count="5">
    <mergeCell ref="A129:J129"/>
    <mergeCell ref="A130:J130"/>
    <mergeCell ref="A132:J132"/>
    <mergeCell ref="A131:J131"/>
    <mergeCell ref="A105:B105"/>
  </mergeCells>
  <hyperlinks>
    <hyperlink ref="B29" r:id="rId1" xr:uid="{5136BB31-A406-44D7-8904-3EEF6653B5E5}"/>
    <hyperlink ref="B32" r:id="rId2" xr:uid="{304FFAD6-DAE4-465D-91F0-267364A2EEB7}"/>
  </hyperlinks>
  <printOptions gridLines="1"/>
  <pageMargins left="0.7" right="0.7" top="0.75" bottom="0.75" header="0.3" footer="0.3"/>
  <pageSetup scale="59" fitToHeight="5" orientation="portrait"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6C5CB9-EBDC-4377-B5D7-49AFBBC49DA7}">
  <dimension ref="B2:W91"/>
  <sheetViews>
    <sheetView workbookViewId="0">
      <selection activeCell="D21" sqref="D21"/>
    </sheetView>
  </sheetViews>
  <sheetFormatPr defaultRowHeight="15" x14ac:dyDescent="0.25"/>
  <cols>
    <col min="1" max="1" width="1.28515625" customWidth="1"/>
    <col min="2" max="2" width="36.7109375" customWidth="1"/>
    <col min="3" max="3" width="20.5703125" bestFit="1" customWidth="1"/>
    <col min="4" max="10" width="13.5703125" customWidth="1"/>
    <col min="11" max="11" width="20.5703125" customWidth="1"/>
    <col min="12" max="17" width="13.5703125" customWidth="1"/>
  </cols>
  <sheetData>
    <row r="2" spans="2:17" x14ac:dyDescent="0.25">
      <c r="C2" s="23"/>
      <c r="D2" s="23"/>
      <c r="E2" s="23"/>
      <c r="F2" s="23"/>
      <c r="G2" s="23"/>
      <c r="H2" s="23"/>
      <c r="I2" s="23"/>
    </row>
    <row r="3" spans="2:17" x14ac:dyDescent="0.25">
      <c r="B3" s="55" t="s">
        <v>104</v>
      </c>
      <c r="C3" s="56">
        <v>2019</v>
      </c>
      <c r="D3" s="56">
        <f>C3+1</f>
        <v>2020</v>
      </c>
      <c r="E3" s="56">
        <f t="shared" ref="E3:Q3" si="0">D3+1</f>
        <v>2021</v>
      </c>
      <c r="F3" s="56">
        <f t="shared" si="0"/>
        <v>2022</v>
      </c>
      <c r="G3" s="56">
        <f t="shared" si="0"/>
        <v>2023</v>
      </c>
      <c r="H3" s="56">
        <f t="shared" si="0"/>
        <v>2024</v>
      </c>
      <c r="I3" s="56">
        <f t="shared" si="0"/>
        <v>2025</v>
      </c>
      <c r="J3" s="56">
        <f t="shared" si="0"/>
        <v>2026</v>
      </c>
      <c r="K3" s="56">
        <f t="shared" si="0"/>
        <v>2027</v>
      </c>
      <c r="L3" s="56">
        <f t="shared" si="0"/>
        <v>2028</v>
      </c>
      <c r="M3" s="56">
        <f t="shared" si="0"/>
        <v>2029</v>
      </c>
      <c r="N3" s="56">
        <f t="shared" si="0"/>
        <v>2030</v>
      </c>
      <c r="O3" s="56">
        <f t="shared" si="0"/>
        <v>2031</v>
      </c>
      <c r="P3" s="56">
        <f t="shared" si="0"/>
        <v>2032</v>
      </c>
      <c r="Q3" s="56">
        <f t="shared" si="0"/>
        <v>2033</v>
      </c>
    </row>
    <row r="4" spans="2:17" x14ac:dyDescent="0.25">
      <c r="B4" s="57" t="s">
        <v>105</v>
      </c>
      <c r="C4" s="84">
        <v>930000</v>
      </c>
      <c r="D4" s="58">
        <f t="shared" ref="D4:Q4" si="1">+C4*(1+$C$34)</f>
        <v>946043.70591084263</v>
      </c>
      <c r="E4" s="58">
        <f t="shared" si="1"/>
        <v>962364.18655217299</v>
      </c>
      <c r="F4" s="58">
        <f t="shared" si="1"/>
        <v>978966.2166469798</v>
      </c>
      <c r="G4" s="58">
        <f t="shared" si="1"/>
        <v>995854.65328841459</v>
      </c>
      <c r="H4" s="58">
        <f t="shared" si="1"/>
        <v>1013034.4373607839</v>
      </c>
      <c r="I4" s="58">
        <f t="shared" si="1"/>
        <v>1030510.5949850553</v>
      </c>
      <c r="J4" s="58">
        <f t="shared" si="1"/>
        <v>1048288.2389893001</v>
      </c>
      <c r="K4" s="58">
        <f t="shared" si="1"/>
        <v>1066372.5704045037</v>
      </c>
      <c r="L4" s="58">
        <f t="shared" si="1"/>
        <v>1084768.8799861802</v>
      </c>
      <c r="M4" s="58">
        <f t="shared" si="1"/>
        <v>1103482.5497622367</v>
      </c>
      <c r="N4" s="58">
        <f t="shared" si="1"/>
        <v>1122519.0546075399</v>
      </c>
      <c r="O4" s="58">
        <f t="shared" si="1"/>
        <v>1141883.9638456479</v>
      </c>
      <c r="P4" s="58">
        <f t="shared" si="1"/>
        <v>1161582.9428781713</v>
      </c>
      <c r="Q4" s="58">
        <f t="shared" si="1"/>
        <v>1181621.754842245</v>
      </c>
    </row>
    <row r="5" spans="2:17" x14ac:dyDescent="0.25">
      <c r="B5" s="57" t="s">
        <v>106</v>
      </c>
      <c r="C5" s="84">
        <f t="shared" ref="C5:Q5" si="2">+C4/$K$35</f>
        <v>199431.84082302806</v>
      </c>
      <c r="D5" s="58">
        <f t="shared" si="2"/>
        <v>202872.2986761707</v>
      </c>
      <c r="E5" s="58">
        <f t="shared" si="2"/>
        <v>206372.10888844714</v>
      </c>
      <c r="F5" s="58">
        <f t="shared" si="2"/>
        <v>209932.29536501341</v>
      </c>
      <c r="G5" s="58">
        <f t="shared" si="2"/>
        <v>213553.8996747171</v>
      </c>
      <c r="H5" s="58">
        <f t="shared" si="2"/>
        <v>217237.98135481897</v>
      </c>
      <c r="I5" s="58">
        <f t="shared" si="2"/>
        <v>220985.61822097149</v>
      </c>
      <c r="J5" s="58">
        <f t="shared" si="2"/>
        <v>224797.90668254462</v>
      </c>
      <c r="K5" s="58">
        <f t="shared" si="2"/>
        <v>228675.96206339169</v>
      </c>
      <c r="L5" s="58">
        <f t="shared" si="2"/>
        <v>232620.91892814875</v>
      </c>
      <c r="M5" s="58">
        <f t="shared" si="2"/>
        <v>236633.93141416294</v>
      </c>
      <c r="N5" s="58">
        <f t="shared" si="2"/>
        <v>240716.17356914715</v>
      </c>
      <c r="O5" s="58">
        <f t="shared" si="2"/>
        <v>244868.83969465975</v>
      </c>
      <c r="P5" s="58">
        <f t="shared" si="2"/>
        <v>249093.14469550963</v>
      </c>
      <c r="Q5" s="58">
        <f t="shared" si="2"/>
        <v>253390.32443518893</v>
      </c>
    </row>
    <row r="6" spans="2:17" x14ac:dyDescent="0.25">
      <c r="B6" s="57" t="s">
        <v>107</v>
      </c>
      <c r="C6" s="84">
        <f>+H36*(1+$C$37)</f>
        <v>2545.3654072183931</v>
      </c>
      <c r="D6" s="58">
        <f t="shared" ref="D6:Q6" si="3">+C6*(1+$C$37)</f>
        <v>2612.2679025016428</v>
      </c>
      <c r="E6" s="58">
        <f t="shared" si="3"/>
        <v>2680.9288658863411</v>
      </c>
      <c r="F6" s="58">
        <f t="shared" si="3"/>
        <v>2751.3945170246961</v>
      </c>
      <c r="G6" s="58">
        <f t="shared" si="3"/>
        <v>2823.712290408268</v>
      </c>
      <c r="H6" s="58">
        <f t="shared" si="3"/>
        <v>2897.9308672988604</v>
      </c>
      <c r="I6" s="58">
        <f t="shared" si="3"/>
        <v>2974.100208498684</v>
      </c>
      <c r="J6" s="58">
        <f t="shared" si="3"/>
        <v>3052.2715879818506</v>
      </c>
      <c r="K6" s="58">
        <f t="shared" si="3"/>
        <v>3132.4976274098435</v>
      </c>
      <c r="L6" s="58">
        <f t="shared" si="3"/>
        <v>3214.8323315541888</v>
      </c>
      <c r="M6" s="58">
        <f t="shared" si="3"/>
        <v>3299.3311246501808</v>
      </c>
      <c r="N6" s="58">
        <f t="shared" si="3"/>
        <v>3386.0508877061293</v>
      </c>
      <c r="O6" s="58">
        <f t="shared" si="3"/>
        <v>3475.0499967932456</v>
      </c>
      <c r="P6" s="58">
        <f t="shared" si="3"/>
        <v>3566.3883623419406</v>
      </c>
      <c r="Q6" s="58">
        <f t="shared" si="3"/>
        <v>3660.1274694709887</v>
      </c>
    </row>
    <row r="7" spans="2:17" x14ac:dyDescent="0.25">
      <c r="B7" s="57" t="s">
        <v>165</v>
      </c>
      <c r="C7" s="85">
        <f>+D49</f>
        <v>35.606060606060602</v>
      </c>
      <c r="D7" s="59">
        <f t="shared" ref="D7:Q7" si="4">+C7*(1-$C$29)</f>
        <v>34.893939393939391</v>
      </c>
      <c r="E7" s="59">
        <f t="shared" si="4"/>
        <v>34.196060606060605</v>
      </c>
      <c r="F7" s="59">
        <f t="shared" si="4"/>
        <v>33.512139393939393</v>
      </c>
      <c r="G7" s="59">
        <f t="shared" si="4"/>
        <v>32.841896606060601</v>
      </c>
      <c r="H7" s="59">
        <f t="shared" si="4"/>
        <v>32.185058673939388</v>
      </c>
      <c r="I7" s="83">
        <f t="shared" si="4"/>
        <v>31.541357500460599</v>
      </c>
      <c r="J7" s="59">
        <f t="shared" si="4"/>
        <v>30.910530350451385</v>
      </c>
      <c r="K7" s="59">
        <f t="shared" si="4"/>
        <v>30.292319743442356</v>
      </c>
      <c r="L7" s="59">
        <f t="shared" si="4"/>
        <v>29.686473348573507</v>
      </c>
      <c r="M7" s="59">
        <f t="shared" si="4"/>
        <v>29.092743881602036</v>
      </c>
      <c r="N7" s="59">
        <f t="shared" si="4"/>
        <v>28.510889003969996</v>
      </c>
      <c r="O7" s="59">
        <f t="shared" si="4"/>
        <v>27.940671223890597</v>
      </c>
      <c r="P7" s="59">
        <f t="shared" si="4"/>
        <v>27.381857799412785</v>
      </c>
      <c r="Q7" s="59">
        <f t="shared" si="4"/>
        <v>26.83422064342453</v>
      </c>
    </row>
    <row r="8" spans="2:17" x14ac:dyDescent="0.25">
      <c r="B8" s="57" t="s">
        <v>109</v>
      </c>
      <c r="C8" s="85">
        <f>+C49</f>
        <v>21.173623714458561</v>
      </c>
      <c r="D8" s="59">
        <f t="shared" ref="D8:Q9" si="5">+C8*(1-$C$29)</f>
        <v>20.750151240169391</v>
      </c>
      <c r="E8" s="59">
        <f t="shared" si="5"/>
        <v>20.335148215366004</v>
      </c>
      <c r="F8" s="59">
        <f t="shared" si="5"/>
        <v>19.928445251058683</v>
      </c>
      <c r="G8" s="59">
        <f t="shared" si="5"/>
        <v>19.529876346037508</v>
      </c>
      <c r="H8" s="59">
        <f t="shared" si="5"/>
        <v>19.139278819116758</v>
      </c>
      <c r="I8" s="83">
        <f t="shared" si="5"/>
        <v>18.756493242734422</v>
      </c>
      <c r="J8" s="59">
        <f t="shared" si="5"/>
        <v>18.381363377879733</v>
      </c>
      <c r="K8" s="59">
        <f t="shared" si="5"/>
        <v>18.013736110322139</v>
      </c>
      <c r="L8" s="59">
        <f t="shared" si="5"/>
        <v>17.653461388115694</v>
      </c>
      <c r="M8" s="59">
        <f t="shared" si="5"/>
        <v>17.300392160353379</v>
      </c>
      <c r="N8" s="59">
        <f t="shared" si="5"/>
        <v>16.95438431714631</v>
      </c>
      <c r="O8" s="59">
        <f t="shared" si="5"/>
        <v>16.615296630803385</v>
      </c>
      <c r="P8" s="59">
        <f t="shared" si="5"/>
        <v>16.282990698187316</v>
      </c>
      <c r="Q8" s="59">
        <f t="shared" si="5"/>
        <v>15.95733088422357</v>
      </c>
    </row>
    <row r="9" spans="2:17" x14ac:dyDescent="0.25">
      <c r="B9" s="57" t="s">
        <v>110</v>
      </c>
      <c r="C9" s="85">
        <f>+E49</f>
        <v>7.6391810017794413</v>
      </c>
      <c r="D9" s="59">
        <f t="shared" si="5"/>
        <v>7.4863973817438527</v>
      </c>
      <c r="E9" s="59">
        <f t="shared" si="5"/>
        <v>7.3366694341089751</v>
      </c>
      <c r="F9" s="59">
        <f t="shared" si="5"/>
        <v>7.1899360454267951</v>
      </c>
      <c r="G9" s="59">
        <f t="shared" si="5"/>
        <v>7.0461373245182592</v>
      </c>
      <c r="H9" s="59">
        <f t="shared" si="5"/>
        <v>6.905214578027894</v>
      </c>
      <c r="I9" s="59">
        <f t="shared" si="5"/>
        <v>6.7671102864673358</v>
      </c>
      <c r="J9" s="59">
        <f t="shared" si="5"/>
        <v>6.6317680807379888</v>
      </c>
      <c r="K9" s="59">
        <f t="shared" si="5"/>
        <v>6.4991327191232289</v>
      </c>
      <c r="L9" s="59">
        <f t="shared" si="5"/>
        <v>6.3691500647407642</v>
      </c>
      <c r="M9" s="59">
        <f t="shared" si="5"/>
        <v>6.2417670634459483</v>
      </c>
      <c r="N9" s="59">
        <f t="shared" si="5"/>
        <v>6.1169317221770294</v>
      </c>
      <c r="O9" s="59">
        <f t="shared" si="5"/>
        <v>5.994593087733489</v>
      </c>
      <c r="P9" s="59">
        <f t="shared" si="5"/>
        <v>5.8747012259788187</v>
      </c>
      <c r="Q9" s="59">
        <f t="shared" si="5"/>
        <v>5.7572072014592424</v>
      </c>
    </row>
    <row r="10" spans="2:17" x14ac:dyDescent="0.25">
      <c r="B10" s="57" t="s">
        <v>111</v>
      </c>
      <c r="C10" s="86">
        <f>+I54</f>
        <v>0.12267484347216825</v>
      </c>
      <c r="D10" s="60">
        <f t="shared" ref="D10:Q11" si="6">+J54</f>
        <v>0.13251939770444696</v>
      </c>
      <c r="E10" s="60">
        <f t="shared" si="6"/>
        <v>0.14274801433276377</v>
      </c>
      <c r="F10" s="60">
        <f t="shared" si="6"/>
        <v>0.15334610614147315</v>
      </c>
      <c r="G10" s="60">
        <f t="shared" si="6"/>
        <v>0.16429758782715709</v>
      </c>
      <c r="H10" s="60">
        <f t="shared" si="6"/>
        <v>0.17558502575124105</v>
      </c>
      <c r="I10" s="60">
        <f t="shared" si="6"/>
        <v>0.18718979327848853</v>
      </c>
      <c r="J10" s="60">
        <f t="shared" si="6"/>
        <v>0.19909222941474336</v>
      </c>
      <c r="K10" s="60">
        <f t="shared" si="6"/>
        <v>0.21127179860395687</v>
      </c>
      <c r="L10" s="60">
        <f t="shared" si="6"/>
        <v>0.22370724971537378</v>
      </c>
      <c r="M10" s="60">
        <f t="shared" si="6"/>
        <v>0.23637677244011299</v>
      </c>
      <c r="N10" s="60">
        <f t="shared" si="6"/>
        <v>0.24925814951608541</v>
      </c>
      <c r="O10" s="60">
        <f t="shared" si="6"/>
        <v>0.26232890340567161</v>
      </c>
      <c r="P10" s="60">
        <f t="shared" si="6"/>
        <v>0.27556643625688526</v>
      </c>
      <c r="Q10" s="60">
        <f t="shared" si="6"/>
        <v>0.28894816218163089</v>
      </c>
    </row>
    <row r="11" spans="2:17" x14ac:dyDescent="0.25">
      <c r="B11" s="57" t="s">
        <v>112</v>
      </c>
      <c r="C11" s="87">
        <f>+I55</f>
        <v>0.26158714006436007</v>
      </c>
      <c r="D11" s="60">
        <f t="shared" si="6"/>
        <v>0.32800516324834583</v>
      </c>
      <c r="E11" s="60">
        <f t="shared" si="6"/>
        <v>0.39588136180403211</v>
      </c>
      <c r="F11" s="60">
        <f t="shared" si="6"/>
        <v>0.46287849906792555</v>
      </c>
      <c r="G11" s="60">
        <f t="shared" si="6"/>
        <v>0.52712305950056204</v>
      </c>
      <c r="H11" s="60">
        <f t="shared" si="6"/>
        <v>0.58726373379364749</v>
      </c>
      <c r="I11" s="60">
        <f t="shared" si="6"/>
        <v>0.64244720602372951</v>
      </c>
      <c r="J11" s="60">
        <f t="shared" si="6"/>
        <v>0.69224623918728889</v>
      </c>
      <c r="K11" s="60">
        <f t="shared" si="6"/>
        <v>0.73656839090537229</v>
      </c>
      <c r="L11" s="60">
        <f t="shared" si="6"/>
        <v>0.77556449578550402</v>
      </c>
      <c r="M11" s="60">
        <f t="shared" si="6"/>
        <v>0.80954769817101069</v>
      </c>
      <c r="N11" s="60">
        <f t="shared" si="6"/>
        <v>0.83892761588438081</v>
      </c>
      <c r="O11" s="60">
        <f t="shared" si="6"/>
        <v>0.86416025419355647</v>
      </c>
      <c r="P11" s="61">
        <f t="shared" si="6"/>
        <v>0.88571212988347225</v>
      </c>
      <c r="Q11" s="60">
        <f t="shared" si="6"/>
        <v>0.90403614767527307</v>
      </c>
    </row>
    <row r="12" spans="2:17" x14ac:dyDescent="0.25">
      <c r="B12" s="57" t="s">
        <v>113</v>
      </c>
      <c r="C12" s="87">
        <v>0.96299999999999997</v>
      </c>
      <c r="D12" s="61">
        <v>0.96299999999999997</v>
      </c>
      <c r="E12" s="61">
        <v>0.96299999999999997</v>
      </c>
      <c r="F12" s="61">
        <v>0.96299999999999997</v>
      </c>
      <c r="G12" s="61">
        <v>0.96299999999999997</v>
      </c>
      <c r="H12" s="61">
        <v>0.96299999999999997</v>
      </c>
      <c r="I12" s="61">
        <v>0.96299999999999997</v>
      </c>
      <c r="J12" s="61">
        <v>0.96299999999999997</v>
      </c>
      <c r="K12" s="61">
        <v>0.96299999999999997</v>
      </c>
      <c r="L12" s="61">
        <v>0.96299999999999997</v>
      </c>
      <c r="M12" s="61">
        <v>0.96299999999999997</v>
      </c>
      <c r="N12" s="61">
        <v>0.96299999999999997</v>
      </c>
      <c r="O12" s="61">
        <v>0.96299999999999997</v>
      </c>
      <c r="P12" s="61">
        <v>0.96299999999999997</v>
      </c>
      <c r="Q12" s="61">
        <v>0.96299999999999997</v>
      </c>
    </row>
    <row r="13" spans="2:17" x14ac:dyDescent="0.25">
      <c r="B13" s="62" t="s">
        <v>114</v>
      </c>
      <c r="C13" s="56">
        <v>2019</v>
      </c>
      <c r="D13" s="56">
        <f>C13+1</f>
        <v>2020</v>
      </c>
      <c r="E13" s="56">
        <f t="shared" ref="E13:Q13" si="7">D13+1</f>
        <v>2021</v>
      </c>
      <c r="F13" s="56">
        <f t="shared" si="7"/>
        <v>2022</v>
      </c>
      <c r="G13" s="56">
        <f t="shared" si="7"/>
        <v>2023</v>
      </c>
      <c r="H13" s="56">
        <f t="shared" si="7"/>
        <v>2024</v>
      </c>
      <c r="I13" s="56">
        <f t="shared" si="7"/>
        <v>2025</v>
      </c>
      <c r="J13" s="56">
        <f t="shared" si="7"/>
        <v>2026</v>
      </c>
      <c r="K13" s="56">
        <f t="shared" si="7"/>
        <v>2027</v>
      </c>
      <c r="L13" s="56">
        <f t="shared" si="7"/>
        <v>2028</v>
      </c>
      <c r="M13" s="56">
        <f t="shared" si="7"/>
        <v>2029</v>
      </c>
      <c r="N13" s="56">
        <f t="shared" si="7"/>
        <v>2030</v>
      </c>
      <c r="O13" s="56">
        <f t="shared" si="7"/>
        <v>2031</v>
      </c>
      <c r="P13" s="56">
        <f t="shared" si="7"/>
        <v>2032</v>
      </c>
      <c r="Q13" s="56">
        <f t="shared" si="7"/>
        <v>2033</v>
      </c>
    </row>
    <row r="14" spans="2:17" x14ac:dyDescent="0.25">
      <c r="B14" s="57" t="s">
        <v>115</v>
      </c>
      <c r="C14" s="63">
        <f>C4</f>
        <v>930000</v>
      </c>
      <c r="D14" s="63">
        <f t="shared" ref="D14:Q14" si="8">D4</f>
        <v>946043.70591084263</v>
      </c>
      <c r="E14" s="63">
        <f t="shared" si="8"/>
        <v>962364.18655217299</v>
      </c>
      <c r="F14" s="63">
        <f t="shared" si="8"/>
        <v>978966.2166469798</v>
      </c>
      <c r="G14" s="63">
        <f t="shared" si="8"/>
        <v>995854.65328841459</v>
      </c>
      <c r="H14" s="63">
        <f t="shared" si="8"/>
        <v>1013034.4373607839</v>
      </c>
      <c r="I14" s="63">
        <f t="shared" si="8"/>
        <v>1030510.5949850553</v>
      </c>
      <c r="J14" s="63">
        <f t="shared" si="8"/>
        <v>1048288.2389893001</v>
      </c>
      <c r="K14" s="63">
        <f t="shared" si="8"/>
        <v>1066372.5704045037</v>
      </c>
      <c r="L14" s="63">
        <f t="shared" si="8"/>
        <v>1084768.8799861802</v>
      </c>
      <c r="M14" s="63">
        <f t="shared" si="8"/>
        <v>1103482.5497622367</v>
      </c>
      <c r="N14" s="63">
        <f t="shared" si="8"/>
        <v>1122519.0546075399</v>
      </c>
      <c r="O14" s="63">
        <f t="shared" si="8"/>
        <v>1141883.9638456479</v>
      </c>
      <c r="P14" s="63">
        <f t="shared" si="8"/>
        <v>1161582.9428781713</v>
      </c>
      <c r="Q14" s="63">
        <f t="shared" si="8"/>
        <v>1181621.754842245</v>
      </c>
    </row>
    <row r="15" spans="2:17" x14ac:dyDescent="0.25">
      <c r="B15" s="57" t="s">
        <v>116</v>
      </c>
      <c r="C15" s="63">
        <f>C5</f>
        <v>199431.84082302806</v>
      </c>
      <c r="D15" s="63">
        <f t="shared" ref="D15:Q15" si="9">D5</f>
        <v>202872.2986761707</v>
      </c>
      <c r="E15" s="63">
        <f t="shared" si="9"/>
        <v>206372.10888844714</v>
      </c>
      <c r="F15" s="63">
        <f t="shared" si="9"/>
        <v>209932.29536501341</v>
      </c>
      <c r="G15" s="63">
        <f t="shared" si="9"/>
        <v>213553.8996747171</v>
      </c>
      <c r="H15" s="63">
        <f t="shared" si="9"/>
        <v>217237.98135481897</v>
      </c>
      <c r="I15" s="63">
        <f t="shared" si="9"/>
        <v>220985.61822097149</v>
      </c>
      <c r="J15" s="63">
        <f t="shared" si="9"/>
        <v>224797.90668254462</v>
      </c>
      <c r="K15" s="63">
        <f t="shared" si="9"/>
        <v>228675.96206339169</v>
      </c>
      <c r="L15" s="63">
        <f t="shared" si="9"/>
        <v>232620.91892814875</v>
      </c>
      <c r="M15" s="63">
        <f t="shared" si="9"/>
        <v>236633.93141416294</v>
      </c>
      <c r="N15" s="63">
        <f t="shared" si="9"/>
        <v>240716.17356914715</v>
      </c>
      <c r="O15" s="63">
        <f t="shared" si="9"/>
        <v>244868.83969465975</v>
      </c>
      <c r="P15" s="63">
        <f t="shared" si="9"/>
        <v>249093.14469550963</v>
      </c>
      <c r="Q15" s="63">
        <f t="shared" si="9"/>
        <v>253390.32443518893</v>
      </c>
    </row>
    <row r="16" spans="2:17" x14ac:dyDescent="0.25">
      <c r="B16" s="57" t="s">
        <v>111</v>
      </c>
      <c r="C16" s="60">
        <f>+I85</f>
        <v>0.12267484347216825</v>
      </c>
      <c r="D16" s="60">
        <f t="shared" ref="D16:Q17" si="10">+J85</f>
        <v>0.1374590260785023</v>
      </c>
      <c r="E16" s="60">
        <f t="shared" si="10"/>
        <v>0.14851598676636976</v>
      </c>
      <c r="F16" s="60">
        <f t="shared" si="10"/>
        <v>0.15997907835704175</v>
      </c>
      <c r="G16" s="60">
        <f t="shared" si="10"/>
        <v>0.17182814032611327</v>
      </c>
      <c r="H16" s="60">
        <f t="shared" si="10"/>
        <v>0.1840414232483574</v>
      </c>
      <c r="I16" s="60">
        <f t="shared" si="10"/>
        <v>0.19659580070296073</v>
      </c>
      <c r="J16" s="60">
        <f t="shared" si="10"/>
        <v>0.20946698381994422</v>
      </c>
      <c r="K16" s="60">
        <f t="shared" si="10"/>
        <v>0.22262973540900638</v>
      </c>
      <c r="L16" s="60">
        <f t="shared" si="10"/>
        <v>0.23605808090740804</v>
      </c>
      <c r="M16" s="60">
        <f t="shared" si="10"/>
        <v>0.24972551370069415</v>
      </c>
      <c r="N16" s="60">
        <f t="shared" si="10"/>
        <v>0.26360519269870392</v>
      </c>
      <c r="O16" s="60">
        <f t="shared" si="10"/>
        <v>0.27767013038036237</v>
      </c>
      <c r="P16" s="60">
        <f t="shared" si="10"/>
        <v>0.29189336984638453</v>
      </c>
      <c r="Q16" s="60">
        <f t="shared" si="10"/>
        <v>0.30624814973278519</v>
      </c>
    </row>
    <row r="17" spans="2:17" x14ac:dyDescent="0.25">
      <c r="B17" s="57" t="s">
        <v>112</v>
      </c>
      <c r="C17" s="61">
        <f>+I86</f>
        <v>0.26158714006436007</v>
      </c>
      <c r="D17" s="61">
        <f t="shared" si="10"/>
        <v>0.35835546538674545</v>
      </c>
      <c r="E17" s="61">
        <f t="shared" si="10"/>
        <v>0.43286775933796562</v>
      </c>
      <c r="F17" s="61">
        <f t="shared" si="10"/>
        <v>0.50245527671888734</v>
      </c>
      <c r="G17" s="61">
        <f t="shared" si="10"/>
        <v>0.56795390505186816</v>
      </c>
      <c r="H17" s="61">
        <f t="shared" si="10"/>
        <v>0.62813705798681974</v>
      </c>
      <c r="I17" s="61">
        <f t="shared" si="10"/>
        <v>0.68235153653064229</v>
      </c>
      <c r="J17" s="61">
        <f t="shared" si="10"/>
        <v>0.73040012262602827</v>
      </c>
      <c r="K17" s="61">
        <f t="shared" si="10"/>
        <v>0.77241738072494792</v>
      </c>
      <c r="L17" s="61">
        <f t="shared" si="10"/>
        <v>0.80875784938251938</v>
      </c>
      <c r="M17" s="61">
        <f t="shared" si="10"/>
        <v>0.83990508778148076</v>
      </c>
      <c r="N17" s="61">
        <f t="shared" si="10"/>
        <v>0.86640315920374722</v>
      </c>
      <c r="O17" s="61">
        <f t="shared" si="10"/>
        <v>0.88880841561411605</v>
      </c>
      <c r="P17" s="61">
        <f t="shared" si="10"/>
        <v>0.90765790184211392</v>
      </c>
      <c r="Q17" s="61">
        <f t="shared" si="10"/>
        <v>0.92345044208614668</v>
      </c>
    </row>
    <row r="18" spans="2:17" x14ac:dyDescent="0.25">
      <c r="B18" s="57" t="s">
        <v>108</v>
      </c>
      <c r="C18" s="59">
        <f>+C7</f>
        <v>35.606060606060602</v>
      </c>
      <c r="D18" s="59">
        <f>+[1]ACB!D5*(1+[2]Dashboard!$F$53*[2]Dashboard!$F$55)</f>
        <v>27.549419981060602</v>
      </c>
      <c r="E18" s="64">
        <v>27</v>
      </c>
      <c r="F18" s="59">
        <f t="shared" ref="F18:Q18" si="11">+E18*(1-$C$29)</f>
        <v>26.46</v>
      </c>
      <c r="G18" s="59">
        <f t="shared" si="11"/>
        <v>25.930800000000001</v>
      </c>
      <c r="H18" s="59">
        <f t="shared" si="11"/>
        <v>25.412184</v>
      </c>
      <c r="I18" s="83">
        <f t="shared" si="11"/>
        <v>24.90394032</v>
      </c>
      <c r="J18" s="59">
        <f t="shared" si="11"/>
        <v>24.405861513600001</v>
      </c>
      <c r="K18" s="59">
        <f t="shared" si="11"/>
        <v>23.917744283328002</v>
      </c>
      <c r="L18" s="59">
        <f t="shared" si="11"/>
        <v>23.43938939766144</v>
      </c>
      <c r="M18" s="59">
        <f t="shared" si="11"/>
        <v>22.970601609708211</v>
      </c>
      <c r="N18" s="59">
        <f t="shared" si="11"/>
        <v>22.511189577514045</v>
      </c>
      <c r="O18" s="59">
        <f t="shared" si="11"/>
        <v>22.060965785963763</v>
      </c>
      <c r="P18" s="59">
        <f t="shared" si="11"/>
        <v>21.619746470244486</v>
      </c>
      <c r="Q18" s="59">
        <f t="shared" si="11"/>
        <v>21.187351540839597</v>
      </c>
    </row>
    <row r="19" spans="2:17" x14ac:dyDescent="0.25">
      <c r="B19" s="57" t="s">
        <v>109</v>
      </c>
      <c r="C19" s="59">
        <f>+C18/C7*C8</f>
        <v>21.173623714458561</v>
      </c>
      <c r="D19" s="59">
        <f>+D18/D7*D8</f>
        <v>16.38263380732646</v>
      </c>
      <c r="E19" s="59">
        <f t="shared" ref="E19:Q19" si="12">+E18/E7*E8</f>
        <v>16.055913812410708</v>
      </c>
      <c r="F19" s="59">
        <f t="shared" si="12"/>
        <v>15.734795536162492</v>
      </c>
      <c r="G19" s="59">
        <f t="shared" si="12"/>
        <v>15.420099625439244</v>
      </c>
      <c r="H19" s="59">
        <f t="shared" si="12"/>
        <v>15.11169763293046</v>
      </c>
      <c r="I19" s="83">
        <f t="shared" si="12"/>
        <v>14.809463680271849</v>
      </c>
      <c r="J19" s="59">
        <f t="shared" si="12"/>
        <v>14.513274406666413</v>
      </c>
      <c r="K19" s="59">
        <f t="shared" si="12"/>
        <v>14.223008918533086</v>
      </c>
      <c r="L19" s="59">
        <f t="shared" si="12"/>
        <v>13.938548740162423</v>
      </c>
      <c r="M19" s="59">
        <f t="shared" si="12"/>
        <v>13.659777765359173</v>
      </c>
      <c r="N19" s="59">
        <f t="shared" si="12"/>
        <v>13.386582210051989</v>
      </c>
      <c r="O19" s="59">
        <f t="shared" si="12"/>
        <v>13.118850565850948</v>
      </c>
      <c r="P19" s="59">
        <f t="shared" si="12"/>
        <v>12.856473554533927</v>
      </c>
      <c r="Q19" s="59">
        <f t="shared" si="12"/>
        <v>12.599344083443247</v>
      </c>
    </row>
    <row r="20" spans="2:17" x14ac:dyDescent="0.25">
      <c r="B20" s="57" t="s">
        <v>110</v>
      </c>
      <c r="C20" s="59">
        <f t="shared" ref="C20:Q20" si="13">+C9</f>
        <v>7.6391810017794413</v>
      </c>
      <c r="D20" s="59">
        <f t="shared" si="13"/>
        <v>7.4863973817438527</v>
      </c>
      <c r="E20" s="59">
        <f t="shared" si="13"/>
        <v>7.3366694341089751</v>
      </c>
      <c r="F20" s="59">
        <f t="shared" si="13"/>
        <v>7.1899360454267951</v>
      </c>
      <c r="G20" s="59">
        <f t="shared" si="13"/>
        <v>7.0461373245182592</v>
      </c>
      <c r="H20" s="59">
        <f t="shared" si="13"/>
        <v>6.905214578027894</v>
      </c>
      <c r="I20" s="59">
        <f t="shared" si="13"/>
        <v>6.7671102864673358</v>
      </c>
      <c r="J20" s="59">
        <f t="shared" si="13"/>
        <v>6.6317680807379888</v>
      </c>
      <c r="K20" s="59">
        <f t="shared" si="13"/>
        <v>6.4991327191232289</v>
      </c>
      <c r="L20" s="59">
        <f t="shared" si="13"/>
        <v>6.3691500647407642</v>
      </c>
      <c r="M20" s="59">
        <f t="shared" si="13"/>
        <v>6.2417670634459483</v>
      </c>
      <c r="N20" s="59">
        <f t="shared" si="13"/>
        <v>6.1169317221770294</v>
      </c>
      <c r="O20" s="59">
        <f t="shared" si="13"/>
        <v>5.994593087733489</v>
      </c>
      <c r="P20" s="59">
        <f t="shared" si="13"/>
        <v>5.8747012259788187</v>
      </c>
      <c r="Q20" s="59">
        <f t="shared" si="13"/>
        <v>5.7572072014592424</v>
      </c>
    </row>
    <row r="21" spans="2:17" x14ac:dyDescent="0.25">
      <c r="B21" s="57" t="s">
        <v>117</v>
      </c>
      <c r="C21" s="58">
        <f t="shared" ref="C21:Q21" si="14">+(C7-C18)*C16*C15</f>
        <v>0</v>
      </c>
      <c r="D21" s="58">
        <f t="shared" si="14"/>
        <v>204813.88507082278</v>
      </c>
      <c r="E21" s="58">
        <f t="shared" si="14"/>
        <v>220556.07254625831</v>
      </c>
      <c r="F21" s="58">
        <f t="shared" si="14"/>
        <v>236844.51572997414</v>
      </c>
      <c r="G21" s="58">
        <f t="shared" si="14"/>
        <v>253599.71432106692</v>
      </c>
      <c r="H21" s="58">
        <f t="shared" si="14"/>
        <v>270784.86155964207</v>
      </c>
      <c r="I21" s="58">
        <f t="shared" si="14"/>
        <v>288361.55767164746</v>
      </c>
      <c r="J21" s="58">
        <f t="shared" si="14"/>
        <v>306290.15160523547</v>
      </c>
      <c r="K21" s="58">
        <f t="shared" si="14"/>
        <v>324530.07606481091</v>
      </c>
      <c r="L21" s="58">
        <f t="shared" si="14"/>
        <v>343040.17190523812</v>
      </c>
      <c r="M21" s="58">
        <f t="shared" si="14"/>
        <v>361778.9985068703</v>
      </c>
      <c r="N21" s="58">
        <f t="shared" si="14"/>
        <v>380705.12731265917</v>
      </c>
      <c r="O21" s="58">
        <f t="shared" si="14"/>
        <v>399777.4162582081</v>
      </c>
      <c r="P21" s="58">
        <f t="shared" si="14"/>
        <v>418955.26335319167</v>
      </c>
      <c r="Q21" s="58">
        <f t="shared" si="14"/>
        <v>438198.83816924482</v>
      </c>
    </row>
    <row r="22" spans="2:17" x14ac:dyDescent="0.25">
      <c r="B22" s="57" t="s">
        <v>118</v>
      </c>
      <c r="C22" s="58">
        <f t="shared" ref="C22:Q22" si="15">+(C8-C19)*C14*C17</f>
        <v>0</v>
      </c>
      <c r="D22" s="58">
        <f t="shared" si="15"/>
        <v>1480675.4653094057</v>
      </c>
      <c r="E22" s="58">
        <f t="shared" si="15"/>
        <v>1782628.1868647442</v>
      </c>
      <c r="F22" s="58">
        <f t="shared" si="15"/>
        <v>2062800.6923460262</v>
      </c>
      <c r="G22" s="58">
        <f t="shared" si="15"/>
        <v>2324487.8193820976</v>
      </c>
      <c r="H22" s="58">
        <f t="shared" si="15"/>
        <v>2562848.4682054892</v>
      </c>
      <c r="I22" s="58">
        <f t="shared" si="15"/>
        <v>2775434.703189211</v>
      </c>
      <c r="J22" s="58">
        <f t="shared" si="15"/>
        <v>2961679.1345008407</v>
      </c>
      <c r="K22" s="58">
        <f t="shared" si="15"/>
        <v>3122364.0189724783</v>
      </c>
      <c r="L22" s="58">
        <f t="shared" si="15"/>
        <v>3259149.8767880988</v>
      </c>
      <c r="M22" s="58">
        <f t="shared" si="15"/>
        <v>3374196.4464190896</v>
      </c>
      <c r="N22" s="58">
        <f t="shared" si="15"/>
        <v>3469880.4073285377</v>
      </c>
      <c r="O22" s="58">
        <f t="shared" si="15"/>
        <v>3548599.3227074658</v>
      </c>
      <c r="P22" s="58">
        <f t="shared" si="15"/>
        <v>3612645.3381639114</v>
      </c>
      <c r="Q22" s="58">
        <f t="shared" si="15"/>
        <v>3664131.5422977507</v>
      </c>
    </row>
    <row r="23" spans="2:17" x14ac:dyDescent="0.25">
      <c r="B23" s="2" t="s">
        <v>119</v>
      </c>
      <c r="C23" s="65">
        <f>+C21+C22</f>
        <v>0</v>
      </c>
      <c r="D23" s="65"/>
      <c r="E23" s="65">
        <f t="shared" ref="E23:Q23" si="16">+E21+E22</f>
        <v>2003184.2594110025</v>
      </c>
      <c r="F23" s="65">
        <f t="shared" si="16"/>
        <v>2299645.2080760002</v>
      </c>
      <c r="G23" s="65">
        <f t="shared" si="16"/>
        <v>2578087.5337031647</v>
      </c>
      <c r="H23" s="65">
        <f t="shared" si="16"/>
        <v>2833633.3297651312</v>
      </c>
      <c r="I23" s="65">
        <f t="shared" si="16"/>
        <v>3063796.2608608585</v>
      </c>
      <c r="J23" s="65">
        <f t="shared" si="16"/>
        <v>3267969.2861060761</v>
      </c>
      <c r="K23" s="65">
        <f t="shared" si="16"/>
        <v>3446894.0950372894</v>
      </c>
      <c r="L23" s="65">
        <f t="shared" si="16"/>
        <v>3602190.048693337</v>
      </c>
      <c r="M23" s="65">
        <f t="shared" si="16"/>
        <v>3735975.4449259597</v>
      </c>
      <c r="N23" s="65">
        <f t="shared" si="16"/>
        <v>3850585.534641197</v>
      </c>
      <c r="O23" s="65">
        <f t="shared" si="16"/>
        <v>3948376.7389656738</v>
      </c>
      <c r="P23" s="65">
        <f t="shared" si="16"/>
        <v>4031600.6015171031</v>
      </c>
      <c r="Q23" s="65">
        <f t="shared" si="16"/>
        <v>4102330.3804669958</v>
      </c>
    </row>
    <row r="24" spans="2:17" x14ac:dyDescent="0.25">
      <c r="B24" s="2"/>
    </row>
    <row r="25" spans="2:17" x14ac:dyDescent="0.25">
      <c r="B25" s="2" t="s">
        <v>120</v>
      </c>
    </row>
    <row r="27" spans="2:17" x14ac:dyDescent="0.25">
      <c r="B27" s="66"/>
      <c r="C27" s="35"/>
      <c r="D27" s="35"/>
      <c r="E27" s="35"/>
      <c r="F27" s="12"/>
      <c r="H27" s="67"/>
      <c r="I27" s="8"/>
      <c r="K27" s="67"/>
      <c r="L27" s="8"/>
    </row>
    <row r="28" spans="2:17" x14ac:dyDescent="0.25">
      <c r="B28" s="68" t="s">
        <v>163</v>
      </c>
      <c r="C28" s="69">
        <v>0.01</v>
      </c>
      <c r="H28" s="67"/>
      <c r="I28" s="8"/>
      <c r="K28" s="67"/>
      <c r="L28" s="8"/>
    </row>
    <row r="29" spans="2:17" x14ac:dyDescent="0.25">
      <c r="B29" s="68" t="s">
        <v>121</v>
      </c>
      <c r="C29" s="69">
        <f>-[2]Dashboard!C4</f>
        <v>0.02</v>
      </c>
      <c r="H29" s="67"/>
      <c r="I29" s="8"/>
      <c r="K29" s="67"/>
      <c r="L29" s="8"/>
    </row>
    <row r="30" spans="2:17" x14ac:dyDescent="0.25">
      <c r="B30" s="68" t="s">
        <v>122</v>
      </c>
      <c r="C30" s="70">
        <v>0.12</v>
      </c>
      <c r="H30" s="67"/>
      <c r="I30" s="8"/>
      <c r="K30" s="67"/>
      <c r="L30" s="8"/>
    </row>
    <row r="32" spans="2:17" x14ac:dyDescent="0.25">
      <c r="B32" s="68" t="s">
        <v>123</v>
      </c>
      <c r="C32" s="71">
        <v>2012</v>
      </c>
      <c r="D32" s="71">
        <v>2013</v>
      </c>
      <c r="E32" s="71">
        <v>2014</v>
      </c>
      <c r="F32" s="71">
        <v>2015</v>
      </c>
      <c r="G32" s="71">
        <v>2016</v>
      </c>
      <c r="H32" s="71">
        <v>2017</v>
      </c>
      <c r="I32" s="71">
        <v>2018</v>
      </c>
    </row>
    <row r="33" spans="2:11" x14ac:dyDescent="0.25">
      <c r="B33" s="57" t="s">
        <v>124</v>
      </c>
      <c r="C33" s="63">
        <v>8505646</v>
      </c>
      <c r="D33" s="63">
        <v>8657785</v>
      </c>
      <c r="E33" s="63">
        <v>8809216</v>
      </c>
      <c r="F33" s="63">
        <v>8960829</v>
      </c>
      <c r="G33" s="63">
        <v>9112867</v>
      </c>
      <c r="H33" s="63">
        <v>9265067</v>
      </c>
      <c r="I33" s="63">
        <v>9265067</v>
      </c>
    </row>
    <row r="34" spans="2:11" x14ac:dyDescent="0.25">
      <c r="B34" s="57" t="s">
        <v>164</v>
      </c>
      <c r="C34" s="72">
        <f>+[2]Dashboard!C5</f>
        <v>1.7251296678325367E-2</v>
      </c>
      <c r="D34" s="72">
        <f>+((H33/C33)^(1/5))-1</f>
        <v>1.7251296678325367E-2</v>
      </c>
      <c r="E34" s="57"/>
      <c r="F34" s="57"/>
      <c r="G34" s="57"/>
      <c r="H34" s="57"/>
      <c r="I34" s="57"/>
      <c r="J34" s="57" t="s">
        <v>126</v>
      </c>
      <c r="K34" s="58">
        <v>1856600</v>
      </c>
    </row>
    <row r="35" spans="2:11" x14ac:dyDescent="0.25">
      <c r="B35" s="57" t="s">
        <v>127</v>
      </c>
      <c r="C35" s="57">
        <v>18.529</v>
      </c>
      <c r="D35" s="57">
        <v>18.5</v>
      </c>
      <c r="E35" s="57">
        <v>19.756</v>
      </c>
      <c r="F35" s="57">
        <v>20.98</v>
      </c>
      <c r="G35" s="57">
        <v>21.643999999999998</v>
      </c>
      <c r="H35" s="57">
        <v>22.978999999999999</v>
      </c>
      <c r="I35" s="57">
        <v>22.978999999999999</v>
      </c>
      <c r="J35" s="57" t="s">
        <v>128</v>
      </c>
      <c r="K35" s="73">
        <f>D33/K34</f>
        <v>4.6632473338360443</v>
      </c>
    </row>
    <row r="36" spans="2:11" x14ac:dyDescent="0.25">
      <c r="B36" s="57" t="s">
        <v>129</v>
      </c>
      <c r="C36" s="73">
        <f>+C35*1000000000/C33</f>
        <v>2178.4353592895823</v>
      </c>
      <c r="D36" s="73">
        <f t="shared" ref="D36:I36" si="17">+D35*1000000000/D33</f>
        <v>2136.8051990203039</v>
      </c>
      <c r="E36" s="73">
        <f t="shared" si="17"/>
        <v>2242.6513324227717</v>
      </c>
      <c r="F36" s="73">
        <f t="shared" si="17"/>
        <v>2341.3012345174761</v>
      </c>
      <c r="G36" s="73">
        <f t="shared" si="17"/>
        <v>2375.1032468706062</v>
      </c>
      <c r="H36" s="73">
        <f t="shared" si="17"/>
        <v>2480.1763441106255</v>
      </c>
      <c r="I36" s="73">
        <f t="shared" si="17"/>
        <v>2480.1763441106255</v>
      </c>
    </row>
    <row r="37" spans="2:11" x14ac:dyDescent="0.25">
      <c r="B37" s="57" t="s">
        <v>125</v>
      </c>
      <c r="C37" s="72">
        <f>+[2]Dashboard!C6</f>
        <v>2.6284043577209371E-2</v>
      </c>
      <c r="D37" s="72">
        <f>++((H36/C36)^(1/5))-1</f>
        <v>2.6284043577209371E-2</v>
      </c>
      <c r="E37" s="57"/>
      <c r="F37" s="57"/>
      <c r="G37" s="57"/>
      <c r="H37" s="57"/>
      <c r="I37" s="57"/>
    </row>
    <row r="38" spans="2:11" x14ac:dyDescent="0.25">
      <c r="B38" s="57" t="s">
        <v>130</v>
      </c>
      <c r="C38" s="57"/>
      <c r="D38" s="70">
        <v>1.52E-2</v>
      </c>
      <c r="E38" s="70">
        <v>1.9400000000000001E-2</v>
      </c>
      <c r="F38" s="70">
        <v>2.1499999999999998E-2</v>
      </c>
      <c r="G38" s="70">
        <v>2.3699999999999999E-2</v>
      </c>
      <c r="H38" s="74"/>
      <c r="I38" s="74">
        <v>2.5100000000000001E-2</v>
      </c>
    </row>
    <row r="39" spans="2:11" x14ac:dyDescent="0.25">
      <c r="B39" s="57" t="s">
        <v>125</v>
      </c>
      <c r="C39" s="72">
        <f>+((G38/D38)^(1/3))-1</f>
        <v>0.15958232245513404</v>
      </c>
      <c r="D39" s="70"/>
      <c r="E39" s="70"/>
      <c r="F39" s="70"/>
      <c r="G39" s="70"/>
      <c r="H39" s="57"/>
      <c r="I39" s="57"/>
    </row>
    <row r="40" spans="2:11" x14ac:dyDescent="0.25">
      <c r="B40" s="57" t="s">
        <v>131</v>
      </c>
      <c r="C40" s="70">
        <v>1.2500000000000001E-2</v>
      </c>
      <c r="D40" s="70">
        <v>1.32E-2</v>
      </c>
      <c r="E40" s="70">
        <v>3.6799999999999999E-2</v>
      </c>
      <c r="F40" s="70">
        <v>0.1174</v>
      </c>
      <c r="G40" s="70">
        <v>0.17230000000000001</v>
      </c>
      <c r="H40" s="74"/>
      <c r="I40" s="74">
        <v>0.2447</v>
      </c>
    </row>
    <row r="41" spans="2:11" x14ac:dyDescent="0.25">
      <c r="B41" s="57" t="s">
        <v>125</v>
      </c>
      <c r="C41" s="72">
        <f>+((G40/C40)^(1/4))-1</f>
        <v>0.92683184840299049</v>
      </c>
      <c r="D41" s="57"/>
      <c r="E41" s="57"/>
      <c r="F41" s="57"/>
      <c r="G41" s="57"/>
      <c r="H41" s="57"/>
      <c r="I41" s="57"/>
    </row>
    <row r="42" spans="2:11" x14ac:dyDescent="0.25">
      <c r="B42" s="57" t="s">
        <v>132</v>
      </c>
      <c r="C42" s="57"/>
      <c r="D42" s="70">
        <f>+D38*$K$35</f>
        <v>7.0881359474307876E-2</v>
      </c>
      <c r="E42" s="70">
        <f t="shared" ref="E42:I42" si="18">+E38*$K$35</f>
        <v>9.0466998276419255E-2</v>
      </c>
      <c r="F42" s="70">
        <f t="shared" si="18"/>
        <v>0.10025981767747494</v>
      </c>
      <c r="G42" s="70">
        <f t="shared" si="18"/>
        <v>0.11051896181191424</v>
      </c>
      <c r="H42" s="74"/>
      <c r="I42" s="70">
        <f t="shared" si="18"/>
        <v>0.11704750807928471</v>
      </c>
    </row>
    <row r="43" spans="2:11" x14ac:dyDescent="0.25">
      <c r="B43" s="2" t="s">
        <v>133</v>
      </c>
    </row>
    <row r="44" spans="2:11" x14ac:dyDescent="0.25">
      <c r="B44" s="57" t="s">
        <v>134</v>
      </c>
      <c r="C44" s="58">
        <v>110000</v>
      </c>
    </row>
    <row r="45" spans="2:11" x14ac:dyDescent="0.25">
      <c r="B45" s="57" t="s">
        <v>135</v>
      </c>
      <c r="C45" s="58">
        <v>551000</v>
      </c>
    </row>
    <row r="47" spans="2:11" x14ac:dyDescent="0.25">
      <c r="B47" s="23"/>
      <c r="C47" s="75" t="s">
        <v>136</v>
      </c>
      <c r="D47" s="71" t="s">
        <v>137</v>
      </c>
      <c r="E47" s="76" t="s">
        <v>138</v>
      </c>
    </row>
    <row r="48" spans="2:11" x14ac:dyDescent="0.25">
      <c r="C48" s="58">
        <v>140000000</v>
      </c>
      <c r="D48" s="58">
        <v>47000000</v>
      </c>
      <c r="E48" s="58">
        <f>+(291+47+85)*1000000</f>
        <v>423000000</v>
      </c>
      <c r="G48" s="57" t="s">
        <v>139</v>
      </c>
      <c r="H48" s="58">
        <v>8053000</v>
      </c>
    </row>
    <row r="49" spans="2:23" x14ac:dyDescent="0.25">
      <c r="B49" s="71" t="s">
        <v>140</v>
      </c>
      <c r="C49" s="73">
        <f>+C48/C45/12</f>
        <v>21.173623714458561</v>
      </c>
      <c r="D49" s="73">
        <f>+D48/C44/12</f>
        <v>35.606060606060602</v>
      </c>
      <c r="E49" s="73">
        <f>+E48/(H48*H49)/12</f>
        <v>7.6391810017794413</v>
      </c>
      <c r="G49" s="57" t="s">
        <v>141</v>
      </c>
      <c r="H49" s="70">
        <v>0.57299999999999995</v>
      </c>
    </row>
    <row r="52" spans="2:23" x14ac:dyDescent="0.25">
      <c r="C52">
        <v>1</v>
      </c>
      <c r="D52">
        <v>2</v>
      </c>
      <c r="E52">
        <v>3</v>
      </c>
      <c r="F52">
        <v>4</v>
      </c>
      <c r="G52">
        <v>5</v>
      </c>
      <c r="H52">
        <v>6</v>
      </c>
      <c r="I52">
        <v>7</v>
      </c>
      <c r="J52">
        <v>8</v>
      </c>
      <c r="K52">
        <v>9</v>
      </c>
      <c r="L52">
        <v>10</v>
      </c>
      <c r="M52">
        <v>11</v>
      </c>
      <c r="N52">
        <v>12</v>
      </c>
      <c r="O52">
        <v>13</v>
      </c>
      <c r="P52">
        <v>14</v>
      </c>
      <c r="Q52">
        <v>15</v>
      </c>
      <c r="R52">
        <v>16</v>
      </c>
      <c r="S52">
        <v>17</v>
      </c>
      <c r="T52">
        <v>18</v>
      </c>
      <c r="U52">
        <v>19</v>
      </c>
      <c r="V52">
        <v>20</v>
      </c>
      <c r="W52">
        <v>21</v>
      </c>
    </row>
    <row r="53" spans="2:23" x14ac:dyDescent="0.25">
      <c r="B53" s="68" t="s">
        <v>142</v>
      </c>
      <c r="C53" s="71">
        <v>2012</v>
      </c>
      <c r="D53" s="71">
        <v>2013</v>
      </c>
      <c r="E53" s="71">
        <v>2014</v>
      </c>
      <c r="F53" s="71">
        <v>2015</v>
      </c>
      <c r="G53" s="71">
        <v>2016</v>
      </c>
      <c r="H53" s="71">
        <v>2017</v>
      </c>
      <c r="I53" s="71">
        <v>2018</v>
      </c>
      <c r="J53" s="71">
        <v>2019</v>
      </c>
      <c r="K53" s="71">
        <v>2020</v>
      </c>
      <c r="L53" s="71">
        <v>2021</v>
      </c>
      <c r="M53" s="71">
        <v>2022</v>
      </c>
      <c r="N53" s="71">
        <v>2023</v>
      </c>
      <c r="O53" s="71">
        <v>2024</v>
      </c>
      <c r="P53" s="71">
        <v>2025</v>
      </c>
      <c r="Q53" s="71">
        <v>2026</v>
      </c>
      <c r="R53" s="71">
        <v>2027</v>
      </c>
      <c r="S53" s="71">
        <v>2028</v>
      </c>
      <c r="T53" s="71">
        <v>2029</v>
      </c>
      <c r="U53" s="71">
        <v>2030</v>
      </c>
      <c r="V53" s="71">
        <v>2031</v>
      </c>
      <c r="W53" s="71">
        <v>2032</v>
      </c>
    </row>
    <row r="54" spans="2:23" x14ac:dyDescent="0.25">
      <c r="B54" s="57" t="s">
        <v>130</v>
      </c>
      <c r="C54" s="72">
        <f>+$F$59*EXP(-$F$60*EXP(-$F$61*(C52)))</f>
        <v>7.2267726693773293E-2</v>
      </c>
      <c r="D54" s="72">
        <f t="shared" ref="D54:W54" si="19">+$F$59*EXP(-$F$60*EXP(-$F$61*(D52)))</f>
        <v>7.9601801726693885E-2</v>
      </c>
      <c r="E54" s="72">
        <f t="shared" si="19"/>
        <v>8.7368936079595533E-2</v>
      </c>
      <c r="F54" s="72">
        <f t="shared" si="19"/>
        <v>9.5566054717011864E-2</v>
      </c>
      <c r="G54" s="72">
        <f t="shared" si="19"/>
        <v>0.10418794049912407</v>
      </c>
      <c r="H54" s="72">
        <f>+$F$59*EXP(-$F$60*EXP(-$F$61*(H52)))</f>
        <v>0.11322729899919402</v>
      </c>
      <c r="I54" s="77">
        <f>+$F$59*EXP(-$F$60*EXP(-$F$61*(I52)))</f>
        <v>0.12267484347216825</v>
      </c>
      <c r="J54" s="77">
        <f t="shared" si="19"/>
        <v>0.13251939770444696</v>
      </c>
      <c r="K54" s="77">
        <f t="shared" si="19"/>
        <v>0.14274801433276377</v>
      </c>
      <c r="L54" s="77">
        <f t="shared" si="19"/>
        <v>0.15334610614147315</v>
      </c>
      <c r="M54" s="77">
        <f t="shared" si="19"/>
        <v>0.16429758782715709</v>
      </c>
      <c r="N54" s="77">
        <f t="shared" si="19"/>
        <v>0.17558502575124105</v>
      </c>
      <c r="O54" s="77">
        <f t="shared" si="19"/>
        <v>0.18718979327848853</v>
      </c>
      <c r="P54" s="77">
        <f t="shared" si="19"/>
        <v>0.19909222941474336</v>
      </c>
      <c r="Q54" s="77">
        <f t="shared" si="19"/>
        <v>0.21127179860395687</v>
      </c>
      <c r="R54" s="77">
        <f t="shared" si="19"/>
        <v>0.22370724971537378</v>
      </c>
      <c r="S54" s="77">
        <f t="shared" si="19"/>
        <v>0.23637677244011299</v>
      </c>
      <c r="T54" s="77">
        <f t="shared" si="19"/>
        <v>0.24925814951608541</v>
      </c>
      <c r="U54" s="77">
        <f t="shared" si="19"/>
        <v>0.26232890340567161</v>
      </c>
      <c r="V54" s="77">
        <f t="shared" si="19"/>
        <v>0.27556643625688526</v>
      </c>
      <c r="W54" s="77">
        <f t="shared" si="19"/>
        <v>0.28894816218163089</v>
      </c>
    </row>
    <row r="55" spans="2:23" x14ac:dyDescent="0.25">
      <c r="B55" s="57" t="s">
        <v>131</v>
      </c>
      <c r="C55" s="72">
        <f t="shared" ref="C55:W55" si="20">+$H$59*EXP(-$H$60*EXP(-$H$61*(C52)))</f>
        <v>1.7178310015154141E-2</v>
      </c>
      <c r="D55" s="72">
        <f t="shared" si="20"/>
        <v>3.4102660294443678E-2</v>
      </c>
      <c r="E55" s="72">
        <f t="shared" si="20"/>
        <v>6.0304209739016984E-2</v>
      </c>
      <c r="F55" s="72">
        <f t="shared" si="20"/>
        <v>9.6858304044895246E-2</v>
      </c>
      <c r="G55" s="72">
        <f t="shared" si="20"/>
        <v>0.14361629925881728</v>
      </c>
      <c r="H55" s="72">
        <f t="shared" si="20"/>
        <v>0.19925391815878549</v>
      </c>
      <c r="I55" s="72">
        <f t="shared" si="20"/>
        <v>0.26158714006436007</v>
      </c>
      <c r="J55" s="72">
        <f t="shared" si="20"/>
        <v>0.32800516324834583</v>
      </c>
      <c r="K55" s="72">
        <f t="shared" si="20"/>
        <v>0.39588136180403211</v>
      </c>
      <c r="L55" s="72">
        <f t="shared" si="20"/>
        <v>0.46287849906792555</v>
      </c>
      <c r="M55" s="72">
        <f t="shared" si="20"/>
        <v>0.52712305950056204</v>
      </c>
      <c r="N55" s="72">
        <f t="shared" si="20"/>
        <v>0.58726373379364749</v>
      </c>
      <c r="O55" s="72">
        <f t="shared" si="20"/>
        <v>0.64244720602372951</v>
      </c>
      <c r="P55" s="72">
        <f t="shared" si="20"/>
        <v>0.69224623918728889</v>
      </c>
      <c r="Q55" s="72">
        <f t="shared" si="20"/>
        <v>0.73656839090537229</v>
      </c>
      <c r="R55" s="72">
        <f t="shared" si="20"/>
        <v>0.77556449578550402</v>
      </c>
      <c r="S55" s="72">
        <f t="shared" si="20"/>
        <v>0.80954769817101069</v>
      </c>
      <c r="T55" s="72">
        <f t="shared" si="20"/>
        <v>0.83892761588438081</v>
      </c>
      <c r="U55" s="72">
        <f t="shared" si="20"/>
        <v>0.86416025419355647</v>
      </c>
      <c r="V55" s="72">
        <f t="shared" si="20"/>
        <v>0.88571212988347225</v>
      </c>
      <c r="W55" s="72">
        <f t="shared" si="20"/>
        <v>0.90403614767527307</v>
      </c>
    </row>
    <row r="56" spans="2:23" x14ac:dyDescent="0.25">
      <c r="B56" t="s">
        <v>143</v>
      </c>
      <c r="C56" s="29">
        <f t="shared" ref="C56:W56" si="21">+IF(C42&lt;&gt;"",(C54-C42)^2,0)</f>
        <v>0</v>
      </c>
      <c r="D56" s="29">
        <f t="shared" si="21"/>
        <v>7.6046113077199185E-5</v>
      </c>
      <c r="E56" s="29">
        <f t="shared" si="21"/>
        <v>9.5979893753882311E-6</v>
      </c>
      <c r="F56" s="29">
        <f t="shared" si="21"/>
        <v>2.2031410729015082E-5</v>
      </c>
      <c r="G56" s="29">
        <f t="shared" si="21"/>
        <v>4.008183086300343E-5</v>
      </c>
      <c r="H56" s="29">
        <f t="shared" si="21"/>
        <v>0</v>
      </c>
      <c r="I56" s="29">
        <f t="shared" si="21"/>
        <v>3.1666903623999775E-5</v>
      </c>
      <c r="J56" s="29">
        <f t="shared" si="21"/>
        <v>0</v>
      </c>
      <c r="K56" s="29">
        <f t="shared" si="21"/>
        <v>0</v>
      </c>
      <c r="L56" s="29">
        <f t="shared" si="21"/>
        <v>0</v>
      </c>
      <c r="M56" s="29">
        <f t="shared" si="21"/>
        <v>0</v>
      </c>
      <c r="N56" s="29">
        <f t="shared" si="21"/>
        <v>0</v>
      </c>
      <c r="O56" s="29">
        <f t="shared" si="21"/>
        <v>0</v>
      </c>
      <c r="P56" s="29">
        <f t="shared" si="21"/>
        <v>0</v>
      </c>
      <c r="Q56" s="29">
        <f t="shared" si="21"/>
        <v>0</v>
      </c>
      <c r="R56" s="29">
        <f t="shared" si="21"/>
        <v>0</v>
      </c>
      <c r="S56" s="29">
        <f t="shared" si="21"/>
        <v>0</v>
      </c>
      <c r="T56" s="29">
        <f t="shared" si="21"/>
        <v>0</v>
      </c>
      <c r="U56" s="29">
        <f t="shared" si="21"/>
        <v>0</v>
      </c>
      <c r="V56" s="29">
        <f t="shared" si="21"/>
        <v>0</v>
      </c>
      <c r="W56" s="29">
        <f t="shared" si="21"/>
        <v>0</v>
      </c>
    </row>
    <row r="57" spans="2:23" x14ac:dyDescent="0.25">
      <c r="B57" t="s">
        <v>144</v>
      </c>
      <c r="C57" s="29">
        <f t="shared" ref="C57:W57" si="22">+IF(C40&lt;&gt;"",(C55-C40)^2,0)</f>
        <v>2.1886584597891529E-5</v>
      </c>
      <c r="D57" s="29">
        <f t="shared" si="22"/>
        <v>4.3692120738491225E-4</v>
      </c>
      <c r="E57" s="29">
        <f t="shared" si="22"/>
        <v>5.5244787545570084E-4</v>
      </c>
      <c r="F57" s="29">
        <f t="shared" si="22"/>
        <v>4.2196127271196715E-4</v>
      </c>
      <c r="G57" s="29">
        <f t="shared" si="22"/>
        <v>8.2275468820972681E-4</v>
      </c>
      <c r="H57" s="29">
        <f t="shared" si="22"/>
        <v>0</v>
      </c>
      <c r="I57" s="29">
        <f t="shared" si="22"/>
        <v>2.8517549955331498E-4</v>
      </c>
      <c r="J57" s="29">
        <f t="shared" si="22"/>
        <v>0</v>
      </c>
      <c r="K57" s="29">
        <f t="shared" si="22"/>
        <v>0</v>
      </c>
      <c r="L57" s="29">
        <f t="shared" si="22"/>
        <v>0</v>
      </c>
      <c r="M57" s="29">
        <f t="shared" si="22"/>
        <v>0</v>
      </c>
      <c r="N57" s="29">
        <f t="shared" si="22"/>
        <v>0</v>
      </c>
      <c r="O57" s="29">
        <f t="shared" si="22"/>
        <v>0</v>
      </c>
      <c r="P57" s="29">
        <f t="shared" si="22"/>
        <v>0</v>
      </c>
      <c r="Q57" s="29">
        <f t="shared" si="22"/>
        <v>0</v>
      </c>
      <c r="R57" s="29">
        <f t="shared" si="22"/>
        <v>0</v>
      </c>
      <c r="S57" s="29">
        <f t="shared" si="22"/>
        <v>0</v>
      </c>
      <c r="T57" s="29">
        <f t="shared" si="22"/>
        <v>0</v>
      </c>
      <c r="U57" s="29">
        <f t="shared" si="22"/>
        <v>0</v>
      </c>
      <c r="V57" s="29">
        <f t="shared" si="22"/>
        <v>0</v>
      </c>
      <c r="W57" s="29">
        <f t="shared" si="22"/>
        <v>0</v>
      </c>
    </row>
    <row r="58" spans="2:23" x14ac:dyDescent="0.25">
      <c r="C58" s="29"/>
      <c r="D58" s="29"/>
      <c r="E58" s="29"/>
      <c r="F58" s="29"/>
      <c r="G58" s="29"/>
      <c r="H58" s="29"/>
      <c r="I58" s="29"/>
      <c r="J58" s="29"/>
      <c r="K58" s="29"/>
      <c r="L58" s="29"/>
      <c r="M58" s="29"/>
      <c r="N58" s="29"/>
      <c r="O58" s="29"/>
      <c r="P58" s="29"/>
      <c r="Q58" s="29"/>
      <c r="R58" s="29"/>
      <c r="S58" s="29"/>
      <c r="T58" s="29"/>
      <c r="U58" s="29"/>
      <c r="V58" s="29"/>
      <c r="W58" s="29"/>
    </row>
    <row r="59" spans="2:23" x14ac:dyDescent="0.25">
      <c r="E59" s="1" t="s">
        <v>145</v>
      </c>
      <c r="F59" s="1">
        <v>1</v>
      </c>
      <c r="G59" s="1" t="s">
        <v>146</v>
      </c>
      <c r="H59" s="1">
        <v>1</v>
      </c>
      <c r="K59" s="31"/>
      <c r="L59" s="31"/>
      <c r="M59" s="31"/>
      <c r="N59" s="31"/>
      <c r="O59" s="31"/>
    </row>
    <row r="60" spans="2:23" x14ac:dyDescent="0.25">
      <c r="C60" s="57" t="s">
        <v>143</v>
      </c>
      <c r="D60" s="78">
        <f>+SUM(C56:W56)</f>
        <v>1.794242476686057E-4</v>
      </c>
      <c r="E60" s="1" t="s">
        <v>147</v>
      </c>
      <c r="F60" s="1">
        <v>2.7277285361343049</v>
      </c>
      <c r="G60" s="1" t="s">
        <v>148</v>
      </c>
      <c r="H60" s="1">
        <v>4.8890214438267661</v>
      </c>
      <c r="K60" s="13"/>
      <c r="L60" s="13"/>
      <c r="M60" s="13"/>
      <c r="N60" s="13"/>
      <c r="O60" s="13"/>
    </row>
    <row r="61" spans="2:23" x14ac:dyDescent="0.25">
      <c r="C61" s="57" t="s">
        <v>144</v>
      </c>
      <c r="D61" s="78">
        <f>+SUM(C57:W57)</f>
        <v>2.5411471279135137E-3</v>
      </c>
      <c r="E61" s="1" t="s">
        <v>149</v>
      </c>
      <c r="F61" s="1">
        <f>+[2]Dashboard!C7</f>
        <v>3.74829749486804E-2</v>
      </c>
      <c r="G61" s="1" t="s">
        <v>150</v>
      </c>
      <c r="H61" s="1">
        <f>+[2]Dashboard!C8</f>
        <v>0.18479794981435801</v>
      </c>
    </row>
    <row r="65" spans="4:15" x14ac:dyDescent="0.25">
      <c r="D65" s="79"/>
    </row>
    <row r="67" spans="4:15" x14ac:dyDescent="0.25">
      <c r="N67" s="80"/>
      <c r="O67" t="s">
        <v>151</v>
      </c>
    </row>
    <row r="68" spans="4:15" x14ac:dyDescent="0.25">
      <c r="N68" s="81"/>
      <c r="O68" t="s">
        <v>152</v>
      </c>
    </row>
    <row r="69" spans="4:15" x14ac:dyDescent="0.25">
      <c r="N69" s="82"/>
      <c r="O69" t="s">
        <v>153</v>
      </c>
    </row>
    <row r="83" spans="2:23" x14ac:dyDescent="0.25">
      <c r="C83">
        <v>1</v>
      </c>
      <c r="D83">
        <v>2</v>
      </c>
      <c r="E83">
        <v>3</v>
      </c>
      <c r="F83">
        <v>4</v>
      </c>
      <c r="G83">
        <v>5</v>
      </c>
      <c r="H83">
        <v>6</v>
      </c>
      <c r="I83">
        <v>7</v>
      </c>
      <c r="J83">
        <v>8</v>
      </c>
      <c r="K83">
        <v>9</v>
      </c>
      <c r="L83">
        <v>10</v>
      </c>
      <c r="M83">
        <v>11</v>
      </c>
      <c r="N83">
        <v>12</v>
      </c>
      <c r="O83">
        <v>13</v>
      </c>
      <c r="P83">
        <v>14</v>
      </c>
      <c r="Q83">
        <v>15</v>
      </c>
      <c r="R83">
        <v>16</v>
      </c>
      <c r="S83">
        <v>17</v>
      </c>
      <c r="T83">
        <v>18</v>
      </c>
      <c r="U83">
        <v>19</v>
      </c>
      <c r="V83">
        <v>20</v>
      </c>
      <c r="W83">
        <v>21</v>
      </c>
    </row>
    <row r="84" spans="2:23" x14ac:dyDescent="0.25">
      <c r="B84" s="68" t="s">
        <v>154</v>
      </c>
      <c r="C84" s="71">
        <v>2012</v>
      </c>
      <c r="D84" s="71">
        <v>2013</v>
      </c>
      <c r="E84" s="71">
        <v>2014</v>
      </c>
      <c r="F84" s="71">
        <v>2015</v>
      </c>
      <c r="G84" s="71">
        <v>2016</v>
      </c>
      <c r="H84" s="71">
        <v>2017</v>
      </c>
      <c r="I84" s="71">
        <v>2018</v>
      </c>
      <c r="J84" s="71">
        <v>2019</v>
      </c>
      <c r="K84" s="71">
        <v>2020</v>
      </c>
      <c r="L84" s="71">
        <v>2021</v>
      </c>
      <c r="M84" s="71">
        <v>2022</v>
      </c>
      <c r="N84" s="71">
        <v>2023</v>
      </c>
      <c r="O84" s="71">
        <v>2024</v>
      </c>
      <c r="P84" s="71">
        <v>2025</v>
      </c>
      <c r="Q84" s="71">
        <v>2026</v>
      </c>
      <c r="R84" s="71">
        <v>2027</v>
      </c>
      <c r="S84" s="71">
        <v>2028</v>
      </c>
      <c r="T84" s="71">
        <v>2029</v>
      </c>
      <c r="U84" s="71">
        <v>2030</v>
      </c>
      <c r="V84" s="71">
        <v>2031</v>
      </c>
      <c r="W84" s="71">
        <v>2032</v>
      </c>
    </row>
    <row r="85" spans="2:23" x14ac:dyDescent="0.25">
      <c r="B85" s="57" t="s">
        <v>130</v>
      </c>
      <c r="C85" s="72">
        <f>+C54</f>
        <v>7.2267726693773293E-2</v>
      </c>
      <c r="D85" s="72">
        <f t="shared" ref="D85:I86" si="23">+D54</f>
        <v>7.9601801726693885E-2</v>
      </c>
      <c r="E85" s="72">
        <f t="shared" si="23"/>
        <v>8.7368936079595533E-2</v>
      </c>
      <c r="F85" s="72">
        <f t="shared" si="23"/>
        <v>9.5566054717011864E-2</v>
      </c>
      <c r="G85" s="72">
        <f t="shared" si="23"/>
        <v>0.10418794049912407</v>
      </c>
      <c r="H85" s="72">
        <f t="shared" si="23"/>
        <v>0.11322729899919402</v>
      </c>
      <c r="I85" s="72">
        <f t="shared" si="23"/>
        <v>0.12267484347216825</v>
      </c>
      <c r="J85" s="77">
        <f>+$F$59*EXP(-$F$60*EXP(-$F$91*(J83)))</f>
        <v>0.1374590260785023</v>
      </c>
      <c r="K85" s="77">
        <f t="shared" ref="K85:W85" si="24">+$F$59*EXP(-$F$60*EXP(-$F$91*(K83)))</f>
        <v>0.14851598676636976</v>
      </c>
      <c r="L85" s="77">
        <f t="shared" si="24"/>
        <v>0.15997907835704175</v>
      </c>
      <c r="M85" s="77">
        <f t="shared" si="24"/>
        <v>0.17182814032611327</v>
      </c>
      <c r="N85" s="77">
        <f t="shared" si="24"/>
        <v>0.1840414232483574</v>
      </c>
      <c r="O85" s="77">
        <f t="shared" si="24"/>
        <v>0.19659580070296073</v>
      </c>
      <c r="P85" s="77">
        <f t="shared" si="24"/>
        <v>0.20946698381994422</v>
      </c>
      <c r="Q85" s="77">
        <f t="shared" si="24"/>
        <v>0.22262973540900638</v>
      </c>
      <c r="R85" s="77">
        <f t="shared" si="24"/>
        <v>0.23605808090740804</v>
      </c>
      <c r="S85" s="77">
        <f t="shared" si="24"/>
        <v>0.24972551370069415</v>
      </c>
      <c r="T85" s="77">
        <f t="shared" si="24"/>
        <v>0.26360519269870392</v>
      </c>
      <c r="U85" s="77">
        <f t="shared" si="24"/>
        <v>0.27767013038036237</v>
      </c>
      <c r="V85" s="77">
        <f t="shared" si="24"/>
        <v>0.29189336984638453</v>
      </c>
      <c r="W85" s="77">
        <f t="shared" si="24"/>
        <v>0.30624814973278519</v>
      </c>
    </row>
    <row r="86" spans="2:23" x14ac:dyDescent="0.25">
      <c r="B86" s="57" t="s">
        <v>131</v>
      </c>
      <c r="C86" s="72">
        <f>+C55</f>
        <v>1.7178310015154141E-2</v>
      </c>
      <c r="D86" s="72">
        <f t="shared" si="23"/>
        <v>3.4102660294443678E-2</v>
      </c>
      <c r="E86" s="72">
        <f t="shared" si="23"/>
        <v>6.0304209739016984E-2</v>
      </c>
      <c r="F86" s="72">
        <f t="shared" si="23"/>
        <v>9.6858304044895246E-2</v>
      </c>
      <c r="G86" s="72">
        <f t="shared" si="23"/>
        <v>0.14361629925881728</v>
      </c>
      <c r="H86" s="72">
        <f t="shared" si="23"/>
        <v>0.19925391815878549</v>
      </c>
      <c r="I86" s="72">
        <f t="shared" si="23"/>
        <v>0.26158714006436007</v>
      </c>
      <c r="J86" s="77">
        <f>+$H$89*EXP(-$H$90*EXP(-$H$91*(J52)))</f>
        <v>0.35835546538674545</v>
      </c>
      <c r="K86" s="77">
        <f t="shared" ref="K86:W86" si="25">+$H$59*EXP(-$H$60*EXP(-$H$91*(K83)))</f>
        <v>0.43286775933796562</v>
      </c>
      <c r="L86" s="77">
        <f t="shared" si="25"/>
        <v>0.50245527671888734</v>
      </c>
      <c r="M86" s="77">
        <f t="shared" si="25"/>
        <v>0.56795390505186816</v>
      </c>
      <c r="N86" s="77">
        <f t="shared" si="25"/>
        <v>0.62813705798681974</v>
      </c>
      <c r="O86" s="77">
        <f t="shared" si="25"/>
        <v>0.68235153653064229</v>
      </c>
      <c r="P86" s="77">
        <f t="shared" si="25"/>
        <v>0.73040012262602827</v>
      </c>
      <c r="Q86" s="77">
        <f t="shared" si="25"/>
        <v>0.77241738072494792</v>
      </c>
      <c r="R86" s="77">
        <f t="shared" si="25"/>
        <v>0.80875784938251938</v>
      </c>
      <c r="S86" s="77">
        <f t="shared" si="25"/>
        <v>0.83990508778148076</v>
      </c>
      <c r="T86" s="77">
        <f t="shared" si="25"/>
        <v>0.86640315920374722</v>
      </c>
      <c r="U86" s="77">
        <f t="shared" si="25"/>
        <v>0.88880841561411605</v>
      </c>
      <c r="V86" s="77">
        <f t="shared" si="25"/>
        <v>0.90765790184211392</v>
      </c>
      <c r="W86" s="77">
        <f t="shared" si="25"/>
        <v>0.92345044208614668</v>
      </c>
    </row>
    <row r="89" spans="2:23" x14ac:dyDescent="0.25">
      <c r="E89" s="1" t="s">
        <v>155</v>
      </c>
      <c r="F89" s="1">
        <v>1</v>
      </c>
      <c r="G89" s="1" t="s">
        <v>156</v>
      </c>
      <c r="H89" s="1">
        <v>1</v>
      </c>
    </row>
    <row r="90" spans="2:23" x14ac:dyDescent="0.25">
      <c r="E90" s="1" t="s">
        <v>157</v>
      </c>
      <c r="F90" s="1">
        <f>+[3]ACB!V35</f>
        <v>2.7479265242265565</v>
      </c>
      <c r="G90" s="1" t="s">
        <v>158</v>
      </c>
      <c r="H90" s="1">
        <f>+[3]ACB!V38</f>
        <v>4.9252231389723988</v>
      </c>
    </row>
    <row r="91" spans="2:23" x14ac:dyDescent="0.25">
      <c r="E91" s="1" t="s">
        <v>159</v>
      </c>
      <c r="F91" s="1">
        <f>+[3]ACB!V36</f>
        <v>3.9767226088076146E-2</v>
      </c>
      <c r="G91" s="1" t="s">
        <v>160</v>
      </c>
      <c r="H91" s="1">
        <f>+[3]ACB!V39</f>
        <v>0.19605972740803609</v>
      </c>
    </row>
  </sheetData>
  <pageMargins left="0.7" right="0.7" top="0.75" bottom="0.75" header="0.3" footer="0.3"/>
  <pageSetup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6EEB17-FA79-4B3E-BE9B-BF5929732450}">
  <dimension ref="A3:K25"/>
  <sheetViews>
    <sheetView workbookViewId="0">
      <selection activeCell="B20" sqref="B20"/>
    </sheetView>
  </sheetViews>
  <sheetFormatPr defaultRowHeight="15" x14ac:dyDescent="0.25"/>
  <cols>
    <col min="1" max="1" width="31.5703125" customWidth="1"/>
    <col min="2" max="2" width="17.28515625" customWidth="1"/>
    <col min="3" max="11" width="12.7109375" customWidth="1"/>
  </cols>
  <sheetData>
    <row r="3" spans="1:11" x14ac:dyDescent="0.25">
      <c r="B3" s="94" t="s">
        <v>88</v>
      </c>
      <c r="C3" s="1">
        <v>1</v>
      </c>
      <c r="D3" s="1">
        <v>2</v>
      </c>
      <c r="E3" s="1">
        <v>3</v>
      </c>
      <c r="F3" s="1">
        <v>4</v>
      </c>
      <c r="G3" s="1">
        <v>5</v>
      </c>
      <c r="H3" s="88"/>
      <c r="I3" s="88"/>
      <c r="J3" s="47"/>
      <c r="K3" s="47"/>
    </row>
    <row r="4" spans="1:11" ht="28.9" customHeight="1" x14ac:dyDescent="0.25">
      <c r="B4" s="94"/>
      <c r="C4" s="41">
        <v>2020</v>
      </c>
      <c r="D4" s="41">
        <f>C4+1</f>
        <v>2021</v>
      </c>
      <c r="E4" s="41">
        <f t="shared" ref="E4:G4" si="0">D4+1</f>
        <v>2022</v>
      </c>
      <c r="F4" s="41">
        <f t="shared" si="0"/>
        <v>2023</v>
      </c>
      <c r="G4" s="41">
        <f t="shared" si="0"/>
        <v>2024</v>
      </c>
      <c r="H4" s="89"/>
      <c r="I4" s="89"/>
      <c r="J4" s="17"/>
      <c r="K4" s="17"/>
    </row>
    <row r="5" spans="1:11" x14ac:dyDescent="0.25">
      <c r="A5" t="s">
        <v>78</v>
      </c>
      <c r="B5" s="38">
        <f>NPV(0.12,C5:I5)</f>
        <v>8658070.531605022</v>
      </c>
      <c r="C5" s="10">
        <f>Supuestos!F37</f>
        <v>0</v>
      </c>
      <c r="D5" s="10">
        <f>Supuestos!G37</f>
        <v>1524627.770074263</v>
      </c>
      <c r="E5" s="10">
        <f>Supuestos!H37</f>
        <v>3101092.8843310471</v>
      </c>
      <c r="F5" s="10">
        <f>Supuestos!I37</f>
        <v>3942264.3292058455</v>
      </c>
      <c r="G5" s="10">
        <f>Supuestos!J37</f>
        <v>4811139.3873628136</v>
      </c>
      <c r="H5" s="48"/>
      <c r="I5" s="48"/>
      <c r="J5" s="48"/>
      <c r="K5" s="48"/>
    </row>
    <row r="6" spans="1:11" x14ac:dyDescent="0.25">
      <c r="A6" t="s">
        <v>79</v>
      </c>
      <c r="B6" s="38">
        <f>NPV(0.12,C6:I6)</f>
        <v>6920207.0221839612</v>
      </c>
      <c r="C6" s="10" t="s">
        <v>166</v>
      </c>
      <c r="D6" s="10">
        <f>Supuestos!G62</f>
        <v>1090256.1491563465</v>
      </c>
      <c r="E6" s="10">
        <f>Supuestos!H62</f>
        <v>1875361.7834582163</v>
      </c>
      <c r="F6" s="10">
        <f>Supuestos!I62</f>
        <v>2796497.6896540131</v>
      </c>
      <c r="G6" s="10">
        <f>Supuestos!J62</f>
        <v>3872817.0999100055</v>
      </c>
      <c r="H6" s="48"/>
      <c r="I6" s="48"/>
      <c r="J6" s="48"/>
      <c r="K6" s="48"/>
    </row>
    <row r="7" spans="1:11" x14ac:dyDescent="0.25">
      <c r="A7" t="s">
        <v>80</v>
      </c>
      <c r="B7" s="38">
        <f>NPV(0.12,C7:I7)</f>
        <v>21076260.377479624</v>
      </c>
      <c r="C7" s="10" t="s">
        <v>166</v>
      </c>
      <c r="D7" s="10">
        <f>Supuestos!G76</f>
        <v>2531440.1622718056</v>
      </c>
      <c r="E7" s="10">
        <f>Supuestos!H76</f>
        <v>6036511.1561866123</v>
      </c>
      <c r="F7" s="10">
        <f>Supuestos!I76</f>
        <v>8373225.1521298159</v>
      </c>
      <c r="G7" s="10">
        <f>Supuestos!J76</f>
        <v>12657200.811359024</v>
      </c>
      <c r="H7" s="48"/>
      <c r="I7" s="48"/>
      <c r="J7" s="48"/>
      <c r="K7" s="48"/>
    </row>
    <row r="8" spans="1:11" x14ac:dyDescent="0.25">
      <c r="A8" t="s">
        <v>103</v>
      </c>
      <c r="B8" s="38">
        <f>Supuestos!E103</f>
        <v>4498078.8630073192</v>
      </c>
      <c r="C8" s="10">
        <f>Supuestos!F102</f>
        <v>0</v>
      </c>
      <c r="D8" s="10">
        <f>Supuestos!G102</f>
        <v>1001592.1297055013</v>
      </c>
      <c r="E8" s="10">
        <f>Supuestos!H102</f>
        <v>1149822.6040380001</v>
      </c>
      <c r="F8" s="10">
        <f>Supuestos!I102</f>
        <v>1289043.7668515823</v>
      </c>
      <c r="G8" s="10">
        <f>Supuestos!J102</f>
        <v>1416816.6648825656</v>
      </c>
      <c r="H8" s="48"/>
      <c r="I8" s="48"/>
      <c r="J8" s="48"/>
      <c r="K8" s="48"/>
    </row>
    <row r="9" spans="1:11" x14ac:dyDescent="0.25">
      <c r="A9" t="s">
        <v>82</v>
      </c>
      <c r="C9" s="10">
        <f>SUM(C5:C8)</f>
        <v>0</v>
      </c>
      <c r="D9" s="10">
        <f t="shared" ref="D9:G9" si="1">SUM(D5:D8)</f>
        <v>6147916.211207917</v>
      </c>
      <c r="E9" s="10">
        <f t="shared" si="1"/>
        <v>12162788.428013876</v>
      </c>
      <c r="F9" s="10">
        <f t="shared" si="1"/>
        <v>16401030.937841255</v>
      </c>
      <c r="G9" s="10">
        <f t="shared" si="1"/>
        <v>22757973.96351441</v>
      </c>
      <c r="H9" s="48"/>
      <c r="I9" s="48"/>
      <c r="J9" s="48"/>
      <c r="K9" s="48"/>
    </row>
    <row r="10" spans="1:11" x14ac:dyDescent="0.25">
      <c r="A10" s="2" t="s">
        <v>81</v>
      </c>
      <c r="B10" s="20">
        <f>NPV(0.12,C9:G9)</f>
        <v>36894950.998783201</v>
      </c>
      <c r="C10" s="12">
        <f t="shared" ref="C10:G10" si="2">C9/(1+0.12)^C3</f>
        <v>0</v>
      </c>
      <c r="D10" s="12">
        <f t="shared" si="2"/>
        <v>4901081.1632716171</v>
      </c>
      <c r="E10" s="12">
        <f t="shared" si="2"/>
        <v>8657232.561393803</v>
      </c>
      <c r="F10" s="12">
        <f t="shared" si="2"/>
        <v>10423151.665475061</v>
      </c>
      <c r="G10" s="12">
        <f t="shared" si="2"/>
        <v>12913485.608642729</v>
      </c>
      <c r="H10" s="49"/>
      <c r="I10" s="49"/>
      <c r="J10" s="49"/>
      <c r="K10" s="49"/>
    </row>
    <row r="11" spans="1:11" x14ac:dyDescent="0.25">
      <c r="C11" s="12">
        <f>SUM(C10:K10)</f>
        <v>36894950.998783208</v>
      </c>
      <c r="H11" s="17"/>
      <c r="I11" s="17"/>
      <c r="J11" s="17"/>
      <c r="K11" s="17"/>
    </row>
    <row r="12" spans="1:11" x14ac:dyDescent="0.25">
      <c r="H12" s="17"/>
      <c r="I12" s="17"/>
      <c r="J12" s="17"/>
      <c r="K12" s="17"/>
    </row>
    <row r="13" spans="1:11" x14ac:dyDescent="0.25">
      <c r="H13" s="17"/>
      <c r="I13" s="17"/>
      <c r="J13" s="17"/>
      <c r="K13" s="17"/>
    </row>
    <row r="14" spans="1:11" x14ac:dyDescent="0.25">
      <c r="A14" t="s">
        <v>85</v>
      </c>
      <c r="C14" s="10">
        <v>2700000</v>
      </c>
      <c r="D14" s="10">
        <v>15400000</v>
      </c>
      <c r="E14" s="10">
        <v>14200000</v>
      </c>
      <c r="F14" s="10">
        <v>12400000</v>
      </c>
      <c r="G14" s="10">
        <v>8000000</v>
      </c>
      <c r="H14" s="48"/>
      <c r="I14" s="48"/>
      <c r="J14" s="48"/>
      <c r="K14" s="48"/>
    </row>
    <row r="15" spans="1:11" x14ac:dyDescent="0.25">
      <c r="A15" t="s">
        <v>167</v>
      </c>
      <c r="C15" s="10">
        <v>222000</v>
      </c>
      <c r="D15" s="10">
        <v>1247000</v>
      </c>
      <c r="E15" s="10">
        <v>3071483</v>
      </c>
      <c r="F15" s="10">
        <v>6958284</v>
      </c>
      <c r="G15" s="10">
        <v>4701233</v>
      </c>
      <c r="H15" s="48"/>
      <c r="I15" s="48"/>
      <c r="J15" s="48"/>
      <c r="K15" s="48"/>
    </row>
    <row r="16" spans="1:11" x14ac:dyDescent="0.25">
      <c r="A16" t="s">
        <v>168</v>
      </c>
      <c r="C16" s="10">
        <f>C14-C15</f>
        <v>2478000</v>
      </c>
      <c r="D16" s="10">
        <f t="shared" ref="D16:G16" si="3">D14-D15</f>
        <v>14153000</v>
      </c>
      <c r="E16" s="10">
        <f t="shared" si="3"/>
        <v>11128517</v>
      </c>
      <c r="F16" s="10">
        <f t="shared" si="3"/>
        <v>5441716</v>
      </c>
      <c r="G16" s="10">
        <f t="shared" si="3"/>
        <v>3298767</v>
      </c>
      <c r="H16" s="48"/>
      <c r="I16" s="48"/>
      <c r="J16" s="48"/>
      <c r="K16" s="48"/>
    </row>
    <row r="17" spans="1:11" x14ac:dyDescent="0.25">
      <c r="A17" t="s">
        <v>81</v>
      </c>
      <c r="B17" s="20">
        <f>NPV(0.12,C16:G16)</f>
        <v>26746361.419138446</v>
      </c>
      <c r="C17" s="10"/>
      <c r="D17" s="10"/>
      <c r="E17" s="10"/>
      <c r="F17" s="10"/>
      <c r="G17" s="10">
        <f>SUM(C16:G16)</f>
        <v>36500000</v>
      </c>
      <c r="H17" s="48"/>
      <c r="I17" s="48"/>
      <c r="J17" s="17"/>
      <c r="K17" s="17"/>
    </row>
    <row r="18" spans="1:11" x14ac:dyDescent="0.25">
      <c r="C18" s="32"/>
      <c r="D18" s="33"/>
      <c r="E18" s="33"/>
      <c r="F18" s="33"/>
      <c r="G18" s="12"/>
      <c r="H18" s="17"/>
      <c r="I18" s="48"/>
      <c r="J18" s="48"/>
      <c r="K18" s="48"/>
    </row>
    <row r="19" spans="1:11" x14ac:dyDescent="0.25">
      <c r="A19" t="s">
        <v>83</v>
      </c>
      <c r="C19" s="12">
        <f>C9-C16</f>
        <v>-2478000</v>
      </c>
      <c r="D19" s="12">
        <f t="shared" ref="D19:G19" si="4">D9-D16</f>
        <v>-8005083.788792083</v>
      </c>
      <c r="E19" s="12">
        <f t="shared" si="4"/>
        <v>1034271.4280138761</v>
      </c>
      <c r="F19" s="12">
        <f t="shared" si="4"/>
        <v>10959314.937841255</v>
      </c>
      <c r="G19" s="12">
        <f t="shared" si="4"/>
        <v>19459206.96351441</v>
      </c>
      <c r="H19" s="49"/>
      <c r="I19" s="49"/>
      <c r="J19" s="49"/>
      <c r="K19" s="49"/>
    </row>
    <row r="20" spans="1:11" x14ac:dyDescent="0.25">
      <c r="A20" s="2" t="s">
        <v>86</v>
      </c>
      <c r="B20" s="20">
        <f>NPV(0.12,C19:G19)</f>
        <v>10148589.579644758</v>
      </c>
      <c r="C20" s="12"/>
      <c r="D20" s="12"/>
      <c r="E20" s="12"/>
      <c r="F20" s="12"/>
      <c r="G20" s="12"/>
      <c r="H20" s="12"/>
      <c r="I20" s="12"/>
      <c r="J20" s="12"/>
      <c r="K20" s="12"/>
    </row>
    <row r="21" spans="1:11" x14ac:dyDescent="0.25">
      <c r="B21" s="39">
        <f>B10-B17</f>
        <v>10148589.579644755</v>
      </c>
      <c r="C21" s="12"/>
      <c r="D21" s="12"/>
      <c r="E21" s="12"/>
      <c r="F21" s="12"/>
      <c r="G21" s="12"/>
      <c r="H21" s="12"/>
      <c r="I21" s="12"/>
      <c r="J21" s="12"/>
      <c r="K21" s="12"/>
    </row>
    <row r="22" spans="1:11" x14ac:dyDescent="0.25">
      <c r="A22" s="2" t="s">
        <v>84</v>
      </c>
      <c r="B22" s="42">
        <f>IRR(C19:G19)</f>
        <v>0.48147664289154357</v>
      </c>
    </row>
    <row r="23" spans="1:11" x14ac:dyDescent="0.25">
      <c r="A23" s="2" t="s">
        <v>87</v>
      </c>
      <c r="B23" s="40">
        <f>B10/B17</f>
        <v>1.3794381381679415</v>
      </c>
    </row>
    <row r="25" spans="1:11" x14ac:dyDescent="0.25">
      <c r="B25" s="12"/>
      <c r="C25" s="12"/>
    </row>
  </sheetData>
  <mergeCells count="1">
    <mergeCell ref="B3:B4"/>
  </mergeCells>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item1.xml><?xml version="1.0" encoding="utf-8"?>
<?mso-contentType ?>
<SharedContentType xmlns="Microsoft.SharePoint.Taxonomy.ContentTypeSync" SourceId="ae61f9b1-e23d-4f49-b3d7-56b991556c4b" ContentTypeId="0x0101001A458A224826124E8B45B1D613300CFC" PreviousValue="false"/>
</file>

<file path=customXml/item2.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p:properties xmlns:p="http://schemas.microsoft.com/office/2006/metadata/properties" xmlns:xsi="http://www.w3.org/2001/XMLSchema-instance" xmlns:pc="http://schemas.microsoft.com/office/infopath/2007/PartnerControls">
  <documentManagement>
    <Access_x0020_to_x0020_Information_x00a0_Policy xmlns="cdc7663a-08f0-4737-9e8c-148ce897a09c">Public - Simultaneous Disclosure</Access_x0020_to_x0020_Information_x00a0_Policy>
    <SISCOR_x0020_Number xmlns="cdc7663a-08f0-4737-9e8c-148ce897a09c" xsi:nil="true"/>
    <b26cdb1da78c4bb4b1c1bac2f6ac5911 xmlns="cdc7663a-08f0-4737-9e8c-148ce897a09c">
      <Terms xmlns="http://schemas.microsoft.com/office/infopath/2007/PartnerControls"/>
    </b26cdb1da78c4bb4b1c1bac2f6ac5911>
    <ic46d7e087fd4a108fb86518ca413cc6 xmlns="cdc7663a-08f0-4737-9e8c-148ce897a09c">
      <Terms xmlns="http://schemas.microsoft.com/office/infopath/2007/PartnerControls">
        <TermInfo xmlns="http://schemas.microsoft.com/office/infopath/2007/PartnerControls">
          <TermName xmlns="http://schemas.microsoft.com/office/infopath/2007/PartnerControls">HO</TermName>
          <TermId xmlns="http://schemas.microsoft.com/office/infopath/2007/PartnerControls">0dd9f989-602d-4742-8212-5c1b8b0b74d5</TermId>
        </TermInfo>
      </Terms>
    </ic46d7e087fd4a108fb86518ca413cc6>
    <IDBDocs_x0020_Number xmlns="cdc7663a-08f0-4737-9e8c-148ce897a09c" xsi:nil="true"/>
    <Division_x0020_or_x0020_Unit xmlns="cdc7663a-08f0-4737-9e8c-148ce897a09c">IFD/ICS</Division_x0020_or_x0020_Unit>
    <Fiscal_x0020_Year_x0020_IDB xmlns="cdc7663a-08f0-4737-9e8c-148ce897a09c" xsi:nil="true"/>
    <e46fe2894295491da65140ffd2369f49 xmlns="cdc7663a-08f0-4737-9e8c-148ce897a09c">
      <Terms xmlns="http://schemas.microsoft.com/office/infopath/2007/PartnerControls">
        <TermInfo xmlns="http://schemas.microsoft.com/office/infopath/2007/PartnerControls">
          <TermName xmlns="http://schemas.microsoft.com/office/infopath/2007/PartnerControls">Project Preparation, Planning and Design</TermName>
          <TermId xmlns="http://schemas.microsoft.com/office/infopath/2007/PartnerControls">29ca0c72-1fc4-435f-a09c-28585cb5eac9</TermId>
        </TermInfo>
      </Terms>
    </e46fe2894295491da65140ffd2369f49>
    <Other_x0020_Author xmlns="cdc7663a-08f0-4737-9e8c-148ce897a09c" xsi:nil="true"/>
    <Migration_x0020_Info xmlns="cdc7663a-08f0-4737-9e8c-148ce897a09c" xsi:nil="true"/>
    <Approval_x0020_Number xmlns="cdc7663a-08f0-4737-9e8c-148ce897a09c" xsi:nil="true"/>
    <Phase xmlns="cdc7663a-08f0-4737-9e8c-148ce897a09c" xsi:nil="true"/>
    <Document_x0020_Author xmlns="cdc7663a-08f0-4737-9e8c-148ce897a09c">Hoffman, Nathalie Alexandra</Document_x0020_Author>
    <b2ec7cfb18674cb8803df6b262e8b107 xmlns="cdc7663a-08f0-4737-9e8c-148ce897a09c">
      <Terms xmlns="http://schemas.microsoft.com/office/infopath/2007/PartnerControls">
        <TermInfo xmlns="http://schemas.microsoft.com/office/infopath/2007/PartnerControls">
          <TermName xmlns="http://schemas.microsoft.com/office/infopath/2007/PartnerControls">RM-PUB</TermName>
          <TermId xmlns="http://schemas.microsoft.com/office/infopath/2007/PartnerControls">6679f56e-8b55-402b-90a0-8fe4c41c00ba</TermId>
        </TermInfo>
      </Terms>
    </b2ec7cfb18674cb8803df6b262e8b107>
    <Business_x0020_Area xmlns="cdc7663a-08f0-4737-9e8c-148ce897a09c" xsi:nil="true"/>
    <Key_x0020_Document xmlns="cdc7663a-08f0-4737-9e8c-148ce897a09c">false</Key_x0020_Document>
    <Document_x0020_Language_x0020_IDB xmlns="cdc7663a-08f0-4737-9e8c-148ce897a09c">English</Document_x0020_Language_x0020_IDB>
    <Project_x0020_Document_x0020_Type xmlns="cdc7663a-08f0-4737-9e8c-148ce897a09c" xsi:nil="true"/>
    <g511464f9e53401d84b16fa9b379a574 xmlns="cdc7663a-08f0-4737-9e8c-148ce897a09c">
      <Terms xmlns="http://schemas.microsoft.com/office/infopath/2007/PartnerControls"/>
    </g511464f9e53401d84b16fa9b379a574>
    <Related_x0020_SisCor_x0020_Number xmlns="cdc7663a-08f0-4737-9e8c-148ce897a09c" xsi:nil="true"/>
    <TaxCatchAll xmlns="cdc7663a-08f0-4737-9e8c-148ce897a09c">
      <Value>300</Value>
      <Value>26</Value>
      <Value>323</Value>
      <Value>1</Value>
      <Value>98</Value>
    </TaxCatchAll>
    <Operation_x0020_Type xmlns="cdc7663a-08f0-4737-9e8c-148ce897a09c">LON</Operation_x0020_Type>
    <Package_x0020_Code xmlns="cdc7663a-08f0-4737-9e8c-148ce897a09c" xsi:nil="true"/>
    <Identifier xmlns="cdc7663a-08f0-4737-9e8c-148ce897a09c" xsi:nil="true"/>
    <Project_x0020_Number xmlns="cdc7663a-08f0-4737-9e8c-148ce897a09c">HO-L1202</Project_x0020_Number>
    <nddeef1749674d76abdbe4b239a70bc6 xmlns="cdc7663a-08f0-4737-9e8c-148ce897a09c">
      <Terms xmlns="http://schemas.microsoft.com/office/infopath/2007/PartnerControls">
        <TermInfo xmlns="http://schemas.microsoft.com/office/infopath/2007/PartnerControls">
          <TermName xmlns="http://schemas.microsoft.com/office/infopath/2007/PartnerControls">RM</TermName>
          <TermId xmlns="http://schemas.microsoft.com/office/infopath/2007/PartnerControls">c8fda4a7-691a-4c65-b227-9825197b5cd2</TermId>
        </TermInfo>
      </Terms>
    </nddeef1749674d76abdbe4b239a70bc6>
    <Record_x0020_Number xmlns="cdc7663a-08f0-4737-9e8c-148ce897a09c" xsi:nil="true"/>
    <_dlc_DocId xmlns="cdc7663a-08f0-4737-9e8c-148ce897a09c">EZSHARE-1408832334-69</_dlc_DocId>
    <_dlc_DocIdUrl xmlns="cdc7663a-08f0-4737-9e8c-148ce897a09c">
      <Url>https://idbg.sharepoint.com/teams/EZ-HO-LON/HO-L1202/_layouts/15/DocIdRedir.aspx?ID=EZSHARE-1408832334-69</Url>
      <Description>EZSHARE-1408832334-69</Description>
    </_dlc_DocIdUrl>
    <Disclosure_x0020_Activity xmlns="cdc7663a-08f0-4737-9e8c-148ce897a09c">Loan Proposal</Disclosure_x0020_Activity>
    <Issue_x0020_Date xmlns="cdc7663a-08f0-4737-9e8c-148ce897a09c" xsi:nil="true"/>
    <KP_x0020_Topics xmlns="cdc7663a-08f0-4737-9e8c-148ce897a09c" xsi:nil="true"/>
    <Disclosed xmlns="cdc7663a-08f0-4737-9e8c-148ce897a09c">false</Disclosed>
    <Publication_x0020_Type xmlns="cdc7663a-08f0-4737-9e8c-148ce897a09c" xsi:nil="true"/>
    <Editor1 xmlns="cdc7663a-08f0-4737-9e8c-148ce897a09c" xsi:nil="true"/>
    <Region xmlns="cdc7663a-08f0-4737-9e8c-148ce897a09c" xsi:nil="true"/>
    <Webtopic xmlns="cdc7663a-08f0-4737-9e8c-148ce897a09c" xsi:nil="true"/>
    <Abstract xmlns="cdc7663a-08f0-4737-9e8c-148ce897a09c" xsi:nil="true"/>
    <Publishing_x0020_House xmlns="cdc7663a-08f0-4737-9e8c-148ce897a09c" xsi:nil="true"/>
  </documentManagement>
</p:properties>
</file>

<file path=customXml/item5.xml><?xml version="1.0" encoding="utf-8"?>
<?mso-contentType ?>
<FormUrls xmlns="http://schemas.microsoft.com/sharepoint/v3/contenttype/forms/url">
  <Display>_catalogs/masterpage/ECMForms/DisclosureOperationsCT/View.aspx</Display>
  <Edit>_catalogs/masterpage/ECMForms/DisclosureOperationsCT/Edit.aspx</Edit>
</FormUrls>
</file>

<file path=customXml/item6.xml><?xml version="1.0" encoding="utf-8"?>
<ct:contentTypeSchema xmlns:ct="http://schemas.microsoft.com/office/2006/metadata/contentType" xmlns:ma="http://schemas.microsoft.com/office/2006/metadata/properties/metaAttributes" ct:_="" ma:_="" ma:contentTypeName="ez-Disclosure Operations" ma:contentTypeID="0x0101001A458A224826124E8B45B1D613300CFC002C6A72E500BEBC4E8628D0F35D0B981F" ma:contentTypeVersion="4318" ma:contentTypeDescription="A content type to manage public (operations) IDB documents" ma:contentTypeScope="" ma:versionID="2eea9d461668e0425054306d8676ea97">
  <xsd:schema xmlns:xsd="http://www.w3.org/2001/XMLSchema" xmlns:xs="http://www.w3.org/2001/XMLSchema" xmlns:p="http://schemas.microsoft.com/office/2006/metadata/properties" xmlns:ns2="cdc7663a-08f0-4737-9e8c-148ce897a09c" targetNamespace="http://schemas.microsoft.com/office/2006/metadata/properties" ma:root="true" ma:fieldsID="be458e9a7a74465ee295cf52fbf364f6" ns2:_="">
    <xsd:import namespace="cdc7663a-08f0-4737-9e8c-148ce897a09c"/>
    <xsd:element name="properties">
      <xsd:complexType>
        <xsd:sequence>
          <xsd:element name="documentManagement">
            <xsd:complexType>
              <xsd:all>
                <xsd:element ref="ns2:_dlc_DocId" minOccurs="0"/>
                <xsd:element ref="ns2:_dlc_DocIdUrl" minOccurs="0"/>
                <xsd:element ref="ns2:_dlc_DocIdPersistId" minOccurs="0"/>
                <xsd:element ref="ns2:e46fe2894295491da65140ffd2369f49" minOccurs="0"/>
                <xsd:element ref="ns2:TaxCatchAll" minOccurs="0"/>
                <xsd:element ref="ns2:TaxCatchAllLabel" minOccurs="0"/>
                <xsd:element ref="ns2:Access_x0020_to_x0020_Information_x00a0_Policy"/>
                <xsd:element ref="ns2:b26cdb1da78c4bb4b1c1bac2f6ac5911" minOccurs="0"/>
                <xsd:element ref="ns2:Project_x0020_Number"/>
                <xsd:element ref="ns2:Webtopic" minOccurs="0"/>
                <xsd:element ref="ns2:Approval_x0020_Number" minOccurs="0"/>
                <xsd:element ref="ns2:Disclosure_x0020_Activity"/>
                <xsd:element ref="ns2:Document_x0020_Author" minOccurs="0"/>
                <xsd:element ref="ns2:Other_x0020_Author" minOccurs="0"/>
                <xsd:element ref="ns2:g511464f9e53401d84b16fa9b379a574" minOccurs="0"/>
                <xsd:element ref="ns2:nddeef1749674d76abdbe4b239a70bc6" minOccurs="0"/>
                <xsd:element ref="ns2:b2ec7cfb18674cb8803df6b262e8b107" minOccurs="0"/>
                <xsd:element ref="ns2:Document_x0020_Language_x0020_IDB"/>
                <xsd:element ref="ns2:Division_x0020_or_x0020_Unit"/>
                <xsd:element ref="ns2:Identifier" minOccurs="0"/>
                <xsd:element ref="ns2:Fiscal_x0020_Year_x0020_IDB" minOccurs="0"/>
                <xsd:element ref="ns2:ic46d7e087fd4a108fb86518ca413cc6" minOccurs="0"/>
                <xsd:element ref="ns2:Operation_x0020_Type" minOccurs="0"/>
                <xsd:element ref="ns2:Package_x0020_Code" minOccurs="0"/>
                <xsd:element ref="ns2:Phase" minOccurs="0"/>
                <xsd:element ref="ns2:Business_x0020_Area" minOccurs="0"/>
                <xsd:element ref="ns2:Key_x0020_Document" minOccurs="0"/>
                <xsd:element ref="ns2:Project_x0020_Document_x0020_Type" minOccurs="0"/>
                <xsd:element ref="ns2:Abstract" minOccurs="0"/>
                <xsd:element ref="ns2:Migration_x0020_Info" minOccurs="0"/>
                <xsd:element ref="ns2:SISCOR_x0020_Number" minOccurs="0"/>
                <xsd:element ref="ns2:IDBDocs_x0020_Number" minOccurs="0"/>
                <xsd:element ref="ns2:Editor1" minOccurs="0"/>
                <xsd:element ref="ns2:Issue_x0020_Date" minOccurs="0"/>
                <xsd:element ref="ns2:Publishing_x0020_House" minOccurs="0"/>
                <xsd:element ref="ns2:KP_x0020_Topics" minOccurs="0"/>
                <xsd:element ref="ns2:Region" minOccurs="0"/>
                <xsd:element ref="ns2:Publication_x0020_Type" minOccurs="0"/>
                <xsd:element ref="ns2:Disclosed" minOccurs="0"/>
                <xsd:element ref="ns2:Record_x0020_Number" minOccurs="0"/>
                <xsd:element ref="ns2:Related_x0020_SisCor_x0020_Numbe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dc7663a-08f0-4737-9e8c-148ce897a09c"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e46fe2894295491da65140ffd2369f49" ma:index="11" ma:taxonomy="true" ma:internalName="e46fe2894295491da65140ffd2369f49" ma:taxonomyFieldName="Function_x0020_Operations_x0020_IDB" ma:displayName="Function Operations IDB" ma:readOnly="false" ma:default="" ma:fieldId="{e46fe289-4295-491d-a651-40ffd2369f49}" ma:sspId="ae61f9b1-e23d-4f49-b3d7-56b991556c4b" ma:termSetId="90662247-c2d7-4c02-8f80-a99fdf3aec79" ma:anchorId="00000000-0000-0000-0000-000000000000" ma:open="false" ma:isKeyword="false">
      <xsd:complexType>
        <xsd:sequence>
          <xsd:element ref="pc:Terms" minOccurs="0" maxOccurs="1"/>
        </xsd:sequence>
      </xsd:complexType>
    </xsd:element>
    <xsd:element name="TaxCatchAll" ma:index="12" nillable="true" ma:displayName="Taxonomy Catch All Column" ma:hidden="true" ma:list="{a21e8572-655e-4c0d-bfdb-c52ee7bb5839}" ma:internalName="TaxCatchAll" ma:showField="CatchAllData" ma:web="0ae48fe9-e043-4151-95b7-4d4bdf090fb3">
      <xsd:complexType>
        <xsd:complexContent>
          <xsd:extension base="dms:MultiChoiceLookup">
            <xsd:sequence>
              <xsd:element name="Value" type="dms:Lookup" maxOccurs="unbounded" minOccurs="0" nillable="true"/>
            </xsd:sequence>
          </xsd:extension>
        </xsd:complexContent>
      </xsd:complexType>
    </xsd:element>
    <xsd:element name="TaxCatchAllLabel" ma:index="13" nillable="true" ma:displayName="Taxonomy Catch All Column1" ma:hidden="true" ma:list="{a21e8572-655e-4c0d-bfdb-c52ee7bb5839}" ma:internalName="TaxCatchAllLabel" ma:readOnly="true" ma:showField="CatchAllDataLabel" ma:web="0ae48fe9-e043-4151-95b7-4d4bdf090fb3">
      <xsd:complexType>
        <xsd:complexContent>
          <xsd:extension base="dms:MultiChoiceLookup">
            <xsd:sequence>
              <xsd:element name="Value" type="dms:Lookup" maxOccurs="unbounded" minOccurs="0" nillable="true"/>
            </xsd:sequence>
          </xsd:extension>
        </xsd:complexContent>
      </xsd:complexType>
    </xsd:element>
    <xsd:element name="Access_x0020_to_x0020_Information_x00a0_Policy" ma:index="15" ma:displayName="Access to Information Policy" ma:default="Confidential" ma:format="Dropdown" ma:internalName="Access_x0020_to_x0020_Information_x00A0_Policy">
      <xsd:simpleType>
        <xsd:restriction base="dms:Choice">
          <xsd:enumeration value="Confidential"/>
          <xsd:enumeration value="Disclosed Over Time - 5 years"/>
          <xsd:enumeration value="Disclosed Over Time - 10 years"/>
          <xsd:enumeration value="Disclosed Over Time - 20 years"/>
          <xsd:enumeration value="Public"/>
          <xsd:enumeration value="Public - Simultaneous Disclosure"/>
        </xsd:restriction>
      </xsd:simpleType>
    </xsd:element>
    <xsd:element name="b26cdb1da78c4bb4b1c1bac2f6ac5911" ma:index="16" nillable="true" ma:taxonomy="true" ma:internalName="b26cdb1da78c4bb4b1c1bac2f6ac5911" ma:taxonomyFieldName="Series_x0020_Operations_x0020_IDB" ma:displayName="Series Operations IDB" ma:default="" ma:fieldId="{b26cdb1d-a78c-4bb4-b1c1-bac2f6ac5911}" ma:sspId="ae61f9b1-e23d-4f49-b3d7-56b991556c4b" ma:termSetId="aa8fb583-e935-416d-8a2e-4b97a8eb0684" ma:anchorId="00000000-0000-0000-0000-000000000000" ma:open="false" ma:isKeyword="false">
      <xsd:complexType>
        <xsd:sequence>
          <xsd:element ref="pc:Terms" minOccurs="0" maxOccurs="1"/>
        </xsd:sequence>
      </xsd:complexType>
    </xsd:element>
    <xsd:element name="Project_x0020_Number" ma:index="18" ma:displayName="Project Number" ma:internalName="Project_x0020_Number" ma:readOnly="false">
      <xsd:simpleType>
        <xsd:restriction base="dms:Text">
          <xsd:maxLength value="255"/>
        </xsd:restriction>
      </xsd:simpleType>
    </xsd:element>
    <xsd:element name="Webtopic" ma:index="19" nillable="true" ma:displayName="Webtopic" ma:internalName="Webtopic">
      <xsd:simpleType>
        <xsd:restriction base="dms:Text">
          <xsd:maxLength value="255"/>
        </xsd:restriction>
      </xsd:simpleType>
    </xsd:element>
    <xsd:element name="Approval_x0020_Number" ma:index="20" nillable="true" ma:displayName="Approval Number" ma:internalName="Approval_x0020_Number">
      <xsd:simpleType>
        <xsd:restriction base="dms:Text">
          <xsd:maxLength value="255"/>
        </xsd:restriction>
      </xsd:simpleType>
    </xsd:element>
    <xsd:element name="Disclosure_x0020_Activity" ma:index="21" ma:displayName="Disclosure Activity" ma:internalName="Disclosure_x0020_Activity" ma:readOnly="false">
      <xsd:simpleType>
        <xsd:restriction base="dms:Text">
          <xsd:maxLength value="255"/>
        </xsd:restriction>
      </xsd:simpleType>
    </xsd:element>
    <xsd:element name="Document_x0020_Author" ma:index="22" nillable="true" ma:displayName="Document Author" ma:internalName="Document_x0020_Author">
      <xsd:simpleType>
        <xsd:restriction base="dms:Text">
          <xsd:maxLength value="255"/>
        </xsd:restriction>
      </xsd:simpleType>
    </xsd:element>
    <xsd:element name="Other_x0020_Author" ma:index="23" nillable="true" ma:displayName="Other Author" ma:internalName="Other_x0020_Author">
      <xsd:simpleType>
        <xsd:restriction base="dms:Text">
          <xsd:maxLength value="255"/>
        </xsd:restriction>
      </xsd:simpleType>
    </xsd:element>
    <xsd:element name="g511464f9e53401d84b16fa9b379a574" ma:index="24" nillable="true" ma:taxonomy="true" ma:internalName="g511464f9e53401d84b16fa9b379a574" ma:taxonomyFieldName="Fund_x0020_IDB" ma:displayName="Fund IDB" ma:default="" ma:fieldId="{0511464f-9e53-401d-84b1-6fa9b379a574}" ma:taxonomyMulti="true" ma:sspId="ae61f9b1-e23d-4f49-b3d7-56b991556c4b" ma:termSetId="69abb71a-f64f-4893-ac0e-66eb1be268a8" ma:anchorId="00000000-0000-0000-0000-000000000000" ma:open="false" ma:isKeyword="false">
      <xsd:complexType>
        <xsd:sequence>
          <xsd:element ref="pc:Terms" minOccurs="0" maxOccurs="1"/>
        </xsd:sequence>
      </xsd:complexType>
    </xsd:element>
    <xsd:element name="nddeef1749674d76abdbe4b239a70bc6" ma:index="26" nillable="true" ma:taxonomy="true" ma:internalName="nddeef1749674d76abdbe4b239a70bc6" ma:taxonomyFieldName="Sector_x0020_IDB" ma:displayName="Sector IDB" ma:default="" ma:fieldId="{7ddeef17-4967-4d76-abdb-e4b239a70bc6}" ma:taxonomyMulti="true" ma:sspId="ae61f9b1-e23d-4f49-b3d7-56b991556c4b" ma:termSetId="12408410-0417-4253-a5ed-d52c55de15dc" ma:anchorId="00000000-0000-0000-0000-000000000000" ma:open="true" ma:isKeyword="false">
      <xsd:complexType>
        <xsd:sequence>
          <xsd:element ref="pc:Terms" minOccurs="0" maxOccurs="1"/>
        </xsd:sequence>
      </xsd:complexType>
    </xsd:element>
    <xsd:element name="b2ec7cfb18674cb8803df6b262e8b107" ma:index="28" nillable="true" ma:taxonomy="true" ma:internalName="b2ec7cfb18674cb8803df6b262e8b107" ma:taxonomyFieldName="Sub_x002d_Sector" ma:displayName="Sub-Sector" ma:default="" ma:fieldId="{b2ec7cfb-1867-4cb8-803d-f6b262e8b107}" ma:taxonomyMulti="true" ma:sspId="ae61f9b1-e23d-4f49-b3d7-56b991556c4b" ma:termSetId="73c9b9c8-b29b-461e-b5a6-c7e93795fb05" ma:anchorId="00000000-0000-0000-0000-000000000000" ma:open="false" ma:isKeyword="false">
      <xsd:complexType>
        <xsd:sequence>
          <xsd:element ref="pc:Terms" minOccurs="0" maxOccurs="1"/>
        </xsd:sequence>
      </xsd:complexType>
    </xsd:element>
    <xsd:element name="Document_x0020_Language_x0020_IDB" ma:index="30" ma:displayName="Document Language IDB" ma:format="Dropdown" ma:internalName="Document_x0020_Language_x0020_IDB" ma:readOnly="false">
      <xsd:simpleType>
        <xsd:restriction base="dms:Choice">
          <xsd:enumeration value="English"/>
          <xsd:enumeration value="French"/>
          <xsd:enumeration value="Italian"/>
          <xsd:enumeration value="Japanese"/>
          <xsd:enumeration value="Korean"/>
          <xsd:enumeration value="Other"/>
          <xsd:enumeration value="Portuguese"/>
          <xsd:enumeration value="Spanish"/>
        </xsd:restriction>
      </xsd:simpleType>
    </xsd:element>
    <xsd:element name="Division_x0020_or_x0020_Unit" ma:index="31" ma:displayName="Division or Unit" ma:internalName="Division_x0020_or_x0020_Unit" ma:readOnly="false">
      <xsd:simpleType>
        <xsd:restriction base="dms:Text">
          <xsd:maxLength value="255"/>
        </xsd:restriction>
      </xsd:simpleType>
    </xsd:element>
    <xsd:element name="Identifier" ma:index="32" nillable="true" ma:displayName="Identifier" ma:internalName="Identifier">
      <xsd:simpleType>
        <xsd:restriction base="dms:Text">
          <xsd:maxLength value="255"/>
        </xsd:restriction>
      </xsd:simpleType>
    </xsd:element>
    <xsd:element name="Fiscal_x0020_Year_x0020_IDB" ma:index="33" nillable="true" ma:displayName="Fiscal Year IDB" ma:internalName="Fiscal_x0020_Year_x0020_IDB">
      <xsd:simpleType>
        <xsd:restriction base="dms:Text">
          <xsd:maxLength value="255"/>
        </xsd:restriction>
      </xsd:simpleType>
    </xsd:element>
    <xsd:element name="ic46d7e087fd4a108fb86518ca413cc6" ma:index="34" nillable="true" ma:taxonomy="true" ma:internalName="ic46d7e087fd4a108fb86518ca413cc6" ma:taxonomyFieldName="Country" ma:displayName="Country" ma:default="" ma:fieldId="{2c46d7e0-87fd-4a10-8fb8-6518ca413cc6}" ma:taxonomyMulti="true" ma:sspId="ae61f9b1-e23d-4f49-b3d7-56b991556c4b" ma:termSetId="e1cf2cf4-6e0f-476b-b38c-a4927f870e86" ma:anchorId="00000000-0000-0000-0000-000000000000" ma:open="false" ma:isKeyword="false">
      <xsd:complexType>
        <xsd:sequence>
          <xsd:element ref="pc:Terms" minOccurs="0" maxOccurs="1"/>
        </xsd:sequence>
      </xsd:complexType>
    </xsd:element>
    <xsd:element name="Operation_x0020_Type" ma:index="36" nillable="true" ma:displayName="Operation Type" ma:internalName="Operation_x0020_Type">
      <xsd:simpleType>
        <xsd:restriction base="dms:Text">
          <xsd:maxLength value="255"/>
        </xsd:restriction>
      </xsd:simpleType>
    </xsd:element>
    <xsd:element name="Package_x0020_Code" ma:index="37" nillable="true" ma:displayName="Package Code" ma:internalName="Package_x0020_Code">
      <xsd:simpleType>
        <xsd:restriction base="dms:Text">
          <xsd:maxLength value="255"/>
        </xsd:restriction>
      </xsd:simpleType>
    </xsd:element>
    <xsd:element name="Phase" ma:index="38" nillable="true" ma:displayName="Phase" ma:internalName="Phase">
      <xsd:simpleType>
        <xsd:restriction base="dms:Text">
          <xsd:maxLength value="255"/>
        </xsd:restriction>
      </xsd:simpleType>
    </xsd:element>
    <xsd:element name="Business_x0020_Area" ma:index="39" nillable="true" ma:displayName="Business Area" ma:internalName="Business_x0020_Area">
      <xsd:simpleType>
        <xsd:restriction base="dms:Text">
          <xsd:maxLength value="255"/>
        </xsd:restriction>
      </xsd:simpleType>
    </xsd:element>
    <xsd:element name="Key_x0020_Document" ma:index="40" nillable="true" ma:displayName="Key Document" ma:default="0" ma:internalName="Key_x0020_Document">
      <xsd:simpleType>
        <xsd:restriction base="dms:Boolean"/>
      </xsd:simpleType>
    </xsd:element>
    <xsd:element name="Project_x0020_Document_x0020_Type" ma:index="41" nillable="true" ma:displayName="Project Document Type" ma:internalName="Project_x0020_Document_x0020_Type">
      <xsd:simpleType>
        <xsd:restriction base="dms:Text">
          <xsd:maxLength value="255"/>
        </xsd:restriction>
      </xsd:simpleType>
    </xsd:element>
    <xsd:element name="Abstract" ma:index="42" nillable="true" ma:displayName="Abstract" ma:internalName="Abstract">
      <xsd:simpleType>
        <xsd:restriction base="dms:Note"/>
      </xsd:simpleType>
    </xsd:element>
    <xsd:element name="Migration_x0020_Info" ma:index="43" nillable="true" ma:displayName="Migration Info" ma:internalName="Migration_x0020_Info">
      <xsd:simpleType>
        <xsd:restriction base="dms:Note"/>
      </xsd:simpleType>
    </xsd:element>
    <xsd:element name="SISCOR_x0020_Number" ma:index="44" nillable="true" ma:displayName="SISCOR Number" ma:internalName="SISCOR_x0020_Number">
      <xsd:simpleType>
        <xsd:restriction base="dms:Text">
          <xsd:maxLength value="255"/>
        </xsd:restriction>
      </xsd:simpleType>
    </xsd:element>
    <xsd:element name="IDBDocs_x0020_Number" ma:index="45" nillable="true" ma:displayName="IDBDocs Number" ma:internalName="IDBDocs_x0020_Number">
      <xsd:simpleType>
        <xsd:restriction base="dms:Text">
          <xsd:maxLength value="255"/>
        </xsd:restriction>
      </xsd:simpleType>
    </xsd:element>
    <xsd:element name="Editor1" ma:index="46" nillable="true" ma:displayName="Editor" ma:internalName="Editor1">
      <xsd:simpleType>
        <xsd:restriction base="dms:Text">
          <xsd:maxLength value="255"/>
        </xsd:restriction>
      </xsd:simpleType>
    </xsd:element>
    <xsd:element name="Issue_x0020_Date" ma:index="47" nillable="true" ma:displayName="Issue Date" ma:format="DateOnly" ma:internalName="Issue_x0020_Date">
      <xsd:simpleType>
        <xsd:restriction base="dms:DateTime"/>
      </xsd:simpleType>
    </xsd:element>
    <xsd:element name="Publishing_x0020_House" ma:index="48" nillable="true" ma:displayName="Publishing House" ma:internalName="Publishing_x0020_House">
      <xsd:simpleType>
        <xsd:restriction base="dms:Text">
          <xsd:maxLength value="255"/>
        </xsd:restriction>
      </xsd:simpleType>
    </xsd:element>
    <xsd:element name="KP_x0020_Topics" ma:index="49" nillable="true" ma:displayName="KP Topics" ma:internalName="KP_x0020_Topics">
      <xsd:simpleType>
        <xsd:restriction base="dms:Text">
          <xsd:maxLength value="255"/>
        </xsd:restriction>
      </xsd:simpleType>
    </xsd:element>
    <xsd:element name="Region" ma:index="50" nillable="true" ma:displayName="Region" ma:internalName="Region">
      <xsd:simpleType>
        <xsd:restriction base="dms:Text">
          <xsd:maxLength value="255"/>
        </xsd:restriction>
      </xsd:simpleType>
    </xsd:element>
    <xsd:element name="Publication_x0020_Type" ma:index="51" nillable="true" ma:displayName="Publication Type" ma:internalName="Publication_x0020_Type">
      <xsd:simpleType>
        <xsd:restriction base="dms:Text">
          <xsd:maxLength value="255"/>
        </xsd:restriction>
      </xsd:simpleType>
    </xsd:element>
    <xsd:element name="Disclosed" ma:index="52" nillable="true" ma:displayName="Disclosed" ma:default="0" ma:internalName="Disclosed">
      <xsd:simpleType>
        <xsd:restriction base="dms:Boolean"/>
      </xsd:simpleType>
    </xsd:element>
    <xsd:element name="Record_x0020_Number" ma:index="53" nillable="true" ma:displayName="Record Number" ma:internalName="Record_x0020_Number">
      <xsd:simpleType>
        <xsd:restriction base="dms:Text">
          <xsd:maxLength value="255"/>
        </xsd:restriction>
      </xsd:simpleType>
    </xsd:element>
    <xsd:element name="Related_x0020_SisCor_x0020_Number" ma:index="54" nillable="true" ma:displayName="Related SisCor Number" ma:internalName="Related_x0020_SisCor_x0020_Number">
      <xsd:simpleType>
        <xsd:restriction base="dms:Text">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C3ACB0F3-A0B3-4394-A196-0F84EC9AFDB3}"/>
</file>

<file path=customXml/itemProps2.xml><?xml version="1.0" encoding="utf-8"?>
<ds:datastoreItem xmlns:ds="http://schemas.openxmlformats.org/officeDocument/2006/customXml" ds:itemID="{5AC9EF38-CD38-400E-9298-E789DFCEC6CD}">
  <ds:schemaRefs>
    <ds:schemaRef ds:uri="http://schemas.microsoft.com/sharepoint/events"/>
  </ds:schemaRefs>
</ds:datastoreItem>
</file>

<file path=customXml/itemProps3.xml><?xml version="1.0" encoding="utf-8"?>
<ds:datastoreItem xmlns:ds="http://schemas.openxmlformats.org/officeDocument/2006/customXml" ds:itemID="{CC327D6D-3769-4E5B-9CE8-8DBF8E56C933}">
  <ds:schemaRefs>
    <ds:schemaRef ds:uri="http://schemas.microsoft.com/sharepoint/v3/contenttype/forms"/>
  </ds:schemaRefs>
</ds:datastoreItem>
</file>

<file path=customXml/itemProps4.xml><?xml version="1.0" encoding="utf-8"?>
<ds:datastoreItem xmlns:ds="http://schemas.openxmlformats.org/officeDocument/2006/customXml" ds:itemID="{6666625A-20DC-4905-B8A8-E2FA4B1BA357}">
  <ds:schemaRefs>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http://purl.org/dc/elements/1.1/"/>
    <ds:schemaRef ds:uri="http://schemas.microsoft.com/office/2006/metadata/properties"/>
    <ds:schemaRef ds:uri="cdc7663a-08f0-4737-9e8c-148ce897a09c"/>
    <ds:schemaRef ds:uri="http://www.w3.org/XML/1998/namespace"/>
    <ds:schemaRef ds:uri="http://purl.org/dc/dcmitype/"/>
  </ds:schemaRefs>
</ds:datastoreItem>
</file>

<file path=customXml/itemProps5.xml><?xml version="1.0" encoding="utf-8"?>
<ds:datastoreItem xmlns:ds="http://schemas.openxmlformats.org/officeDocument/2006/customXml" ds:itemID="{BD6809FE-9300-4A13-A767-9952A5ECCB90}"/>
</file>

<file path=customXml/itemProps6.xml><?xml version="1.0" encoding="utf-8"?>
<ds:datastoreItem xmlns:ds="http://schemas.openxmlformats.org/officeDocument/2006/customXml" ds:itemID="{AF0A1000-AAEB-4F37-8DAA-D964EF7242A8}"/>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Supuestos</vt:lpstr>
      <vt:lpstr>Calculos Banda Ancha</vt:lpstr>
      <vt:lpstr>Flujo de Fondos</vt:lpstr>
      <vt:lpstr>Supuestos!Print_Area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Fernandez, Roberto</dc:creator>
  <cp:keywords>Última versión</cp:keywords>
  <cp:lastModifiedBy>Hoffman, Nathalie Alexandra</cp:lastModifiedBy>
  <cp:lastPrinted>2019-07-30T20:25:36Z</cp:lastPrinted>
  <dcterms:created xsi:type="dcterms:W3CDTF">2019-07-10T15:30:05Z</dcterms:created>
  <dcterms:modified xsi:type="dcterms:W3CDTF">2019-11-18T15:33:29Z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3" name="TaxKeyword">
    <vt:lpwstr>323;#Última versión|6a674e04-9e9a-4ad1-a4bb-0888c1d667ee</vt:lpwstr>
  </property>
  <property fmtid="{D5CDD505-2E9C-101B-9397-08002B2CF9AE}" pid="4" name="TaxKeywordTaxHTField">
    <vt:lpwstr>Última versión|6a674e04-9e9a-4ad1-a4bb-0888c1d667ee</vt:lpwstr>
  </property>
  <property fmtid="{D5CDD505-2E9C-101B-9397-08002B2CF9AE}" pid="5" name="Sub-Sector">
    <vt:lpwstr>300;#RM-PUB|6679f56e-8b55-402b-90a0-8fe4c41c00ba</vt:lpwstr>
  </property>
  <property fmtid="{D5CDD505-2E9C-101B-9397-08002B2CF9AE}" pid="6" name="Series Operations IDB">
    <vt:lpwstr/>
  </property>
  <property fmtid="{D5CDD505-2E9C-101B-9397-08002B2CF9AE}" pid="7" name="Country">
    <vt:lpwstr>26;#HO|0dd9f989-602d-4742-8212-5c1b8b0b74d5</vt:lpwstr>
  </property>
  <property fmtid="{D5CDD505-2E9C-101B-9397-08002B2CF9AE}" pid="8" name="Fund IDB">
    <vt:lpwstr/>
  </property>
  <property fmtid="{D5CDD505-2E9C-101B-9397-08002B2CF9AE}" pid="9" name="Sector IDB">
    <vt:lpwstr>98;#RM|c8fda4a7-691a-4c65-b227-9825197b5cd2</vt:lpwstr>
  </property>
  <property fmtid="{D5CDD505-2E9C-101B-9397-08002B2CF9AE}" pid="10" name="Function Operations IDB">
    <vt:lpwstr>1;#Project Preparation, Planning and Design|29ca0c72-1fc4-435f-a09c-28585cb5eac9</vt:lpwstr>
  </property>
  <property fmtid="{D5CDD505-2E9C-101B-9397-08002B2CF9AE}" pid="11" name="_dlc_DocIdItemGuid">
    <vt:lpwstr>7f16eea1-5807-4779-bb13-43f31060a455</vt:lpwstr>
  </property>
  <property fmtid="{D5CDD505-2E9C-101B-9397-08002B2CF9AE}" pid="12" name="Disclosure Activity">
    <vt:lpwstr>Loan Proposal</vt:lpwstr>
  </property>
  <property fmtid="{D5CDD505-2E9C-101B-9397-08002B2CF9AE}" pid="13" name="ContentTypeId">
    <vt:lpwstr>0x0101001A458A224826124E8B45B1D613300CFC002C6A72E500BEBC4E8628D0F35D0B981F</vt:lpwstr>
  </property>
</Properties>
</file>