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8195" windowHeight="11385" tabRatio="1000" activeTab="4"/>
  </bookViews>
  <sheets>
    <sheet name="Summary budget" sheetId="6" r:id="rId1"/>
    <sheet name="Component 1's budget" sheetId="4" r:id="rId2"/>
    <sheet name="Component 2's budget" sheetId="7" r:id="rId3"/>
    <sheet name="Component 3's budget" sheetId="5" r:id="rId4"/>
    <sheet name="Component 4's budget" sheetId="8" r:id="rId5"/>
    <sheet name="Component 5's budget" sheetId="9" r:id="rId6"/>
    <sheet name="Procurement supervision" sheetId="10" r:id="rId7"/>
  </sheets>
  <externalReferences>
    <externalReference r:id="rId8"/>
  </externalReferences>
  <definedNames>
    <definedName name="Budg">'Procurement supervision'!$A$2</definedName>
  </definedNames>
  <calcPr calcId="145621"/>
</workbook>
</file>

<file path=xl/calcChain.xml><?xml version="1.0" encoding="utf-8"?>
<calcChain xmlns="http://schemas.openxmlformats.org/spreadsheetml/2006/main">
  <c r="B43" i="6" l="1"/>
  <c r="C9" i="6"/>
  <c r="B9" i="6"/>
  <c r="C11" i="6"/>
  <c r="C32" i="6" s="1"/>
  <c r="B11" i="6"/>
  <c r="C6" i="10"/>
  <c r="D6" i="10"/>
  <c r="B6" i="10"/>
  <c r="D5" i="10"/>
  <c r="D11" i="6" l="1"/>
  <c r="B44" i="6" s="1"/>
  <c r="B32" i="6"/>
  <c r="D32" i="6" s="1"/>
  <c r="B11" i="7"/>
  <c r="D44" i="6" l="1"/>
  <c r="D45" i="6" s="1"/>
  <c r="B45" i="6"/>
  <c r="C17" i="7"/>
  <c r="B17" i="7"/>
  <c r="C16" i="7"/>
  <c r="B16" i="7"/>
  <c r="C39" i="6" l="1"/>
  <c r="C30" i="6"/>
  <c r="B30" i="6"/>
  <c r="D30" i="6" l="1"/>
  <c r="D8" i="8"/>
  <c r="D7" i="8"/>
  <c r="D6" i="8"/>
  <c r="D5" i="8"/>
  <c r="C8" i="8"/>
  <c r="B8" i="8"/>
  <c r="D17" i="5"/>
  <c r="D16" i="5"/>
  <c r="D15" i="5"/>
  <c r="D18" i="5" l="1"/>
  <c r="B6" i="7"/>
  <c r="C11" i="7" l="1"/>
  <c r="D11" i="7" s="1"/>
  <c r="D8" i="9"/>
  <c r="D9" i="9" s="1"/>
  <c r="D7" i="9"/>
  <c r="D6" i="9"/>
  <c r="C9" i="9"/>
  <c r="B9" i="9"/>
  <c r="B7" i="7"/>
  <c r="D13" i="4"/>
  <c r="E13" i="4" s="1"/>
  <c r="C13" i="4"/>
  <c r="C12" i="4"/>
  <c r="D12" i="4" s="1"/>
  <c r="E12" i="4" s="1"/>
  <c r="C11" i="4"/>
  <c r="D11" i="4" s="1"/>
  <c r="E11" i="4" s="1"/>
  <c r="C10" i="4"/>
  <c r="D10" i="4" s="1"/>
  <c r="E10" i="4" s="1"/>
  <c r="D9" i="4"/>
  <c r="E9" i="4" s="1"/>
  <c r="C9" i="4"/>
  <c r="C8" i="4"/>
  <c r="D8" i="4" s="1"/>
  <c r="E8" i="4" s="1"/>
  <c r="C7" i="4"/>
  <c r="D7" i="4" s="1"/>
  <c r="E7" i="4" s="1"/>
  <c r="C6" i="4"/>
  <c r="D6" i="4" s="1"/>
  <c r="E5" i="4"/>
  <c r="D14" i="4" l="1"/>
  <c r="E6" i="4"/>
  <c r="E14" i="4" s="1"/>
  <c r="B6" i="6" s="1"/>
  <c r="B27" i="6" s="1"/>
  <c r="C14" i="4"/>
  <c r="B8" i="7" l="1"/>
  <c r="C23" i="7"/>
  <c r="C22" i="6" s="1"/>
  <c r="D8" i="7"/>
  <c r="B23" i="7" l="1"/>
  <c r="B22" i="6" s="1"/>
  <c r="D22" i="6" s="1"/>
  <c r="L5" i="5" l="1"/>
  <c r="C17" i="6" l="1"/>
  <c r="B17" i="6"/>
  <c r="C16" i="6"/>
  <c r="B16" i="6"/>
  <c r="B9" i="7"/>
  <c r="B12" i="7" s="1"/>
  <c r="B7" i="6" s="1"/>
  <c r="C14" i="9"/>
  <c r="B14" i="9"/>
  <c r="D13" i="9"/>
  <c r="D14" i="9" s="1"/>
  <c r="B28" i="6" l="1"/>
  <c r="C18" i="6"/>
  <c r="D16" i="6"/>
  <c r="C40" i="6" s="1"/>
  <c r="B18" i="6"/>
  <c r="D17" i="6"/>
  <c r="C43" i="6" s="1"/>
  <c r="C45" i="6" l="1"/>
  <c r="D18" i="6"/>
  <c r="D18" i="7"/>
  <c r="B10" i="6" l="1"/>
  <c r="B31" i="6" s="1"/>
  <c r="D9" i="6" l="1"/>
  <c r="B42" i="6" s="1"/>
  <c r="D42" i="6" s="1"/>
  <c r="C10" i="6"/>
  <c r="C31" i="6" s="1"/>
  <c r="D31" i="6" s="1"/>
  <c r="D10" i="6" l="1"/>
  <c r="D43" i="6" s="1"/>
  <c r="C10" i="7" l="1"/>
  <c r="B17" i="5" l="1"/>
  <c r="C7" i="7"/>
  <c r="C6" i="7"/>
  <c r="B19" i="7" l="1"/>
  <c r="D17" i="7"/>
  <c r="C19" i="7" l="1"/>
  <c r="D16" i="7"/>
  <c r="D19" i="7" s="1"/>
  <c r="C9" i="7" l="1"/>
  <c r="D10" i="7"/>
  <c r="B11" i="5"/>
  <c r="B10" i="5"/>
  <c r="C17" i="5"/>
  <c r="C6" i="6"/>
  <c r="C27" i="6" s="1"/>
  <c r="D27" i="6" s="1"/>
  <c r="D9" i="7" l="1"/>
  <c r="C12" i="7"/>
  <c r="B12" i="5"/>
  <c r="B16" i="5" s="1"/>
  <c r="C8" i="6"/>
  <c r="C29" i="6" s="1"/>
  <c r="C18" i="5"/>
  <c r="D7" i="7"/>
  <c r="D23" i="7"/>
  <c r="D6" i="7"/>
  <c r="L6" i="5"/>
  <c r="D7" i="5"/>
  <c r="E7" i="5"/>
  <c r="F7" i="5"/>
  <c r="G7" i="5"/>
  <c r="H7" i="5"/>
  <c r="I7" i="5"/>
  <c r="J7" i="5"/>
  <c r="K7" i="5"/>
  <c r="D12" i="7" l="1"/>
  <c r="B15" i="5"/>
  <c r="B8" i="6"/>
  <c r="C7" i="6"/>
  <c r="C28" i="6" s="1"/>
  <c r="D8" i="6" l="1"/>
  <c r="B41" i="6" s="1"/>
  <c r="D41" i="6" s="1"/>
  <c r="B29" i="6"/>
  <c r="C33" i="6"/>
  <c r="D28" i="6"/>
  <c r="B18" i="5"/>
  <c r="C12" i="6"/>
  <c r="B12" i="6"/>
  <c r="D29" i="6" l="1"/>
  <c r="D33" i="6" s="1"/>
  <c r="B33" i="6"/>
  <c r="D7" i="6"/>
  <c r="D6" i="6"/>
  <c r="B39" i="6" l="1"/>
  <c r="D39" i="6" s="1"/>
  <c r="D12" i="6"/>
  <c r="B40" i="6"/>
  <c r="D40" i="6" l="1"/>
</calcChain>
</file>

<file path=xl/comments1.xml><?xml version="1.0" encoding="utf-8"?>
<comments xmlns="http://schemas.openxmlformats.org/spreadsheetml/2006/main">
  <authors>
    <author>Raimon Puigjaner</author>
  </authors>
  <commentList>
    <comment ref="B6" authorId="0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33.000 words per 0.22 USD per word. </t>
        </r>
      </text>
    </comment>
    <comment ref="B7" authorId="0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10.000 words per 0.22 USD per word.</t>
        </r>
      </text>
    </comment>
    <comment ref="B9" authorId="0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33.000 words per 0.22 USD per word. 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Duties: 1) Extension of contract (finish possible pending deliverables) + 2) Presentation of AR in D.C. with LAM.</t>
        </r>
      </text>
    </comment>
    <comment ref="A12" authorId="0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Duties: 1) Development-definition audit guide (post KIWA reports and CD's improved audit guide draft report) + 2) Presentation of AR in D.C. with LAM.</t>
        </r>
      </text>
    </comment>
    <comment ref="A13" authorId="0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Duties: 1) Development-definition application guide (post structure) + 2) Trip to Lisboa + 3) Presentation of AR in D.C. with LAM.</t>
        </r>
      </text>
    </comment>
  </commentList>
</comments>
</file>

<file path=xl/comments2.xml><?xml version="1.0" encoding="utf-8"?>
<comments xmlns="http://schemas.openxmlformats.org/spreadsheetml/2006/main">
  <authors>
    <author>Raimon Puigjaner</author>
    <author>Inter-American Development Bank</author>
  </authors>
  <commentList>
    <comment ref="A6" authorId="0">
      <text>
        <r>
          <rPr>
            <b/>
            <sz val="9"/>
            <color indexed="81"/>
            <rFont val="Tahoma"/>
            <charset val="1"/>
          </rPr>
          <t>Inter-American Development Bank:</t>
        </r>
        <r>
          <rPr>
            <sz val="9"/>
            <color indexed="81"/>
            <rFont val="Tahoma"/>
            <charset val="1"/>
          </rPr>
          <t xml:space="preserve">
75.000 € = gross salary; and 15.000 € (20% of the gross salary) = variable salary, if sales / management objectives towards the AquaRating Entity's break-even point at operation year 2 are reached. </t>
        </r>
      </text>
    </comment>
    <comment ref="A7" authorId="1">
      <text>
        <r>
          <rPr>
            <b/>
            <sz val="9"/>
            <color indexed="81"/>
            <rFont val="Tahoma"/>
            <charset val="1"/>
          </rPr>
          <t>Inter-American Development Bank:</t>
        </r>
        <r>
          <rPr>
            <sz val="9"/>
            <color indexed="81"/>
            <rFont val="Tahoma"/>
            <charset val="1"/>
          </rPr>
          <t xml:space="preserve">
32.500 € = gross salary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1 auditing per every 15 AquaRating certifications.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20% of all expenses, approx. </t>
        </r>
      </text>
    </comment>
  </commentList>
</comments>
</file>

<file path=xl/comments3.xml><?xml version="1.0" encoding="utf-8"?>
<comments xmlns="http://schemas.openxmlformats.org/spreadsheetml/2006/main">
  <authors>
    <author>Raimon Puigjaner</author>
  </authors>
  <commentList>
    <comment ref="A2" authorId="0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EC (5/6/2014): a 50-60 hour course entails a professional spending 3 full time months preparing the materials + an intern 2 full time months support. Because both courses are substantially complementary and the accreditation one will be more demanding, we take into account 1.5 couses (instead of 2) for calculations.   </t>
        </r>
      </text>
    </comment>
  </commentList>
</comments>
</file>

<file path=xl/sharedStrings.xml><?xml version="1.0" encoding="utf-8"?>
<sst xmlns="http://schemas.openxmlformats.org/spreadsheetml/2006/main" count="152" uniqueCount="70">
  <si>
    <t>Francisco Cubillo's services (Sept. - Dec.)</t>
  </si>
  <si>
    <t>Carlos Díaz's services (July - Dec.)</t>
  </si>
  <si>
    <t>UPV-ITA's services (June - Dec.)</t>
  </si>
  <si>
    <t>Application guide (Spanish to 3rd language)</t>
  </si>
  <si>
    <t>Audit guide (Spanish to 3rd language)</t>
  </si>
  <si>
    <t>AquaRating technical document and glossary (Spanish to 3rd language)</t>
  </si>
  <si>
    <t>Application guide (Spanish to English)</t>
  </si>
  <si>
    <t>Audit guide (Spanish to English)</t>
  </si>
  <si>
    <t>Translation services</t>
  </si>
  <si>
    <t>N.A.</t>
  </si>
  <si>
    <t>Cost per resource</t>
  </si>
  <si>
    <t>Time spent over total</t>
  </si>
  <si>
    <t>Magnitude</t>
  </si>
  <si>
    <t>Courses prep. cost</t>
  </si>
  <si>
    <t>Intern d. rate</t>
  </si>
  <si>
    <t>CD's daily rate</t>
  </si>
  <si>
    <t>FC's daily rate</t>
  </si>
  <si>
    <t>EC's daily rate</t>
  </si>
  <si>
    <t>MRN's d. rate</t>
  </si>
  <si>
    <t>RP's d. rate</t>
  </si>
  <si>
    <t>JD's d. rate</t>
  </si>
  <si>
    <t>MK's d. rate</t>
  </si>
  <si>
    <t>Intern cons. days</t>
  </si>
  <si>
    <t>Sr. cons. days</t>
  </si>
  <si>
    <t>Year 1</t>
  </si>
  <si>
    <t>Year 2</t>
  </si>
  <si>
    <t>Audit of auditors</t>
  </si>
  <si>
    <t xml:space="preserve">Specialists courses support (3 specialists * 5 days) </t>
  </si>
  <si>
    <t>Component 1</t>
  </si>
  <si>
    <t>Budget approximation</t>
  </si>
  <si>
    <t>Component 3</t>
  </si>
  <si>
    <t>Component 2</t>
  </si>
  <si>
    <t>Component 4</t>
  </si>
  <si>
    <t>Component 5</t>
  </si>
  <si>
    <t>Cost</t>
  </si>
  <si>
    <t>Translation services (Spanish to English)</t>
  </si>
  <si>
    <t>Translation services (Spanish to 3rd language)</t>
  </si>
  <si>
    <t>TOTAL</t>
  </si>
  <si>
    <t>General manager - consultant (gross salary)</t>
  </si>
  <si>
    <t xml:space="preserve">System developer - consultant (gross salary) </t>
  </si>
  <si>
    <t>General manager - consultant (indirect costs)</t>
  </si>
  <si>
    <t>System developer - consultant (indirect costs)</t>
  </si>
  <si>
    <t>IDB direct resources</t>
  </si>
  <si>
    <r>
      <t xml:space="preserve">AquaRating implementation TC document's Component 2: </t>
    </r>
    <r>
      <rPr>
        <u/>
        <sz val="11"/>
        <color theme="1"/>
        <rFont val="Calibri"/>
        <family val="2"/>
        <scheme val="minor"/>
      </rPr>
      <t>Development of operational and functional capabilities of the AquaRating Entity</t>
    </r>
  </si>
  <si>
    <r>
      <t xml:space="preserve">AquaRating implementation TC document's Component 3: </t>
    </r>
    <r>
      <rPr>
        <u/>
        <sz val="11"/>
        <color theme="1"/>
        <rFont val="Calibri"/>
        <family val="2"/>
        <scheme val="minor"/>
      </rPr>
      <t>Training and accreditation of auditors and training and certification of AquaRating professionals</t>
    </r>
  </si>
  <si>
    <r>
      <t xml:space="preserve">AquaRating implementation TC document's Component 4: </t>
    </r>
    <r>
      <rPr>
        <u/>
        <sz val="11"/>
        <color theme="1"/>
        <rFont val="Calibri"/>
        <family val="2"/>
        <scheme val="minor"/>
      </rPr>
      <t>Application of AquaRating in Latin America and the Caribbean</t>
    </r>
  </si>
  <si>
    <t>AquaRating Demo Basic</t>
  </si>
  <si>
    <t>Marketing and commercial materials</t>
  </si>
  <si>
    <t>IDB promotion trips (EU - LAC flights price base)</t>
  </si>
  <si>
    <r>
      <t xml:space="preserve">AquaRating implementation TC document's Component 5: </t>
    </r>
    <r>
      <rPr>
        <u/>
        <sz val="11"/>
        <color theme="1"/>
        <rFont val="Calibri"/>
        <family val="2"/>
        <scheme val="minor"/>
      </rPr>
      <t>Promotion of AquaRating</t>
    </r>
  </si>
  <si>
    <t xml:space="preserve">RG-T2456 - AquaRating implementation TC document's financial information </t>
  </si>
  <si>
    <t>IT providers (domains, servers, apps., cel., CRM, etc.)</t>
  </si>
  <si>
    <t>IWA general manager and programmes director's support</t>
  </si>
  <si>
    <t>IWA Communications and Engagement staff's support</t>
  </si>
  <si>
    <t>AquaRating Entity promotion trips (US - LAC / US - EU flights price base)</t>
  </si>
  <si>
    <t>AquaRating logistic audit expenses (EU - LAC / LAC - LAC flights price base)</t>
  </si>
  <si>
    <t>Material Development</t>
  </si>
  <si>
    <t>IWA in-kind resources</t>
  </si>
  <si>
    <t>IWA cash resources</t>
  </si>
  <si>
    <t xml:space="preserve">Specialists general support </t>
  </si>
  <si>
    <t>Contingencies</t>
  </si>
  <si>
    <r>
      <t xml:space="preserve">AquaRating implementation TC document's Component 1: </t>
    </r>
    <r>
      <rPr>
        <u/>
        <sz val="11"/>
        <color theme="1"/>
        <rFont val="Calibri"/>
        <family val="2"/>
        <scheme val="minor"/>
      </rPr>
      <t>Completion of final version of AquaRating</t>
    </r>
  </si>
  <si>
    <t>TOTAL for TC document</t>
  </si>
  <si>
    <t>IDB</t>
  </si>
  <si>
    <t>Counterpart</t>
  </si>
  <si>
    <t>TOTAL by year</t>
  </si>
  <si>
    <t>Procurement supervision ex-post</t>
  </si>
  <si>
    <r>
      <t xml:space="preserve">AquaRating implementation TC document: </t>
    </r>
    <r>
      <rPr>
        <u/>
        <sz val="11"/>
        <color theme="1"/>
        <rFont val="Calibri"/>
        <family val="2"/>
        <scheme val="minor"/>
      </rPr>
      <t>Procurement supervision ex-post</t>
    </r>
  </si>
  <si>
    <t>Ex-post supervision procurement activities IWA</t>
  </si>
  <si>
    <t>AquaRating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</si>
</sst>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7" fillId="0" borderId="0"/>
  </cellStyleXfs>
  <cellXfs count="184">
    <xf numFmtId="0" fontId="0" fillId="0" borderId="0" xfId="0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9" fontId="0" fillId="0" borderId="13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44" fontId="0" fillId="0" borderId="8" xfId="1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44" fontId="0" fillId="0" borderId="5" xfId="0" applyNumberFormat="1" applyFill="1" applyBorder="1" applyAlignment="1">
      <alignment horizontal="center" vertical="center"/>
    </xf>
    <xf numFmtId="44" fontId="0" fillId="0" borderId="2" xfId="0" applyNumberForma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9" fontId="0" fillId="0" borderId="6" xfId="0" applyNumberFormat="1" applyBorder="1" applyAlignment="1">
      <alignment horizontal="center"/>
    </xf>
    <xf numFmtId="9" fontId="0" fillId="0" borderId="21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9" fontId="0" fillId="0" borderId="31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8" xfId="0" applyFont="1" applyBorder="1" applyAlignment="1">
      <alignment horizontal="center" wrapText="1"/>
    </xf>
    <xf numFmtId="0" fontId="0" fillId="0" borderId="20" xfId="0" applyFont="1" applyBorder="1" applyAlignment="1">
      <alignment horizontal="center" wrapText="1"/>
    </xf>
    <xf numFmtId="0" fontId="0" fillId="0" borderId="28" xfId="0" applyBorder="1" applyAlignment="1">
      <alignment horizontal="center"/>
    </xf>
    <xf numFmtId="44" fontId="0" fillId="0" borderId="27" xfId="1" applyFont="1" applyBorder="1" applyAlignment="1">
      <alignment horizontal="center"/>
    </xf>
    <xf numFmtId="44" fontId="0" fillId="0" borderId="21" xfId="1" applyFont="1" applyBorder="1" applyAlignment="1">
      <alignment horizontal="center"/>
    </xf>
    <xf numFmtId="44" fontId="0" fillId="0" borderId="12" xfId="1" applyFont="1" applyBorder="1" applyAlignment="1">
      <alignment horizontal="center"/>
    </xf>
    <xf numFmtId="44" fontId="0" fillId="0" borderId="3" xfId="1" applyFont="1" applyBorder="1" applyAlignment="1">
      <alignment horizontal="center"/>
    </xf>
    <xf numFmtId="44" fontId="0" fillId="0" borderId="14" xfId="1" applyFont="1" applyBorder="1" applyAlignment="1">
      <alignment horizontal="center"/>
    </xf>
    <xf numFmtId="44" fontId="0" fillId="0" borderId="9" xfId="1" applyFont="1" applyBorder="1" applyAlignment="1">
      <alignment horizontal="center"/>
    </xf>
    <xf numFmtId="44" fontId="2" fillId="0" borderId="19" xfId="1" applyFont="1" applyBorder="1" applyAlignment="1">
      <alignment horizontal="center"/>
    </xf>
    <xf numFmtId="0" fontId="2" fillId="0" borderId="23" xfId="0" applyFont="1" applyBorder="1" applyAlignment="1">
      <alignment horizontal="center" wrapText="1"/>
    </xf>
    <xf numFmtId="44" fontId="2" fillId="0" borderId="24" xfId="1" applyFont="1" applyBorder="1" applyAlignment="1">
      <alignment horizontal="center"/>
    </xf>
    <xf numFmtId="0" fontId="2" fillId="0" borderId="23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10" fillId="0" borderId="0" xfId="0" applyFont="1"/>
    <xf numFmtId="0" fontId="0" fillId="0" borderId="18" xfId="0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22" xfId="0" applyFont="1" applyFill="1" applyBorder="1" applyAlignment="1">
      <alignment horizontal="center" vertical="center"/>
    </xf>
    <xf numFmtId="44" fontId="0" fillId="0" borderId="0" xfId="0" applyNumberFormat="1"/>
    <xf numFmtId="44" fontId="0" fillId="0" borderId="0" xfId="0" applyNumberFormat="1" applyAlignment="1">
      <alignment horizontal="center"/>
    </xf>
    <xf numFmtId="0" fontId="2" fillId="0" borderId="0" xfId="0" applyFont="1" applyBorder="1" applyAlignment="1">
      <alignment horizontal="center" vertical="center"/>
    </xf>
    <xf numFmtId="44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35" xfId="0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164" fontId="0" fillId="0" borderId="26" xfId="1" applyNumberFormat="1" applyFont="1" applyFill="1" applyBorder="1" applyAlignment="1">
      <alignment horizontal="center" vertical="center"/>
    </xf>
    <xf numFmtId="164" fontId="0" fillId="0" borderId="35" xfId="1" applyNumberFormat="1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8" xfId="1" applyNumberFormat="1" applyFont="1" applyFill="1" applyBorder="1" applyAlignment="1">
      <alignment horizontal="center" vertical="center"/>
    </xf>
    <xf numFmtId="164" fontId="0" fillId="2" borderId="26" xfId="1" applyNumberFormat="1" applyFont="1" applyFill="1" applyBorder="1" applyAlignment="1">
      <alignment horizontal="center" vertical="center"/>
    </xf>
    <xf numFmtId="44" fontId="2" fillId="0" borderId="0" xfId="0" applyNumberFormat="1" applyFont="1" applyAlignment="1">
      <alignment horizontal="center"/>
    </xf>
    <xf numFmtId="44" fontId="0" fillId="0" borderId="0" xfId="0" applyNumberFormat="1" applyBorder="1" applyAlignment="1">
      <alignment horizontal="center"/>
    </xf>
    <xf numFmtId="44" fontId="11" fillId="0" borderId="0" xfId="0" applyNumberFormat="1" applyFont="1"/>
    <xf numFmtId="44" fontId="0" fillId="0" borderId="0" xfId="0" applyNumberForma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44" fontId="0" fillId="0" borderId="8" xfId="1" applyFont="1" applyFill="1" applyBorder="1" applyAlignment="1">
      <alignment horizontal="center" vertical="center"/>
    </xf>
    <xf numFmtId="44" fontId="0" fillId="0" borderId="5" xfId="1" applyFont="1" applyFill="1" applyBorder="1" applyAlignment="1">
      <alignment horizontal="center" vertical="center"/>
    </xf>
    <xf numFmtId="44" fontId="0" fillId="0" borderId="2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8" xfId="1" applyFont="1" applyFill="1" applyBorder="1" applyAlignment="1">
      <alignment horizontal="center" vertical="center"/>
    </xf>
    <xf numFmtId="44" fontId="0" fillId="0" borderId="5" xfId="1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44" fontId="0" fillId="0" borderId="2" xfId="0" applyNumberFormat="1" applyFill="1" applyBorder="1" applyAlignment="1">
      <alignment horizontal="center" vertical="center"/>
    </xf>
    <xf numFmtId="44" fontId="0" fillId="0" borderId="26" xfId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4" fontId="2" fillId="0" borderId="15" xfId="1" applyFont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44" fontId="0" fillId="2" borderId="9" xfId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44" fontId="0" fillId="2" borderId="6" xfId="1" applyFont="1" applyFill="1" applyBorder="1" applyAlignment="1">
      <alignment horizontal="center"/>
    </xf>
    <xf numFmtId="44" fontId="0" fillId="0" borderId="21" xfId="0" applyNumberForma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44" fontId="2" fillId="2" borderId="3" xfId="1" applyFont="1" applyFill="1" applyBorder="1" applyAlignment="1">
      <alignment horizontal="center"/>
    </xf>
    <xf numFmtId="44" fontId="0" fillId="0" borderId="24" xfId="0" applyNumberFormat="1" applyFont="1" applyBorder="1" applyAlignment="1">
      <alignment horizontal="center"/>
    </xf>
    <xf numFmtId="44" fontId="2" fillId="0" borderId="24" xfId="0" applyNumberFormat="1" applyFont="1" applyBorder="1" applyAlignment="1">
      <alignment horizontal="center"/>
    </xf>
    <xf numFmtId="44" fontId="0" fillId="0" borderId="42" xfId="1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/>
    </xf>
    <xf numFmtId="0" fontId="0" fillId="0" borderId="44" xfId="0" applyBorder="1" applyAlignment="1">
      <alignment horizontal="center" vertical="center"/>
    </xf>
    <xf numFmtId="44" fontId="0" fillId="0" borderId="6" xfId="0" applyNumberFormat="1" applyFill="1" applyBorder="1" applyAlignment="1">
      <alignment horizontal="center" vertical="center"/>
    </xf>
    <xf numFmtId="44" fontId="0" fillId="0" borderId="38" xfId="0" applyNumberFormat="1" applyFill="1" applyBorder="1" applyAlignment="1">
      <alignment horizontal="center" vertical="center"/>
    </xf>
    <xf numFmtId="44" fontId="8" fillId="0" borderId="6" xfId="0" applyNumberFormat="1" applyFont="1" applyFill="1" applyBorder="1" applyAlignment="1">
      <alignment horizontal="center" vertical="center"/>
    </xf>
    <xf numFmtId="44" fontId="0" fillId="0" borderId="3" xfId="0" applyNumberFormat="1" applyFill="1" applyBorder="1" applyAlignment="1">
      <alignment horizontal="center" vertical="center"/>
    </xf>
    <xf numFmtId="44" fontId="0" fillId="0" borderId="21" xfId="0" applyNumberFormat="1" applyFill="1" applyBorder="1" applyAlignment="1">
      <alignment horizontal="center" vertical="center"/>
    </xf>
    <xf numFmtId="44" fontId="0" fillId="0" borderId="27" xfId="0" applyNumberFormat="1" applyFill="1" applyBorder="1" applyAlignment="1">
      <alignment horizontal="center" vertical="center"/>
    </xf>
    <xf numFmtId="44" fontId="8" fillId="0" borderId="21" xfId="0" applyNumberFormat="1" applyFont="1" applyFill="1" applyBorder="1" applyAlignment="1">
      <alignment horizontal="center" vertical="center"/>
    </xf>
    <xf numFmtId="44" fontId="0" fillId="0" borderId="9" xfId="0" applyNumberFormat="1" applyFill="1" applyBorder="1" applyAlignment="1">
      <alignment horizontal="center" vertical="center"/>
    </xf>
    <xf numFmtId="44" fontId="0" fillId="0" borderId="19" xfId="0" applyNumberFormat="1" applyFill="1" applyBorder="1" applyAlignment="1">
      <alignment horizontal="center" vertical="center"/>
    </xf>
    <xf numFmtId="44" fontId="0" fillId="0" borderId="41" xfId="1" applyFont="1" applyFill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44" fontId="0" fillId="0" borderId="6" xfId="0" applyNumberFormat="1" applyFont="1" applyFill="1" applyBorder="1" applyAlignment="1">
      <alignment vertical="center"/>
    </xf>
    <xf numFmtId="44" fontId="2" fillId="0" borderId="3" xfId="0" applyNumberFormat="1" applyFont="1" applyBorder="1" applyAlignment="1">
      <alignment horizontal="center"/>
    </xf>
    <xf numFmtId="44" fontId="0" fillId="0" borderId="27" xfId="0" applyNumberFormat="1" applyFont="1" applyBorder="1" applyAlignment="1">
      <alignment horizontal="center" vertical="center"/>
    </xf>
    <xf numFmtId="44" fontId="0" fillId="0" borderId="21" xfId="0" applyNumberFormat="1" applyFont="1" applyBorder="1" applyAlignment="1">
      <alignment horizontal="center" vertical="center"/>
    </xf>
    <xf numFmtId="44" fontId="2" fillId="0" borderId="24" xfId="0" applyNumberFormat="1" applyFont="1" applyBorder="1" applyAlignment="1">
      <alignment horizontal="center" vertical="center"/>
    </xf>
    <xf numFmtId="44" fontId="0" fillId="0" borderId="47" xfId="0" applyNumberFormat="1" applyFont="1" applyBorder="1" applyAlignment="1">
      <alignment horizontal="center" vertical="center"/>
    </xf>
    <xf numFmtId="44" fontId="0" fillId="0" borderId="31" xfId="0" applyNumberFormat="1" applyFont="1" applyBorder="1" applyAlignment="1">
      <alignment horizontal="center" vertical="center"/>
    </xf>
    <xf numFmtId="44" fontId="0" fillId="0" borderId="31" xfId="1" applyFont="1" applyFill="1" applyBorder="1" applyAlignment="1">
      <alignment vertical="center"/>
    </xf>
    <xf numFmtId="44" fontId="2" fillId="0" borderId="32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44" fontId="0" fillId="0" borderId="38" xfId="1" applyFont="1" applyBorder="1" applyAlignment="1">
      <alignment horizontal="center" vertical="center"/>
    </xf>
    <xf numFmtId="44" fontId="0" fillId="0" borderId="6" xfId="1" applyFont="1" applyBorder="1" applyAlignment="1">
      <alignment horizontal="center" vertical="center"/>
    </xf>
    <xf numFmtId="44" fontId="2" fillId="2" borderId="24" xfId="0" applyNumberFormat="1" applyFont="1" applyFill="1" applyBorder="1" applyAlignment="1">
      <alignment horizontal="center" vertical="center"/>
    </xf>
    <xf numFmtId="44" fontId="2" fillId="0" borderId="24" xfId="0" applyNumberFormat="1" applyFont="1" applyFill="1" applyBorder="1" applyAlignment="1">
      <alignment horizontal="center" vertical="center"/>
    </xf>
    <xf numFmtId="44" fontId="2" fillId="0" borderId="46" xfId="0" applyNumberFormat="1" applyFont="1" applyFill="1" applyBorder="1" applyAlignment="1">
      <alignment horizontal="center" vertical="center"/>
    </xf>
    <xf numFmtId="0" fontId="2" fillId="0" borderId="37" xfId="0" applyFont="1" applyBorder="1" applyAlignment="1">
      <alignment vertical="center"/>
    </xf>
    <xf numFmtId="0" fontId="0" fillId="0" borderId="19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 wrapText="1"/>
    </xf>
    <xf numFmtId="44" fontId="0" fillId="0" borderId="14" xfId="1" applyFont="1" applyFill="1" applyBorder="1" applyAlignment="1">
      <alignment horizontal="center" vertical="center"/>
    </xf>
    <xf numFmtId="44" fontId="0" fillId="0" borderId="7" xfId="0" applyNumberFormat="1" applyFill="1" applyBorder="1" applyAlignment="1">
      <alignment horizontal="center" vertical="center"/>
    </xf>
    <xf numFmtId="44" fontId="0" fillId="0" borderId="13" xfId="1" applyFont="1" applyFill="1" applyBorder="1" applyAlignment="1">
      <alignment horizontal="center" vertical="center"/>
    </xf>
    <xf numFmtId="44" fontId="0" fillId="0" borderId="4" xfId="0" applyNumberFormat="1" applyFill="1" applyBorder="1" applyAlignment="1">
      <alignment horizontal="center" vertical="center"/>
    </xf>
    <xf numFmtId="44" fontId="0" fillId="0" borderId="13" xfId="0" applyNumberFormat="1" applyFill="1" applyBorder="1" applyAlignment="1">
      <alignment horizontal="center" vertical="center"/>
    </xf>
    <xf numFmtId="44" fontId="0" fillId="0" borderId="12" xfId="0" applyNumberFormat="1" applyFill="1" applyBorder="1" applyAlignment="1">
      <alignment horizontal="center" vertical="center"/>
    </xf>
    <xf numFmtId="44" fontId="2" fillId="0" borderId="1" xfId="0" applyNumberFormat="1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164" fontId="0" fillId="2" borderId="50" xfId="1" applyNumberFormat="1" applyFon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164" fontId="0" fillId="0" borderId="51" xfId="0" applyNumberFormat="1" applyFill="1" applyBorder="1" applyAlignment="1">
      <alignment horizontal="center" vertical="center"/>
    </xf>
    <xf numFmtId="164" fontId="0" fillId="0" borderId="12" xfId="0" applyNumberForma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0" fillId="2" borderId="8" xfId="1" applyNumberFormat="1" applyFont="1" applyFill="1" applyBorder="1" applyAlignment="1">
      <alignment horizontal="center" vertical="center"/>
    </xf>
    <xf numFmtId="164" fontId="0" fillId="2" borderId="14" xfId="1" applyNumberFormat="1" applyFont="1" applyFill="1" applyBorder="1" applyAlignment="1">
      <alignment horizontal="center" vertical="center"/>
    </xf>
    <xf numFmtId="44" fontId="0" fillId="0" borderId="52" xfId="1" applyFont="1" applyFill="1" applyBorder="1" applyAlignment="1">
      <alignment horizontal="center" vertical="center"/>
    </xf>
    <xf numFmtId="164" fontId="2" fillId="0" borderId="53" xfId="0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0" fillId="0" borderId="14" xfId="0" applyNumberFormat="1" applyFill="1" applyBorder="1" applyAlignment="1">
      <alignment horizontal="center" vertical="center"/>
    </xf>
    <xf numFmtId="164" fontId="0" fillId="0" borderId="54" xfId="0" applyNumberFormat="1" applyFill="1" applyBorder="1" applyAlignment="1">
      <alignment horizontal="center" vertical="center"/>
    </xf>
    <xf numFmtId="164" fontId="0" fillId="0" borderId="55" xfId="0" applyNumberFormat="1" applyFill="1" applyBorder="1" applyAlignment="1">
      <alignment horizontal="center" vertical="center"/>
    </xf>
    <xf numFmtId="164" fontId="0" fillId="0" borderId="50" xfId="0" applyNumberFormat="1" applyFill="1" applyBorder="1" applyAlignment="1">
      <alignment horizontal="center" vertical="center"/>
    </xf>
    <xf numFmtId="164" fontId="0" fillId="0" borderId="5" xfId="1" applyNumberFormat="1" applyFont="1" applyFill="1" applyBorder="1" applyAlignment="1">
      <alignment horizontal="center" vertical="center"/>
    </xf>
    <xf numFmtId="164" fontId="0" fillId="0" borderId="13" xfId="1" applyNumberFormat="1" applyFon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0" fillId="0" borderId="50" xfId="1" applyNumberFormat="1" applyFont="1" applyFill="1" applyBorder="1" applyAlignment="1">
      <alignment horizontal="center" vertical="center"/>
    </xf>
    <xf numFmtId="164" fontId="0" fillId="2" borderId="35" xfId="1" applyNumberFormat="1" applyFont="1" applyFill="1" applyBorder="1" applyAlignment="1">
      <alignment horizontal="center" vertical="center"/>
    </xf>
    <xf numFmtId="164" fontId="0" fillId="2" borderId="54" xfId="1" applyNumberFormat="1" applyFont="1" applyFill="1" applyBorder="1" applyAlignment="1">
      <alignment horizontal="center" vertical="center"/>
    </xf>
    <xf numFmtId="44" fontId="0" fillId="0" borderId="36" xfId="0" applyNumberFormat="1" applyFill="1" applyBorder="1" applyAlignment="1">
      <alignment horizontal="center" vertical="center"/>
    </xf>
    <xf numFmtId="44" fontId="8" fillId="0" borderId="45" xfId="0" applyNumberFormat="1" applyFont="1" applyFill="1" applyBorder="1" applyAlignment="1">
      <alignment horizontal="center" vertical="center"/>
    </xf>
    <xf numFmtId="0" fontId="3" fillId="0" borderId="0" xfId="0" applyFont="1"/>
    <xf numFmtId="44" fontId="0" fillId="0" borderId="30" xfId="0" applyNumberFormat="1" applyFill="1" applyBorder="1" applyAlignment="1">
      <alignment horizontal="center" vertical="center"/>
    </xf>
    <xf numFmtId="44" fontId="0" fillId="0" borderId="32" xfId="0" applyNumberForma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44" fontId="0" fillId="0" borderId="24" xfId="0" applyNumberForma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.IDB/Documents/Raimon%20Puigjaner/VPS/INE%20Sector/WSA%20Division/AquaRating/Project%20Execution/Project%20Management/AquaRating%20master%20budget%20-%20May%208th,%20'14%20-%20R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sheet"/>
      <sheetName val="Component 1"/>
      <sheetName val="Component 2"/>
      <sheetName val="Component 3"/>
      <sheetName val="Component 4"/>
      <sheetName val="Component 5"/>
      <sheetName val="Budget increase"/>
    </sheetNames>
    <sheetDataSet>
      <sheetData sheetId="0"/>
      <sheetData sheetId="1">
        <row r="23">
          <cell r="E23">
            <v>8349</v>
          </cell>
          <cell r="F23">
            <v>6327.6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activeCell="B28" sqref="B28"/>
    </sheetView>
  </sheetViews>
  <sheetFormatPr defaultColWidth="8.85546875" defaultRowHeight="15" x14ac:dyDescent="0.25"/>
  <cols>
    <col min="1" max="1" width="73.140625" style="12" bestFit="1" customWidth="1"/>
    <col min="2" max="2" width="15.140625" style="12" customWidth="1"/>
    <col min="3" max="4" width="15.140625" style="12" bestFit="1" customWidth="1"/>
    <col min="5" max="5" width="13.140625" style="12" customWidth="1"/>
    <col min="6" max="6" width="8.85546875" style="12"/>
    <col min="7" max="7" width="14.28515625" style="12" bestFit="1" customWidth="1"/>
    <col min="8" max="8" width="10" style="12" bestFit="1" customWidth="1"/>
    <col min="9" max="16384" width="8.85546875" style="12"/>
  </cols>
  <sheetData>
    <row r="1" spans="1:7" x14ac:dyDescent="0.25">
      <c r="A1" s="58" t="s">
        <v>50</v>
      </c>
    </row>
    <row r="2" spans="1:7" x14ac:dyDescent="0.25">
      <c r="A2" s="10" t="s">
        <v>29</v>
      </c>
    </row>
    <row r="4" spans="1:7" ht="29.25" customHeight="1" thickBot="1" x14ac:dyDescent="0.3">
      <c r="A4" s="52" t="s">
        <v>42</v>
      </c>
      <c r="B4" s="81"/>
      <c r="C4" s="81"/>
      <c r="D4" s="81"/>
    </row>
    <row r="5" spans="1:7" ht="15.75" thickBot="1" x14ac:dyDescent="0.3">
      <c r="B5" s="90" t="s">
        <v>24</v>
      </c>
      <c r="C5" s="153" t="s">
        <v>25</v>
      </c>
      <c r="D5" s="154" t="s">
        <v>37</v>
      </c>
    </row>
    <row r="6" spans="1:7" x14ac:dyDescent="0.25">
      <c r="A6" s="19" t="s">
        <v>28</v>
      </c>
      <c r="B6" s="72">
        <f>'Component 1''s budget'!E14</f>
        <v>36054.996666666666</v>
      </c>
      <c r="C6" s="166">
        <f>0</f>
        <v>0</v>
      </c>
      <c r="D6" s="156">
        <f t="shared" ref="D6" si="0">B6+C6</f>
        <v>36054.996666666666</v>
      </c>
    </row>
    <row r="7" spans="1:7" x14ac:dyDescent="0.25">
      <c r="A7" s="54" t="s">
        <v>31</v>
      </c>
      <c r="B7" s="170">
        <f>'Component 2''s budget'!B12</f>
        <v>219786.42499999999</v>
      </c>
      <c r="C7" s="171">
        <f>'Component 2''s budget'!C12</f>
        <v>229962.92499999999</v>
      </c>
      <c r="D7" s="172">
        <f>B7+C7</f>
        <v>449749.35</v>
      </c>
    </row>
    <row r="8" spans="1:7" x14ac:dyDescent="0.25">
      <c r="A8" s="54" t="s">
        <v>30</v>
      </c>
      <c r="B8" s="72">
        <f>'Component 3''s budget'!L5+'Component 3''s budget'!B12+'Component 3''s budget'!B17</f>
        <v>68030</v>
      </c>
      <c r="C8" s="169">
        <f>'Component 3''s budget'!C17</f>
        <v>9400</v>
      </c>
      <c r="D8" s="157">
        <f>B8+C8</f>
        <v>77430</v>
      </c>
    </row>
    <row r="9" spans="1:7" x14ac:dyDescent="0.25">
      <c r="A9" s="54" t="s">
        <v>32</v>
      </c>
      <c r="B9" s="68">
        <f>'Component 4''s budget'!B8</f>
        <v>143633</v>
      </c>
      <c r="C9" s="169">
        <f>'Component 4''s budget'!C8</f>
        <v>143633</v>
      </c>
      <c r="D9" s="157">
        <f t="shared" ref="D9:D11" si="1">B9+C9</f>
        <v>287266</v>
      </c>
    </row>
    <row r="10" spans="1:7" x14ac:dyDescent="0.25">
      <c r="A10" s="54" t="s">
        <v>33</v>
      </c>
      <c r="B10" s="68">
        <f>'Component 5''s budget'!B9</f>
        <v>70750</v>
      </c>
      <c r="C10" s="169">
        <f>'Component 5''s budget'!C9</f>
        <v>70750</v>
      </c>
      <c r="D10" s="157">
        <f t="shared" si="1"/>
        <v>141500</v>
      </c>
    </row>
    <row r="11" spans="1:7" s="81" customFormat="1" x14ac:dyDescent="0.25">
      <c r="A11" s="55" t="s">
        <v>66</v>
      </c>
      <c r="B11" s="69">
        <f>'Procurement supervision'!B6</f>
        <v>4000</v>
      </c>
      <c r="C11" s="167">
        <f>'Procurement supervision'!C6</f>
        <v>4000</v>
      </c>
      <c r="D11" s="157">
        <f t="shared" si="1"/>
        <v>8000</v>
      </c>
    </row>
    <row r="12" spans="1:7" ht="15.75" thickBot="1" x14ac:dyDescent="0.3">
      <c r="A12" s="51" t="s">
        <v>37</v>
      </c>
      <c r="B12" s="70">
        <f>SUM(B6:B10)</f>
        <v>538254.42166666663</v>
      </c>
      <c r="C12" s="158">
        <f>SUM(C6:C10)</f>
        <v>453745.92499999999</v>
      </c>
      <c r="D12" s="159">
        <f>SUM(D6:D11)</f>
        <v>1000000.3466666667</v>
      </c>
    </row>
    <row r="14" spans="1:7" ht="15.75" thickBot="1" x14ac:dyDescent="0.3">
      <c r="A14" s="52" t="s">
        <v>57</v>
      </c>
      <c r="B14" s="81"/>
      <c r="C14" s="81"/>
      <c r="D14" s="81"/>
      <c r="G14" s="76"/>
    </row>
    <row r="15" spans="1:7" ht="15.75" thickBot="1" x14ac:dyDescent="0.3">
      <c r="B15" s="13" t="s">
        <v>24</v>
      </c>
      <c r="C15" s="164" t="s">
        <v>25</v>
      </c>
      <c r="D15" s="165" t="s">
        <v>37</v>
      </c>
    </row>
    <row r="16" spans="1:7" x14ac:dyDescent="0.25">
      <c r="A16" s="19" t="s">
        <v>31</v>
      </c>
      <c r="B16" s="71">
        <f>'Component 2''s budget'!B16+'Component 2''s budget'!B17+'Component 2''s budget'!B18</f>
        <v>131502</v>
      </c>
      <c r="C16" s="166">
        <f>'Component 2''s budget'!C16+'Component 2''s budget'!C17+'Component 2''s budget'!C18</f>
        <v>131502</v>
      </c>
      <c r="D16" s="156">
        <f>B16+C16</f>
        <v>263004</v>
      </c>
    </row>
    <row r="17" spans="1:7" x14ac:dyDescent="0.25">
      <c r="A17" s="55" t="s">
        <v>33</v>
      </c>
      <c r="B17" s="69">
        <f>'Component 5''s budget'!B13</f>
        <v>12500</v>
      </c>
      <c r="C17" s="167">
        <f>'Component 5''s budget'!C13</f>
        <v>12500</v>
      </c>
      <c r="D17" s="168">
        <f>B17+C17</f>
        <v>25000</v>
      </c>
    </row>
    <row r="18" spans="1:7" ht="15.75" thickBot="1" x14ac:dyDescent="0.3">
      <c r="A18" s="51" t="s">
        <v>37</v>
      </c>
      <c r="B18" s="70">
        <f>SUM(B16:B17)</f>
        <v>144002</v>
      </c>
      <c r="C18" s="158">
        <f>SUM(C16:C17)</f>
        <v>144002</v>
      </c>
      <c r="D18" s="159">
        <f>SUM(D16:D17)</f>
        <v>288004</v>
      </c>
      <c r="G18" s="76"/>
    </row>
    <row r="20" spans="1:7" ht="15.75" thickBot="1" x14ac:dyDescent="0.3">
      <c r="A20" s="87" t="s">
        <v>58</v>
      </c>
      <c r="B20" s="81"/>
      <c r="C20" s="81"/>
      <c r="D20" s="81"/>
    </row>
    <row r="21" spans="1:7" ht="15.75" thickBot="1" x14ac:dyDescent="0.3">
      <c r="A21" s="89"/>
      <c r="B21" s="90" t="s">
        <v>24</v>
      </c>
      <c r="C21" s="153" t="s">
        <v>25</v>
      </c>
      <c r="D21" s="154" t="s">
        <v>37</v>
      </c>
    </row>
    <row r="22" spans="1:7" ht="15.75" thickBot="1" x14ac:dyDescent="0.3">
      <c r="A22" s="88" t="s">
        <v>31</v>
      </c>
      <c r="B22" s="109">
        <f>'Component 2''s budget'!B23</f>
        <v>34455</v>
      </c>
      <c r="C22" s="162">
        <f>'Component 2''s budget'!C23</f>
        <v>37600</v>
      </c>
      <c r="D22" s="163">
        <f>B22+C22</f>
        <v>72055</v>
      </c>
      <c r="E22" s="92"/>
      <c r="G22" s="92"/>
    </row>
    <row r="25" spans="1:7" ht="15.75" thickBot="1" x14ac:dyDescent="0.3">
      <c r="A25" s="87" t="s">
        <v>65</v>
      </c>
    </row>
    <row r="26" spans="1:7" ht="15.75" thickBot="1" x14ac:dyDescent="0.3">
      <c r="A26" s="81"/>
      <c r="B26" s="90" t="s">
        <v>24</v>
      </c>
      <c r="C26" s="153" t="s">
        <v>25</v>
      </c>
      <c r="D26" s="154" t="s">
        <v>37</v>
      </c>
    </row>
    <row r="27" spans="1:7" x14ac:dyDescent="0.25">
      <c r="A27" s="19" t="s">
        <v>28</v>
      </c>
      <c r="B27" s="160">
        <f>B6</f>
        <v>36054.996666666666</v>
      </c>
      <c r="C27" s="161">
        <f>C6</f>
        <v>0</v>
      </c>
      <c r="D27" s="156">
        <f t="shared" ref="D27" si="2">B27+C27</f>
        <v>36054.996666666666</v>
      </c>
    </row>
    <row r="28" spans="1:7" x14ac:dyDescent="0.25">
      <c r="A28" s="54" t="s">
        <v>31</v>
      </c>
      <c r="B28" s="68">
        <f>B7+B16+B22</f>
        <v>385743.42499999999</v>
      </c>
      <c r="C28" s="173">
        <f>C7+C16+C22</f>
        <v>399064.92499999999</v>
      </c>
      <c r="D28" s="172">
        <f>B28+C28</f>
        <v>784808.35</v>
      </c>
    </row>
    <row r="29" spans="1:7" x14ac:dyDescent="0.25">
      <c r="A29" s="54" t="s">
        <v>30</v>
      </c>
      <c r="B29" s="72">
        <f>B8</f>
        <v>68030</v>
      </c>
      <c r="C29" s="155">
        <f>C8</f>
        <v>9400</v>
      </c>
      <c r="D29" s="157">
        <f>B29+C29</f>
        <v>77430</v>
      </c>
    </row>
    <row r="30" spans="1:7" x14ac:dyDescent="0.25">
      <c r="A30" s="54" t="s">
        <v>32</v>
      </c>
      <c r="B30" s="68">
        <f>B9</f>
        <v>143633</v>
      </c>
      <c r="C30" s="173">
        <f>C9</f>
        <v>143633</v>
      </c>
      <c r="D30" s="157">
        <f t="shared" ref="D30:D32" si="3">B30+C30</f>
        <v>287266</v>
      </c>
    </row>
    <row r="31" spans="1:7" x14ac:dyDescent="0.25">
      <c r="A31" s="54" t="s">
        <v>33</v>
      </c>
      <c r="B31" s="72">
        <f>B10+B17</f>
        <v>83250</v>
      </c>
      <c r="C31" s="155">
        <f>C10+C17</f>
        <v>83250</v>
      </c>
      <c r="D31" s="157">
        <f t="shared" si="3"/>
        <v>166500</v>
      </c>
    </row>
    <row r="32" spans="1:7" s="81" customFormat="1" x14ac:dyDescent="0.25">
      <c r="A32" s="55" t="s">
        <v>66</v>
      </c>
      <c r="B32" s="174">
        <f>B11</f>
        <v>4000</v>
      </c>
      <c r="C32" s="175">
        <f>C11</f>
        <v>4000</v>
      </c>
      <c r="D32" s="157">
        <f t="shared" si="3"/>
        <v>8000</v>
      </c>
    </row>
    <row r="33" spans="1:4" ht="15.75" thickBot="1" x14ac:dyDescent="0.3">
      <c r="A33" s="51" t="s">
        <v>37</v>
      </c>
      <c r="B33" s="70">
        <f>SUM(B27:B31)</f>
        <v>716711.42166666663</v>
      </c>
      <c r="C33" s="158">
        <f>SUM(C27:C31)</f>
        <v>635347.92500000005</v>
      </c>
      <c r="D33" s="159">
        <f>SUM(D27:D32)</f>
        <v>1360059.3466666667</v>
      </c>
    </row>
    <row r="37" spans="1:4" ht="15.75" thickBot="1" x14ac:dyDescent="0.3">
      <c r="A37" s="87" t="s">
        <v>62</v>
      </c>
      <c r="B37" s="81"/>
      <c r="C37" s="81"/>
      <c r="D37" s="81"/>
    </row>
    <row r="38" spans="1:4" ht="15.75" thickBot="1" x14ac:dyDescent="0.3">
      <c r="A38" s="81"/>
      <c r="B38" s="90" t="s">
        <v>63</v>
      </c>
      <c r="C38" s="153" t="s">
        <v>64</v>
      </c>
      <c r="D38" s="154" t="s">
        <v>37</v>
      </c>
    </row>
    <row r="39" spans="1:4" x14ac:dyDescent="0.25">
      <c r="A39" s="19" t="s">
        <v>28</v>
      </c>
      <c r="B39" s="72">
        <f t="shared" ref="B39:B44" si="4">D6</f>
        <v>36054.996666666666</v>
      </c>
      <c r="C39" s="155">
        <f>0</f>
        <v>0</v>
      </c>
      <c r="D39" s="156">
        <f t="shared" ref="D39" si="5">B39+C39</f>
        <v>36054.996666666666</v>
      </c>
    </row>
    <row r="40" spans="1:4" x14ac:dyDescent="0.25">
      <c r="A40" s="54" t="s">
        <v>31</v>
      </c>
      <c r="B40" s="68">
        <f t="shared" si="4"/>
        <v>449749.35</v>
      </c>
      <c r="C40" s="173">
        <f>D16+D22</f>
        <v>335059</v>
      </c>
      <c r="D40" s="172">
        <f>B40+C40</f>
        <v>784808.35</v>
      </c>
    </row>
    <row r="41" spans="1:4" x14ac:dyDescent="0.25">
      <c r="A41" s="54" t="s">
        <v>30</v>
      </c>
      <c r="B41" s="72">
        <f t="shared" si="4"/>
        <v>77430</v>
      </c>
      <c r="C41" s="155">
        <v>0</v>
      </c>
      <c r="D41" s="157">
        <f>B41+C41</f>
        <v>77430</v>
      </c>
    </row>
    <row r="42" spans="1:4" x14ac:dyDescent="0.25">
      <c r="A42" s="54" t="s">
        <v>32</v>
      </c>
      <c r="B42" s="68">
        <f t="shared" si="4"/>
        <v>287266</v>
      </c>
      <c r="C42" s="173">
        <v>0</v>
      </c>
      <c r="D42" s="157">
        <f t="shared" ref="D42:D44" si="6">B42+C42</f>
        <v>287266</v>
      </c>
    </row>
    <row r="43" spans="1:4" x14ac:dyDescent="0.25">
      <c r="A43" s="54" t="s">
        <v>33</v>
      </c>
      <c r="B43" s="72">
        <f t="shared" si="4"/>
        <v>141500</v>
      </c>
      <c r="C43" s="155">
        <f>D17</f>
        <v>25000</v>
      </c>
      <c r="D43" s="157">
        <f t="shared" si="6"/>
        <v>166500</v>
      </c>
    </row>
    <row r="44" spans="1:4" s="81" customFormat="1" x14ac:dyDescent="0.25">
      <c r="A44" s="55" t="s">
        <v>66</v>
      </c>
      <c r="B44" s="174">
        <f t="shared" si="4"/>
        <v>8000</v>
      </c>
      <c r="C44" s="173">
        <v>0</v>
      </c>
      <c r="D44" s="157">
        <f t="shared" si="6"/>
        <v>8000</v>
      </c>
    </row>
    <row r="45" spans="1:4" ht="15.75" thickBot="1" x14ac:dyDescent="0.3">
      <c r="A45" s="51" t="s">
        <v>37</v>
      </c>
      <c r="B45" s="70">
        <f>SUM(B39:B44)</f>
        <v>1000000.3466666667</v>
      </c>
      <c r="C45" s="158">
        <f>SUM(C39:C43)</f>
        <v>360059</v>
      </c>
      <c r="D45" s="159">
        <f>SUM(D39:D44)</f>
        <v>1360059.3466666667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4"/>
  <sheetViews>
    <sheetView workbookViewId="0">
      <selection activeCell="B21" sqref="B21"/>
    </sheetView>
  </sheetViews>
  <sheetFormatPr defaultRowHeight="15" x14ac:dyDescent="0.25"/>
  <cols>
    <col min="1" max="1" width="46.28515625" bestFit="1" customWidth="1"/>
    <col min="2" max="2" width="64.85546875" bestFit="1" customWidth="1"/>
    <col min="3" max="3" width="20.5703125" hidden="1" customWidth="1"/>
    <col min="4" max="4" width="13.85546875" customWidth="1"/>
    <col min="5" max="6" width="11.5703125" bestFit="1" customWidth="1"/>
  </cols>
  <sheetData>
    <row r="1" spans="1:6" x14ac:dyDescent="0.25">
      <c r="A1" s="11" t="s">
        <v>61</v>
      </c>
      <c r="B1" s="5"/>
    </row>
    <row r="2" spans="1:6" x14ac:dyDescent="0.25">
      <c r="A2" s="10" t="s">
        <v>29</v>
      </c>
      <c r="B2" s="5"/>
    </row>
    <row r="3" spans="1:6" ht="15.75" thickBot="1" x14ac:dyDescent="0.3">
      <c r="A3" s="10"/>
      <c r="B3" s="5"/>
    </row>
    <row r="4" spans="1:6" ht="15.75" thickBot="1" x14ac:dyDescent="0.3">
      <c r="A4" s="94"/>
      <c r="B4" s="94"/>
      <c r="C4" s="95"/>
      <c r="D4" s="114" t="s">
        <v>24</v>
      </c>
      <c r="E4" s="32" t="s">
        <v>37</v>
      </c>
    </row>
    <row r="5" spans="1:6" x14ac:dyDescent="0.25">
      <c r="A5" s="96" t="s">
        <v>8</v>
      </c>
      <c r="B5" s="97"/>
      <c r="C5" s="98"/>
      <c r="D5" s="99" t="s">
        <v>9</v>
      </c>
      <c r="E5" s="99" t="str">
        <f>D5</f>
        <v>N.A.</v>
      </c>
    </row>
    <row r="6" spans="1:6" x14ac:dyDescent="0.25">
      <c r="A6" s="100"/>
      <c r="B6" s="101" t="s">
        <v>7</v>
      </c>
      <c r="C6" s="102">
        <f>((10000*0.22)+(23000*0.22))</f>
        <v>7260</v>
      </c>
      <c r="D6" s="103">
        <f>C6*2/3</f>
        <v>4840</v>
      </c>
      <c r="E6" s="103">
        <f>D6</f>
        <v>4840</v>
      </c>
    </row>
    <row r="7" spans="1:6" x14ac:dyDescent="0.25">
      <c r="A7" s="100"/>
      <c r="B7" s="101" t="s">
        <v>6</v>
      </c>
      <c r="C7" s="102">
        <f>10000*0.22</f>
        <v>2200</v>
      </c>
      <c r="D7" s="103">
        <f>C7*2/3</f>
        <v>1466.6666666666667</v>
      </c>
      <c r="E7" s="103">
        <f t="shared" ref="E7:E13" si="0">D7</f>
        <v>1466.6666666666667</v>
      </c>
    </row>
    <row r="8" spans="1:6" x14ac:dyDescent="0.25">
      <c r="A8" s="100"/>
      <c r="B8" s="101" t="s">
        <v>5</v>
      </c>
      <c r="C8" s="102">
        <f>'[1]Component 1'!E23+'[1]Component 1'!F23</f>
        <v>14676.6</v>
      </c>
      <c r="D8" s="103">
        <f>C8*2/3</f>
        <v>9784.4</v>
      </c>
      <c r="E8" s="103">
        <f t="shared" si="0"/>
        <v>9784.4</v>
      </c>
    </row>
    <row r="9" spans="1:6" x14ac:dyDescent="0.25">
      <c r="A9" s="100"/>
      <c r="B9" s="101" t="s">
        <v>4</v>
      </c>
      <c r="C9" s="102">
        <f>(10000*0.22)+(23000*0.22)</f>
        <v>7260</v>
      </c>
      <c r="D9" s="103">
        <f>C9*2/3</f>
        <v>4840</v>
      </c>
      <c r="E9" s="103">
        <f t="shared" si="0"/>
        <v>4840</v>
      </c>
    </row>
    <row r="10" spans="1:6" x14ac:dyDescent="0.25">
      <c r="A10" s="100"/>
      <c r="B10" s="101" t="s">
        <v>3</v>
      </c>
      <c r="C10" s="102">
        <f>10000*0.22</f>
        <v>2200</v>
      </c>
      <c r="D10" s="103">
        <f>C10*2/3</f>
        <v>1466.6666666666667</v>
      </c>
      <c r="E10" s="103">
        <f t="shared" si="0"/>
        <v>1466.6666666666667</v>
      </c>
      <c r="F10" s="60"/>
    </row>
    <row r="11" spans="1:6" x14ac:dyDescent="0.25">
      <c r="A11" s="100" t="s">
        <v>2</v>
      </c>
      <c r="B11" s="101"/>
      <c r="C11" s="102">
        <f>(5*700)+(3*700)</f>
        <v>5600</v>
      </c>
      <c r="D11" s="103">
        <f>C11*2/3+363.93</f>
        <v>4097.2633333333333</v>
      </c>
      <c r="E11" s="103">
        <f t="shared" si="0"/>
        <v>4097.2633333333333</v>
      </c>
    </row>
    <row r="12" spans="1:6" x14ac:dyDescent="0.25">
      <c r="A12" s="100" t="s">
        <v>1</v>
      </c>
      <c r="B12" s="101"/>
      <c r="C12" s="102">
        <f>(5*480)+(3*480)</f>
        <v>3840</v>
      </c>
      <c r="D12" s="103">
        <f>C12*2/3</f>
        <v>2560</v>
      </c>
      <c r="E12" s="103">
        <f t="shared" si="0"/>
        <v>2560</v>
      </c>
    </row>
    <row r="13" spans="1:6" x14ac:dyDescent="0.25">
      <c r="A13" s="100" t="s">
        <v>0</v>
      </c>
      <c r="B13" s="101"/>
      <c r="C13" s="102">
        <f>(7*700)+(5*700)+(3*700)</f>
        <v>10500</v>
      </c>
      <c r="D13" s="103">
        <f>C13*2/3</f>
        <v>7000</v>
      </c>
      <c r="E13" s="103">
        <f t="shared" si="0"/>
        <v>7000</v>
      </c>
    </row>
    <row r="14" spans="1:6" ht="15.75" thickBot="1" x14ac:dyDescent="0.3">
      <c r="A14" s="104" t="s">
        <v>37</v>
      </c>
      <c r="B14" s="105"/>
      <c r="C14" s="106">
        <f>SUM(C6:C13)</f>
        <v>53536.6</v>
      </c>
      <c r="D14" s="107">
        <f>SUM(D6:D13)</f>
        <v>36054.996666666666</v>
      </c>
      <c r="E14" s="108">
        <f>SUM(E6:E13)</f>
        <v>36054.996666666666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5"/>
  <sheetViews>
    <sheetView workbookViewId="0">
      <selection activeCell="C11" sqref="C11"/>
    </sheetView>
  </sheetViews>
  <sheetFormatPr defaultColWidth="8.85546875" defaultRowHeight="15" x14ac:dyDescent="0.25"/>
  <cols>
    <col min="1" max="1" width="69.28515625" style="12" bestFit="1" customWidth="1"/>
    <col min="2" max="2" width="15.140625" style="12" customWidth="1"/>
    <col min="3" max="4" width="15.140625" style="12" bestFit="1" customWidth="1"/>
    <col min="5" max="5" width="9.140625" style="12" customWidth="1"/>
    <col min="6" max="6" width="12.5703125" style="12" bestFit="1" customWidth="1"/>
    <col min="7" max="16384" width="8.85546875" style="12"/>
  </cols>
  <sheetData>
    <row r="1" spans="1:9" customFormat="1" x14ac:dyDescent="0.25">
      <c r="A1" s="11" t="s">
        <v>43</v>
      </c>
      <c r="B1" s="6"/>
      <c r="C1" s="6"/>
      <c r="D1" s="6"/>
      <c r="E1" s="6"/>
      <c r="F1" s="6"/>
      <c r="G1" s="6"/>
      <c r="H1" s="6"/>
      <c r="I1" s="6"/>
    </row>
    <row r="2" spans="1:9" customFormat="1" x14ac:dyDescent="0.25">
      <c r="A2" s="10" t="s">
        <v>29</v>
      </c>
      <c r="B2" s="6"/>
      <c r="C2" s="6"/>
      <c r="D2" s="6"/>
      <c r="E2" s="6"/>
      <c r="F2" s="6"/>
      <c r="G2" s="6"/>
      <c r="H2" s="6"/>
      <c r="I2" s="6"/>
    </row>
    <row r="4" spans="1:9" ht="15.75" thickBot="1" x14ac:dyDescent="0.3">
      <c r="A4" s="52" t="s">
        <v>42</v>
      </c>
      <c r="B4" s="142"/>
      <c r="C4" s="142"/>
      <c r="D4" s="142"/>
    </row>
    <row r="5" spans="1:9" ht="15.75" thickBot="1" x14ac:dyDescent="0.3">
      <c r="B5" s="65" t="s">
        <v>24</v>
      </c>
      <c r="C5" s="115" t="s">
        <v>25</v>
      </c>
      <c r="D5" s="113" t="s">
        <v>37</v>
      </c>
    </row>
    <row r="6" spans="1:9" x14ac:dyDescent="0.25">
      <c r="A6" s="19" t="s">
        <v>38</v>
      </c>
      <c r="B6" s="82">
        <f>(75000+15000)*1.38</f>
        <v>124199.99999999999</v>
      </c>
      <c r="C6" s="123">
        <f>B6+(B6*0.03)</f>
        <v>127925.99999999999</v>
      </c>
      <c r="D6" s="124">
        <f>B6+C6</f>
        <v>252125.99999999997</v>
      </c>
    </row>
    <row r="7" spans="1:9" x14ac:dyDescent="0.25">
      <c r="A7" s="53" t="s">
        <v>39</v>
      </c>
      <c r="B7" s="83">
        <f>(32500*1.38)</f>
        <v>44850</v>
      </c>
      <c r="C7" s="116">
        <f>B7+(B7*0.03)</f>
        <v>46195.5</v>
      </c>
      <c r="D7" s="120">
        <f t="shared" ref="D7:D9" si="0">B7+C7</f>
        <v>91045.5</v>
      </c>
    </row>
    <row r="8" spans="1:9" s="81" customFormat="1" x14ac:dyDescent="0.25">
      <c r="A8" s="84" t="s">
        <v>59</v>
      </c>
      <c r="B8" s="83">
        <f>3075+70</f>
        <v>3145</v>
      </c>
      <c r="C8" s="116">
        <v>0</v>
      </c>
      <c r="D8" s="120">
        <f>B8+C8</f>
        <v>3145</v>
      </c>
    </row>
    <row r="9" spans="1:9" x14ac:dyDescent="0.25">
      <c r="A9" s="91" t="s">
        <v>51</v>
      </c>
      <c r="B9" s="86">
        <f>500+6000+3500+(150*12)+3400</f>
        <v>15200</v>
      </c>
      <c r="C9" s="117">
        <f t="shared" ref="C9" si="1">B9</f>
        <v>15200</v>
      </c>
      <c r="D9" s="121">
        <f t="shared" si="0"/>
        <v>30400</v>
      </c>
    </row>
    <row r="10" spans="1:9" x14ac:dyDescent="0.25">
      <c r="A10" s="16" t="s">
        <v>26</v>
      </c>
      <c r="B10" s="17">
        <v>0</v>
      </c>
      <c r="C10" s="118">
        <f>1*((5*1000)+1500+(4*250)+(5*150))</f>
        <v>8250</v>
      </c>
      <c r="D10" s="122">
        <f>B10+C10</f>
        <v>8250</v>
      </c>
    </row>
    <row r="11" spans="1:9" s="81" customFormat="1" x14ac:dyDescent="0.25">
      <c r="A11" s="16" t="s">
        <v>60</v>
      </c>
      <c r="B11" s="176">
        <f>36391.425-4000</f>
        <v>32391.425000000003</v>
      </c>
      <c r="C11" s="177">
        <f>B11</f>
        <v>32391.425000000003</v>
      </c>
      <c r="D11" s="122">
        <f>B11+C11</f>
        <v>64782.850000000006</v>
      </c>
    </row>
    <row r="12" spans="1:9" ht="15.75" thickBot="1" x14ac:dyDescent="0.3">
      <c r="A12" s="51" t="s">
        <v>37</v>
      </c>
      <c r="B12" s="18">
        <f>SUM(B6:B11)</f>
        <v>219786.42499999999</v>
      </c>
      <c r="C12" s="119">
        <f>SUM(C6:C11)</f>
        <v>229962.92499999999</v>
      </c>
      <c r="D12" s="139">
        <f>SUM(D6:D11)</f>
        <v>449749.35</v>
      </c>
      <c r="F12" s="76"/>
    </row>
    <row r="14" spans="1:9" ht="15.75" thickBot="1" x14ac:dyDescent="0.3">
      <c r="A14" s="52" t="s">
        <v>57</v>
      </c>
      <c r="B14" s="142"/>
      <c r="C14" s="142"/>
      <c r="D14" s="142"/>
    </row>
    <row r="15" spans="1:9" ht="15.75" thickBot="1" x14ac:dyDescent="0.3">
      <c r="B15" s="65" t="s">
        <v>24</v>
      </c>
      <c r="C15" s="115" t="s">
        <v>25</v>
      </c>
      <c r="D15" s="113" t="s">
        <v>37</v>
      </c>
    </row>
    <row r="16" spans="1:9" x14ac:dyDescent="0.25">
      <c r="A16" s="19" t="s">
        <v>40</v>
      </c>
      <c r="B16" s="82">
        <f>213004/4</f>
        <v>53251</v>
      </c>
      <c r="C16" s="146">
        <f>213004/4</f>
        <v>53251</v>
      </c>
      <c r="D16" s="147">
        <f>B16+C16</f>
        <v>106502</v>
      </c>
    </row>
    <row r="17" spans="1:6" x14ac:dyDescent="0.25">
      <c r="A17" s="53" t="s">
        <v>41</v>
      </c>
      <c r="B17" s="83">
        <f>213004/4</f>
        <v>53251</v>
      </c>
      <c r="C17" s="148">
        <f>213004/4</f>
        <v>53251</v>
      </c>
      <c r="D17" s="149">
        <f t="shared" ref="D17:D18" si="2">B17+C17</f>
        <v>106502</v>
      </c>
    </row>
    <row r="18" spans="1:6" x14ac:dyDescent="0.25">
      <c r="A18" s="59" t="s">
        <v>52</v>
      </c>
      <c r="B18" s="83">
        <v>25000</v>
      </c>
      <c r="C18" s="150">
        <v>25000</v>
      </c>
      <c r="D18" s="149">
        <f t="shared" si="2"/>
        <v>50000</v>
      </c>
    </row>
    <row r="19" spans="1:6" ht="15.75" thickBot="1" x14ac:dyDescent="0.3">
      <c r="A19" s="51" t="s">
        <v>37</v>
      </c>
      <c r="B19" s="18">
        <f>SUM(B16:B18)</f>
        <v>131502</v>
      </c>
      <c r="C19" s="151">
        <f>SUM(C16:C18)</f>
        <v>131502</v>
      </c>
      <c r="D19" s="152">
        <f>SUM(D16:D18)</f>
        <v>263004</v>
      </c>
    </row>
    <row r="21" spans="1:6" ht="15.75" thickBot="1" x14ac:dyDescent="0.3">
      <c r="A21" s="87" t="s">
        <v>58</v>
      </c>
      <c r="B21" s="77"/>
      <c r="C21" s="77"/>
      <c r="D21" s="77"/>
    </row>
    <row r="22" spans="1:6" ht="15.75" thickBot="1" x14ac:dyDescent="0.3">
      <c r="A22" s="89"/>
      <c r="B22" s="90" t="s">
        <v>24</v>
      </c>
      <c r="C22" s="110" t="s">
        <v>25</v>
      </c>
      <c r="D22" s="111" t="s">
        <v>37</v>
      </c>
    </row>
    <row r="23" spans="1:6" ht="15.75" thickBot="1" x14ac:dyDescent="0.3">
      <c r="A23" s="88" t="s">
        <v>59</v>
      </c>
      <c r="B23" s="109">
        <f>(20*700)+(20*700)+(20*480)-B8</f>
        <v>34455</v>
      </c>
      <c r="C23" s="125">
        <f>(20*700)+(20*700)+(20*480)</f>
        <v>37600</v>
      </c>
      <c r="D23" s="141">
        <f>B23+C23</f>
        <v>72055</v>
      </c>
      <c r="F23" s="76"/>
    </row>
    <row r="25" spans="1:6" x14ac:dyDescent="0.25">
      <c r="D25" s="76"/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8"/>
  <sheetViews>
    <sheetView workbookViewId="0">
      <selection activeCell="C23" sqref="C23"/>
    </sheetView>
  </sheetViews>
  <sheetFormatPr defaultRowHeight="15" x14ac:dyDescent="0.25"/>
  <cols>
    <col min="1" max="1" width="25.140625" style="6" customWidth="1"/>
    <col min="2" max="2" width="12.7109375" style="6" bestFit="1" customWidth="1"/>
    <col min="3" max="3" width="16" style="6" bestFit="1" customWidth="1"/>
    <col min="4" max="4" width="11.5703125" style="6" bestFit="1" customWidth="1"/>
    <col min="5" max="5" width="10.42578125" style="6" bestFit="1" customWidth="1"/>
    <col min="6" max="6" width="11.5703125" style="6" bestFit="1" customWidth="1"/>
    <col min="7" max="7" width="12.7109375" style="6" bestFit="1" customWidth="1"/>
    <col min="8" max="9" width="13.28515625" style="6" bestFit="1" customWidth="1"/>
    <col min="10" max="10" width="13.5703125" style="6" bestFit="1" customWidth="1"/>
    <col min="11" max="11" width="12.5703125" style="6" bestFit="1" customWidth="1"/>
    <col min="12" max="12" width="17.42578125" style="6" bestFit="1" customWidth="1"/>
  </cols>
  <sheetData>
    <row r="1" spans="1:12" x14ac:dyDescent="0.25">
      <c r="A1" s="11" t="s">
        <v>44</v>
      </c>
    </row>
    <row r="2" spans="1:12" x14ac:dyDescent="0.25">
      <c r="A2" s="10" t="s">
        <v>29</v>
      </c>
    </row>
    <row r="3" spans="1:12" ht="15.75" thickBot="1" x14ac:dyDescent="0.3"/>
    <row r="4" spans="1:12" ht="15.75" hidden="1" thickBot="1" x14ac:dyDescent="0.3">
      <c r="A4" s="12"/>
      <c r="B4" s="4" t="s">
        <v>23</v>
      </c>
      <c r="C4" s="3" t="s">
        <v>22</v>
      </c>
      <c r="D4" s="29" t="s">
        <v>21</v>
      </c>
      <c r="E4" s="30" t="s">
        <v>20</v>
      </c>
      <c r="F4" s="30" t="s">
        <v>19</v>
      </c>
      <c r="G4" s="30" t="s">
        <v>18</v>
      </c>
      <c r="H4" s="30" t="s">
        <v>17</v>
      </c>
      <c r="I4" s="30" t="s">
        <v>16</v>
      </c>
      <c r="J4" s="30" t="s">
        <v>15</v>
      </c>
      <c r="K4" s="31" t="s">
        <v>14</v>
      </c>
      <c r="L4" s="32" t="s">
        <v>13</v>
      </c>
    </row>
    <row r="5" spans="1:12" hidden="1" x14ac:dyDescent="0.25">
      <c r="A5" s="33" t="s">
        <v>12</v>
      </c>
      <c r="B5" s="9">
        <v>60</v>
      </c>
      <c r="C5" s="34">
        <v>40</v>
      </c>
      <c r="D5" s="35">
        <v>0</v>
      </c>
      <c r="E5" s="36">
        <v>0</v>
      </c>
      <c r="F5" s="36">
        <v>0</v>
      </c>
      <c r="G5" s="36">
        <v>0</v>
      </c>
      <c r="H5" s="46">
        <v>700</v>
      </c>
      <c r="I5" s="46">
        <v>700</v>
      </c>
      <c r="J5" s="46">
        <v>480</v>
      </c>
      <c r="K5" s="47">
        <v>250</v>
      </c>
      <c r="L5" s="48">
        <f>((B5*H6*H5)+(B5*I6*I5)+(B5*J6*J5)+(C5*K6*K5))*1.5</f>
        <v>49830</v>
      </c>
    </row>
    <row r="6" spans="1:12" hidden="1" x14ac:dyDescent="0.25">
      <c r="A6" s="27" t="s">
        <v>11</v>
      </c>
      <c r="B6" s="25" t="s">
        <v>9</v>
      </c>
      <c r="C6" s="2" t="s">
        <v>9</v>
      </c>
      <c r="D6" s="23">
        <v>0.15</v>
      </c>
      <c r="E6" s="8">
        <v>0.1</v>
      </c>
      <c r="F6" s="8">
        <v>0.1</v>
      </c>
      <c r="G6" s="8">
        <v>0.05</v>
      </c>
      <c r="H6" s="8">
        <v>0.25</v>
      </c>
      <c r="I6" s="8">
        <v>0.2</v>
      </c>
      <c r="J6" s="8">
        <v>0.15</v>
      </c>
      <c r="K6" s="20">
        <v>1</v>
      </c>
      <c r="L6" s="21">
        <f>D6+E6+F6+G6+H6+I6+J6</f>
        <v>0.99999999999999989</v>
      </c>
    </row>
    <row r="7" spans="1:12" ht="15.75" hidden="1" thickBot="1" x14ac:dyDescent="0.3">
      <c r="A7" s="28" t="s">
        <v>10</v>
      </c>
      <c r="B7" s="26" t="s">
        <v>9</v>
      </c>
      <c r="C7" s="1" t="s">
        <v>9</v>
      </c>
      <c r="D7" s="24">
        <f>0</f>
        <v>0</v>
      </c>
      <c r="E7" s="7">
        <f>0</f>
        <v>0</v>
      </c>
      <c r="F7" s="7">
        <f>0</f>
        <v>0</v>
      </c>
      <c r="G7" s="7">
        <f>0</f>
        <v>0</v>
      </c>
      <c r="H7" s="44">
        <f>B5*H6*H5</f>
        <v>10500</v>
      </c>
      <c r="I7" s="44">
        <f>B5*I6*I5</f>
        <v>8400</v>
      </c>
      <c r="J7" s="44">
        <f>B5*J6*J5</f>
        <v>4320</v>
      </c>
      <c r="K7" s="45">
        <f>C5*K6*K5</f>
        <v>10000</v>
      </c>
      <c r="L7" s="22" t="s">
        <v>9</v>
      </c>
    </row>
    <row r="8" spans="1:12" ht="15.75" hidden="1" thickBot="1" x14ac:dyDescent="0.3">
      <c r="A8" s="37"/>
      <c r="B8" s="38"/>
      <c r="C8" s="38"/>
      <c r="D8" s="38"/>
      <c r="E8" s="38"/>
      <c r="F8" s="38"/>
      <c r="G8" s="38"/>
      <c r="H8" s="74"/>
      <c r="I8" s="74"/>
      <c r="J8" s="74"/>
      <c r="K8" s="74"/>
      <c r="L8" s="38"/>
    </row>
    <row r="9" spans="1:12" ht="15.75" hidden="1" thickBot="1" x14ac:dyDescent="0.3">
      <c r="A9" s="37"/>
      <c r="B9" s="41" t="s">
        <v>34</v>
      </c>
      <c r="C9" s="38"/>
      <c r="D9" s="38"/>
      <c r="E9" s="38"/>
      <c r="F9" s="38"/>
      <c r="G9" s="38"/>
      <c r="H9" s="38"/>
      <c r="I9" s="38"/>
      <c r="J9" s="38"/>
      <c r="K9" s="74"/>
      <c r="L9" s="38"/>
    </row>
    <row r="10" spans="1:12" ht="29.25" hidden="1" customHeight="1" x14ac:dyDescent="0.25">
      <c r="A10" s="39" t="s">
        <v>35</v>
      </c>
      <c r="B10" s="42">
        <f>(10000*0.22)+(10000*0.22)</f>
        <v>4400</v>
      </c>
      <c r="C10" s="38"/>
      <c r="D10" s="38"/>
      <c r="E10" s="38"/>
      <c r="F10" s="38"/>
      <c r="G10" s="38"/>
      <c r="H10" s="38"/>
      <c r="I10" s="38"/>
      <c r="J10" s="38"/>
      <c r="K10" s="74"/>
      <c r="L10" s="38"/>
    </row>
    <row r="11" spans="1:12" ht="29.25" hidden="1" customHeight="1" x14ac:dyDescent="0.25">
      <c r="A11" s="40" t="s">
        <v>36</v>
      </c>
      <c r="B11" s="43">
        <f>(10000*0.22)+(10000*0.22)</f>
        <v>4400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</row>
    <row r="12" spans="1:12" ht="29.25" hidden="1" customHeight="1" thickBot="1" x14ac:dyDescent="0.3">
      <c r="A12" s="49" t="s">
        <v>37</v>
      </c>
      <c r="B12" s="50">
        <f>B10+B11</f>
        <v>8800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</row>
    <row r="13" spans="1:12" hidden="1" x14ac:dyDescent="0.25"/>
    <row r="14" spans="1:12" ht="15.75" thickBot="1" x14ac:dyDescent="0.3">
      <c r="A14" s="66"/>
      <c r="B14" s="67" t="s">
        <v>24</v>
      </c>
      <c r="C14" s="126" t="s">
        <v>25</v>
      </c>
      <c r="D14" s="111" t="s">
        <v>37</v>
      </c>
      <c r="E14" s="93"/>
      <c r="L14"/>
    </row>
    <row r="15" spans="1:12" x14ac:dyDescent="0.25">
      <c r="A15" s="143" t="s">
        <v>56</v>
      </c>
      <c r="B15" s="132">
        <f>L5</f>
        <v>49830</v>
      </c>
      <c r="C15" s="137">
        <v>0</v>
      </c>
      <c r="D15" s="129">
        <f>B15+C15</f>
        <v>49830</v>
      </c>
      <c r="E15" s="62"/>
      <c r="L15"/>
    </row>
    <row r="16" spans="1:12" x14ac:dyDescent="0.25">
      <c r="A16" s="144" t="s">
        <v>8</v>
      </c>
      <c r="B16" s="133">
        <f>B12</f>
        <v>8800</v>
      </c>
      <c r="C16" s="138">
        <v>0</v>
      </c>
      <c r="D16" s="130">
        <f>B16+C16</f>
        <v>8800</v>
      </c>
      <c r="E16" s="62"/>
      <c r="L16"/>
    </row>
    <row r="17" spans="1:12" ht="30" x14ac:dyDescent="0.25">
      <c r="A17" s="145" t="s">
        <v>27</v>
      </c>
      <c r="B17" s="134">
        <f>(5*700)+(5*700)+(5*480)</f>
        <v>9400</v>
      </c>
      <c r="C17" s="127">
        <f>B17</f>
        <v>9400</v>
      </c>
      <c r="D17" s="130">
        <f>B17+C17</f>
        <v>18800</v>
      </c>
      <c r="E17" s="63"/>
      <c r="F17" s="61"/>
      <c r="G17" s="61"/>
      <c r="L17"/>
    </row>
    <row r="18" spans="1:12" s="5" customFormat="1" ht="15.75" thickBot="1" x14ac:dyDescent="0.3">
      <c r="A18" s="136" t="s">
        <v>37</v>
      </c>
      <c r="B18" s="135">
        <f>SUM(B15:B17)</f>
        <v>68030</v>
      </c>
      <c r="C18" s="128">
        <f>SUM(C15:C17)</f>
        <v>9400</v>
      </c>
      <c r="D18" s="131">
        <f>SUM(D15:D17)</f>
        <v>77430</v>
      </c>
      <c r="E18" s="64"/>
      <c r="F18" s="73"/>
      <c r="G18" s="73"/>
      <c r="H18" s="64"/>
      <c r="I18" s="64"/>
      <c r="J18" s="64"/>
      <c r="K18" s="64"/>
      <c r="L18" s="64"/>
    </row>
  </sheetData>
  <pageMargins left="0.7" right="0.7" top="0.75" bottom="0.75" header="0.3" footer="0.3"/>
  <pageSetup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A15" sqref="A15"/>
    </sheetView>
  </sheetViews>
  <sheetFormatPr defaultRowHeight="15" x14ac:dyDescent="0.25"/>
  <cols>
    <col min="1" max="1" width="75.28515625" customWidth="1"/>
    <col min="2" max="4" width="12.5703125" bestFit="1" customWidth="1"/>
    <col min="6" max="6" width="12.5703125" bestFit="1" customWidth="1"/>
  </cols>
  <sheetData>
    <row r="1" spans="1:10" x14ac:dyDescent="0.25">
      <c r="A1" s="11" t="s">
        <v>45</v>
      </c>
      <c r="B1" s="6"/>
      <c r="C1" s="6"/>
      <c r="D1" s="6"/>
      <c r="E1" s="6"/>
      <c r="F1" s="6"/>
      <c r="G1" s="6"/>
      <c r="H1" s="6"/>
      <c r="I1" s="6"/>
      <c r="J1" s="6"/>
    </row>
    <row r="2" spans="1:10" x14ac:dyDescent="0.25">
      <c r="A2" s="10" t="s">
        <v>29</v>
      </c>
      <c r="B2" s="6"/>
      <c r="C2" s="6"/>
      <c r="D2" s="6"/>
      <c r="E2" s="6"/>
      <c r="F2" s="6"/>
      <c r="G2" s="6"/>
      <c r="H2" s="6"/>
      <c r="I2" s="6"/>
      <c r="J2" s="6"/>
    </row>
    <row r="3" spans="1:10" ht="15.75" thickBot="1" x14ac:dyDescent="0.3"/>
    <row r="4" spans="1:10" ht="15.75" thickBot="1" x14ac:dyDescent="0.3">
      <c r="A4" s="12"/>
      <c r="B4" s="13" t="s">
        <v>24</v>
      </c>
      <c r="C4" s="112" t="s">
        <v>25</v>
      </c>
      <c r="D4" s="113" t="s">
        <v>37</v>
      </c>
    </row>
    <row r="5" spans="1:10" x14ac:dyDescent="0.25">
      <c r="A5" s="19" t="s">
        <v>69</v>
      </c>
      <c r="B5" s="82">
        <v>130208.00000000001</v>
      </c>
      <c r="C5" s="123">
        <v>130208.00000000001</v>
      </c>
      <c r="D5" s="124">
        <f>B5+C5</f>
        <v>260416.00000000003</v>
      </c>
      <c r="F5" s="75"/>
    </row>
    <row r="6" spans="1:10" x14ac:dyDescent="0.25">
      <c r="A6" s="54" t="s">
        <v>55</v>
      </c>
      <c r="B6" s="86">
        <v>10425</v>
      </c>
      <c r="C6" s="117">
        <v>10425</v>
      </c>
      <c r="D6" s="121">
        <f>B6+C6</f>
        <v>20850</v>
      </c>
      <c r="F6" s="75"/>
    </row>
    <row r="7" spans="1:10" x14ac:dyDescent="0.25">
      <c r="A7" s="54" t="s">
        <v>46</v>
      </c>
      <c r="B7" s="86">
        <v>3000</v>
      </c>
      <c r="C7" s="117">
        <v>3000</v>
      </c>
      <c r="D7" s="121">
        <f>B7+C7</f>
        <v>6000</v>
      </c>
    </row>
    <row r="8" spans="1:10" ht="15.75" thickBot="1" x14ac:dyDescent="0.3">
      <c r="A8" s="51" t="s">
        <v>37</v>
      </c>
      <c r="B8" s="85">
        <f>SUM(B5:B7)</f>
        <v>143633</v>
      </c>
      <c r="C8" s="119">
        <f>SUM(C5:C7)</f>
        <v>143633</v>
      </c>
      <c r="D8" s="140">
        <f>SUM(D5:D7)</f>
        <v>287266</v>
      </c>
    </row>
    <row r="10" spans="1:10" x14ac:dyDescent="0.25">
      <c r="F10" s="60"/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I37" sqref="I37"/>
    </sheetView>
  </sheetViews>
  <sheetFormatPr defaultRowHeight="15" x14ac:dyDescent="0.25"/>
  <cols>
    <col min="1" max="1" width="63" customWidth="1"/>
    <col min="2" max="3" width="12.5703125" bestFit="1" customWidth="1"/>
    <col min="4" max="4" width="14.28515625" bestFit="1" customWidth="1"/>
    <col min="5" max="5" width="12.5703125" bestFit="1" customWidth="1"/>
  </cols>
  <sheetData>
    <row r="1" spans="1:10" x14ac:dyDescent="0.25">
      <c r="A1" s="11" t="s">
        <v>49</v>
      </c>
      <c r="B1" s="6"/>
      <c r="C1" s="6"/>
      <c r="D1" s="6"/>
      <c r="E1" s="6"/>
      <c r="F1" s="6"/>
      <c r="G1" s="6"/>
      <c r="H1" s="6"/>
      <c r="I1" s="6"/>
      <c r="J1" s="6"/>
    </row>
    <row r="2" spans="1:10" x14ac:dyDescent="0.25">
      <c r="A2" s="10" t="s">
        <v>29</v>
      </c>
      <c r="B2" s="6"/>
      <c r="C2" s="6"/>
      <c r="D2" s="6"/>
      <c r="E2" s="6"/>
      <c r="F2" s="6"/>
      <c r="G2" s="6"/>
      <c r="H2" s="6"/>
      <c r="I2" s="6"/>
      <c r="J2" s="6"/>
    </row>
    <row r="4" spans="1:10" ht="15.75" thickBot="1" x14ac:dyDescent="0.3">
      <c r="A4" s="52" t="s">
        <v>42</v>
      </c>
    </row>
    <row r="5" spans="1:10" ht="15.75" thickBot="1" x14ac:dyDescent="0.3">
      <c r="A5" s="12"/>
      <c r="B5" s="13" t="s">
        <v>24</v>
      </c>
      <c r="C5" s="112" t="s">
        <v>25</v>
      </c>
      <c r="D5" s="113" t="s">
        <v>37</v>
      </c>
    </row>
    <row r="6" spans="1:10" x14ac:dyDescent="0.25">
      <c r="A6" s="57" t="s">
        <v>48</v>
      </c>
      <c r="B6" s="78">
        <v>16750</v>
      </c>
      <c r="C6" s="123">
        <v>16750</v>
      </c>
      <c r="D6" s="124">
        <f>B6+C6</f>
        <v>33500</v>
      </c>
      <c r="F6" s="56"/>
    </row>
    <row r="7" spans="1:10" x14ac:dyDescent="0.25">
      <c r="A7" s="15" t="s">
        <v>54</v>
      </c>
      <c r="B7" s="79">
        <v>24000</v>
      </c>
      <c r="C7" s="116">
        <v>24000</v>
      </c>
      <c r="D7" s="120">
        <f>B7+C7</f>
        <v>48000</v>
      </c>
    </row>
    <row r="8" spans="1:10" x14ac:dyDescent="0.25">
      <c r="A8" s="84" t="s">
        <v>47</v>
      </c>
      <c r="B8" s="83">
        <v>30000</v>
      </c>
      <c r="C8" s="116">
        <v>30000</v>
      </c>
      <c r="D8" s="120">
        <f>B8+C8</f>
        <v>60000</v>
      </c>
    </row>
    <row r="9" spans="1:10" ht="15.75" thickBot="1" x14ac:dyDescent="0.3">
      <c r="A9" s="51" t="s">
        <v>37</v>
      </c>
      <c r="B9" s="80">
        <f>SUM(B6:B8)</f>
        <v>70750</v>
      </c>
      <c r="C9" s="119">
        <f>SUM(C6:C8)</f>
        <v>70750</v>
      </c>
      <c r="D9" s="140">
        <f>SUM(D6:D8)</f>
        <v>141500</v>
      </c>
      <c r="E9" s="60"/>
    </row>
    <row r="11" spans="1:10" ht="15.75" thickBot="1" x14ac:dyDescent="0.3">
      <c r="A11" s="52" t="s">
        <v>57</v>
      </c>
    </row>
    <row r="12" spans="1:10" ht="15.75" thickBot="1" x14ac:dyDescent="0.3">
      <c r="A12" s="12"/>
      <c r="B12" s="13" t="s">
        <v>24</v>
      </c>
      <c r="C12" s="112" t="s">
        <v>25</v>
      </c>
      <c r="D12" s="113" t="s">
        <v>37</v>
      </c>
    </row>
    <row r="13" spans="1:10" x14ac:dyDescent="0.25">
      <c r="A13" s="19" t="s">
        <v>53</v>
      </c>
      <c r="B13" s="14">
        <v>12500</v>
      </c>
      <c r="C13" s="123">
        <v>12500</v>
      </c>
      <c r="D13" s="124">
        <f>B13+C13</f>
        <v>25000</v>
      </c>
    </row>
    <row r="14" spans="1:10" ht="15.75" thickBot="1" x14ac:dyDescent="0.3">
      <c r="A14" s="51" t="s">
        <v>37</v>
      </c>
      <c r="B14" s="18">
        <f>SUM(B13:B13)</f>
        <v>12500</v>
      </c>
      <c r="C14" s="119">
        <f>SUM(C13:C13)</f>
        <v>12500</v>
      </c>
      <c r="D14" s="140">
        <f>SUM(D13:D13)</f>
        <v>25000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19" sqref="B19"/>
    </sheetView>
  </sheetViews>
  <sheetFormatPr defaultRowHeight="15" x14ac:dyDescent="0.25"/>
  <cols>
    <col min="1" max="1" width="46.140625" customWidth="1"/>
    <col min="2" max="2" width="17.7109375" customWidth="1"/>
    <col min="3" max="3" width="14.5703125" customWidth="1"/>
    <col min="4" max="4" width="21.140625" customWidth="1"/>
  </cols>
  <sheetData>
    <row r="1" spans="1:4" x14ac:dyDescent="0.25">
      <c r="A1" s="11" t="s">
        <v>67</v>
      </c>
    </row>
    <row r="2" spans="1:4" x14ac:dyDescent="0.25">
      <c r="A2" s="178" t="s">
        <v>29</v>
      </c>
    </row>
    <row r="3" spans="1:4" ht="15.75" thickBot="1" x14ac:dyDescent="0.3">
      <c r="A3" s="178"/>
    </row>
    <row r="4" spans="1:4" ht="15.75" thickBot="1" x14ac:dyDescent="0.3">
      <c r="B4" s="13" t="s">
        <v>24</v>
      </c>
      <c r="C4" s="112" t="s">
        <v>25</v>
      </c>
      <c r="D4" s="113" t="s">
        <v>37</v>
      </c>
    </row>
    <row r="5" spans="1:4" x14ac:dyDescent="0.25">
      <c r="A5" s="182" t="s">
        <v>68</v>
      </c>
      <c r="B5" s="179">
        <v>4000</v>
      </c>
      <c r="C5" s="123">
        <v>4000</v>
      </c>
      <c r="D5" s="124">
        <f>B5+C5</f>
        <v>8000</v>
      </c>
    </row>
    <row r="6" spans="1:4" ht="15.75" thickBot="1" x14ac:dyDescent="0.3">
      <c r="A6" s="181" t="s">
        <v>37</v>
      </c>
      <c r="B6" s="180">
        <f>B5</f>
        <v>4000</v>
      </c>
      <c r="C6" s="119">
        <f t="shared" ref="C6:D6" si="0">C5</f>
        <v>4000</v>
      </c>
      <c r="D6" s="183">
        <f t="shared" si="0"/>
        <v>8000</v>
      </c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7F30C88E79F82F45914989D0D101FC78" ma:contentTypeVersion="0" ma:contentTypeDescription="A content type to manage public (operations) IDB documents" ma:contentTypeScope="" ma:versionID="f6c5a5e2a4be07353dffb5a94bd89379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INE/WSA</Division_x0020_or_x0020_Unit>
    <Other_x0020_Author xmlns="9c571b2f-e523-4ab2-ba2e-09e151a03ef4" xsi:nil="true"/>
    <Region xmlns="9c571b2f-e523-4ab2-ba2e-09e151a03ef4" xsi:nil="true"/>
    <IDBDocs_x0020_Number xmlns="9c571b2f-e523-4ab2-ba2e-09e151a03ef4">38824284</IDBDocs_x0020_Number>
    <Document_x0020_Author xmlns="9c571b2f-e523-4ab2-ba2e-09e151a03ef4">Krause, Matthias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RG-T2456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OS-ASU</Webtopic>
    <Identifier xmlns="9c571b2f-e523-4ab2-ba2e-09e151a03ef4"> ANNEX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E995DD0D-6855-4CB3-93C1-F9995BFF28B6}"/>
</file>

<file path=customXml/itemProps2.xml><?xml version="1.0" encoding="utf-8"?>
<ds:datastoreItem xmlns:ds="http://schemas.openxmlformats.org/officeDocument/2006/customXml" ds:itemID="{54D09629-DF89-4453-B30F-71197C99FA44}"/>
</file>

<file path=customXml/itemProps3.xml><?xml version="1.0" encoding="utf-8"?>
<ds:datastoreItem xmlns:ds="http://schemas.openxmlformats.org/officeDocument/2006/customXml" ds:itemID="{79CE8C07-7A57-40B6-AEF1-E78C3F299310}"/>
</file>

<file path=customXml/itemProps4.xml><?xml version="1.0" encoding="utf-8"?>
<ds:datastoreItem xmlns:ds="http://schemas.openxmlformats.org/officeDocument/2006/customXml" ds:itemID="{3A595BFB-FF71-43C0-9BF0-D1ED501AA3D7}"/>
</file>

<file path=customXml/itemProps5.xml><?xml version="1.0" encoding="utf-8"?>
<ds:datastoreItem xmlns:ds="http://schemas.openxmlformats.org/officeDocument/2006/customXml" ds:itemID="{4F2899AF-BC7B-44CE-A4A9-0444B098A1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Summary budget</vt:lpstr>
      <vt:lpstr>Component 1's budget</vt:lpstr>
      <vt:lpstr>Component 2's budget</vt:lpstr>
      <vt:lpstr>Component 3's budget</vt:lpstr>
      <vt:lpstr>Component 4's budget</vt:lpstr>
      <vt:lpstr>Component 5's budget</vt:lpstr>
      <vt:lpstr>Procurement supervision</vt:lpstr>
      <vt:lpstr>Budg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Detailed Budget</dc:title>
  <dc:creator>Raimon Puigjaner</dc:creator>
  <cp:lastModifiedBy>Test</cp:lastModifiedBy>
  <dcterms:created xsi:type="dcterms:W3CDTF">2014-05-12T15:52:09Z</dcterms:created>
  <dcterms:modified xsi:type="dcterms:W3CDTF">2014-06-13T20:17:12Z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0x01010046CF21643EE8D14686A648AA6DAD0892007F30C88E79F82F45914989D0D101FC78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