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https://idbg-my.sharepoint.com/personal/carolinac_iadb_org/Documents/REVISIONES Y VALIDACIONES 2018/UR-L1146/"/>
    </mc:Choice>
  </mc:AlternateContent>
  <xr:revisionPtr revIDLastSave="0" documentId="8_{4D119667-CF74-4B7A-A7EB-3C4BDD76CCEF}" xr6:coauthVersionLast="36" xr6:coauthVersionMax="36" xr10:uidLastSave="{00000000-0000-0000-0000-000000000000}"/>
  <bookViews>
    <workbookView xWindow="0" yWindow="0" windowWidth="28800" windowHeight="12528" tabRatio="819" xr2:uid="{00000000-000D-0000-FFFF-FFFF00000000}"/>
  </bookViews>
  <sheets>
    <sheet name="Summary (I, II, III) " sheetId="6" r:id="rId1"/>
    <sheet name="Resumen (I, II, III)" sheetId="9" r:id="rId2"/>
    <sheet name="Summary (I, III)  (PBL)" sheetId="18" state="hidden" r:id="rId3"/>
    <sheet name="Resumen (I, III) (PBL)" sheetId="19" state="hidden"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3" i="19" l="1"/>
  <c r="B33" i="19"/>
  <c r="B26" i="19"/>
  <c r="B25" i="19"/>
  <c r="B24" i="19"/>
  <c r="C11" i="19"/>
  <c r="C10" i="19"/>
  <c r="B10" i="19"/>
  <c r="C9" i="19"/>
  <c r="B9" i="19"/>
  <c r="B33" i="18"/>
  <c r="B27" i="18"/>
  <c r="B26" i="18"/>
  <c r="B25" i="18"/>
  <c r="B24" i="18"/>
  <c r="B23" i="18"/>
  <c r="C11" i="18"/>
  <c r="C10" i="18"/>
  <c r="B10" i="18"/>
  <c r="C9" i="18"/>
  <c r="B9" i="18"/>
  <c r="B8" i="18"/>
  <c r="B10" i="6"/>
  <c r="C10" i="9"/>
  <c r="C10" i="6"/>
  <c r="F22" i="7"/>
  <c r="D16" i="5"/>
  <c r="F40" i="7"/>
  <c r="G21" i="7"/>
  <c r="G20" i="7"/>
  <c r="G22" i="7"/>
  <c r="E72" i="14"/>
  <c r="D72" i="14"/>
  <c r="E71" i="14"/>
  <c r="F71" i="14"/>
  <c r="G71" i="14" s="1"/>
  <c r="D71" i="14"/>
  <c r="E70" i="14"/>
  <c r="F70" i="14" s="1"/>
  <c r="G70" i="14" s="1"/>
  <c r="I70" i="14"/>
  <c r="D70" i="14"/>
  <c r="E69" i="14"/>
  <c r="F69" i="14" s="1"/>
  <c r="G69" i="14"/>
  <c r="D69" i="14"/>
  <c r="E68" i="14"/>
  <c r="I68" i="14" s="1"/>
  <c r="D68" i="14"/>
  <c r="E63" i="14"/>
  <c r="I63" i="14"/>
  <c r="D63" i="14"/>
  <c r="E60" i="14"/>
  <c r="D60" i="14"/>
  <c r="H19" i="7"/>
  <c r="F23" i="7"/>
  <c r="G23" i="7" s="1"/>
  <c r="F68" i="14"/>
  <c r="G68" i="14" s="1"/>
  <c r="J68" i="14" s="1"/>
  <c r="I71" i="14"/>
  <c r="I69" i="14"/>
  <c r="F63" i="14"/>
  <c r="G63" i="14"/>
  <c r="H63" i="14" s="1"/>
  <c r="J63" i="14"/>
  <c r="F11" i="5"/>
  <c r="G89" i="7"/>
  <c r="G91" i="7"/>
  <c r="G82" i="7"/>
  <c r="G75" i="7"/>
  <c r="G70" i="7"/>
  <c r="G71" i="7"/>
  <c r="G72" i="7"/>
  <c r="G69" i="7" s="1"/>
  <c r="G73" i="7"/>
  <c r="G74" i="7"/>
  <c r="G32" i="7"/>
  <c r="I75" i="5"/>
  <c r="F75" i="5"/>
  <c r="G75" i="5"/>
  <c r="J75" i="5" s="1"/>
  <c r="I74" i="5"/>
  <c r="F74" i="5"/>
  <c r="G74" i="5"/>
  <c r="I73" i="5"/>
  <c r="F73" i="5"/>
  <c r="G73" i="5" s="1"/>
  <c r="J73" i="5" s="1"/>
  <c r="I72" i="5"/>
  <c r="F72" i="5"/>
  <c r="G72" i="5"/>
  <c r="I71" i="5"/>
  <c r="F71" i="5"/>
  <c r="G71" i="5"/>
  <c r="J71" i="5" s="1"/>
  <c r="I66" i="5"/>
  <c r="F66" i="5"/>
  <c r="G66" i="5"/>
  <c r="I63" i="5"/>
  <c r="F63" i="5"/>
  <c r="G63" i="5" s="1"/>
  <c r="J63" i="5" s="1"/>
  <c r="G58" i="7"/>
  <c r="G57" i="7"/>
  <c r="H75" i="5"/>
  <c r="H74" i="5"/>
  <c r="J74" i="5"/>
  <c r="H73" i="5"/>
  <c r="H71" i="5"/>
  <c r="H66" i="5"/>
  <c r="J66" i="5"/>
  <c r="H63" i="5"/>
  <c r="G94" i="7"/>
  <c r="G93" i="7"/>
  <c r="G92" i="7"/>
  <c r="G90" i="7" s="1"/>
  <c r="G88" i="7"/>
  <c r="G87" i="7"/>
  <c r="G86" i="7"/>
  <c r="G85" i="7"/>
  <c r="G84" i="7" s="1"/>
  <c r="G83" i="7" s="1"/>
  <c r="C38" i="9"/>
  <c r="G13" i="7"/>
  <c r="G14" i="7"/>
  <c r="G15" i="7"/>
  <c r="G16" i="7"/>
  <c r="G12" i="7" s="1"/>
  <c r="B15" i="6" s="1"/>
  <c r="G17" i="7"/>
  <c r="G18" i="7"/>
  <c r="G26" i="7"/>
  <c r="G25" i="7"/>
  <c r="G31" i="7"/>
  <c r="G33" i="7"/>
  <c r="G35" i="7"/>
  <c r="G36" i="7"/>
  <c r="G34" i="7" s="1"/>
  <c r="G37" i="7"/>
  <c r="G42" i="7"/>
  <c r="G43" i="7"/>
  <c r="G44" i="7"/>
  <c r="G41" i="7" s="1"/>
  <c r="G45" i="7"/>
  <c r="G46" i="7"/>
  <c r="G49" i="7"/>
  <c r="G50" i="7"/>
  <c r="G48" i="7" s="1"/>
  <c r="G51" i="7"/>
  <c r="G52" i="7"/>
  <c r="G53" i="7"/>
  <c r="G56" i="7"/>
  <c r="G55" i="7" s="1"/>
  <c r="G59" i="7"/>
  <c r="G60" i="7"/>
  <c r="G77" i="7"/>
  <c r="G78" i="7"/>
  <c r="G76" i="7" s="1"/>
  <c r="G79" i="7"/>
  <c r="G80" i="7"/>
  <c r="D44" i="14"/>
  <c r="E44" i="14"/>
  <c r="D45" i="14"/>
  <c r="E45" i="14"/>
  <c r="F45" i="14"/>
  <c r="G45" i="14"/>
  <c r="D46" i="14"/>
  <c r="E46" i="14"/>
  <c r="I46" i="14"/>
  <c r="D47" i="14"/>
  <c r="E47" i="14"/>
  <c r="F47" i="14" s="1"/>
  <c r="G47" i="14" s="1"/>
  <c r="D48" i="14"/>
  <c r="E48" i="14"/>
  <c r="F48" i="14" s="1"/>
  <c r="G48" i="14" s="1"/>
  <c r="D49" i="14"/>
  <c r="E49" i="14"/>
  <c r="D50" i="14"/>
  <c r="E50" i="14"/>
  <c r="I50" i="14"/>
  <c r="D51" i="14"/>
  <c r="E51" i="14"/>
  <c r="F51" i="14"/>
  <c r="G51" i="14"/>
  <c r="D52" i="14"/>
  <c r="E52" i="14"/>
  <c r="I52" i="14"/>
  <c r="D53" i="14"/>
  <c r="E53" i="14"/>
  <c r="F53" i="14" s="1"/>
  <c r="G53" i="14" s="1"/>
  <c r="D54" i="14"/>
  <c r="E54" i="14"/>
  <c r="D55" i="14"/>
  <c r="E55" i="14"/>
  <c r="F55" i="14"/>
  <c r="G55" i="14"/>
  <c r="D56" i="14"/>
  <c r="E56" i="14"/>
  <c r="D57" i="14"/>
  <c r="E57" i="14"/>
  <c r="D58" i="14"/>
  <c r="E58" i="14"/>
  <c r="F58" i="14" s="1"/>
  <c r="G58" i="14" s="1"/>
  <c r="H58" i="14" s="1"/>
  <c r="D59" i="14"/>
  <c r="E59" i="14"/>
  <c r="F59" i="14" s="1"/>
  <c r="G59" i="14" s="1"/>
  <c r="H59" i="14" s="1"/>
  <c r="D61" i="14"/>
  <c r="E61" i="14"/>
  <c r="I61" i="14" s="1"/>
  <c r="D62" i="14"/>
  <c r="E62" i="14"/>
  <c r="D64" i="14"/>
  <c r="E64" i="14"/>
  <c r="I64" i="14"/>
  <c r="D65" i="14"/>
  <c r="E65" i="14"/>
  <c r="I65" i="14" s="1"/>
  <c r="D66" i="14"/>
  <c r="E66" i="14"/>
  <c r="D67" i="14"/>
  <c r="E67" i="14"/>
  <c r="F67" i="14"/>
  <c r="G67" i="14" s="1"/>
  <c r="D73" i="14"/>
  <c r="E73" i="14"/>
  <c r="I73" i="14"/>
  <c r="I47" i="5"/>
  <c r="I48" i="5"/>
  <c r="I49" i="5"/>
  <c r="I50" i="5"/>
  <c r="I51" i="5"/>
  <c r="I52" i="5"/>
  <c r="I53" i="5"/>
  <c r="I54" i="5"/>
  <c r="I55" i="5"/>
  <c r="I56" i="5"/>
  <c r="I57" i="5"/>
  <c r="I58" i="5"/>
  <c r="I59" i="5"/>
  <c r="I60" i="5"/>
  <c r="I61" i="5"/>
  <c r="I62" i="5"/>
  <c r="I64" i="5"/>
  <c r="I65" i="5"/>
  <c r="I67" i="5"/>
  <c r="I68" i="5"/>
  <c r="I69" i="5"/>
  <c r="I70" i="5"/>
  <c r="I76" i="5"/>
  <c r="F47" i="5"/>
  <c r="G47" i="5" s="1"/>
  <c r="F48" i="5"/>
  <c r="G48" i="5" s="1"/>
  <c r="H48" i="5"/>
  <c r="F49" i="5"/>
  <c r="G49" i="5"/>
  <c r="F50" i="5"/>
  <c r="G50" i="5"/>
  <c r="F51" i="5"/>
  <c r="G51" i="5"/>
  <c r="F52" i="5"/>
  <c r="G52" i="5"/>
  <c r="H52" i="5" s="1"/>
  <c r="F53" i="5"/>
  <c r="G53" i="5"/>
  <c r="F54" i="5"/>
  <c r="G54" i="5"/>
  <c r="F55" i="5"/>
  <c r="G55" i="5" s="1"/>
  <c r="F56" i="5"/>
  <c r="G56" i="5" s="1"/>
  <c r="F57" i="5"/>
  <c r="G57" i="5" s="1"/>
  <c r="F58" i="5"/>
  <c r="G58" i="5" s="1"/>
  <c r="H58" i="5" s="1"/>
  <c r="F59" i="5"/>
  <c r="G59" i="5" s="1"/>
  <c r="H59" i="5" s="1"/>
  <c r="F60" i="5"/>
  <c r="G60" i="5" s="1"/>
  <c r="H60" i="5" s="1"/>
  <c r="F61" i="5"/>
  <c r="G61" i="5" s="1"/>
  <c r="F62" i="5"/>
  <c r="G62" i="5" s="1"/>
  <c r="F64" i="5"/>
  <c r="G64" i="5" s="1"/>
  <c r="F65" i="5"/>
  <c r="G65" i="5" s="1"/>
  <c r="F67" i="5"/>
  <c r="G67" i="5" s="1"/>
  <c r="H67" i="5"/>
  <c r="F68" i="5"/>
  <c r="G68" i="5"/>
  <c r="H68" i="5" s="1"/>
  <c r="F69" i="5"/>
  <c r="G69" i="5" s="1"/>
  <c r="F70" i="5"/>
  <c r="G70" i="5" s="1"/>
  <c r="H70" i="5" s="1"/>
  <c r="F76" i="5"/>
  <c r="G76" i="5" s="1"/>
  <c r="H76" i="5"/>
  <c r="F15" i="5"/>
  <c r="G15" i="5"/>
  <c r="D11" i="14"/>
  <c r="F11" i="14"/>
  <c r="G11" i="14" s="1"/>
  <c r="H11" i="14"/>
  <c r="D12" i="14"/>
  <c r="F12" i="14"/>
  <c r="G12" i="14" s="1"/>
  <c r="D13" i="14"/>
  <c r="F13" i="14" s="1"/>
  <c r="G13" i="14"/>
  <c r="D17" i="14"/>
  <c r="F17" i="14"/>
  <c r="G17" i="14" s="1"/>
  <c r="D19" i="14"/>
  <c r="F19" i="14" s="1"/>
  <c r="G19" i="14"/>
  <c r="E19" i="14"/>
  <c r="I19" i="14"/>
  <c r="D20" i="14"/>
  <c r="F20" i="14"/>
  <c r="G20" i="14" s="1"/>
  <c r="E20" i="14"/>
  <c r="I20" i="14" s="1"/>
  <c r="D21" i="14"/>
  <c r="E21" i="14"/>
  <c r="F21" i="14"/>
  <c r="G21" i="14" s="1"/>
  <c r="D22" i="14"/>
  <c r="E22" i="14"/>
  <c r="I22" i="14"/>
  <c r="D23" i="14"/>
  <c r="E23" i="14"/>
  <c r="D24" i="14"/>
  <c r="F24" i="14" s="1"/>
  <c r="G24" i="14"/>
  <c r="H24" i="14" s="1"/>
  <c r="E24" i="14"/>
  <c r="I24" i="14" s="1"/>
  <c r="D25" i="14"/>
  <c r="F25" i="14" s="1"/>
  <c r="G25" i="14"/>
  <c r="E25" i="14"/>
  <c r="I25" i="14"/>
  <c r="D26" i="14"/>
  <c r="E26" i="14"/>
  <c r="F26" i="14" s="1"/>
  <c r="G26" i="14"/>
  <c r="D27" i="14"/>
  <c r="E27" i="14"/>
  <c r="I27" i="14" s="1"/>
  <c r="D28" i="14"/>
  <c r="E28" i="14"/>
  <c r="F28" i="14"/>
  <c r="G28" i="14" s="1"/>
  <c r="J28" i="14" s="1"/>
  <c r="D29" i="14"/>
  <c r="E29" i="14"/>
  <c r="F29" i="14"/>
  <c r="G29" i="14" s="1"/>
  <c r="D30" i="14"/>
  <c r="E30" i="14"/>
  <c r="D31" i="14"/>
  <c r="E31" i="14"/>
  <c r="I31" i="14"/>
  <c r="D32" i="14"/>
  <c r="E32" i="14"/>
  <c r="I32" i="14" s="1"/>
  <c r="D33" i="14"/>
  <c r="E33" i="14"/>
  <c r="F33" i="14"/>
  <c r="G33" i="14" s="1"/>
  <c r="D34" i="14"/>
  <c r="E34" i="14"/>
  <c r="F34" i="14"/>
  <c r="G34" i="14" s="1"/>
  <c r="D35" i="14"/>
  <c r="E35" i="14"/>
  <c r="F35" i="14"/>
  <c r="G35" i="14" s="1"/>
  <c r="D36" i="14"/>
  <c r="E36" i="14"/>
  <c r="F36" i="14"/>
  <c r="G36" i="14" s="1"/>
  <c r="D37" i="14"/>
  <c r="E37" i="14"/>
  <c r="F37" i="14"/>
  <c r="G37" i="14" s="1"/>
  <c r="D38" i="14"/>
  <c r="E38" i="14"/>
  <c r="I38" i="14"/>
  <c r="D39" i="14"/>
  <c r="E39" i="14"/>
  <c r="I39" i="14" s="1"/>
  <c r="D40" i="14"/>
  <c r="E40" i="14"/>
  <c r="F40" i="14"/>
  <c r="G40" i="14" s="1"/>
  <c r="H40" i="14"/>
  <c r="D41" i="14"/>
  <c r="E41" i="14"/>
  <c r="D42" i="14"/>
  <c r="E42" i="14"/>
  <c r="I42" i="14"/>
  <c r="D43" i="14"/>
  <c r="E43" i="14"/>
  <c r="F45" i="5"/>
  <c r="G45" i="5" s="1"/>
  <c r="H45" i="5" s="1"/>
  <c r="F44" i="5"/>
  <c r="G44" i="5" s="1"/>
  <c r="F43" i="5"/>
  <c r="G43" i="5" s="1"/>
  <c r="J43" i="5" s="1"/>
  <c r="F42" i="5"/>
  <c r="G42" i="5" s="1"/>
  <c r="F41" i="5"/>
  <c r="G41" i="5" s="1"/>
  <c r="F40" i="5"/>
  <c r="G40" i="5" s="1"/>
  <c r="F39" i="5"/>
  <c r="G39" i="5" s="1"/>
  <c r="F38" i="5"/>
  <c r="G38" i="5"/>
  <c r="F37" i="5"/>
  <c r="G37" i="5"/>
  <c r="F36" i="5"/>
  <c r="G36" i="5"/>
  <c r="J36" i="5" s="1"/>
  <c r="F35" i="5"/>
  <c r="G35" i="5"/>
  <c r="F34" i="5"/>
  <c r="G34" i="5"/>
  <c r="J34" i="5" s="1"/>
  <c r="F33" i="5"/>
  <c r="G33" i="5"/>
  <c r="H33" i="5" s="1"/>
  <c r="F32" i="5"/>
  <c r="G32" i="5"/>
  <c r="F31" i="5"/>
  <c r="G31" i="5"/>
  <c r="H31" i="5" s="1"/>
  <c r="F30" i="5"/>
  <c r="G30" i="5"/>
  <c r="F29" i="5"/>
  <c r="G29" i="5"/>
  <c r="J29" i="5" s="1"/>
  <c r="I29" i="5"/>
  <c r="F28" i="5"/>
  <c r="G28" i="5" s="1"/>
  <c r="H28" i="5"/>
  <c r="F25" i="5"/>
  <c r="G25" i="5"/>
  <c r="F24" i="5"/>
  <c r="G24" i="5"/>
  <c r="H24" i="5" s="1"/>
  <c r="F23" i="5"/>
  <c r="G23" i="5"/>
  <c r="I23" i="5"/>
  <c r="D16" i="14"/>
  <c r="F16" i="14" s="1"/>
  <c r="G16" i="14" s="1"/>
  <c r="H16" i="14" s="1"/>
  <c r="B8" i="6"/>
  <c r="B8" i="19" s="1"/>
  <c r="G11" i="5"/>
  <c r="F12" i="5"/>
  <c r="G12" i="5" s="1"/>
  <c r="F13" i="5"/>
  <c r="G13" i="5"/>
  <c r="F19" i="5"/>
  <c r="G19" i="5"/>
  <c r="F26" i="5"/>
  <c r="G26" i="5"/>
  <c r="J26" i="5" s="1"/>
  <c r="F27" i="5"/>
  <c r="G27" i="5"/>
  <c r="J27" i="5" s="1"/>
  <c r="I36" i="5"/>
  <c r="I42" i="5"/>
  <c r="I45" i="5"/>
  <c r="F21" i="5"/>
  <c r="G21" i="5" s="1"/>
  <c r="H21" i="5"/>
  <c r="F22" i="5"/>
  <c r="G22" i="5"/>
  <c r="I25" i="5"/>
  <c r="I22" i="5"/>
  <c r="I24" i="5"/>
  <c r="I26" i="5"/>
  <c r="I27" i="5"/>
  <c r="I28" i="5"/>
  <c r="I30" i="5"/>
  <c r="I31" i="5"/>
  <c r="I32" i="5"/>
  <c r="I33" i="5"/>
  <c r="I34" i="5"/>
  <c r="I35" i="5"/>
  <c r="I37" i="5"/>
  <c r="I38" i="5"/>
  <c r="I39" i="5"/>
  <c r="I40" i="5"/>
  <c r="I41" i="5"/>
  <c r="I43" i="5"/>
  <c r="I44" i="5"/>
  <c r="I21" i="5"/>
  <c r="E14" i="11"/>
  <c r="D15" i="15"/>
  <c r="E15" i="15" s="1"/>
  <c r="D16" i="15"/>
  <c r="E16" i="15" s="1"/>
  <c r="F16" i="15"/>
  <c r="D17" i="15"/>
  <c r="D18" i="15"/>
  <c r="E18" i="15"/>
  <c r="D19" i="15"/>
  <c r="D21" i="15"/>
  <c r="E21" i="15" s="1"/>
  <c r="F21" i="15" s="1"/>
  <c r="D22" i="15"/>
  <c r="E22" i="15" s="1"/>
  <c r="D23" i="15"/>
  <c r="D25" i="15"/>
  <c r="D26" i="15"/>
  <c r="D29" i="15"/>
  <c r="D31" i="15"/>
  <c r="D32" i="15"/>
  <c r="E32" i="15"/>
  <c r="D33" i="15"/>
  <c r="E33" i="15"/>
  <c r="F33" i="15" s="1"/>
  <c r="G33" i="15"/>
  <c r="D34" i="15"/>
  <c r="D35" i="15"/>
  <c r="D36" i="15"/>
  <c r="D37" i="15"/>
  <c r="D38" i="15"/>
  <c r="D39" i="15"/>
  <c r="E30" i="11"/>
  <c r="D30" i="15"/>
  <c r="E30" i="15" s="1"/>
  <c r="F30" i="15" s="1"/>
  <c r="E28" i="11"/>
  <c r="F28" i="11"/>
  <c r="G28" i="11" s="1"/>
  <c r="H28" i="11"/>
  <c r="I28" i="11" s="1"/>
  <c r="E24" i="11"/>
  <c r="E20" i="11"/>
  <c r="B28" i="6"/>
  <c r="K46" i="15"/>
  <c r="K45" i="15"/>
  <c r="K41" i="15"/>
  <c r="K40" i="15"/>
  <c r="K39" i="15"/>
  <c r="K43" i="15" s="1"/>
  <c r="B10" i="9"/>
  <c r="B9" i="9"/>
  <c r="B9" i="6"/>
  <c r="F32" i="11"/>
  <c r="G32" i="11" s="1"/>
  <c r="H32" i="11"/>
  <c r="I32" i="11"/>
  <c r="F33" i="11"/>
  <c r="F21" i="11"/>
  <c r="G21" i="11" s="1"/>
  <c r="H21" i="11"/>
  <c r="I21" i="11" s="1"/>
  <c r="F22" i="11"/>
  <c r="F23" i="11"/>
  <c r="G23" i="11"/>
  <c r="H23" i="11" s="1"/>
  <c r="I23" i="11"/>
  <c r="F15" i="11"/>
  <c r="G15" i="11"/>
  <c r="F16" i="11"/>
  <c r="F17" i="11"/>
  <c r="F18" i="11"/>
  <c r="G18" i="11" s="1"/>
  <c r="H18" i="11"/>
  <c r="I18" i="11" s="1"/>
  <c r="F19" i="11"/>
  <c r="L42" i="11"/>
  <c r="L41" i="11"/>
  <c r="L37" i="11"/>
  <c r="L39" i="11" s="1"/>
  <c r="L36" i="11"/>
  <c r="B32" i="6"/>
  <c r="B27" i="19" s="1"/>
  <c r="B29" i="6"/>
  <c r="B38" i="9"/>
  <c r="B31" i="9"/>
  <c r="B30" i="9"/>
  <c r="B29" i="9"/>
  <c r="B31" i="6"/>
  <c r="B30" i="6"/>
  <c r="B38" i="6"/>
  <c r="F16" i="5"/>
  <c r="G16" i="5"/>
  <c r="H16" i="5" s="1"/>
  <c r="D15" i="14"/>
  <c r="F15" i="14"/>
  <c r="G15" i="14" s="1"/>
  <c r="H15" i="14"/>
  <c r="F24" i="11"/>
  <c r="G24" i="11" s="1"/>
  <c r="H41" i="5"/>
  <c r="H38" i="5"/>
  <c r="H36" i="5"/>
  <c r="H32" i="5"/>
  <c r="H29" i="5"/>
  <c r="B8" i="9"/>
  <c r="B32" i="9"/>
  <c r="B28" i="9"/>
  <c r="B23" i="19"/>
  <c r="H33" i="15"/>
  <c r="F14" i="11"/>
  <c r="G14" i="11"/>
  <c r="H14" i="11" s="1"/>
  <c r="I14" i="11" s="1"/>
  <c r="B30" i="18"/>
  <c r="D24" i="15"/>
  <c r="G16" i="11"/>
  <c r="H16" i="11"/>
  <c r="I16" i="11" s="1"/>
  <c r="H15" i="11"/>
  <c r="I15" i="11" s="1"/>
  <c r="H32" i="15"/>
  <c r="E19" i="15"/>
  <c r="F19" i="15"/>
  <c r="B35" i="6"/>
  <c r="E27" i="11"/>
  <c r="D14" i="15"/>
  <c r="F32" i="15"/>
  <c r="G32" i="15"/>
  <c r="G21" i="15"/>
  <c r="H21" i="15"/>
  <c r="D20" i="15"/>
  <c r="E20" i="15" s="1"/>
  <c r="F20" i="15"/>
  <c r="G20" i="15"/>
  <c r="F20" i="11"/>
  <c r="I33" i="11"/>
  <c r="E17" i="15"/>
  <c r="F17" i="15"/>
  <c r="D28" i="15"/>
  <c r="E28" i="15" s="1"/>
  <c r="F28" i="15" s="1"/>
  <c r="G28" i="15" s="1"/>
  <c r="H28" i="15" s="1"/>
  <c r="G30" i="7"/>
  <c r="F27" i="14"/>
  <c r="G27" i="14" s="1"/>
  <c r="I33" i="14"/>
  <c r="I67" i="14"/>
  <c r="H41" i="7"/>
  <c r="J60" i="5"/>
  <c r="F18" i="15"/>
  <c r="G18" i="15"/>
  <c r="H18" i="15" s="1"/>
  <c r="H25" i="5"/>
  <c r="J25" i="5"/>
  <c r="H34" i="5"/>
  <c r="H43" i="5"/>
  <c r="F15" i="15"/>
  <c r="H56" i="5"/>
  <c r="J56" i="5"/>
  <c r="I36" i="14"/>
  <c r="E13" i="11"/>
  <c r="B35" i="9" s="1"/>
  <c r="B30" i="19"/>
  <c r="G22" i="11"/>
  <c r="H24" i="11"/>
  <c r="I24" i="11" s="1"/>
  <c r="F30" i="11"/>
  <c r="E23" i="15"/>
  <c r="F22" i="15"/>
  <c r="H23" i="5"/>
  <c r="J23" i="5"/>
  <c r="J45" i="5"/>
  <c r="J48" i="5"/>
  <c r="F38" i="14"/>
  <c r="G38" i="14" s="1"/>
  <c r="H38" i="14"/>
  <c r="H30" i="5"/>
  <c r="J30" i="5"/>
  <c r="J33" i="5"/>
  <c r="H61" i="5"/>
  <c r="J61" i="5"/>
  <c r="J59" i="5"/>
  <c r="H27" i="5"/>
  <c r="H13" i="5"/>
  <c r="I13" i="5"/>
  <c r="J31" i="5"/>
  <c r="H37" i="5"/>
  <c r="J37" i="5"/>
  <c r="H42" i="5"/>
  <c r="J42" i="5"/>
  <c r="J65" i="5"/>
  <c r="H65" i="5"/>
  <c r="H53" i="5"/>
  <c r="J53" i="5"/>
  <c r="H49" i="5"/>
  <c r="J49" i="5"/>
  <c r="H47" i="5"/>
  <c r="J47" i="5"/>
  <c r="H35" i="5"/>
  <c r="J35" i="5"/>
  <c r="H40" i="5"/>
  <c r="J40" i="5"/>
  <c r="H69" i="5"/>
  <c r="J69" i="5"/>
  <c r="H64" i="5"/>
  <c r="J64" i="5"/>
  <c r="H57" i="5"/>
  <c r="J57" i="5"/>
  <c r="H55" i="5"/>
  <c r="J55" i="5"/>
  <c r="J24" i="5"/>
  <c r="H44" i="5"/>
  <c r="J44" i="5"/>
  <c r="J51" i="5"/>
  <c r="H51" i="5"/>
  <c r="J68" i="5"/>
  <c r="J21" i="5"/>
  <c r="I21" i="14"/>
  <c r="J76" i="5"/>
  <c r="J67" i="5"/>
  <c r="J28" i="5"/>
  <c r="F73" i="14"/>
  <c r="G73" i="14" s="1"/>
  <c r="H73" i="14" s="1"/>
  <c r="F42" i="14"/>
  <c r="G42" i="14"/>
  <c r="I58" i="14"/>
  <c r="J25" i="14"/>
  <c r="H25" i="14"/>
  <c r="H33" i="14"/>
  <c r="J33" i="14"/>
  <c r="I35" i="14"/>
  <c r="F32" i="14"/>
  <c r="G32" i="14"/>
  <c r="H32" i="14" s="1"/>
  <c r="F61" i="14"/>
  <c r="G61" i="14" s="1"/>
  <c r="H61" i="14" s="1"/>
  <c r="I53" i="14"/>
  <c r="I37" i="14"/>
  <c r="H19" i="5"/>
  <c r="I19" i="5" s="1"/>
  <c r="I16" i="14"/>
  <c r="H11" i="5"/>
  <c r="I11" i="5"/>
  <c r="I16" i="5"/>
  <c r="J35" i="14"/>
  <c r="H35" i="14"/>
  <c r="H17" i="14"/>
  <c r="I17" i="14"/>
  <c r="H37" i="14"/>
  <c r="J37" i="14" s="1"/>
  <c r="H13" i="14"/>
  <c r="I13" i="14"/>
  <c r="I28" i="14"/>
  <c r="H48" i="14"/>
  <c r="J48" i="14"/>
  <c r="I34" i="14"/>
  <c r="I40" i="14"/>
  <c r="J40" i="14"/>
  <c r="F22" i="14"/>
  <c r="G22" i="14" s="1"/>
  <c r="J22" i="14" s="1"/>
  <c r="I59" i="14"/>
  <c r="I47" i="14"/>
  <c r="I51" i="14"/>
  <c r="F65" i="14"/>
  <c r="G65" i="14"/>
  <c r="F64" i="14"/>
  <c r="G64" i="14"/>
  <c r="H64" i="14" s="1"/>
  <c r="F50" i="14"/>
  <c r="G50" i="14"/>
  <c r="F46" i="14"/>
  <c r="G46" i="14" s="1"/>
  <c r="H46" i="14" s="1"/>
  <c r="I45" i="14"/>
  <c r="F39" i="14"/>
  <c r="G39" i="14" s="1"/>
  <c r="H39" i="14" s="1"/>
  <c r="I48" i="14"/>
  <c r="I55" i="14"/>
  <c r="F52" i="14"/>
  <c r="G52" i="14"/>
  <c r="H52" i="14" s="1"/>
  <c r="H26" i="14"/>
  <c r="H21" i="14"/>
  <c r="J21" i="14"/>
  <c r="I56" i="14"/>
  <c r="F56" i="14"/>
  <c r="G56" i="14" s="1"/>
  <c r="J56" i="14" s="1"/>
  <c r="H53" i="14"/>
  <c r="J53" i="14"/>
  <c r="I11" i="14"/>
  <c r="J24" i="14"/>
  <c r="F62" i="14"/>
  <c r="G62" i="14" s="1"/>
  <c r="I62" i="14"/>
  <c r="I54" i="14"/>
  <c r="F54" i="14"/>
  <c r="G54" i="14"/>
  <c r="J54" i="14" s="1"/>
  <c r="F49" i="14"/>
  <c r="G49" i="14"/>
  <c r="I49" i="14"/>
  <c r="H47" i="14"/>
  <c r="I15" i="14"/>
  <c r="H12" i="14"/>
  <c r="I12" i="14"/>
  <c r="H19" i="14"/>
  <c r="J19" i="14"/>
  <c r="H36" i="14"/>
  <c r="F30" i="14"/>
  <c r="G30" i="14" s="1"/>
  <c r="I30" i="14"/>
  <c r="H51" i="14"/>
  <c r="J51" i="14"/>
  <c r="F57" i="14"/>
  <c r="G57" i="14"/>
  <c r="J57" i="14" s="1"/>
  <c r="I57" i="14"/>
  <c r="H55" i="14"/>
  <c r="J55" i="14"/>
  <c r="I29" i="14"/>
  <c r="H28" i="14"/>
  <c r="I26" i="14"/>
  <c r="I66" i="14"/>
  <c r="F66" i="14"/>
  <c r="G66" i="14" s="1"/>
  <c r="H66" i="14" s="1"/>
  <c r="H29" i="14"/>
  <c r="J29" i="14"/>
  <c r="H20" i="14"/>
  <c r="J20" i="14"/>
  <c r="F31" i="14"/>
  <c r="G31" i="14"/>
  <c r="H45" i="14"/>
  <c r="J45" i="14"/>
  <c r="H67" i="14"/>
  <c r="J67" i="14"/>
  <c r="J47" i="14"/>
  <c r="J36" i="14"/>
  <c r="J26" i="14"/>
  <c r="J58" i="14"/>
  <c r="B25" i="6"/>
  <c r="B20" i="18"/>
  <c r="B15" i="19"/>
  <c r="B15" i="18"/>
  <c r="B36" i="6"/>
  <c r="B31" i="18"/>
  <c r="B31" i="19"/>
  <c r="G19" i="15"/>
  <c r="H19" i="15" s="1"/>
  <c r="B23" i="6"/>
  <c r="B20" i="6"/>
  <c r="B20" i="9"/>
  <c r="J59" i="14"/>
  <c r="G38" i="7"/>
  <c r="B18" i="6" s="1"/>
  <c r="E18" i="6" s="1"/>
  <c r="H20" i="15"/>
  <c r="E24" i="15"/>
  <c r="F24" i="15"/>
  <c r="E14" i="15"/>
  <c r="D27" i="15"/>
  <c r="B36" i="9"/>
  <c r="H27" i="14"/>
  <c r="J27" i="14"/>
  <c r="J52" i="14"/>
  <c r="J38" i="14"/>
  <c r="J46" i="14"/>
  <c r="B15" i="9"/>
  <c r="E12" i="11"/>
  <c r="D12" i="15"/>
  <c r="D13" i="15"/>
  <c r="G30" i="11"/>
  <c r="H30" i="11"/>
  <c r="I30" i="11"/>
  <c r="J28" i="11"/>
  <c r="F23" i="15"/>
  <c r="G23" i="15" s="1"/>
  <c r="H23" i="15" s="1"/>
  <c r="J39" i="14"/>
  <c r="J73" i="14"/>
  <c r="J32" i="14"/>
  <c r="J64" i="14"/>
  <c r="H65" i="14"/>
  <c r="J65" i="14"/>
  <c r="H22" i="14"/>
  <c r="H31" i="14"/>
  <c r="J31" i="14"/>
  <c r="H30" i="14"/>
  <c r="H62" i="14"/>
  <c r="J62" i="14"/>
  <c r="H57" i="14"/>
  <c r="H49" i="14"/>
  <c r="J49" i="14"/>
  <c r="H54" i="14"/>
  <c r="J11" i="14"/>
  <c r="B6" i="19" s="1"/>
  <c r="B18" i="9"/>
  <c r="E18" i="9" s="1"/>
  <c r="B21" i="9"/>
  <c r="B23" i="9"/>
  <c r="B22" i="9"/>
  <c r="K28" i="11" l="1"/>
  <c r="L28" i="11"/>
  <c r="H30" i="15"/>
  <c r="I28" i="15" s="1"/>
  <c r="J30" i="14"/>
  <c r="H42" i="14"/>
  <c r="J42" i="14"/>
  <c r="J70" i="5"/>
  <c r="B22" i="6"/>
  <c r="B19" i="6"/>
  <c r="B19" i="9"/>
  <c r="B21" i="6"/>
  <c r="G19" i="11"/>
  <c r="H19" i="11" s="1"/>
  <c r="I19" i="11" s="1"/>
  <c r="H39" i="5"/>
  <c r="J39" i="5"/>
  <c r="I41" i="14"/>
  <c r="F41" i="14"/>
  <c r="G41" i="14" s="1"/>
  <c r="H34" i="14"/>
  <c r="J34" i="14"/>
  <c r="B6" i="9"/>
  <c r="H22" i="5"/>
  <c r="J22" i="5"/>
  <c r="F23" i="14"/>
  <c r="G23" i="14" s="1"/>
  <c r="I23" i="14"/>
  <c r="H15" i="5"/>
  <c r="I15" i="5" s="1"/>
  <c r="H62" i="5"/>
  <c r="J62" i="5"/>
  <c r="H54" i="5"/>
  <c r="J54" i="5"/>
  <c r="J66" i="14"/>
  <c r="J61" i="14"/>
  <c r="J50" i="14"/>
  <c r="J58" i="5"/>
  <c r="G20" i="11"/>
  <c r="H20" i="11"/>
  <c r="I20" i="11" s="1"/>
  <c r="J20" i="11" s="1"/>
  <c r="F44" i="14"/>
  <c r="G44" i="14" s="1"/>
  <c r="I44" i="14"/>
  <c r="B25" i="9"/>
  <c r="B20" i="19"/>
  <c r="G24" i="7"/>
  <c r="G62" i="7"/>
  <c r="G61" i="7" s="1"/>
  <c r="G17" i="11"/>
  <c r="H17" i="11"/>
  <c r="I17" i="11" s="1"/>
  <c r="H50" i="5"/>
  <c r="J50" i="5" s="1"/>
  <c r="K46" i="5" s="1"/>
  <c r="G30" i="15"/>
  <c r="H56" i="14"/>
  <c r="F14" i="15"/>
  <c r="G14" i="15" s="1"/>
  <c r="H14" i="15" s="1"/>
  <c r="I14" i="15" s="1"/>
  <c r="G24" i="15"/>
  <c r="H24" i="15" s="1"/>
  <c r="J52" i="5"/>
  <c r="I12" i="5"/>
  <c r="H12" i="5"/>
  <c r="H69" i="14"/>
  <c r="J69" i="14"/>
  <c r="H70" i="14"/>
  <c r="J70" i="14"/>
  <c r="H50" i="14"/>
  <c r="G16" i="15"/>
  <c r="H16" i="15" s="1"/>
  <c r="J32" i="5"/>
  <c r="K20" i="5" s="1"/>
  <c r="J38" i="5"/>
  <c r="F60" i="14"/>
  <c r="G60" i="14" s="1"/>
  <c r="I60" i="14"/>
  <c r="I72" i="14"/>
  <c r="F72" i="14"/>
  <c r="G72" i="14" s="1"/>
  <c r="H26" i="5"/>
  <c r="G33" i="11"/>
  <c r="H33" i="11"/>
  <c r="G22" i="15"/>
  <c r="H22" i="15" s="1"/>
  <c r="I20" i="15" s="1"/>
  <c r="G15" i="15"/>
  <c r="H15" i="15" s="1"/>
  <c r="J41" i="5"/>
  <c r="H72" i="5"/>
  <c r="J72" i="5"/>
  <c r="H68" i="14"/>
  <c r="H71" i="14"/>
  <c r="J71" i="14"/>
  <c r="G17" i="15"/>
  <c r="H17" i="15" s="1"/>
  <c r="H22" i="11"/>
  <c r="I22" i="11" s="1"/>
  <c r="I43" i="14"/>
  <c r="F43" i="14"/>
  <c r="G43" i="14" s="1"/>
  <c r="H23" i="7"/>
  <c r="G19" i="7" s="1"/>
  <c r="B7" i="6" l="1"/>
  <c r="B7" i="18"/>
  <c r="J11" i="5"/>
  <c r="K28" i="15"/>
  <c r="J28" i="15"/>
  <c r="J14" i="15"/>
  <c r="J14" i="11"/>
  <c r="B16" i="19"/>
  <c r="G11" i="7"/>
  <c r="B16" i="18"/>
  <c r="B16" i="6"/>
  <c r="B16" i="9"/>
  <c r="J20" i="15"/>
  <c r="H72" i="14"/>
  <c r="J72" i="14"/>
  <c r="B21" i="19"/>
  <c r="B26" i="6"/>
  <c r="B21" i="18"/>
  <c r="G54" i="7"/>
  <c r="B26" i="9"/>
  <c r="B17" i="9"/>
  <c r="B17" i="6"/>
  <c r="B17" i="18"/>
  <c r="B17" i="19"/>
  <c r="H44" i="14"/>
  <c r="J44" i="14"/>
  <c r="H23" i="14"/>
  <c r="J23" i="14"/>
  <c r="H41" i="14"/>
  <c r="J41" i="14"/>
  <c r="M28" i="11"/>
  <c r="K20" i="11"/>
  <c r="H43" i="14"/>
  <c r="J43" i="14"/>
  <c r="H60" i="14"/>
  <c r="J60" i="14"/>
  <c r="L14" i="11" l="1"/>
  <c r="K14" i="11"/>
  <c r="L14" i="15"/>
  <c r="K18" i="14"/>
  <c r="B14" i="18"/>
  <c r="B14" i="9"/>
  <c r="B14" i="6"/>
  <c r="B14" i="19"/>
  <c r="K14" i="15"/>
  <c r="B6" i="6"/>
  <c r="B5" i="6" s="1"/>
  <c r="B6" i="18"/>
  <c r="B5" i="18" s="1"/>
  <c r="L20" i="11"/>
  <c r="M20" i="11" s="1"/>
  <c r="K20" i="15"/>
  <c r="L20" i="15" s="1"/>
  <c r="C36" i="6"/>
  <c r="C31" i="18"/>
  <c r="B24" i="9"/>
  <c r="E24" i="9" s="1"/>
  <c r="B19" i="18"/>
  <c r="E19" i="18" s="1"/>
  <c r="B24" i="6"/>
  <c r="E24" i="6" s="1"/>
  <c r="B19" i="19"/>
  <c r="E19" i="19" s="1"/>
  <c r="L28" i="15"/>
  <c r="B5" i="9" l="1"/>
  <c r="B5" i="19"/>
  <c r="E14" i="6"/>
  <c r="E11" i="6" s="1"/>
  <c r="E12" i="6" s="1"/>
  <c r="B13" i="6"/>
  <c r="M14" i="15"/>
  <c r="C13" i="19"/>
  <c r="E14" i="19"/>
  <c r="E11" i="19" s="1"/>
  <c r="E12" i="19" s="1"/>
  <c r="B13" i="9"/>
  <c r="E14" i="9"/>
  <c r="E11" i="9" s="1"/>
  <c r="E12" i="9" s="1"/>
  <c r="B7" i="9"/>
  <c r="B7" i="19"/>
  <c r="C36" i="9"/>
  <c r="C31" i="19"/>
  <c r="C13" i="18"/>
  <c r="E14" i="18"/>
  <c r="E11" i="18" s="1"/>
  <c r="E12" i="18" s="1"/>
  <c r="C12" i="18" s="1"/>
  <c r="M14" i="11"/>
  <c r="N14" i="11" s="1"/>
  <c r="C12" i="19" l="1"/>
  <c r="C12" i="6"/>
  <c r="C30" i="18"/>
  <c r="C35" i="6"/>
  <c r="C12" i="9"/>
  <c r="C30" i="19"/>
  <c r="C35" i="9"/>
</calcChain>
</file>

<file path=xl/sharedStrings.xml><?xml version="1.0" encoding="utf-8"?>
<sst xmlns="http://schemas.openxmlformats.org/spreadsheetml/2006/main" count="722" uniqueCount="445">
  <si>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</si>
  <si>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</si>
  <si>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</si>
  <si>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</si>
  <si>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</si>
  <si>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</si>
  <si>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</si>
  <si>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</si>
  <si>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</si>
  <si>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</si>
  <si>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</si>
  <si>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</si>
  <si>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</si>
  <si>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</si>
  <si>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</si>
  <si>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</si>
  <si>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</si>
  <si>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</si>
  <si>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</si>
  <si>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</si>
  <si>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</si>
  <si>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</si>
  <si>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</si>
  <si>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</si>
  <si>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</si>
  <si>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</si>
  <si>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</si>
  <si>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</si>
  <si>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</si>
  <si>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</si>
  <si>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</si>
  <si>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</si>
  <si>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</si>
  <si>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</si>
  <si>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</si>
  <si>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</si>
  <si>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</si>
  <si>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</si>
  <si>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</si>
  <si>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</si>
  <si>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</si>
  <si>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</si>
  <si>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</si>
  <si>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</si>
  <si>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</si>
  <si>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</si>
  <si>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</si>
  <si>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</si>
  <si>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</si>
  <si>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</si>
  <si>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</si>
  <si>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</si>
  <si>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</si>
  <si>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</si>
  <si>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</si>
  <si>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</si>
  <si>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</si>
  <si>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</si>
  <si>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</si>
  <si>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</si>
  <si>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</si>
  <si>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</si>
  <si>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</si>
  <si>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</si>
  <si>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</si>
  <si>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</si>
  <si>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</si>
  <si>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</si>
  <si>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</si>
  <si>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</si>
  <si>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</si>
  <si>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</si>
  <si>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</si>
  <si>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</si>
  <si>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</si>
  <si>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</si>
  <si>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</si>
  <si>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</si>
  <si>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</si>
  <si>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</si>
  <si>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</si>
  <si>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</si>
  <si>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</si>
  <si>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</si>
  <si>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</si>
  <si>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</si>
  <si>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</si>
  <si>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</si>
  <si>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</si>
  <si>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</si>
  <si>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</si>
  <si>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</si>
  <si>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Yes</t>
  </si>
  <si>
    <t>Productivity and Innovation</t>
  </si>
  <si>
    <t>No</t>
  </si>
  <si>
    <t>Economic Integration</t>
  </si>
  <si>
    <t>Cross-cutting Themes</t>
  </si>
  <si>
    <t>Gender Equality and 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</si>
  <si>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</si>
  <si>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</si>
  <si>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</si>
  <si>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</si>
  <si>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</si>
  <si>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</si>
  <si>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</si>
  <si>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</si>
  <si>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</si>
  <si>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</si>
  <si>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</si>
  <si>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</si>
  <si>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</si>
  <si>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</si>
  <si>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</si>
  <si>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</si>
  <si>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</si>
  <si>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</si>
  <si>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</si>
  <si>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</si>
  <si>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</si>
  <si>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</si>
  <si>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</si>
  <si>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</si>
  <si>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</si>
  <si>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</si>
  <si>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</si>
  <si>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</si>
  <si>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</si>
  <si>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</si>
  <si>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</si>
  <si>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</si>
  <si>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</si>
  <si>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</si>
  <si>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</si>
  <si>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</si>
  <si>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</si>
  <si>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</si>
  <si>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</si>
  <si>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</si>
  <si>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</si>
  <si>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</si>
  <si>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</si>
  <si>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</si>
  <si>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</si>
  <si>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</si>
  <si>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</si>
  <si>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</si>
  <si>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</si>
  <si>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</si>
  <si>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</si>
  <si>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</si>
  <si>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</si>
  <si>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</si>
  <si>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</si>
  <si>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</si>
  <si>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</si>
  <si>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</si>
  <si>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</si>
  <si>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</si>
  <si>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</si>
  <si>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</si>
  <si>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</si>
  <si>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</si>
  <si>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</si>
  <si>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</si>
  <si>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GN-2836</t>
  </si>
  <si>
    <t>The Country Strategy (CS or CSU) objective to which the project is aligned has been identified</t>
  </si>
  <si>
    <t xml:space="preserve">objetivo estratégico II </t>
  </si>
  <si>
    <t>Country Program Results Matrix</t>
  </si>
  <si>
    <t>The project is included in the CPD of the corresponding year</t>
  </si>
  <si>
    <t>If the intervention is not aligned with the Country Strategy Results Matrix or Country Program</t>
  </si>
  <si>
    <t xml:space="preserve"> Provide justification of the relevance of this project to current country development challenges</t>
  </si>
  <si>
    <t>Ver Parrafo 1.18</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</si>
  <si>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</si>
  <si>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</si>
  <si>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</si>
  <si>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</si>
  <si>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</si>
  <si>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</si>
  <si>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</si>
  <si>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</si>
  <si>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</si>
  <si>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</si>
  <si>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</si>
  <si>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</si>
  <si>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</si>
  <si>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</si>
  <si>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</si>
  <si>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</si>
  <si>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</si>
  <si>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</si>
  <si>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</si>
  <si>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</si>
  <si>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</si>
  <si>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</si>
  <si>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</si>
  <si>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</si>
  <si>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</si>
  <si>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</si>
  <si>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</si>
  <si>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</si>
  <si>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</si>
  <si>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</si>
  <si>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</si>
  <si>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</si>
  <si>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</si>
  <si>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</si>
  <si>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</si>
  <si>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</si>
  <si>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</si>
  <si>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</si>
  <si>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</si>
  <si>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</si>
  <si>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</si>
  <si>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</si>
  <si>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</si>
  <si>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</si>
  <si>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</si>
  <si>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</si>
  <si>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</si>
  <si>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</si>
  <si>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</si>
  <si>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</si>
  <si>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</si>
  <si>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</si>
  <si>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</si>
  <si>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</si>
  <si>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</si>
  <si>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</si>
  <si>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</si>
  <si>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</si>
  <si>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</si>
  <si>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</si>
  <si>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</si>
  <si>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</si>
  <si>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</si>
  <si>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</si>
  <si>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</si>
  <si>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</si>
  <si>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</si>
  <si>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</si>
  <si>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</si>
  <si>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</si>
  <si>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</si>
  <si>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</si>
  <si>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</si>
  <si>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</si>
  <si>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</si>
  <si>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</si>
  <si>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CS Results Matrix objective</t>
  </si>
  <si>
    <t>Fill in GN # of Country Program Document</t>
  </si>
  <si>
    <t>If the intervention is not aligned with the country strategy matrix or country program</t>
  </si>
  <si>
    <t>Fill in referenced paragraph in the POD</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</si>
  <si>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</si>
  <si>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</si>
  <si>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</si>
  <si>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</si>
  <si>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</si>
  <si>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</si>
  <si>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</si>
  <si>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</si>
  <si>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SDP-QRR</t>
  </si>
  <si>
    <t>Changes Made by Team &amp; Reference(s)</t>
  </si>
  <si>
    <t>Program Diagnosis</t>
  </si>
  <si>
    <t>The main problems being addressed by the project are clearly identified</t>
  </si>
  <si>
    <t>The intended beneficiary population is clearly identified (households, localities, firms, users, or overall population)</t>
  </si>
  <si>
    <t xml:space="preserve">Por favor, definir los criterios de elegibilidad para el componente II. Para el componente I, se sugiere clarificar cuales son los criterios de elegibilidad que van a asegurar que se vaya a acceder a la poblacion mas vulnerable. No hay un criterio de elegibilidad economico sin embargo, en el censo de 2011 todos los asentamientos son de poblacion vulnerable, y esto ademas se contrastara con la eleccion de la unidad ejecutora y por la no objeccion del Banco. En la actualizacion del ROP se estudiara con la unidad el establecimiento de un criterio de vulnerabilidad economico a ser utilizado. </t>
  </si>
  <si>
    <t>El componente II es un piloto y los criterios se definiran durante su diseno a lo largo del proyecto. 
En el parrafo 3.4 se define que se revisaran los criterios de elegibilidad con la unidad ejecutora para asegurar la focalizacion en grupos vulnerables.</t>
  </si>
  <si>
    <t>The main factors (or causes) contributing to the problems are clearly identified</t>
  </si>
  <si>
    <t>Para el componente I, se mencionan en el parrafo 1.7 las causas de la formacion de asentamientos, sin embargo, no se especifica como estas se relacionan con la logica vertical del programa. En este sentido, se sugiere especificar que el programa no incide en las causas ultimas de formacion de asentamientos, sino que es un programa remedial que trata de mejorar la calidad de vida a traves de la provision de servicios de infraestructura. 
Para el componente II no hay una relacion clara entre las causas generales que se presentan en el parrafo 1.8 y las especificas del programa.</t>
  </si>
  <si>
    <t xml:space="preserve">En el parrafo 1.7 se describen las causas y  en el 1.14 se reconoce de que este tipo de programas en general son remediales y por tanto no incide en las causas de formacion de asentamientos. Sin embargo, en este caso, el componente II esta enfocado a solucionar una de las causas, que es la formacion de asentamientos por la desocupacion de los inmuebles degradados del centro. En este sentido se ajusta el texto en ambos parrafos para fortalecer dicha vinculacion. </t>
  </si>
  <si>
    <t>Empirical evidence of the main determinants of the problems  is provided</t>
  </si>
  <si>
    <t>En la logica de que el programa incide en las causas de la falta de calidad de vida, se ofrece evidencia de las carencias de infraestructura y servicios. No obstante falta incorporar evidencia y referencias de algunos aspectos como la falta de espacios publicos (incorporar y dimensionar deficit y citar fuentes de la evidencia presentada), y se deben citar todas las fuentes de informacion presentadas a lo largo del informe (por ejemplo en los parrafos 1.2, Cuadro 1.2, notas al pie 10, 12).</t>
  </si>
  <si>
    <t xml:space="preserve">La unica informacion que se tiene es la percepcion de la gente que considera deficitario, pero no hay un censo de infraestructura. </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</si>
  <si>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</si>
  <si>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</si>
  <si>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</si>
  <si>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</si>
  <si>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</si>
  <si>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</si>
  <si>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 xml:space="preserve">No se habla de la aplicabilidad de la evidencia al contexto de Uruguay. </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</si>
  <si>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</si>
  <si>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</si>
  <si>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</si>
  <si>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</si>
  <si>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</si>
  <si>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</si>
  <si>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</si>
  <si>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</si>
  <si>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</si>
  <si>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</si>
  <si>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 xml:space="preserve">El de genero no tiene linea de base,  asi que se debe especificar como se considera recogerlo. </t>
  </si>
  <si>
    <t xml:space="preserve">Se reconoce que no existe información de linea de base, pero se especifica en la matriz que sera recogido en los censos de inicio de los asentamientos a intervenir. </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</si>
  <si>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</si>
  <si>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</si>
  <si>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</si>
  <si>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</si>
  <si>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 xml:space="preserve">Notese que el indicador de "Intervenciones de equipamiento social" no es especifico. Son terminadas, inauguradas, en funcionamiento? </t>
  </si>
  <si>
    <t>Se sustituye por "Intervenciones de equipamiento social terminadas (construccion, rehabilitacion o acondicionamiento)"
"Titulos de los lotes entregados a sus habitantes, para el conjunto de lotes en terrenos del Ministerio"</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</si>
  <si>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</si>
  <si>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</si>
  <si>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</si>
  <si>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</si>
  <si>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</si>
  <si>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</si>
  <si>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 xml:space="preserve">Se debe incorporar la tasa de retorno economico del informe. </t>
  </si>
  <si>
    <t xml:space="preserve">Se incorpora la tasa. </t>
  </si>
  <si>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</si>
  <si>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</si>
  <si>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 xml:space="preserve">Notar que se debe elaborar en los supuestos de la eleccion de las variables ordinales para el analisis. </t>
  </si>
  <si>
    <t>A sensitivity analysis is performed and includes key variables that could affect benefits, costs, and assumptions</t>
  </si>
  <si>
    <t>The CBA is consistent with the baseline and target values for key outcome and/or impact indicators in the results matrix</t>
  </si>
  <si>
    <t xml:space="preserve">La relacion entre algunos de los supuestos del analisis y la matriz de resultados no es clara. Por ejemplo, para el analisis se suponen un costo por titulizacion, que no parece corresponderse con la matriz de resultados. </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</si>
  <si>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</si>
  <si>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</si>
  <si>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</si>
  <si>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</si>
  <si>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</si>
  <si>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</si>
  <si>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</si>
  <si>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</si>
  <si>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</si>
  <si>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</si>
  <si>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 xml:space="preserve">No se encuentra la agrupacion de los costes por productos segun la matriz de resultados. </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</si>
  <si>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</si>
  <si>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</si>
  <si>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No se encuentra la agrupacion de los costes por productos segun la matriz de resultados.  Ademas, el costo de evaluacion del PEP no coincide con el del Plan de M&amp;E.</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</si>
  <si>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</si>
  <si>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</si>
  <si>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</si>
  <si>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</si>
  <si>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</si>
  <si>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</si>
  <si>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</si>
  <si>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</si>
  <si>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 xml:space="preserve">The second component is innovative, however, the first one is not. </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</si>
  <si>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</si>
  <si>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</si>
  <si>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</si>
  <si>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</si>
  <si>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</si>
  <si>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</si>
  <si>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</si>
  <si>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</si>
  <si>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</si>
  <si>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</si>
  <si>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</si>
  <si>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</si>
  <si>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</si>
  <si>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</si>
  <si>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</si>
  <si>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</si>
  <si>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</si>
  <si>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</si>
  <si>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</si>
  <si>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</si>
  <si>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</si>
  <si>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</si>
  <si>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</si>
  <si>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</si>
  <si>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No se encontro el presupuesto en el plan de evlauacion</t>
  </si>
  <si>
    <t xml:space="preserve">Se incorporo el presupuesto actualizado. </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</si>
  <si>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</si>
  <si>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</si>
  <si>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</si>
  <si>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</si>
  <si>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</si>
  <si>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</si>
  <si>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Medium</t>
  </si>
  <si>
    <t>Environmental and Social Category</t>
  </si>
  <si>
    <t>A</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</si>
  <si>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</si>
  <si>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</si>
  <si>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</si>
  <si>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</si>
  <si>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</si>
  <si>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</si>
  <si>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</si>
  <si>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</si>
  <si>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</si>
  <si>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</si>
  <si>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</si>
  <si>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</si>
  <si>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</si>
  <si>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</si>
  <si>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</si>
  <si>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</si>
  <si>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</si>
  <si>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</si>
  <si>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</si>
  <si>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</si>
  <si>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</si>
  <si>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</si>
  <si>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</si>
  <si>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</si>
  <si>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</si>
  <si>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</si>
  <si>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</si>
  <si>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</si>
  <si>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</si>
  <si>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</si>
  <si>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</si>
  <si>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</si>
  <si>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</si>
  <si>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</si>
  <si>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</si>
  <si>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</si>
  <si>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</si>
  <si>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</si>
  <si>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</si>
  <si>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</si>
  <si>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</si>
  <si>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</si>
  <si>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</si>
  <si>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</si>
  <si>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</si>
  <si>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</si>
  <si>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</si>
  <si>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</si>
  <si>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</si>
  <si>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</si>
  <si>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</si>
  <si>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Gender Equality</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</si>
  <si>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</si>
  <si>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</si>
  <si>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</si>
  <si>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</si>
  <si>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</si>
  <si>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</si>
  <si>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Low</t>
  </si>
  <si>
    <t>B</t>
  </si>
  <si>
    <t>High</t>
  </si>
  <si>
    <t>C</t>
  </si>
  <si>
    <t>B.13</t>
  </si>
  <si>
    <t>Estructura</t>
  </si>
  <si>
    <t>Titulo principal</t>
  </si>
  <si>
    <t>Titulo secundario</t>
  </si>
  <si>
    <t>Total</t>
  </si>
  <si>
    <t>Subtotal 1</t>
  </si>
  <si>
    <t>Subtotal 2</t>
  </si>
  <si>
    <t>Agregados</t>
  </si>
  <si>
    <t>GN-2915-2</t>
  </si>
  <si>
    <t>Equidad e Inclusion Social mediante el mejoramiento de habitat.</t>
  </si>
  <si>
    <t>Equity and Social Inclusion through habitat improvement</t>
  </si>
  <si>
    <t>The Neighborhood Improvement Program III is the third operation of a CCLIP for neighborhood improvement in Uruguay and its general objective is to contribute to the improvement of the living conditions of the population residing in irregular settlements and degraded areas. On the one hand, it has a component for the improvement of irregular settlements whose objective is to promote urban integration through the provision of formal basic infrastructure, adequate social and urban services, guaranteeing secure possession of property and improving social capital, with considerations of climate change. On the other hand, it includes the design and implementation of a pilot to provide affordable housing for low-income population, while degraded urbanized spaces are recovered in the historic center of Montevideo. The program hopes to benefit 7,642 households that live in slums with the first component and 120 families through the provision of affordable housing. The vertical logic presented in the POD is consistent, covering the activities, products, results and impacts. The diagnosis presents the main problems that the project must address in the settlements, although it recognizes that it is a remedial program that does not address the ultimate causes of the formation of these settlements. Nonetheless, it presents evidence of rigorous impact evaluations of similar interventions with positive impacts in the short term.
The results matrix includes indicators of the main outputs, results and impacts of the program and these comply with the SMART criteria, including the initial values and goals or a plausible plan for their collection at the time of the baseline. However, the financial costs associated with each of the products have not been defined. The impact indicators associated with the first component include the price differential of dwellings in the vicinity of settlements treated with respect to dwellings in untreated settlements, the price differential of dwellings in settlements treated before and after, the perception of neighbors on their settlement and, for the second component, the existence of a public housing program for rent at the national level. The result indicators include the regularized intra-household use of water, sanitation, electricity, the use of neighborhood facilities and public spaces, home improvements, the presence of durable assets, the perception of the relationship between neighbors, the security of the neighborhood, permanence in the homes enabled by the program of recovery of degraded real estate and delinquency in the payment. As well as indicators of gender and climate change.
The executing agency is the Ministry of Housing, Territorial Planning and Environment (MVOTMA) through the PCU which will be responsible for the coordination of the program and the execution of all the components. Monitoring and evaluation activities have been planned and budgeted. The program presents an economic analysis that shows the economic viability of the project, although some technical aspects must be clarified and there is no clear link with some of the goals of the results matrix. There will be an evaluation of processes and results. Also, an impact evaluation will be conducted, which will measure the impact of component I on the change in the value of housing in areas close to those intervened as an indicator of improvement in the living conditions of the settlements and their integration into the formal city.</t>
  </si>
  <si>
    <t>El Programa de Mejoramiento de Barrios III es la tercera operación de una CCLIP de mejoramiento de barrios en Uruguay y tiene como objetivo general contribuir a la mejora de las condiciones de vida de la población residente en asentamientos irregulares y áreas degradadas. Por un lado tiene un componente de mejoramiento de asentamientos irregulares cuyo objetivo es propiciar la integración urbana a través de la provisión de infraestructura básica formal, servicios sociales y urbanos adecuados, garantizando la tenencia segura de la propiedad y mejorando el capital social, con consideraciones de cambio climático. Por otro lado, incluye el diseño y la implementación de un piloto para proveer vivienda asequible a población de bajos ingresos, a la vez que se recuperan espacios urbanizados degradados en el centro histórico de Montevideo. El programa espera beneficiar a 7.642 hogares que habitan en asentamientos precarios con el primer componente y a 120 familias a través de la provisión de vivienda asequible. La lógica vertical presentada en el POD es consistente, cubriendo las actividades, productos, resultados e impactos. El diagnóstico presenta los principales problemas que debe abordar el proyecto en los asentamientos, aunque reconoce que es un programa remedial que no aborda las causas ultimas de la formación de dichos asentamientos. No obstante, presenta evidencia de evaluaciones de impacto rigurosas de intervenciones similares con impactos positivos en el corto plazo.  
La matriz de resultados incluye indicadores de los principales productos, resultados e impactos del programa y estos cumplen con los criterios SMART, incluyendo los valores iniciales y metas o un plan plausible para su recolección al momento de línea de base. Sin embargo, no se han definido los costes financieros asociados a cada uno de los productos. Los indicadores de impacto asociados al primer componente incluyen el diferencial de precio de las viviendas en el entorno de los asentamientos tratados respecto a viviendas en asentamientos no tratados, el diferencial de precio de las viviendas de los asentamientos tratados antes y después, la percepción de los vecinos sobre su asentamiento y para el segundo componente la existencia de un programa de vivienda publica en alquiler a nivel nacional. Los indicadores de resultado incluyen el uso regularizado intradomiciliario de agua, saneamiento, electricidad, uso de equipamientos barriales y espacios públicos, mejoras por cuenta propia de los hogares, presencia de activos duraderos, percepción de la relación entre los vecinos, de la seguridad del barrio, permanencia en los hogares habilitados por el programa de recuperación de inmuebles degradados y morosidad en el pago. Así como indicadores de género y cambio climático. 
El organismo ejecutor es el Ministerio de Vivienda, Ordenamiento Territorial y Medio Ambiente (MVOTMA) a través de la UCP que será responsable de la coordinación del programa y de la ejecución de todos los componentes. Las actividades de monitoreo y evaluación han sido planificadas y presupuestadas. El programa presenta un análisis económico que muestra la viabilidad económica del proyecto, aunque se deben clarificar algunos aspectos técnicos y no se encuentra una vinculación clara con algunas de las metas de la matriz de resultados.  Se realizará una evaluación de procesos y resultados. También, se desarrollará también una evaluación de impacto, que medirá el impacto del componente I en el cambio en el valor de las viviendas en áreas cercanas a las intervenidas como un indicador de mejora en las condiciones de vida de los asentamientos y su integración en la ciudad formal.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</si>
</sst>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2"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b/>
      <i/>
      <sz val="11"/>
      <color indexed="9"/>
      <name val="Arial"/>
      <family val="2"/>
    </font>
    <font>
      <b/>
      <sz val="11"/>
      <color indexed="8"/>
      <name val="Arial"/>
      <family val="2"/>
    </font>
    <font>
      <b/>
      <i/>
      <sz val="11"/>
      <color theme="0"/>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506">
    <xf numFmtId="0" fontId="0" fillId="0" borderId="0" xfId="0"/>
    <xf numFmtId="165" fontId="11" fillId="0" borderId="27" xfId="0" applyNumberFormat="1" applyFont="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Alignment="1">
      <alignment vertical="center" wrapText="1"/>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8" fillId="14" borderId="6"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Alignment="1">
      <alignment vertical="center"/>
    </xf>
    <xf numFmtId="0" fontId="13" fillId="0" borderId="19" xfId="0" applyFont="1" applyBorder="1" applyAlignment="1">
      <alignment vertical="center"/>
    </xf>
    <xf numFmtId="0" fontId="7" fillId="0" borderId="17" xfId="0" applyFont="1" applyBorder="1" applyAlignment="1">
      <alignment vertical="center"/>
    </xf>
    <xf numFmtId="0" fontId="12" fillId="0" borderId="0" xfId="0" applyFont="1" applyAlignment="1">
      <alignment vertical="center" wrapText="1"/>
    </xf>
    <xf numFmtId="0" fontId="12" fillId="0" borderId="0" xfId="0" applyFont="1" applyAlignment="1">
      <alignment vertical="center"/>
    </xf>
    <xf numFmtId="0" fontId="11" fillId="0" borderId="0" xfId="0" applyFont="1" applyAlignment="1">
      <alignment horizontal="center" vertical="center"/>
    </xf>
    <xf numFmtId="0" fontId="15" fillId="13" borderId="6" xfId="0" applyFont="1" applyFill="1" applyBorder="1" applyAlignment="1">
      <alignment vertical="center" wrapText="1"/>
    </xf>
    <xf numFmtId="0" fontId="15" fillId="13" borderId="7" xfId="0" applyFont="1" applyFill="1" applyBorder="1" applyAlignment="1">
      <alignment horizontal="center" vertical="center"/>
    </xf>
    <xf numFmtId="0" fontId="15" fillId="13" borderId="8" xfId="0" applyFont="1" applyFill="1" applyBorder="1" applyAlignment="1">
      <alignment horizontal="center" vertical="center"/>
    </xf>
    <xf numFmtId="0" fontId="3" fillId="0" borderId="9" xfId="0" applyFont="1" applyBorder="1" applyAlignment="1">
      <alignment vertical="center" wrapText="1"/>
    </xf>
    <xf numFmtId="0" fontId="7" fillId="0" borderId="4" xfId="0" applyFont="1" applyBorder="1" applyAlignment="1" applyProtection="1">
      <alignment vertical="center" wrapText="1"/>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3" xfId="0" applyFont="1" applyBorder="1" applyAlignment="1" applyProtection="1">
      <alignment vertical="center"/>
      <protection locked="0"/>
    </xf>
    <xf numFmtId="0" fontId="3" fillId="0" borderId="24" xfId="0" applyFont="1" applyBorder="1" applyAlignment="1" applyProtection="1">
      <alignment vertical="center"/>
      <protection locked="0"/>
    </xf>
    <xf numFmtId="0" fontId="3" fillId="0" borderId="18" xfId="0" applyFont="1" applyBorder="1" applyAlignment="1" applyProtection="1">
      <alignment vertical="center"/>
      <protection locked="0"/>
    </xf>
    <xf numFmtId="0" fontId="12" fillId="0" borderId="0" xfId="0" applyFont="1" applyAlignment="1" applyProtection="1">
      <alignment vertical="center"/>
      <protection locked="0"/>
    </xf>
    <xf numFmtId="0" fontId="11" fillId="0" borderId="9" xfId="0" applyFont="1" applyBorder="1" applyAlignment="1">
      <alignment vertical="center" wrapText="1"/>
    </xf>
    <xf numFmtId="0" fontId="11" fillId="0" borderId="4" xfId="0" applyFont="1" applyBorder="1" applyAlignment="1" applyProtection="1">
      <alignment vertical="center" wrapText="1"/>
      <protection locked="0"/>
    </xf>
    <xf numFmtId="0" fontId="3" fillId="0" borderId="0" xfId="0" applyFont="1"/>
    <xf numFmtId="0" fontId="15" fillId="25" borderId="29" xfId="0" applyFont="1" applyFill="1" applyBorder="1" applyAlignment="1">
      <alignment vertical="center" wrapText="1"/>
    </xf>
    <xf numFmtId="0" fontId="15" fillId="25" borderId="30" xfId="0" applyFont="1" applyFill="1" applyBorder="1" applyAlignment="1">
      <alignment vertical="center" wrapText="1"/>
    </xf>
    <xf numFmtId="0" fontId="15" fillId="25" borderId="31" xfId="0" applyFont="1" applyFill="1" applyBorder="1" applyAlignment="1">
      <alignment horizontal="center" vertical="center" wrapText="1"/>
    </xf>
    <xf numFmtId="0" fontId="8" fillId="14" borderId="8" xfId="0" applyFont="1" applyFill="1" applyBorder="1" applyAlignment="1">
      <alignment horizontal="center" vertical="center" wrapText="1"/>
    </xf>
    <xf numFmtId="0" fontId="3" fillId="0" borderId="0" xfId="0" applyFont="1" applyAlignment="1">
      <alignment horizontal="center" vertical="center"/>
    </xf>
    <xf numFmtId="0" fontId="7" fillId="0" borderId="4" xfId="0" applyFont="1" applyBorder="1" applyAlignment="1" applyProtection="1">
      <alignment horizontal="center" vertical="center" wrapText="1"/>
      <protection locked="0"/>
    </xf>
    <xf numFmtId="0" fontId="17" fillId="13" borderId="5" xfId="0" applyFont="1" applyFill="1" applyBorder="1" applyAlignment="1">
      <alignment vertical="center" wrapText="1"/>
    </xf>
    <xf numFmtId="0" fontId="8" fillId="13" borderId="7" xfId="0" applyFont="1" applyFill="1" applyBorder="1" applyAlignment="1">
      <alignment horizontal="center" vertical="center"/>
    </xf>
    <xf numFmtId="0" fontId="17" fillId="14" borderId="6" xfId="0" applyFont="1" applyFill="1" applyBorder="1" applyAlignment="1">
      <alignment vertical="center" wrapText="1"/>
    </xf>
    <xf numFmtId="0" fontId="8" fillId="14" borderId="7" xfId="0" applyFont="1" applyFill="1" applyBorder="1" applyAlignment="1">
      <alignment vertical="center" wrapText="1"/>
    </xf>
    <xf numFmtId="0" fontId="8" fillId="14" borderId="7" xfId="0" applyFont="1" applyFill="1" applyBorder="1" applyAlignment="1">
      <alignment horizontal="center" vertical="center" wrapText="1"/>
    </xf>
    <xf numFmtId="0" fontId="11" fillId="0" borderId="4" xfId="0" applyFont="1" applyBorder="1" applyAlignment="1" applyProtection="1">
      <alignment horizontal="center" vertical="center" wrapText="1"/>
      <protection locked="0"/>
    </xf>
    <xf numFmtId="0" fontId="3" fillId="0" borderId="0" xfId="0" applyFont="1" applyAlignment="1">
      <alignment wrapText="1"/>
    </xf>
    <xf numFmtId="0" fontId="7" fillId="0" borderId="9" xfId="0" applyFont="1" applyBorder="1" applyAlignment="1">
      <alignment vertical="center" wrapText="1"/>
    </xf>
    <xf numFmtId="0" fontId="3" fillId="0" borderId="0" xfId="0" applyFont="1" applyAlignment="1">
      <alignment horizontal="left" vertical="center" wrapText="1"/>
    </xf>
    <xf numFmtId="167" fontId="3" fillId="0" borderId="0" xfId="0" applyNumberFormat="1" applyFont="1" applyAlignment="1">
      <alignment wrapText="1"/>
    </xf>
    <xf numFmtId="0" fontId="3" fillId="0" borderId="0" xfId="0" applyFont="1" applyAlignment="1" applyProtection="1">
      <alignment vertical="center"/>
      <protection hidden="1"/>
    </xf>
    <xf numFmtId="0" fontId="3" fillId="24" borderId="0" xfId="0" applyFont="1" applyFill="1" applyAlignment="1" applyProtection="1">
      <alignment vertical="center"/>
      <protection hidden="1"/>
    </xf>
    <xf numFmtId="0" fontId="7" fillId="0" borderId="0" xfId="0" applyFont="1" applyAlignment="1" applyProtection="1">
      <alignment horizontal="center" vertical="center"/>
      <protection locked="0"/>
    </xf>
    <xf numFmtId="0" fontId="3" fillId="0" borderId="23" xfId="0" applyFont="1" applyBorder="1" applyAlignment="1" applyProtection="1">
      <alignment vertical="center"/>
      <protection hidden="1"/>
    </xf>
    <xf numFmtId="0" fontId="3" fillId="0" borderId="24" xfId="0" applyFont="1" applyBorder="1" applyAlignment="1" applyProtection="1">
      <alignment vertical="center"/>
      <protection hidden="1"/>
    </xf>
    <xf numFmtId="0" fontId="3" fillId="0" borderId="18" xfId="0" applyFont="1" applyBorder="1" applyAlignment="1" applyProtection="1">
      <alignment vertical="center"/>
      <protection hidden="1"/>
    </xf>
    <xf numFmtId="0" fontId="12" fillId="0" borderId="0" xfId="0" applyFont="1" applyAlignment="1" applyProtection="1">
      <alignment vertical="center"/>
      <protection hidden="1"/>
    </xf>
    <xf numFmtId="0" fontId="15" fillId="14" borderId="6" xfId="0" applyFont="1" applyFill="1" applyBorder="1" applyAlignment="1">
      <alignment vertical="center" wrapText="1"/>
    </xf>
    <xf numFmtId="0" fontId="15" fillId="14" borderId="7" xfId="0" applyFont="1" applyFill="1" applyBorder="1" applyAlignment="1">
      <alignment vertical="center" wrapText="1"/>
    </xf>
    <xf numFmtId="0" fontId="15" fillId="14" borderId="7" xfId="0" applyFont="1" applyFill="1" applyBorder="1" applyAlignment="1">
      <alignment horizontal="center" vertical="center" wrapText="1"/>
    </xf>
    <xf numFmtId="165" fontId="15" fillId="14" borderId="8" xfId="0" applyNumberFormat="1" applyFont="1" applyFill="1" applyBorder="1" applyAlignment="1">
      <alignment horizontal="right" vertical="center" wrapText="1"/>
    </xf>
    <xf numFmtId="0" fontId="13" fillId="0" borderId="0" xfId="0" applyFont="1" applyAlignment="1">
      <alignment horizontal="center" vertical="center"/>
    </xf>
    <xf numFmtId="0" fontId="3" fillId="24" borderId="0" xfId="0" applyFont="1" applyFill="1" applyAlignment="1">
      <alignment vertical="center"/>
    </xf>
    <xf numFmtId="0" fontId="14" fillId="0" borderId="0" xfId="0" applyFont="1" applyAlignment="1">
      <alignment vertical="center"/>
    </xf>
    <xf numFmtId="0" fontId="12" fillId="24" borderId="0" xfId="0" applyFont="1" applyFill="1" applyAlignment="1">
      <alignment horizontal="left" vertical="center" wrapText="1"/>
    </xf>
    <xf numFmtId="0" fontId="7" fillId="0" borderId="0" xfId="0" applyFont="1" applyAlignment="1" applyProtection="1">
      <alignment horizontal="center" vertical="center" wrapText="1"/>
      <protection locked="0"/>
    </xf>
    <xf numFmtId="0" fontId="8" fillId="0" borderId="0" xfId="0" applyFont="1" applyAlignment="1">
      <alignment horizontal="center" vertical="center" wrapText="1"/>
    </xf>
    <xf numFmtId="0" fontId="10" fillId="0" borderId="0" xfId="0" applyFont="1" applyAlignment="1">
      <alignment horizontal="center" vertical="center" wrapText="1"/>
    </xf>
    <xf numFmtId="0" fontId="8" fillId="13" borderId="32" xfId="0" applyFont="1" applyFill="1" applyBorder="1" applyAlignment="1">
      <alignment horizontal="center" vertical="center"/>
    </xf>
    <xf numFmtId="0" fontId="8" fillId="14" borderId="27" xfId="0" applyFont="1" applyFill="1" applyBorder="1" applyAlignment="1">
      <alignment horizontal="center" vertical="center" wrapText="1"/>
    </xf>
    <xf numFmtId="0" fontId="16" fillId="11" borderId="27" xfId="0" applyFont="1" applyFill="1" applyBorder="1" applyAlignment="1">
      <alignment vertical="center" wrapText="1"/>
    </xf>
    <xf numFmtId="0" fontId="7" fillId="10" borderId="27" xfId="0" applyFont="1" applyFill="1" applyBorder="1" applyAlignment="1">
      <alignment horizontal="center" vertical="center" wrapText="1"/>
    </xf>
    <xf numFmtId="0" fontId="7" fillId="0" borderId="27" xfId="0" applyFont="1" applyBorder="1" applyAlignment="1" applyProtection="1">
      <alignment horizontal="center" vertical="center"/>
      <protection locked="0"/>
    </xf>
    <xf numFmtId="0" fontId="8" fillId="11" borderId="27" xfId="0" applyFont="1" applyFill="1" applyBorder="1" applyAlignment="1">
      <alignment horizontal="center" vertical="center" wrapText="1"/>
    </xf>
    <xf numFmtId="0" fontId="7" fillId="0" borderId="27" xfId="0" applyFont="1" applyBorder="1" applyAlignment="1" applyProtection="1">
      <alignment horizontal="center" vertical="center"/>
      <protection hidden="1"/>
    </xf>
    <xf numFmtId="0" fontId="3" fillId="0" borderId="10" xfId="0" applyFont="1" applyBorder="1" applyAlignment="1" applyProtection="1">
      <alignment vertical="center"/>
      <protection locked="0"/>
    </xf>
    <xf numFmtId="0" fontId="12" fillId="0" borderId="9" xfId="0" applyFont="1" applyBorder="1" applyAlignment="1">
      <alignment vertical="center" wrapText="1"/>
    </xf>
    <xf numFmtId="0" fontId="3" fillId="0" borderId="4" xfId="0" applyFont="1" applyBorder="1" applyAlignment="1" applyProtection="1">
      <alignment vertical="center"/>
      <protection locked="0"/>
    </xf>
    <xf numFmtId="0" fontId="8" fillId="13" borderId="6" xfId="0" applyFont="1" applyFill="1" applyBorder="1" applyAlignment="1">
      <alignment vertical="center" wrapText="1"/>
    </xf>
    <xf numFmtId="0" fontId="3" fillId="0" borderId="34" xfId="0" applyFont="1" applyBorder="1" applyAlignment="1" applyProtection="1">
      <alignment vertical="center"/>
      <protection locked="0"/>
    </xf>
    <xf numFmtId="0" fontId="3" fillId="0" borderId="28" xfId="0" applyFont="1" applyBorder="1" applyAlignment="1" applyProtection="1">
      <alignment vertical="center"/>
      <protection locked="0"/>
    </xf>
    <xf numFmtId="0" fontId="3" fillId="0" borderId="39" xfId="0" applyFont="1" applyBorder="1" applyAlignment="1" applyProtection="1">
      <alignment vertical="center"/>
      <protection locked="0"/>
    </xf>
    <xf numFmtId="0" fontId="8" fillId="13" borderId="8" xfId="0" applyFont="1" applyFill="1" applyBorder="1" applyAlignment="1">
      <alignment horizontal="center" vertical="center" wrapText="1"/>
    </xf>
    <xf numFmtId="0" fontId="7" fillId="0" borderId="10"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15" borderId="4" xfId="0" applyFont="1" applyFill="1" applyBorder="1" applyAlignment="1">
      <alignment horizontal="center" vertical="center" wrapText="1"/>
    </xf>
    <xf numFmtId="0" fontId="3" fillId="0" borderId="13" xfId="0" applyFont="1" applyBorder="1" applyAlignment="1" applyProtection="1">
      <alignment vertical="center"/>
      <protection hidden="1"/>
    </xf>
    <xf numFmtId="0" fontId="3" fillId="0" borderId="11" xfId="0" applyFont="1" applyBorder="1" applyAlignment="1" applyProtection="1">
      <alignment vertical="center"/>
      <protection hidden="1"/>
    </xf>
    <xf numFmtId="0" fontId="15" fillId="14" borderId="36" xfId="0" applyFont="1" applyFill="1" applyBorder="1" applyAlignment="1">
      <alignment horizontal="center" vertical="center" wrapText="1"/>
    </xf>
    <xf numFmtId="165" fontId="15" fillId="14" borderId="38" xfId="0" applyNumberFormat="1" applyFont="1" applyFill="1" applyBorder="1" applyAlignment="1">
      <alignment horizontal="right" vertical="center" wrapText="1"/>
    </xf>
    <xf numFmtId="0" fontId="29" fillId="17" borderId="37" xfId="0" applyFont="1" applyFill="1" applyBorder="1" applyAlignment="1">
      <alignment vertical="center" wrapText="1"/>
    </xf>
    <xf numFmtId="0" fontId="29" fillId="17" borderId="36" xfId="0" applyFont="1" applyFill="1" applyBorder="1" applyAlignment="1">
      <alignment vertical="center" wrapText="1"/>
    </xf>
    <xf numFmtId="0" fontId="15" fillId="13" borderId="7" xfId="0" applyFont="1" applyFill="1" applyBorder="1" applyAlignment="1">
      <alignment horizontal="center" vertical="center" wrapText="1"/>
    </xf>
    <xf numFmtId="0" fontId="12" fillId="0" borderId="7" xfId="0" applyFont="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32" xfId="0" applyFont="1" applyBorder="1" applyAlignment="1" applyProtection="1">
      <alignment vertical="center"/>
      <protection hidden="1"/>
    </xf>
    <xf numFmtId="0" fontId="3" fillId="0" borderId="27" xfId="0" applyFont="1" applyBorder="1" applyAlignment="1" applyProtection="1">
      <alignment vertical="center"/>
      <protection hidden="1"/>
    </xf>
    <xf numFmtId="0" fontId="3" fillId="24" borderId="27" xfId="0" applyFont="1" applyFill="1" applyBorder="1" applyAlignment="1" applyProtection="1">
      <alignment vertical="center"/>
      <protection hidden="1"/>
    </xf>
    <xf numFmtId="0" fontId="3" fillId="24" borderId="35" xfId="0" applyFont="1" applyFill="1" applyBorder="1" applyAlignment="1" applyProtection="1">
      <alignment vertical="center"/>
      <protection hidden="1"/>
    </xf>
    <xf numFmtId="0" fontId="7" fillId="24" borderId="27" xfId="0" applyFont="1" applyFill="1" applyBorder="1" applyAlignment="1" applyProtection="1">
      <alignment horizontal="center" vertical="center"/>
      <protection hidden="1"/>
    </xf>
    <xf numFmtId="0" fontId="34" fillId="9" borderId="25" xfId="0" applyFont="1" applyFill="1" applyBorder="1" applyAlignment="1" applyProtection="1">
      <alignment vertical="center" wrapText="1"/>
      <protection hidden="1"/>
    </xf>
    <xf numFmtId="0" fontId="3" fillId="27" borderId="0" xfId="0" applyFont="1" applyFill="1" applyAlignment="1">
      <alignment wrapText="1"/>
    </xf>
    <xf numFmtId="0" fontId="3" fillId="0" borderId="16" xfId="0" applyFont="1" applyBorder="1" applyAlignment="1" applyProtection="1">
      <alignment vertical="center"/>
      <protection hidden="1"/>
    </xf>
    <xf numFmtId="9" fontId="3" fillId="0" borderId="16" xfId="0" applyNumberFormat="1" applyFont="1" applyBorder="1" applyAlignment="1" applyProtection="1">
      <alignment vertical="center"/>
      <protection hidden="1"/>
    </xf>
    <xf numFmtId="0" fontId="3" fillId="26" borderId="16" xfId="0" applyFont="1" applyFill="1" applyBorder="1" applyAlignment="1" applyProtection="1">
      <alignment vertical="center"/>
      <protection hidden="1"/>
    </xf>
    <xf numFmtId="164" fontId="3" fillId="0" borderId="16" xfId="0" applyNumberFormat="1" applyFont="1" applyBorder="1" applyAlignment="1" applyProtection="1">
      <alignment vertical="center"/>
      <protection hidden="1"/>
    </xf>
    <xf numFmtId="0" fontId="3" fillId="0" borderId="21" xfId="0" applyFont="1" applyBorder="1" applyAlignment="1" applyProtection="1">
      <alignment vertical="center"/>
      <protection hidden="1"/>
    </xf>
    <xf numFmtId="0" fontId="3" fillId="24" borderId="16" xfId="0" applyFont="1" applyFill="1" applyBorder="1" applyAlignment="1" applyProtection="1">
      <alignment vertical="center"/>
      <protection hidden="1"/>
    </xf>
    <xf numFmtId="0" fontId="3" fillId="0" borderId="22" xfId="0" applyFont="1" applyBorder="1" applyAlignment="1" applyProtection="1">
      <alignment vertical="center"/>
      <protection hidden="1"/>
    </xf>
    <xf numFmtId="0" fontId="3" fillId="0" borderId="15" xfId="0" applyFont="1" applyBorder="1" applyAlignment="1" applyProtection="1">
      <alignment vertical="center"/>
      <protection hidden="1"/>
    </xf>
    <xf numFmtId="0" fontId="13" fillId="0" borderId="0" xfId="0" applyFont="1" applyAlignment="1">
      <alignment vertical="center"/>
    </xf>
    <xf numFmtId="0" fontId="13" fillId="0" borderId="0" xfId="0" applyFont="1" applyAlignment="1" applyProtection="1">
      <alignment vertical="center"/>
      <protection hidden="1"/>
    </xf>
    <xf numFmtId="0" fontId="12" fillId="0" borderId="0" xfId="0" applyFont="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7" xfId="0" applyFont="1" applyFill="1" applyBorder="1" applyAlignment="1" applyProtection="1">
      <alignment vertical="center" wrapText="1"/>
      <protection hidden="1"/>
    </xf>
    <xf numFmtId="9" fontId="15" fillId="14" borderId="36" xfId="0" applyNumberFormat="1" applyFont="1" applyFill="1" applyBorder="1" applyAlignment="1" applyProtection="1">
      <alignment horizontal="center" vertical="center" wrapText="1"/>
      <protection hidden="1"/>
    </xf>
    <xf numFmtId="165" fontId="15" fillId="14" borderId="36" xfId="0" applyNumberFormat="1" applyFont="1" applyFill="1" applyBorder="1" applyAlignment="1" applyProtection="1">
      <alignment horizontal="center" vertical="center" wrapText="1"/>
      <protection hidden="1"/>
    </xf>
    <xf numFmtId="1" fontId="15" fillId="14" borderId="36" xfId="0" applyNumberFormat="1" applyFont="1" applyFill="1" applyBorder="1" applyAlignment="1" applyProtection="1">
      <alignment horizontal="center" vertical="center" wrapText="1"/>
      <protection hidden="1"/>
    </xf>
    <xf numFmtId="9" fontId="15" fillId="14" borderId="7" xfId="0" applyNumberFormat="1" applyFont="1" applyFill="1" applyBorder="1" applyAlignment="1" applyProtection="1">
      <alignment vertical="center" wrapText="1"/>
      <protection hidden="1"/>
    </xf>
    <xf numFmtId="165" fontId="15" fillId="14" borderId="7" xfId="0" applyNumberFormat="1" applyFont="1" applyFill="1" applyBorder="1" applyAlignment="1" applyProtection="1">
      <alignment vertical="center" wrapText="1"/>
      <protection hidden="1"/>
    </xf>
    <xf numFmtId="9" fontId="11" fillId="0" borderId="0" xfId="0" applyNumberFormat="1" applyFont="1" applyAlignment="1" applyProtection="1">
      <alignment vertical="center" wrapText="1"/>
      <protection hidden="1"/>
    </xf>
    <xf numFmtId="165" fontId="12" fillId="0" borderId="0" xfId="0" applyNumberFormat="1" applyFont="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Alignment="1" applyProtection="1">
      <alignment vertical="center"/>
      <protection hidden="1"/>
    </xf>
    <xf numFmtId="0" fontId="3" fillId="0" borderId="12" xfId="0" applyFont="1" applyBorder="1" applyAlignment="1">
      <alignment vertical="center" wrapText="1"/>
    </xf>
    <xf numFmtId="0" fontId="3" fillId="0" borderId="13" xfId="0" applyFont="1" applyBorder="1" applyAlignment="1">
      <alignment vertical="center" wrapText="1"/>
    </xf>
    <xf numFmtId="0" fontId="7" fillId="0" borderId="14" xfId="0" applyFont="1" applyBorder="1" applyAlignment="1">
      <alignment horizontal="center" vertical="center"/>
    </xf>
    <xf numFmtId="0" fontId="14" fillId="0" borderId="3" xfId="0" applyFont="1" applyBorder="1" applyAlignment="1">
      <alignment vertical="center"/>
    </xf>
    <xf numFmtId="0" fontId="14" fillId="0" borderId="33" xfId="0" applyFont="1" applyBorder="1" applyAlignment="1">
      <alignment vertical="center"/>
    </xf>
    <xf numFmtId="0" fontId="3" fillId="0" borderId="12" xfId="0" applyFont="1" applyBorder="1" applyAlignment="1">
      <alignment vertical="center"/>
    </xf>
    <xf numFmtId="0" fontId="3" fillId="0" borderId="17" xfId="0" applyFont="1" applyBorder="1" applyAlignment="1">
      <alignment vertical="center"/>
    </xf>
    <xf numFmtId="0" fontId="3" fillId="0" borderId="0" xfId="0" applyFont="1" applyAlignment="1" applyProtection="1">
      <alignment vertical="top" wrapText="1"/>
      <protection locked="0"/>
    </xf>
    <xf numFmtId="0" fontId="29" fillId="17" borderId="37" xfId="0" applyFont="1" applyFill="1" applyBorder="1" applyAlignment="1">
      <alignment vertical="top" wrapText="1"/>
    </xf>
    <xf numFmtId="0" fontId="29" fillId="17" borderId="38" xfId="0" applyFont="1" applyFill="1" applyBorder="1" applyAlignment="1">
      <alignment vertical="top" wrapText="1"/>
    </xf>
    <xf numFmtId="0" fontId="29" fillId="17" borderId="6" xfId="0" applyFont="1" applyFill="1" applyBorder="1" applyAlignment="1">
      <alignment vertical="top" wrapText="1"/>
    </xf>
    <xf numFmtId="0" fontId="29" fillId="17" borderId="8" xfId="0" applyFont="1" applyFill="1" applyBorder="1" applyAlignment="1">
      <alignment vertical="top" wrapText="1"/>
    </xf>
    <xf numFmtId="0" fontId="38" fillId="25" borderId="27" xfId="0" applyFont="1" applyFill="1" applyBorder="1" applyAlignment="1" applyProtection="1">
      <alignment horizontal="center" vertical="center" wrapText="1"/>
      <protection hidden="1"/>
    </xf>
    <xf numFmtId="0" fontId="3" fillId="0" borderId="9" xfId="0" applyFont="1" applyBorder="1" applyAlignment="1" applyProtection="1">
      <alignment vertical="top" wrapText="1"/>
      <protection locked="0"/>
    </xf>
    <xf numFmtId="0" fontId="3" fillId="0" borderId="10" xfId="0" applyFont="1" applyBorder="1" applyAlignment="1" applyProtection="1">
      <alignment vertical="top" wrapText="1"/>
      <protection locked="0"/>
    </xf>
    <xf numFmtId="0" fontId="8" fillId="14" borderId="6" xfId="0" applyFont="1" applyFill="1" applyBorder="1" applyAlignment="1">
      <alignment vertical="top" wrapText="1"/>
    </xf>
    <xf numFmtId="0" fontId="8" fillId="14" borderId="8" xfId="0" applyFont="1" applyFill="1" applyBorder="1" applyAlignment="1">
      <alignment vertical="top" wrapText="1"/>
    </xf>
    <xf numFmtId="0" fontId="3" fillId="0" borderId="42" xfId="0" applyFont="1" applyBorder="1" applyAlignment="1" applyProtection="1">
      <alignment vertical="center" wrapText="1"/>
      <protection locked="0"/>
    </xf>
    <xf numFmtId="0" fontId="3" fillId="0" borderId="42" xfId="0" applyFont="1" applyBorder="1" applyAlignment="1" applyProtection="1">
      <alignment vertical="top" wrapText="1"/>
      <protection locked="0"/>
    </xf>
    <xf numFmtId="165" fontId="12" fillId="0" borderId="42" xfId="0" applyNumberFormat="1" applyFont="1" applyBorder="1" applyAlignment="1" applyProtection="1">
      <alignment vertical="center" wrapText="1"/>
      <protection locked="0"/>
    </xf>
    <xf numFmtId="0" fontId="7" fillId="10" borderId="43" xfId="0" applyFont="1" applyFill="1" applyBorder="1" applyAlignment="1" applyProtection="1">
      <alignment vertical="center" wrapText="1"/>
      <protection locked="0"/>
    </xf>
    <xf numFmtId="0" fontId="7" fillId="0" borderId="43" xfId="0" applyFont="1" applyBorder="1" applyAlignment="1" applyProtection="1">
      <alignment horizontal="center" vertical="center"/>
      <protection locked="0"/>
    </xf>
    <xf numFmtId="0" fontId="7" fillId="0" borderId="43" xfId="0" applyFont="1" applyBorder="1" applyAlignment="1" applyProtection="1">
      <alignment vertical="center" wrapText="1"/>
      <protection locked="0"/>
    </xf>
    <xf numFmtId="9" fontId="7" fillId="0" borderId="43" xfId="0" applyNumberFormat="1" applyFont="1" applyBorder="1" applyAlignment="1" applyProtection="1">
      <alignment vertical="center" wrapText="1"/>
      <protection locked="0"/>
    </xf>
    <xf numFmtId="0" fontId="11" fillId="0" borderId="44" xfId="0" applyFont="1" applyBorder="1" applyAlignment="1" applyProtection="1">
      <alignment horizontal="center" vertical="center" wrapText="1"/>
      <protection locked="0"/>
    </xf>
    <xf numFmtId="0" fontId="12" fillId="0" borderId="43" xfId="0" applyFont="1" applyBorder="1" applyAlignment="1" applyProtection="1">
      <alignment vertical="center" wrapText="1"/>
      <protection locked="0"/>
    </xf>
    <xf numFmtId="0" fontId="8" fillId="13" borderId="3" xfId="0" applyFont="1" applyFill="1" applyBorder="1" applyAlignment="1">
      <alignment vertical="top" wrapText="1"/>
    </xf>
    <xf numFmtId="0" fontId="8" fillId="13" borderId="0" xfId="0" applyFont="1" applyFill="1" applyAlignment="1">
      <alignment vertical="top" wrapText="1"/>
    </xf>
    <xf numFmtId="0" fontId="8" fillId="13" borderId="19" xfId="0" applyFont="1" applyFill="1" applyBorder="1" applyAlignment="1">
      <alignment vertical="top" wrapText="1"/>
    </xf>
    <xf numFmtId="0" fontId="8" fillId="13" borderId="21" xfId="0" applyFont="1" applyFill="1" applyBorder="1" applyAlignment="1">
      <alignment vertical="top" wrapText="1"/>
    </xf>
    <xf numFmtId="0" fontId="3" fillId="24" borderId="42" xfId="0" applyFont="1" applyFill="1" applyBorder="1" applyAlignment="1" applyProtection="1">
      <alignment vertical="top" wrapText="1"/>
      <protection locked="0"/>
    </xf>
    <xf numFmtId="0" fontId="7" fillId="21" borderId="42" xfId="0" applyFont="1" applyFill="1" applyBorder="1" applyAlignment="1">
      <alignment vertical="center" wrapText="1"/>
    </xf>
    <xf numFmtId="0" fontId="20" fillId="0" borderId="42" xfId="0" applyFont="1" applyBorder="1" applyAlignment="1">
      <alignment vertical="center" wrapText="1"/>
    </xf>
    <xf numFmtId="0" fontId="7" fillId="0" borderId="42" xfId="0" applyFont="1" applyBorder="1" applyAlignment="1">
      <alignment vertical="center" wrapText="1"/>
    </xf>
    <xf numFmtId="0" fontId="20" fillId="0" borderId="43" xfId="0" applyFont="1" applyBorder="1" applyAlignment="1" applyProtection="1">
      <alignment horizontal="center" vertical="center" wrapText="1"/>
      <protection hidden="1"/>
    </xf>
    <xf numFmtId="0" fontId="7" fillId="0" borderId="42" xfId="0" applyFont="1" applyBorder="1" applyAlignment="1">
      <alignment horizontal="left" vertical="center" wrapText="1" indent="1"/>
    </xf>
    <xf numFmtId="165" fontId="7" fillId="0" borderId="43" xfId="0" applyNumberFormat="1" applyFont="1" applyBorder="1" applyAlignment="1" applyProtection="1">
      <alignment horizontal="right" vertical="center" wrapText="1"/>
      <protection locked="0"/>
    </xf>
    <xf numFmtId="0" fontId="33" fillId="9" borderId="42" xfId="0" applyFont="1" applyFill="1" applyBorder="1" applyAlignment="1">
      <alignment vertical="center" wrapText="1"/>
    </xf>
    <xf numFmtId="0" fontId="19" fillId="9" borderId="42" xfId="0" applyFont="1" applyFill="1" applyBorder="1" applyAlignment="1" applyProtection="1">
      <alignment vertical="center" wrapText="1"/>
      <protection hidden="1"/>
    </xf>
    <xf numFmtId="165" fontId="7" fillId="26" borderId="43" xfId="0" applyNumberFormat="1" applyFont="1" applyFill="1" applyBorder="1" applyAlignment="1" applyProtection="1">
      <alignment horizontal="center" vertical="center" wrapText="1"/>
      <protection hidden="1"/>
    </xf>
    <xf numFmtId="0" fontId="8" fillId="9" borderId="44" xfId="0" applyFont="1" applyFill="1" applyBorder="1" applyAlignment="1" applyProtection="1">
      <alignment horizontal="center" vertical="center" wrapText="1"/>
      <protection hidden="1"/>
    </xf>
    <xf numFmtId="0" fontId="7" fillId="21" borderId="42" xfId="0" applyFont="1" applyFill="1" applyBorder="1" applyAlignment="1">
      <alignment horizontal="left" vertical="center" wrapText="1"/>
    </xf>
    <xf numFmtId="0" fontId="7" fillId="0" borderId="42" xfId="0" applyFont="1" applyBorder="1" applyAlignment="1">
      <alignment horizontal="right" vertical="center" wrapText="1"/>
    </xf>
    <xf numFmtId="165" fontId="20" fillId="0" borderId="43" xfId="0" applyNumberFormat="1" applyFont="1" applyBorder="1" applyAlignment="1">
      <alignment horizontal="center" vertical="center" wrapText="1"/>
    </xf>
    <xf numFmtId="0" fontId="3" fillId="0" borderId="42" xfId="0" applyFont="1" applyBorder="1" applyAlignment="1">
      <alignment horizontal="right" vertical="center" wrapText="1"/>
    </xf>
    <xf numFmtId="165" fontId="20" fillId="0" borderId="43" xfId="0" applyNumberFormat="1" applyFont="1" applyBorder="1" applyAlignment="1" applyProtection="1">
      <alignment horizontal="center" vertical="center" wrapText="1"/>
      <protection hidden="1"/>
    </xf>
    <xf numFmtId="165" fontId="7" fillId="24" borderId="43" xfId="0" applyNumberFormat="1" applyFont="1" applyFill="1" applyBorder="1" applyAlignment="1" applyProtection="1">
      <alignment horizontal="center" vertical="center" wrapText="1"/>
      <protection hidden="1"/>
    </xf>
    <xf numFmtId="0" fontId="8" fillId="14" borderId="42" xfId="0" applyFont="1" applyFill="1" applyBorder="1" applyAlignment="1">
      <alignment vertical="center" wrapText="1"/>
    </xf>
    <xf numFmtId="0" fontId="8" fillId="14" borderId="43" xfId="0" applyFont="1" applyFill="1" applyBorder="1" applyAlignment="1">
      <alignment horizontal="center" vertical="center" wrapText="1"/>
    </xf>
    <xf numFmtId="0" fontId="3" fillId="0" borderId="43" xfId="0" applyFont="1" applyBorder="1" applyAlignment="1" applyProtection="1">
      <alignment vertical="center"/>
      <protection hidden="1"/>
    </xf>
    <xf numFmtId="0" fontId="8" fillId="14" borderId="42" xfId="0" applyFont="1" applyFill="1" applyBorder="1" applyAlignment="1">
      <alignment horizontal="center" vertical="top" wrapText="1"/>
    </xf>
    <xf numFmtId="0" fontId="8" fillId="14" borderId="44" xfId="0" applyFont="1" applyFill="1" applyBorder="1" applyAlignment="1">
      <alignment horizontal="center" vertical="top" wrapText="1"/>
    </xf>
    <xf numFmtId="0" fontId="8" fillId="11" borderId="42" xfId="0" applyFont="1" applyFill="1" applyBorder="1" applyAlignment="1">
      <alignment vertical="center" wrapText="1"/>
    </xf>
    <xf numFmtId="0" fontId="16" fillId="11" borderId="43" xfId="0" applyFont="1" applyFill="1" applyBorder="1" applyAlignment="1">
      <alignment vertical="center" wrapText="1"/>
    </xf>
    <xf numFmtId="0" fontId="8" fillId="11" borderId="43" xfId="0" applyFont="1" applyFill="1" applyBorder="1" applyAlignment="1">
      <alignment horizontal="center" vertical="center" wrapText="1"/>
    </xf>
    <xf numFmtId="0" fontId="3" fillId="24" borderId="43" xfId="0" applyFont="1" applyFill="1" applyBorder="1" applyAlignment="1" applyProtection="1">
      <alignment vertical="center"/>
      <protection hidden="1"/>
    </xf>
    <xf numFmtId="0" fontId="8" fillId="11" borderId="42" xfId="0" applyFont="1" applyFill="1" applyBorder="1" applyAlignment="1">
      <alignment vertical="top" wrapText="1"/>
    </xf>
    <xf numFmtId="0" fontId="8" fillId="11" borderId="44" xfId="0" applyFont="1" applyFill="1" applyBorder="1" applyAlignment="1">
      <alignment vertical="top" wrapText="1"/>
    </xf>
    <xf numFmtId="0" fontId="7" fillId="10" borderId="42" xfId="0" applyFont="1" applyFill="1" applyBorder="1" applyAlignment="1">
      <alignment vertical="center" wrapText="1"/>
    </xf>
    <xf numFmtId="0" fontId="7" fillId="10" borderId="43" xfId="0" applyFont="1" applyFill="1" applyBorder="1" applyAlignment="1" applyProtection="1">
      <alignment horizontal="center" vertical="center" wrapText="1"/>
      <protection locked="0"/>
    </xf>
    <xf numFmtId="0" fontId="7" fillId="15" borderId="43" xfId="0" applyFont="1" applyFill="1" applyBorder="1" applyAlignment="1" applyProtection="1">
      <alignment horizontal="center" vertical="center" wrapText="1"/>
      <protection hidden="1"/>
    </xf>
    <xf numFmtId="0" fontId="3" fillId="0" borderId="44" xfId="0" applyFont="1" applyBorder="1" applyAlignment="1" applyProtection="1">
      <alignment vertical="top" wrapText="1"/>
      <protection locked="0"/>
    </xf>
    <xf numFmtId="0" fontId="7" fillId="10" borderId="43" xfId="0" applyFont="1" applyFill="1" applyBorder="1" applyAlignment="1">
      <alignment vertical="center" wrapText="1"/>
    </xf>
    <xf numFmtId="0" fontId="7" fillId="10" borderId="43" xfId="0" applyFont="1" applyFill="1" applyBorder="1" applyAlignment="1" applyProtection="1">
      <alignment horizontal="center" vertical="center" wrapText="1"/>
      <protection hidden="1"/>
    </xf>
    <xf numFmtId="0" fontId="7" fillId="0" borderId="43" xfId="0" applyFont="1" applyBorder="1" applyAlignment="1">
      <alignment vertical="center" wrapText="1"/>
    </xf>
    <xf numFmtId="0" fontId="7" fillId="0" borderId="43" xfId="0" applyFont="1" applyBorder="1" applyAlignment="1" applyProtection="1">
      <alignment horizontal="center" vertical="center" wrapText="1"/>
      <protection locked="0"/>
    </xf>
    <xf numFmtId="0" fontId="8" fillId="11" borderId="43" xfId="0" applyFont="1" applyFill="1" applyBorder="1" applyAlignment="1">
      <alignment vertical="center" wrapText="1"/>
    </xf>
    <xf numFmtId="0" fontId="7" fillId="15" borderId="43" xfId="0" applyFont="1" applyFill="1" applyBorder="1" applyAlignment="1">
      <alignment horizontal="center" vertical="center" wrapText="1"/>
    </xf>
    <xf numFmtId="0" fontId="10" fillId="11" borderId="43" xfId="0" applyFont="1" applyFill="1" applyBorder="1" applyAlignment="1">
      <alignment vertical="center" wrapText="1"/>
    </xf>
    <xf numFmtId="0" fontId="10" fillId="11" borderId="43" xfId="0" applyFont="1" applyFill="1" applyBorder="1" applyAlignment="1">
      <alignment horizontal="center" vertical="center" wrapText="1"/>
    </xf>
    <xf numFmtId="0" fontId="3" fillId="0" borderId="42" xfId="0" applyFont="1" applyBorder="1" applyAlignment="1">
      <alignment vertical="center" wrapText="1"/>
    </xf>
    <xf numFmtId="0" fontId="8" fillId="11" borderId="42" xfId="1" applyFont="1" applyFill="1" applyBorder="1" applyAlignment="1">
      <alignment vertical="center" wrapText="1"/>
    </xf>
    <xf numFmtId="0" fontId="8" fillId="13" borderId="43" xfId="0" applyFont="1" applyFill="1" applyBorder="1" applyAlignment="1">
      <alignment horizontal="center" vertical="center"/>
    </xf>
    <xf numFmtId="0" fontId="8" fillId="14" borderId="43" xfId="0" applyFont="1" applyFill="1" applyBorder="1" applyAlignment="1">
      <alignment vertical="center" wrapText="1"/>
    </xf>
    <xf numFmtId="0" fontId="7" fillId="10" borderId="43" xfId="0" applyFont="1" applyFill="1" applyBorder="1" applyAlignment="1">
      <alignment horizontal="center" vertical="center" wrapText="1"/>
    </xf>
    <xf numFmtId="0" fontId="7" fillId="0" borderId="43" xfId="0" applyFont="1" applyBorder="1" applyAlignment="1" applyProtection="1">
      <alignment horizontal="center" vertical="center"/>
      <protection hidden="1"/>
    </xf>
    <xf numFmtId="0" fontId="32" fillId="0" borderId="42" xfId="0" applyFont="1" applyBorder="1" applyAlignment="1">
      <alignment vertical="center" wrapText="1"/>
    </xf>
    <xf numFmtId="0" fontId="7" fillId="24" borderId="42" xfId="0" applyFont="1" applyFill="1" applyBorder="1" applyAlignment="1">
      <alignment vertical="center" wrapText="1"/>
    </xf>
    <xf numFmtId="0" fontId="7" fillId="24" borderId="43" xfId="0" applyFont="1" applyFill="1" applyBorder="1" applyAlignment="1" applyProtection="1">
      <alignment horizontal="center" vertical="center"/>
      <protection locked="0"/>
    </xf>
    <xf numFmtId="0" fontId="7" fillId="24" borderId="43" xfId="0" applyFont="1" applyFill="1" applyBorder="1" applyAlignment="1" applyProtection="1">
      <alignment horizontal="center" vertical="center"/>
      <protection hidden="1"/>
    </xf>
    <xf numFmtId="0" fontId="12" fillId="0" borderId="43" xfId="0" applyFont="1" applyBorder="1" applyAlignment="1" applyProtection="1">
      <alignment vertical="center" wrapText="1"/>
      <protection hidden="1"/>
    </xf>
    <xf numFmtId="0" fontId="15" fillId="14" borderId="42" xfId="0" applyFont="1" applyFill="1" applyBorder="1" applyAlignment="1">
      <alignment vertical="center" wrapText="1"/>
    </xf>
    <xf numFmtId="0" fontId="15" fillId="14" borderId="43" xfId="0" applyFont="1" applyFill="1" applyBorder="1" applyAlignment="1">
      <alignment vertical="center" wrapText="1"/>
    </xf>
    <xf numFmtId="0" fontId="15" fillId="14" borderId="43" xfId="0" applyFont="1" applyFill="1" applyBorder="1" applyAlignment="1">
      <alignment horizontal="center" vertical="center" wrapText="1"/>
    </xf>
    <xf numFmtId="9" fontId="15" fillId="14" borderId="43" xfId="0" applyNumberFormat="1" applyFont="1" applyFill="1" applyBorder="1" applyAlignment="1" applyProtection="1">
      <alignment vertical="center" wrapText="1"/>
      <protection hidden="1"/>
    </xf>
    <xf numFmtId="165" fontId="22" fillId="14" borderId="43" xfId="0" applyNumberFormat="1" applyFont="1" applyFill="1" applyBorder="1" applyAlignment="1" applyProtection="1">
      <alignment vertical="center" wrapText="1"/>
      <protection hidden="1"/>
    </xf>
    <xf numFmtId="165" fontId="15" fillId="14" borderId="44" xfId="0" applyNumberFormat="1" applyFont="1" applyFill="1" applyBorder="1" applyAlignment="1">
      <alignment horizontal="right" vertical="center" wrapText="1"/>
    </xf>
    <xf numFmtId="0" fontId="15" fillId="11" borderId="42" xfId="0" applyFont="1" applyFill="1" applyBorder="1" applyAlignment="1">
      <alignment vertical="center" wrapText="1"/>
    </xf>
    <xf numFmtId="0" fontId="15" fillId="11" borderId="43" xfId="0" applyFont="1" applyFill="1" applyBorder="1" applyAlignment="1">
      <alignment vertical="center" wrapText="1"/>
    </xf>
    <xf numFmtId="0" fontId="15" fillId="11" borderId="43" xfId="0" applyFont="1" applyFill="1" applyBorder="1" applyAlignment="1">
      <alignment horizontal="center" vertical="center" wrapText="1"/>
    </xf>
    <xf numFmtId="9" fontId="26" fillId="11" borderId="43" xfId="0" applyNumberFormat="1" applyFont="1" applyFill="1" applyBorder="1" applyAlignment="1" applyProtection="1">
      <alignment vertical="center" wrapText="1"/>
      <protection hidden="1"/>
    </xf>
    <xf numFmtId="165" fontId="27" fillId="11" borderId="43" xfId="0" applyNumberFormat="1" applyFont="1" applyFill="1" applyBorder="1" applyAlignment="1" applyProtection="1">
      <alignment vertical="center" wrapText="1"/>
      <protection hidden="1"/>
    </xf>
    <xf numFmtId="165" fontId="26" fillId="11" borderId="44" xfId="0" applyNumberFormat="1" applyFont="1" applyFill="1" applyBorder="1" applyAlignment="1">
      <alignment horizontal="right" vertical="center" wrapText="1"/>
    </xf>
    <xf numFmtId="0" fontId="15" fillId="11" borderId="42" xfId="0" applyFont="1" applyFill="1" applyBorder="1" applyAlignment="1">
      <alignment vertical="top" wrapText="1"/>
    </xf>
    <xf numFmtId="0" fontId="15" fillId="11" borderId="44" xfId="0" applyFont="1" applyFill="1" applyBorder="1" applyAlignment="1">
      <alignment vertical="top" wrapText="1"/>
    </xf>
    <xf numFmtId="0" fontId="12" fillId="0" borderId="42" xfId="0" applyFont="1" applyBorder="1" applyAlignment="1">
      <alignment vertical="center" wrapText="1"/>
    </xf>
    <xf numFmtId="0" fontId="3" fillId="0" borderId="43" xfId="0" applyFont="1" applyBorder="1" applyAlignment="1" applyProtection="1">
      <alignment vertical="center"/>
      <protection locked="0"/>
    </xf>
    <xf numFmtId="0" fontId="11" fillId="0" borderId="43" xfId="0" applyFont="1" applyBorder="1" applyAlignment="1" applyProtection="1">
      <alignment horizontal="center" vertical="center" wrapText="1"/>
      <protection locked="0"/>
    </xf>
    <xf numFmtId="9" fontId="11" fillId="0" borderId="43" xfId="0" applyNumberFormat="1" applyFont="1" applyBorder="1" applyAlignment="1" applyProtection="1">
      <alignment vertical="center" wrapText="1"/>
      <protection hidden="1"/>
    </xf>
    <xf numFmtId="2" fontId="3" fillId="0" borderId="43" xfId="8" applyNumberFormat="1" applyBorder="1" applyAlignment="1" applyProtection="1">
      <alignment vertical="center" wrapText="1"/>
      <protection hidden="1"/>
    </xf>
    <xf numFmtId="165" fontId="11" fillId="0" borderId="44" xfId="9" applyNumberFormat="1" applyFont="1" applyFill="1" applyBorder="1" applyAlignment="1">
      <alignment horizontal="right" vertical="center" wrapText="1"/>
    </xf>
    <xf numFmtId="2" fontId="12" fillId="0" borderId="43" xfId="0" applyNumberFormat="1" applyFont="1" applyBorder="1" applyAlignment="1" applyProtection="1">
      <alignment vertical="center" wrapText="1"/>
      <protection hidden="1"/>
    </xf>
    <xf numFmtId="165" fontId="23" fillId="0" borderId="44" xfId="9" applyNumberFormat="1" applyFont="1" applyFill="1" applyBorder="1" applyAlignment="1">
      <alignment horizontal="right" vertical="center" wrapText="1"/>
    </xf>
    <xf numFmtId="0" fontId="28" fillId="0" borderId="43" xfId="0" applyFont="1" applyBorder="1" applyAlignment="1" applyProtection="1">
      <alignment horizontal="center" vertical="center" wrapText="1"/>
      <protection locked="0"/>
    </xf>
    <xf numFmtId="0" fontId="11" fillId="24" borderId="43" xfId="0" applyFont="1" applyFill="1" applyBorder="1" applyAlignment="1" applyProtection="1">
      <alignment horizontal="center" vertical="center" wrapText="1"/>
      <protection locked="0"/>
    </xf>
    <xf numFmtId="0" fontId="11" fillId="10" borderId="42" xfId="0" applyFont="1" applyFill="1" applyBorder="1" applyAlignment="1">
      <alignment vertical="center" wrapText="1"/>
    </xf>
    <xf numFmtId="0" fontId="11" fillId="10" borderId="43" xfId="0" applyFont="1" applyFill="1" applyBorder="1" applyAlignment="1">
      <alignment vertical="center" wrapText="1"/>
    </xf>
    <xf numFmtId="0" fontId="11" fillId="10" borderId="43" xfId="0" applyFont="1" applyFill="1" applyBorder="1" applyAlignment="1">
      <alignment horizontal="center" vertical="center" wrapText="1"/>
    </xf>
    <xf numFmtId="9" fontId="11" fillId="22" borderId="43" xfId="0" applyNumberFormat="1" applyFont="1" applyFill="1" applyBorder="1" applyAlignment="1" applyProtection="1">
      <alignment vertical="center" wrapText="1"/>
      <protection hidden="1"/>
    </xf>
    <xf numFmtId="2" fontId="11" fillId="10" borderId="43" xfId="0" applyNumberFormat="1" applyFont="1" applyFill="1" applyBorder="1" applyAlignment="1" applyProtection="1">
      <alignment vertical="center" wrapText="1"/>
      <protection hidden="1"/>
    </xf>
    <xf numFmtId="165" fontId="11" fillId="10" borderId="44" xfId="0" applyNumberFormat="1" applyFont="1" applyFill="1" applyBorder="1" applyAlignment="1">
      <alignment horizontal="right" vertical="center" wrapText="1"/>
    </xf>
    <xf numFmtId="0" fontId="11" fillId="10" borderId="42" xfId="8" applyFont="1" applyFill="1" applyBorder="1" applyAlignment="1">
      <alignment vertical="top" wrapText="1"/>
    </xf>
    <xf numFmtId="0" fontId="11" fillId="10" borderId="44" xfId="8" applyFont="1" applyFill="1" applyBorder="1" applyAlignment="1">
      <alignment vertical="top" wrapText="1"/>
    </xf>
    <xf numFmtId="164" fontId="3" fillId="0" borderId="44" xfId="0" applyNumberFormat="1" applyFont="1" applyBorder="1" applyAlignment="1" applyProtection="1">
      <alignment vertical="top" wrapText="1"/>
      <protection locked="0"/>
    </xf>
    <xf numFmtId="0" fontId="10" fillId="22" borderId="43" xfId="0" applyFont="1" applyFill="1" applyBorder="1" applyAlignment="1">
      <alignment horizontal="center" vertical="center" wrapText="1"/>
    </xf>
    <xf numFmtId="0" fontId="10" fillId="23" borderId="43" xfId="0" applyFont="1" applyFill="1" applyBorder="1" applyAlignment="1" applyProtection="1">
      <alignment horizontal="center" vertical="center" wrapText="1"/>
      <protection hidden="1"/>
    </xf>
    <xf numFmtId="0" fontId="21" fillId="23" borderId="44" xfId="0" applyFont="1" applyFill="1" applyBorder="1" applyAlignment="1">
      <alignment horizontal="center" vertical="center" wrapText="1"/>
    </xf>
    <xf numFmtId="0" fontId="11" fillId="0" borderId="43" xfId="0" applyFont="1" applyBorder="1" applyAlignment="1" applyProtection="1">
      <alignment vertical="center" wrapText="1"/>
      <protection locked="0"/>
    </xf>
    <xf numFmtId="0" fontId="7" fillId="15" borderId="44" xfId="0" applyFont="1" applyFill="1" applyBorder="1" applyAlignment="1">
      <alignment horizontal="center" vertical="center" wrapText="1"/>
    </xf>
    <xf numFmtId="2" fontId="23" fillId="10" borderId="43" xfId="0" applyNumberFormat="1" applyFont="1" applyFill="1" applyBorder="1" applyAlignment="1" applyProtection="1">
      <alignment vertical="center" wrapText="1"/>
      <protection hidden="1"/>
    </xf>
    <xf numFmtId="164" fontId="12" fillId="0" borderId="43" xfId="0" applyNumberFormat="1" applyFont="1" applyBorder="1" applyAlignment="1" applyProtection="1">
      <alignment vertical="center" wrapText="1"/>
      <protection hidden="1"/>
    </xf>
    <xf numFmtId="9" fontId="11" fillId="10" borderId="43" xfId="0" applyNumberFormat="1" applyFont="1" applyFill="1" applyBorder="1" applyAlignment="1" applyProtection="1">
      <alignment vertical="center" wrapText="1"/>
      <protection hidden="1"/>
    </xf>
    <xf numFmtId="0" fontId="29" fillId="18" borderId="42" xfId="0" applyFont="1" applyFill="1" applyBorder="1" applyAlignment="1">
      <alignment vertical="center" wrapText="1"/>
    </xf>
    <xf numFmtId="0" fontId="29" fillId="18" borderId="43" xfId="0" applyFont="1" applyFill="1" applyBorder="1" applyAlignment="1">
      <alignment vertical="center" wrapText="1"/>
    </xf>
    <xf numFmtId="165" fontId="15" fillId="11" borderId="44" xfId="0" applyNumberFormat="1" applyFont="1" applyFill="1" applyBorder="1" applyAlignment="1">
      <alignment horizontal="right" vertical="center" wrapText="1"/>
    </xf>
    <xf numFmtId="165" fontId="11" fillId="0" borderId="44" xfId="9" applyNumberFormat="1" applyFont="1" applyFill="1" applyBorder="1" applyAlignment="1" applyProtection="1">
      <alignment horizontal="right" vertical="center"/>
      <protection hidden="1"/>
    </xf>
    <xf numFmtId="0" fontId="12" fillId="0" borderId="43" xfId="0" applyFont="1" applyBorder="1" applyAlignment="1" applyProtection="1">
      <alignment vertical="top" wrapText="1"/>
      <protection locked="0"/>
    </xf>
    <xf numFmtId="0" fontId="29" fillId="18" borderId="42" xfId="0" applyFont="1" applyFill="1" applyBorder="1" applyAlignment="1">
      <alignment horizontal="center" vertical="center" wrapText="1"/>
    </xf>
    <xf numFmtId="9" fontId="15" fillId="11" borderId="43" xfId="0" applyNumberFormat="1" applyFont="1" applyFill="1" applyBorder="1" applyAlignment="1" applyProtection="1">
      <alignment horizontal="center" vertical="center" wrapText="1"/>
      <protection hidden="1"/>
    </xf>
    <xf numFmtId="165" fontId="15" fillId="11" borderId="43" xfId="0" applyNumberFormat="1" applyFont="1" applyFill="1" applyBorder="1" applyAlignment="1" applyProtection="1">
      <alignment horizontal="center" vertical="center" wrapText="1"/>
      <protection hidden="1"/>
    </xf>
    <xf numFmtId="165" fontId="11" fillId="0" borderId="43" xfId="0" applyNumberFormat="1" applyFont="1" applyBorder="1" applyAlignment="1" applyProtection="1">
      <alignment horizontal="center" vertical="center" wrapText="1"/>
      <protection locked="0"/>
    </xf>
    <xf numFmtId="9" fontId="11" fillId="0" borderId="43" xfId="0" applyNumberFormat="1" applyFont="1" applyBorder="1" applyAlignment="1" applyProtection="1">
      <alignment horizontal="center" vertical="center" wrapText="1"/>
      <protection hidden="1"/>
    </xf>
    <xf numFmtId="165" fontId="3" fillId="0" borderId="43" xfId="8" applyNumberFormat="1" applyBorder="1" applyAlignment="1" applyProtection="1">
      <alignment horizontal="center" vertical="center"/>
      <protection hidden="1"/>
    </xf>
    <xf numFmtId="165" fontId="11" fillId="0" borderId="44" xfId="9" applyNumberFormat="1" applyFont="1" applyFill="1" applyBorder="1" applyAlignment="1">
      <alignment horizontal="right" vertical="center"/>
    </xf>
    <xf numFmtId="167" fontId="11" fillId="0" borderId="43" xfId="0" applyNumberFormat="1" applyFont="1" applyBorder="1" applyAlignment="1" applyProtection="1">
      <alignment horizontal="center" vertical="center" wrapText="1"/>
      <protection hidden="1"/>
    </xf>
    <xf numFmtId="2" fontId="3" fillId="0" borderId="43" xfId="8" applyNumberFormat="1" applyBorder="1" applyAlignment="1" applyProtection="1">
      <alignment horizontal="center" vertical="center"/>
      <protection hidden="1"/>
    </xf>
    <xf numFmtId="9" fontId="15" fillId="18" borderId="43" xfId="0" applyNumberFormat="1" applyFont="1" applyFill="1" applyBorder="1" applyAlignment="1" applyProtection="1">
      <alignment vertical="center" wrapText="1"/>
      <protection hidden="1"/>
    </xf>
    <xf numFmtId="165" fontId="15" fillId="18" borderId="43" xfId="0" applyNumberFormat="1" applyFont="1" applyFill="1" applyBorder="1" applyAlignment="1" applyProtection="1">
      <alignment vertical="center" wrapText="1"/>
      <protection hidden="1"/>
    </xf>
    <xf numFmtId="0" fontId="12" fillId="0" borderId="43" xfId="0" applyFont="1" applyBorder="1" applyAlignment="1" applyProtection="1">
      <alignment horizontal="center" vertical="center" wrapText="1"/>
      <protection locked="0"/>
    </xf>
    <xf numFmtId="165" fontId="12" fillId="0" borderId="43" xfId="0" applyNumberFormat="1" applyFont="1" applyBorder="1" applyAlignment="1" applyProtection="1">
      <alignment vertical="center" wrapText="1"/>
      <protection hidden="1"/>
    </xf>
    <xf numFmtId="165" fontId="12" fillId="0" borderId="42" xfId="0" applyNumberFormat="1" applyFont="1" applyBorder="1" applyAlignment="1" applyProtection="1">
      <alignment vertical="top" wrapText="1"/>
      <protection locked="0"/>
    </xf>
    <xf numFmtId="166" fontId="3" fillId="0" borderId="44" xfId="0" applyNumberFormat="1" applyFont="1" applyBorder="1" applyAlignment="1" applyProtection="1">
      <alignment vertical="top" wrapText="1"/>
      <protection locked="0"/>
    </xf>
    <xf numFmtId="165" fontId="11" fillId="10" borderId="43" xfId="0" applyNumberFormat="1" applyFont="1" applyFill="1" applyBorder="1" applyAlignment="1" applyProtection="1">
      <alignment vertical="center" wrapText="1"/>
      <protection hidden="1"/>
    </xf>
    <xf numFmtId="165" fontId="11" fillId="10" borderId="43" xfId="0" applyNumberFormat="1" applyFont="1" applyFill="1" applyBorder="1" applyAlignment="1">
      <alignment vertical="center" wrapText="1"/>
    </xf>
    <xf numFmtId="0" fontId="11" fillId="16" borderId="42" xfId="8" applyFont="1" applyFill="1" applyBorder="1" applyAlignment="1">
      <alignment vertical="center" wrapText="1"/>
    </xf>
    <xf numFmtId="0" fontId="11" fillId="16" borderId="43" xfId="8" applyFont="1" applyFill="1" applyBorder="1" applyAlignment="1">
      <alignment horizontal="center" vertical="center" wrapText="1"/>
    </xf>
    <xf numFmtId="0" fontId="11" fillId="16" borderId="43" xfId="8" applyFont="1" applyFill="1" applyBorder="1" applyAlignment="1" applyProtection="1">
      <alignment horizontal="center" vertical="center" wrapText="1"/>
      <protection hidden="1"/>
    </xf>
    <xf numFmtId="0" fontId="11" fillId="16" borderId="42" xfId="8" applyFont="1" applyFill="1" applyBorder="1" applyAlignment="1">
      <alignment vertical="top" wrapText="1"/>
    </xf>
    <xf numFmtId="0" fontId="11" fillId="16" borderId="44" xfId="8" applyFont="1" applyFill="1" applyBorder="1" applyAlignment="1">
      <alignment vertical="top" wrapText="1"/>
    </xf>
    <xf numFmtId="0" fontId="11" fillId="16" borderId="42" xfId="8" applyFont="1" applyFill="1" applyBorder="1" applyAlignment="1">
      <alignment horizontal="left" vertical="top" wrapText="1"/>
    </xf>
    <xf numFmtId="9" fontId="11" fillId="16" borderId="43" xfId="8" applyNumberFormat="1" applyFont="1" applyFill="1" applyBorder="1" applyAlignment="1" applyProtection="1">
      <alignment vertical="center" wrapText="1"/>
      <protection hidden="1"/>
    </xf>
    <xf numFmtId="165" fontId="11" fillId="16" borderId="43" xfId="8" applyNumberFormat="1" applyFont="1" applyFill="1" applyBorder="1" applyAlignment="1" applyProtection="1">
      <alignment vertical="center" wrapText="1"/>
      <protection hidden="1"/>
    </xf>
    <xf numFmtId="165" fontId="11" fillId="16" borderId="44" xfId="8" applyNumberFormat="1" applyFont="1" applyFill="1" applyBorder="1" applyAlignment="1">
      <alignment horizontal="right" vertical="center" wrapText="1"/>
    </xf>
    <xf numFmtId="0" fontId="12" fillId="0" borderId="42" xfId="8" applyFont="1" applyBorder="1" applyAlignment="1">
      <alignment horizontal="left" vertical="center" wrapText="1"/>
    </xf>
    <xf numFmtId="0" fontId="12" fillId="0" borderId="43" xfId="8" applyFont="1" applyBorder="1" applyAlignment="1" applyProtection="1">
      <alignment horizontal="center" vertical="center" wrapText="1"/>
      <protection locked="0"/>
    </xf>
    <xf numFmtId="0" fontId="3" fillId="12" borderId="42" xfId="0" applyFont="1" applyFill="1" applyBorder="1" applyAlignment="1" applyProtection="1">
      <alignment vertical="top" wrapText="1"/>
      <protection locked="0"/>
    </xf>
    <xf numFmtId="0" fontId="3" fillId="12" borderId="44" xfId="0" applyFont="1" applyFill="1" applyBorder="1" applyAlignment="1" applyProtection="1">
      <alignment vertical="top" wrapText="1"/>
      <protection locked="0"/>
    </xf>
    <xf numFmtId="0" fontId="12" fillId="0" borderId="42" xfId="8" applyFont="1" applyBorder="1" applyAlignment="1">
      <alignment vertical="center" wrapText="1"/>
    </xf>
    <xf numFmtId="2" fontId="11" fillId="16" borderId="43" xfId="8" applyNumberFormat="1" applyFont="1" applyFill="1" applyBorder="1" applyAlignment="1" applyProtection="1">
      <alignment vertical="center" wrapText="1"/>
      <protection hidden="1"/>
    </xf>
    <xf numFmtId="2" fontId="11" fillId="16" borderId="44" xfId="8" applyNumberFormat="1" applyFont="1" applyFill="1" applyBorder="1" applyAlignment="1">
      <alignment horizontal="right" vertical="center" wrapText="1"/>
    </xf>
    <xf numFmtId="0" fontId="15" fillId="14" borderId="44" xfId="0" applyFont="1" applyFill="1" applyBorder="1" applyAlignment="1">
      <alignment vertical="center" wrapText="1"/>
    </xf>
    <xf numFmtId="0" fontId="8" fillId="14" borderId="44" xfId="0" applyFont="1" applyFill="1" applyBorder="1" applyAlignment="1">
      <alignment horizontal="center" vertical="center" wrapText="1"/>
    </xf>
    <xf numFmtId="0" fontId="23" fillId="0" borderId="42" xfId="0" applyFont="1" applyBorder="1" applyAlignment="1">
      <alignment vertical="center" wrapText="1"/>
    </xf>
    <xf numFmtId="0" fontId="23" fillId="0" borderId="44" xfId="0" applyFont="1" applyBorder="1" applyAlignment="1" applyProtection="1">
      <alignment horizontal="center" vertical="center" wrapText="1"/>
      <protection locked="0"/>
    </xf>
    <xf numFmtId="0" fontId="3" fillId="0" borderId="44" xfId="0" applyFont="1" applyBorder="1" applyAlignment="1" applyProtection="1">
      <alignment vertical="center"/>
      <protection locked="0"/>
    </xf>
    <xf numFmtId="0" fontId="15" fillId="11" borderId="44" xfId="0" applyFont="1" applyFill="1" applyBorder="1" applyAlignment="1">
      <alignment vertical="center" wrapText="1"/>
    </xf>
    <xf numFmtId="0" fontId="7" fillId="0" borderId="44" xfId="0" applyFont="1" applyBorder="1" applyAlignment="1" applyProtection="1">
      <alignment horizontal="center" vertical="center"/>
      <protection locked="0"/>
    </xf>
    <xf numFmtId="0" fontId="15" fillId="25" borderId="42" xfId="0" applyFont="1" applyFill="1" applyBorder="1" applyAlignment="1">
      <alignment vertical="center" wrapText="1"/>
    </xf>
    <xf numFmtId="0" fontId="15" fillId="25" borderId="43" xfId="0" applyFont="1" applyFill="1" applyBorder="1" applyAlignment="1">
      <alignment vertical="center" wrapText="1"/>
    </xf>
    <xf numFmtId="2" fontId="15" fillId="25" borderId="44" xfId="0" applyNumberFormat="1" applyFont="1" applyFill="1" applyBorder="1" applyAlignment="1">
      <alignment horizontal="center" vertical="center" wrapText="1"/>
    </xf>
    <xf numFmtId="0" fontId="8" fillId="14" borderId="44" xfId="0" applyFont="1" applyFill="1" applyBorder="1" applyAlignment="1" applyProtection="1">
      <alignment horizontal="center" vertical="center" wrapText="1"/>
      <protection hidden="1"/>
    </xf>
    <xf numFmtId="0" fontId="16" fillId="11" borderId="42" xfId="0" applyFont="1" applyFill="1" applyBorder="1" applyAlignment="1">
      <alignment vertical="center" wrapText="1"/>
    </xf>
    <xf numFmtId="0" fontId="16" fillId="11" borderId="44" xfId="0" applyFont="1" applyFill="1" applyBorder="1" applyAlignment="1" applyProtection="1">
      <alignment horizontal="center" vertical="center" wrapText="1"/>
      <protection hidden="1"/>
    </xf>
    <xf numFmtId="0" fontId="16" fillId="11" borderId="42" xfId="0" applyFont="1" applyFill="1" applyBorder="1" applyAlignment="1" applyProtection="1">
      <alignment horizontal="center" vertical="center" wrapText="1"/>
      <protection hidden="1"/>
    </xf>
    <xf numFmtId="2" fontId="7" fillId="10" borderId="44" xfId="0" applyNumberFormat="1" applyFont="1" applyFill="1" applyBorder="1" applyAlignment="1" applyProtection="1">
      <alignment horizontal="center" vertical="center" wrapText="1"/>
      <protection hidden="1"/>
    </xf>
    <xf numFmtId="0" fontId="7" fillId="10" borderId="44" xfId="0" applyFont="1" applyFill="1" applyBorder="1" applyAlignment="1">
      <alignment vertical="center" wrapText="1"/>
    </xf>
    <xf numFmtId="0" fontId="11" fillId="15" borderId="43" xfId="0" applyFont="1" applyFill="1" applyBorder="1" applyAlignment="1">
      <alignment horizontal="center" vertical="center" wrapText="1"/>
    </xf>
    <xf numFmtId="0" fontId="12" fillId="0" borderId="42" xfId="0" applyFont="1" applyBorder="1" applyAlignment="1" applyProtection="1">
      <alignment vertical="center"/>
      <protection locked="0"/>
    </xf>
    <xf numFmtId="0" fontId="12" fillId="0" borderId="44" xfId="0" applyFont="1" applyBorder="1" applyAlignment="1" applyProtection="1">
      <alignment vertical="center"/>
      <protection locked="0"/>
    </xf>
    <xf numFmtId="0" fontId="7" fillId="10" borderId="44" xfId="0" applyFont="1" applyFill="1" applyBorder="1" applyAlignment="1">
      <alignment horizontal="center" vertical="center" wrapText="1"/>
    </xf>
    <xf numFmtId="0" fontId="12" fillId="0" borderId="42" xfId="0" applyFont="1" applyBorder="1" applyAlignment="1">
      <alignment horizontal="left" vertical="center" wrapText="1" indent="2"/>
    </xf>
    <xf numFmtId="0" fontId="11" fillId="15" borderId="44" xfId="0" applyFont="1" applyFill="1" applyBorder="1" applyAlignment="1">
      <alignment horizontal="center" vertical="center" wrapText="1"/>
    </xf>
    <xf numFmtId="0" fontId="16" fillId="11" borderId="44" xfId="0" applyFont="1" applyFill="1" applyBorder="1" applyAlignment="1">
      <alignment horizontal="center" vertical="center" wrapText="1"/>
    </xf>
    <xf numFmtId="0" fontId="7" fillId="10" borderId="44" xfId="0" applyFont="1" applyFill="1" applyBorder="1" applyAlignment="1" applyProtection="1">
      <alignment vertical="center" wrapText="1"/>
      <protection locked="0"/>
    </xf>
    <xf numFmtId="0" fontId="8" fillId="14" borderId="44" xfId="0" applyFont="1" applyFill="1" applyBorder="1" applyAlignment="1">
      <alignment vertical="center" wrapText="1"/>
    </xf>
    <xf numFmtId="0" fontId="11" fillId="0" borderId="42" xfId="0" applyFont="1" applyBorder="1" applyAlignment="1">
      <alignment vertical="center" wrapText="1"/>
    </xf>
    <xf numFmtId="0" fontId="16" fillId="11" borderId="43" xfId="0" applyFont="1" applyFill="1" applyBorder="1" applyAlignment="1">
      <alignment horizontal="center" vertical="center" wrapText="1"/>
    </xf>
    <xf numFmtId="0" fontId="3" fillId="0" borderId="42" xfId="8" applyBorder="1" applyAlignment="1">
      <alignment vertical="center" wrapText="1"/>
    </xf>
    <xf numFmtId="0" fontId="11" fillId="0" borderId="42" xfId="0" applyFont="1" applyBorder="1" applyAlignment="1">
      <alignment horizontal="right" vertical="center" wrapText="1"/>
    </xf>
    <xf numFmtId="0" fontId="12" fillId="0" borderId="43" xfId="0" applyFont="1" applyBorder="1" applyAlignment="1" applyProtection="1">
      <alignment horizontal="left" vertical="center" wrapText="1"/>
      <protection locked="0"/>
    </xf>
    <xf numFmtId="0" fontId="12" fillId="0" borderId="0" xfId="0" applyFont="1" applyAlignment="1">
      <alignment horizontal="left" vertical="center" wrapText="1"/>
    </xf>
    <xf numFmtId="0" fontId="11" fillId="0" borderId="0" xfId="0" applyFont="1" applyAlignment="1">
      <alignment horizontal="center" vertical="center" wrapText="1"/>
    </xf>
    <xf numFmtId="0" fontId="12" fillId="0" borderId="0" xfId="0" applyFont="1" applyAlignment="1">
      <alignment wrapText="1"/>
    </xf>
    <xf numFmtId="0" fontId="11" fillId="21" borderId="42" xfId="0" applyFont="1" applyFill="1" applyBorder="1" applyAlignment="1">
      <alignment vertical="center" wrapText="1"/>
    </xf>
    <xf numFmtId="0" fontId="40" fillId="0" borderId="42" xfId="0" applyFont="1" applyBorder="1" applyAlignment="1">
      <alignment vertical="center" wrapText="1"/>
    </xf>
    <xf numFmtId="0" fontId="40" fillId="0" borderId="43" xfId="0" applyFont="1" applyBorder="1" applyAlignment="1" applyProtection="1">
      <alignment horizontal="center" vertical="center" wrapText="1"/>
      <protection hidden="1"/>
    </xf>
    <xf numFmtId="0" fontId="11" fillId="0" borderId="42" xfId="0" applyFont="1" applyBorder="1" applyAlignment="1">
      <alignment horizontal="left" vertical="center" wrapText="1" indent="1"/>
    </xf>
    <xf numFmtId="165" fontId="11" fillId="0" borderId="43" xfId="0" applyNumberFormat="1" applyFont="1" applyBorder="1" applyAlignment="1" applyProtection="1">
      <alignment horizontal="right" vertical="center" wrapText="1"/>
      <protection locked="0"/>
    </xf>
    <xf numFmtId="0" fontId="39" fillId="9" borderId="42" xfId="0" applyFont="1" applyFill="1" applyBorder="1" applyAlignment="1">
      <alignment vertical="center" wrapText="1"/>
    </xf>
    <xf numFmtId="0" fontId="15" fillId="9" borderId="25" xfId="0" applyFont="1" applyFill="1" applyBorder="1" applyAlignment="1" applyProtection="1">
      <alignment vertical="center" wrapText="1"/>
      <protection hidden="1"/>
    </xf>
    <xf numFmtId="0" fontId="22" fillId="25" borderId="27" xfId="0" applyFont="1" applyFill="1" applyBorder="1" applyAlignment="1" applyProtection="1">
      <alignment horizontal="center" vertical="center" wrapText="1"/>
      <protection hidden="1"/>
    </xf>
    <xf numFmtId="0" fontId="39" fillId="9" borderId="42" xfId="0" applyFont="1" applyFill="1" applyBorder="1" applyAlignment="1" applyProtection="1">
      <alignment vertical="center" wrapText="1"/>
      <protection hidden="1"/>
    </xf>
    <xf numFmtId="168" fontId="11" fillId="24" borderId="43" xfId="0" applyNumberFormat="1" applyFont="1" applyFill="1" applyBorder="1" applyAlignment="1" applyProtection="1">
      <alignment horizontal="center" vertical="center" wrapText="1"/>
      <protection hidden="1"/>
    </xf>
    <xf numFmtId="165" fontId="11" fillId="26" borderId="43" xfId="0" applyNumberFormat="1" applyFont="1" applyFill="1" applyBorder="1" applyAlignment="1" applyProtection="1">
      <alignment horizontal="center" vertical="center" wrapText="1"/>
      <protection hidden="1"/>
    </xf>
    <xf numFmtId="0" fontId="15" fillId="9" borderId="44" xfId="0" applyFont="1" applyFill="1" applyBorder="1" applyAlignment="1" applyProtection="1">
      <alignment horizontal="center" vertical="center" wrapText="1"/>
      <protection hidden="1"/>
    </xf>
    <xf numFmtId="0" fontId="11" fillId="21" borderId="42" xfId="0" applyFont="1" applyFill="1" applyBorder="1" applyAlignment="1">
      <alignment horizontal="left" vertical="center" wrapText="1"/>
    </xf>
    <xf numFmtId="165" fontId="40" fillId="0" borderId="43" xfId="0" applyNumberFormat="1" applyFont="1" applyBorder="1" applyAlignment="1">
      <alignment horizontal="center" vertical="center" wrapText="1"/>
    </xf>
    <xf numFmtId="0" fontId="12" fillId="0" borderId="42" xfId="0" applyFont="1" applyBorder="1" applyAlignment="1">
      <alignment horizontal="right" vertical="center" wrapText="1"/>
    </xf>
    <xf numFmtId="165" fontId="40" fillId="0" borderId="43" xfId="0" applyNumberFormat="1" applyFont="1" applyBorder="1" applyAlignment="1" applyProtection="1">
      <alignment horizontal="center" vertical="center" wrapText="1"/>
      <protection hidden="1"/>
    </xf>
    <xf numFmtId="165" fontId="11" fillId="0" borderId="16" xfId="0" applyNumberFormat="1" applyFont="1" applyBorder="1" applyAlignment="1" applyProtection="1">
      <alignment horizontal="center" vertical="center" wrapText="1"/>
      <protection hidden="1"/>
    </xf>
    <xf numFmtId="165" fontId="11" fillId="0" borderId="25" xfId="0" applyNumberFormat="1" applyFont="1" applyBorder="1" applyAlignment="1" applyProtection="1">
      <alignment horizontal="center" vertical="center" wrapText="1"/>
      <protection hidden="1"/>
    </xf>
    <xf numFmtId="165" fontId="11" fillId="21" borderId="27" xfId="0" applyNumberFormat="1" applyFont="1" applyFill="1" applyBorder="1" applyAlignment="1" applyProtection="1">
      <alignment horizontal="center" vertical="center" wrapText="1"/>
      <protection hidden="1"/>
    </xf>
    <xf numFmtId="165" fontId="11" fillId="21" borderId="16" xfId="0" applyNumberFormat="1" applyFont="1" applyFill="1" applyBorder="1" applyAlignment="1" applyProtection="1">
      <alignment horizontal="center" vertical="center" wrapText="1"/>
      <protection hidden="1"/>
    </xf>
    <xf numFmtId="165" fontId="11" fillId="21" borderId="25" xfId="0" applyNumberFormat="1" applyFont="1" applyFill="1" applyBorder="1" applyAlignment="1" applyProtection="1">
      <alignment horizontal="center" vertical="center" wrapText="1"/>
      <protection hidden="1"/>
    </xf>
    <xf numFmtId="0" fontId="39" fillId="9" borderId="42" xfId="0" applyFont="1" applyFill="1" applyBorder="1" applyAlignment="1">
      <alignment horizontal="left" vertical="center" wrapText="1"/>
    </xf>
    <xf numFmtId="0" fontId="39" fillId="9" borderId="43" xfId="0" applyFont="1" applyFill="1" applyBorder="1" applyAlignment="1">
      <alignment horizontal="left" vertical="center" wrapText="1"/>
    </xf>
    <xf numFmtId="0" fontId="39" fillId="9" borderId="44" xfId="0" applyFont="1" applyFill="1" applyBorder="1" applyAlignment="1">
      <alignment horizontal="left" vertical="center" wrapText="1"/>
    </xf>
    <xf numFmtId="0" fontId="24" fillId="0" borderId="0" xfId="0" applyFont="1" applyAlignment="1" applyProtection="1">
      <alignment vertical="top" wrapText="1"/>
      <protection locked="0"/>
    </xf>
    <xf numFmtId="0" fontId="12" fillId="0" borderId="0" xfId="0" applyFont="1" applyAlignment="1" applyProtection="1">
      <alignment wrapText="1"/>
      <protection locked="0"/>
    </xf>
    <xf numFmtId="1" fontId="11" fillId="0" borderId="43" xfId="0" applyNumberFormat="1" applyFont="1" applyBorder="1" applyAlignment="1" applyProtection="1">
      <alignment horizontal="left" vertical="center" wrapText="1"/>
      <protection locked="0" hidden="1"/>
    </xf>
    <xf numFmtId="1" fontId="11" fillId="0" borderId="44" xfId="0" applyNumberFormat="1" applyFont="1" applyBorder="1" applyAlignment="1" applyProtection="1">
      <alignment horizontal="left" vertical="center" wrapText="1"/>
      <protection locked="0" hidden="1"/>
    </xf>
    <xf numFmtId="0" fontId="11" fillId="0" borderId="27" xfId="0" applyFont="1" applyBorder="1" applyAlignment="1" applyProtection="1">
      <alignment horizontal="left" vertical="center" wrapText="1"/>
      <protection hidden="1"/>
    </xf>
    <xf numFmtId="0" fontId="11" fillId="0" borderId="25" xfId="0" applyFont="1" applyBorder="1" applyAlignment="1" applyProtection="1">
      <alignment horizontal="left" vertical="center" wrapText="1"/>
      <protection hidden="1"/>
    </xf>
    <xf numFmtId="0" fontId="12" fillId="0" borderId="0" xfId="0" applyFont="1" applyAlignment="1">
      <alignment horizontal="left" vertical="center" wrapText="1"/>
    </xf>
    <xf numFmtId="165" fontId="11" fillId="21" borderId="43" xfId="0" applyNumberFormat="1" applyFont="1" applyFill="1" applyBorder="1" applyAlignment="1" applyProtection="1">
      <alignment horizontal="center" vertical="center" wrapText="1"/>
      <protection hidden="1"/>
    </xf>
    <xf numFmtId="165" fontId="11" fillId="21" borderId="44" xfId="0" applyNumberFormat="1" applyFont="1" applyFill="1" applyBorder="1" applyAlignment="1" applyProtection="1">
      <alignment horizontal="center" vertical="center" wrapText="1"/>
      <protection hidden="1"/>
    </xf>
    <xf numFmtId="165" fontId="23" fillId="0" borderId="43" xfId="0" applyNumberFormat="1" applyFont="1" applyBorder="1" applyAlignment="1" applyProtection="1">
      <alignment horizontal="center" vertical="center" wrapText="1"/>
      <protection hidden="1"/>
    </xf>
    <xf numFmtId="165" fontId="23" fillId="0" borderId="44" xfId="0" applyNumberFormat="1" applyFont="1" applyBorder="1" applyAlignment="1" applyProtection="1">
      <alignment horizontal="center" vertical="center" wrapText="1"/>
      <protection hidden="1"/>
    </xf>
    <xf numFmtId="1" fontId="40" fillId="0" borderId="43" xfId="0" applyNumberFormat="1" applyFont="1" applyBorder="1" applyAlignment="1" applyProtection="1">
      <alignment horizontal="center" vertical="center" wrapText="1"/>
      <protection locked="0"/>
    </xf>
    <xf numFmtId="1" fontId="40" fillId="0" borderId="44" xfId="0" applyNumberFormat="1" applyFont="1" applyBorder="1" applyAlignment="1" applyProtection="1">
      <alignment horizontal="center" vertical="center" wrapText="1"/>
      <protection locked="0"/>
    </xf>
    <xf numFmtId="165" fontId="11" fillId="0" borderId="43" xfId="0" applyNumberFormat="1" applyFont="1" applyBorder="1" applyAlignment="1" applyProtection="1">
      <alignment horizontal="center" vertical="center" wrapText="1"/>
      <protection hidden="1"/>
    </xf>
    <xf numFmtId="0" fontId="11" fillId="0" borderId="43" xfId="0" applyFont="1" applyBorder="1" applyAlignment="1" applyProtection="1">
      <alignment horizontal="center" vertical="center" wrapText="1"/>
      <protection hidden="1"/>
    </xf>
    <xf numFmtId="0" fontId="11" fillId="0" borderId="44" xfId="0" applyFont="1" applyBorder="1" applyAlignment="1" applyProtection="1">
      <alignment horizontal="center" vertical="center" wrapText="1"/>
      <protection hidden="1"/>
    </xf>
    <xf numFmtId="1" fontId="11" fillId="0" borderId="43" xfId="0" applyNumberFormat="1" applyFont="1" applyBorder="1" applyAlignment="1">
      <alignment horizontal="left" vertical="center" wrapText="1"/>
    </xf>
    <xf numFmtId="1" fontId="11" fillId="0" borderId="44" xfId="0" applyNumberFormat="1" applyFont="1" applyBorder="1" applyAlignment="1">
      <alignment horizontal="left" vertical="center" wrapText="1"/>
    </xf>
    <xf numFmtId="165" fontId="40" fillId="0" borderId="27" xfId="0" applyNumberFormat="1" applyFont="1" applyBorder="1" applyAlignment="1" applyProtection="1">
      <alignment horizontal="left" vertical="center" wrapText="1"/>
      <protection hidden="1"/>
    </xf>
    <xf numFmtId="165" fontId="40" fillId="0" borderId="16" xfId="0" applyNumberFormat="1" applyFont="1" applyBorder="1" applyAlignment="1" applyProtection="1">
      <alignment horizontal="left" vertical="center" wrapText="1"/>
      <protection hidden="1"/>
    </xf>
    <xf numFmtId="165" fontId="40" fillId="0" borderId="25" xfId="0" applyNumberFormat="1" applyFont="1" applyBorder="1" applyAlignment="1" applyProtection="1">
      <alignment horizontal="left" vertical="center" wrapText="1"/>
      <protection hidden="1"/>
    </xf>
    <xf numFmtId="0" fontId="11" fillId="21" borderId="43" xfId="0" applyFont="1" applyFill="1" applyBorder="1" applyAlignment="1" applyProtection="1">
      <alignment horizontal="center" vertical="center" wrapText="1"/>
      <protection hidden="1"/>
    </xf>
    <xf numFmtId="0" fontId="11" fillId="21" borderId="44" xfId="0" applyFont="1" applyFill="1" applyBorder="1" applyAlignment="1" applyProtection="1">
      <alignment horizontal="center" vertical="center" wrapText="1"/>
      <protection hidden="1"/>
    </xf>
    <xf numFmtId="9" fontId="40" fillId="0" borderId="43" xfId="0" applyNumberFormat="1" applyFont="1" applyBorder="1" applyAlignment="1" applyProtection="1">
      <alignment horizontal="left" vertical="center" wrapText="1"/>
      <protection locked="0" hidden="1"/>
    </xf>
    <xf numFmtId="9" fontId="40" fillId="0" borderId="44" xfId="0" applyNumberFormat="1" applyFont="1" applyBorder="1" applyAlignment="1" applyProtection="1">
      <alignment horizontal="left" vertical="center" wrapText="1"/>
      <protection locked="0" hidden="1"/>
    </xf>
    <xf numFmtId="9" fontId="40" fillId="0" borderId="43" xfId="0" applyNumberFormat="1" applyFont="1" applyBorder="1" applyAlignment="1" applyProtection="1">
      <alignment horizontal="left" vertical="center" wrapText="1"/>
      <protection hidden="1"/>
    </xf>
    <xf numFmtId="9" fontId="40" fillId="0" borderId="44" xfId="0" applyNumberFormat="1" applyFont="1" applyBorder="1" applyAlignment="1" applyProtection="1">
      <alignment horizontal="left" vertical="center" wrapText="1"/>
      <protection hidden="1"/>
    </xf>
    <xf numFmtId="9" fontId="40" fillId="0" borderId="27" xfId="0" applyNumberFormat="1" applyFont="1" applyBorder="1" applyAlignment="1" applyProtection="1">
      <alignment horizontal="left" vertical="center" wrapText="1"/>
      <protection locked="0" hidden="1"/>
    </xf>
    <xf numFmtId="9" fontId="40" fillId="0" borderId="25" xfId="0" applyNumberFormat="1" applyFont="1" applyBorder="1" applyAlignment="1" applyProtection="1">
      <alignment horizontal="left" vertical="center" wrapText="1"/>
      <protection locked="0" hidden="1"/>
    </xf>
    <xf numFmtId="0" fontId="22" fillId="19" borderId="6" xfId="0" applyFont="1" applyFill="1" applyBorder="1" applyAlignment="1">
      <alignment horizontal="center" vertical="center" wrapText="1"/>
    </xf>
    <xf numFmtId="0" fontId="22" fillId="19" borderId="7" xfId="0" applyFont="1" applyFill="1" applyBorder="1" applyAlignment="1">
      <alignment horizontal="center" vertical="center" wrapText="1"/>
    </xf>
    <xf numFmtId="0" fontId="22" fillId="19" borderId="8" xfId="0" applyFont="1" applyFill="1" applyBorder="1" applyAlignment="1">
      <alignment horizontal="center" vertical="center" wrapText="1"/>
    </xf>
    <xf numFmtId="0" fontId="22" fillId="19" borderId="42" xfId="0" applyFont="1" applyFill="1" applyBorder="1" applyAlignment="1">
      <alignment horizontal="center" vertical="center" wrapText="1"/>
    </xf>
    <xf numFmtId="0" fontId="22" fillId="19" borderId="43" xfId="0" applyFont="1" applyFill="1" applyBorder="1" applyAlignment="1">
      <alignment horizontal="center" vertical="center" wrapText="1"/>
    </xf>
    <xf numFmtId="0" fontId="22" fillId="19" borderId="44" xfId="0" applyFont="1" applyFill="1" applyBorder="1" applyAlignment="1">
      <alignment horizontal="center" vertical="center" wrapText="1"/>
    </xf>
    <xf numFmtId="0" fontId="12" fillId="0" borderId="43" xfId="0" applyFont="1" applyBorder="1" applyAlignment="1" applyProtection="1">
      <alignment horizontal="center" vertical="center" wrapText="1"/>
      <protection hidden="1"/>
    </xf>
    <xf numFmtId="0" fontId="12" fillId="0" borderId="44" xfId="0" applyFont="1" applyBorder="1" applyAlignment="1" applyProtection="1">
      <alignment horizontal="center" vertical="center" wrapText="1"/>
      <protection hidden="1"/>
    </xf>
    <xf numFmtId="165" fontId="11" fillId="0" borderId="43" xfId="0" applyNumberFormat="1" applyFont="1" applyBorder="1" applyAlignment="1" applyProtection="1">
      <alignment horizontal="left" vertical="center" wrapText="1"/>
      <protection hidden="1"/>
    </xf>
    <xf numFmtId="165" fontId="11" fillId="0" borderId="44" xfId="0" applyNumberFormat="1" applyFont="1" applyBorder="1" applyAlignment="1" applyProtection="1">
      <alignment horizontal="left" vertical="center" wrapText="1"/>
      <protection hidden="1"/>
    </xf>
    <xf numFmtId="9" fontId="40" fillId="0" borderId="27" xfId="0" applyNumberFormat="1" applyFont="1" applyBorder="1" applyAlignment="1" applyProtection="1">
      <alignment horizontal="left" vertical="center" wrapText="1"/>
      <protection hidden="1"/>
    </xf>
    <xf numFmtId="9" fontId="40" fillId="0" borderId="25" xfId="0" applyNumberFormat="1" applyFont="1" applyBorder="1" applyAlignment="1" applyProtection="1">
      <alignment horizontal="left" vertical="center" wrapText="1"/>
      <protection hidden="1"/>
    </xf>
    <xf numFmtId="0" fontId="3" fillId="0" borderId="0" xfId="0" applyFont="1" applyAlignment="1">
      <alignment wrapText="1"/>
    </xf>
    <xf numFmtId="1" fontId="11" fillId="0" borderId="43" xfId="0" applyNumberFormat="1" applyFont="1" applyBorder="1" applyAlignment="1" applyProtection="1">
      <alignment horizontal="center" vertical="center" wrapText="1"/>
      <protection hidden="1"/>
    </xf>
    <xf numFmtId="1" fontId="11" fillId="0" borderId="44" xfId="0" applyNumberFormat="1" applyFont="1" applyBorder="1" applyAlignment="1" applyProtection="1">
      <alignment horizontal="center" vertical="center" wrapText="1"/>
      <protection hidden="1"/>
    </xf>
    <xf numFmtId="1" fontId="11" fillId="0" borderId="43" xfId="0" applyNumberFormat="1" applyFont="1" applyBorder="1" applyAlignment="1" applyProtection="1">
      <alignment horizontal="left" vertical="center" wrapText="1"/>
      <protection hidden="1"/>
    </xf>
    <xf numFmtId="1" fontId="11" fillId="0" borderId="44" xfId="0" applyNumberFormat="1" applyFont="1" applyBorder="1" applyAlignment="1" applyProtection="1">
      <alignment horizontal="left" vertical="center" wrapText="1"/>
      <protection hidden="1"/>
    </xf>
    <xf numFmtId="1" fontId="11" fillId="20" borderId="43" xfId="0" applyNumberFormat="1" applyFont="1" applyFill="1" applyBorder="1" applyAlignment="1" applyProtection="1">
      <alignment horizontal="left" vertical="center" wrapText="1"/>
      <protection locked="0" hidden="1"/>
    </xf>
    <xf numFmtId="1" fontId="11" fillId="20" borderId="44" xfId="0" applyNumberFormat="1" applyFont="1" applyFill="1" applyBorder="1" applyAlignment="1" applyProtection="1">
      <alignment horizontal="left" vertical="center" wrapText="1"/>
      <protection locked="0" hidden="1"/>
    </xf>
    <xf numFmtId="0" fontId="41" fillId="9" borderId="42" xfId="0" applyFont="1" applyFill="1" applyBorder="1" applyAlignment="1">
      <alignment horizontal="left" vertical="center" wrapText="1"/>
    </xf>
    <xf numFmtId="0" fontId="41" fillId="9" borderId="43" xfId="0" applyFont="1" applyFill="1" applyBorder="1" applyAlignment="1">
      <alignment horizontal="left" vertical="center" wrapText="1"/>
    </xf>
    <xf numFmtId="0" fontId="41" fillId="9" borderId="44" xfId="0" applyFont="1" applyFill="1" applyBorder="1" applyAlignment="1">
      <alignment horizontal="left" vertical="center" wrapText="1"/>
    </xf>
    <xf numFmtId="1" fontId="11" fillId="0" borderId="27" xfId="0" applyNumberFormat="1" applyFont="1" applyBorder="1" applyAlignment="1" applyProtection="1">
      <alignment horizontal="left" vertical="center" wrapText="1"/>
      <protection hidden="1"/>
    </xf>
    <xf numFmtId="0" fontId="12" fillId="0" borderId="25" xfId="0" applyFont="1" applyBorder="1" applyAlignment="1" applyProtection="1">
      <alignment horizontal="left" vertical="center" wrapText="1"/>
      <protection hidden="1"/>
    </xf>
    <xf numFmtId="0" fontId="12" fillId="0" borderId="13" xfId="0" applyFont="1" applyBorder="1" applyAlignment="1">
      <alignment horizontal="left" vertical="center" wrapText="1"/>
    </xf>
    <xf numFmtId="0" fontId="3" fillId="0" borderId="0" xfId="0" applyFont="1" applyAlignment="1">
      <alignment horizontal="left" vertical="center" wrapText="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20" fillId="0" borderId="43" xfId="0" applyNumberFormat="1" applyFont="1" applyBorder="1" applyAlignment="1" applyProtection="1">
      <alignment horizontal="center" vertical="center" wrapText="1"/>
      <protection locked="0"/>
    </xf>
    <xf numFmtId="1" fontId="20" fillId="0" borderId="44" xfId="0" applyNumberFormat="1" applyFont="1" applyBorder="1" applyAlignment="1" applyProtection="1">
      <alignment horizontal="center" vertical="center" wrapText="1"/>
      <protection locked="0"/>
    </xf>
    <xf numFmtId="0" fontId="7" fillId="0" borderId="27" xfId="0" applyFont="1" applyBorder="1" applyAlignment="1" applyProtection="1">
      <alignment horizontal="left" vertical="center" wrapText="1"/>
      <protection hidden="1"/>
    </xf>
    <xf numFmtId="0" fontId="7" fillId="0" borderId="25" xfId="0" applyFont="1" applyBorder="1" applyAlignment="1" applyProtection="1">
      <alignment horizontal="left" vertical="center" wrapText="1"/>
      <protection hidden="1"/>
    </xf>
    <xf numFmtId="1" fontId="7" fillId="0" borderId="43" xfId="0" applyNumberFormat="1" applyFont="1" applyBorder="1" applyAlignment="1">
      <alignment horizontal="left" vertical="center" wrapText="1"/>
    </xf>
    <xf numFmtId="1" fontId="7" fillId="0" borderId="44" xfId="0" applyNumberFormat="1" applyFont="1" applyBorder="1" applyAlignment="1">
      <alignment horizontal="left" vertical="center" wrapText="1"/>
    </xf>
    <xf numFmtId="1" fontId="7" fillId="0" borderId="43" xfId="0" applyNumberFormat="1" applyFont="1" applyBorder="1" applyAlignment="1" applyProtection="1">
      <alignment horizontal="left" vertical="center" wrapText="1"/>
      <protection locked="0" hidden="1"/>
    </xf>
    <xf numFmtId="1" fontId="7" fillId="0" borderId="44" xfId="0" applyNumberFormat="1" applyFont="1" applyBorder="1" applyAlignment="1" applyProtection="1">
      <alignment horizontal="left" vertical="center" wrapText="1"/>
      <protection locked="0" hidden="1"/>
    </xf>
    <xf numFmtId="0" fontId="19" fillId="9" borderId="42" xfId="0" applyFont="1" applyFill="1" applyBorder="1" applyAlignment="1">
      <alignment horizontal="left" vertical="center" wrapText="1"/>
    </xf>
    <xf numFmtId="0" fontId="19" fillId="9" borderId="43" xfId="0" applyFont="1" applyFill="1" applyBorder="1" applyAlignment="1">
      <alignment horizontal="left" vertical="center" wrapText="1"/>
    </xf>
    <xf numFmtId="0" fontId="19" fillId="9" borderId="44" xfId="0" applyFont="1" applyFill="1" applyBorder="1" applyAlignment="1">
      <alignment horizontal="left" vertical="center" wrapText="1"/>
    </xf>
    <xf numFmtId="165" fontId="7" fillId="21" borderId="27" xfId="0" applyNumberFormat="1" applyFont="1" applyFill="1" applyBorder="1" applyAlignment="1" applyProtection="1">
      <alignment horizontal="center" vertical="center" wrapText="1"/>
      <protection hidden="1"/>
    </xf>
    <xf numFmtId="165" fontId="7" fillId="21" borderId="16" xfId="0" applyNumberFormat="1" applyFont="1" applyFill="1" applyBorder="1" applyAlignment="1" applyProtection="1">
      <alignment horizontal="center" vertical="center" wrapText="1"/>
      <protection hidden="1"/>
    </xf>
    <xf numFmtId="165" fontId="7" fillId="21" borderId="25" xfId="0" applyNumberFormat="1" applyFont="1" applyFill="1" applyBorder="1" applyAlignment="1" applyProtection="1">
      <alignment horizontal="center" vertical="center" wrapText="1"/>
      <protection hidden="1"/>
    </xf>
    <xf numFmtId="165" fontId="7" fillId="0" borderId="27" xfId="0" applyNumberFormat="1" applyFont="1" applyBorder="1" applyAlignment="1" applyProtection="1">
      <alignment horizontal="center" vertical="center" wrapText="1"/>
      <protection hidden="1"/>
    </xf>
    <xf numFmtId="165" fontId="7" fillId="0" borderId="16" xfId="0" applyNumberFormat="1" applyFont="1" applyBorder="1" applyAlignment="1" applyProtection="1">
      <alignment horizontal="center" vertical="center" wrapText="1"/>
      <protection hidden="1"/>
    </xf>
    <xf numFmtId="165" fontId="7" fillId="0" borderId="25" xfId="0" applyNumberFormat="1" applyFont="1" applyBorder="1" applyAlignment="1" applyProtection="1">
      <alignment horizontal="center" vertical="center" wrapText="1"/>
      <protection hidden="1"/>
    </xf>
    <xf numFmtId="165" fontId="7" fillId="21" borderId="43" xfId="0" applyNumberFormat="1" applyFont="1" applyFill="1" applyBorder="1" applyAlignment="1" applyProtection="1">
      <alignment horizontal="center" vertical="center" wrapText="1"/>
      <protection hidden="1"/>
    </xf>
    <xf numFmtId="165" fontId="7" fillId="21" borderId="44" xfId="0" applyNumberFormat="1" applyFont="1" applyFill="1" applyBorder="1" applyAlignment="1" applyProtection="1">
      <alignment horizontal="center" vertical="center" wrapText="1"/>
      <protection hidden="1"/>
    </xf>
    <xf numFmtId="165" fontId="21" fillId="0" borderId="43" xfId="0" applyNumberFormat="1" applyFont="1" applyBorder="1" applyAlignment="1" applyProtection="1">
      <alignment horizontal="center" vertical="center" wrapText="1"/>
      <protection hidden="1"/>
    </xf>
    <xf numFmtId="165" fontId="21" fillId="0" borderId="44" xfId="0" applyNumberFormat="1" applyFont="1" applyBorder="1" applyAlignment="1" applyProtection="1">
      <alignment horizontal="center" vertical="center" wrapText="1"/>
      <protection hidden="1"/>
    </xf>
    <xf numFmtId="165" fontId="7" fillId="0" borderId="43" xfId="0" applyNumberFormat="1" applyFont="1" applyBorder="1" applyAlignment="1" applyProtection="1">
      <alignment horizontal="center" vertical="center" wrapText="1"/>
      <protection hidden="1"/>
    </xf>
    <xf numFmtId="0" fontId="7" fillId="0" borderId="43" xfId="0" applyFont="1" applyBorder="1" applyAlignment="1" applyProtection="1">
      <alignment horizontal="center" vertical="center" wrapText="1"/>
      <protection hidden="1"/>
    </xf>
    <xf numFmtId="0" fontId="7" fillId="0" borderId="44" xfId="0" applyFont="1" applyBorder="1" applyAlignment="1" applyProtection="1">
      <alignment horizontal="center" vertical="center" wrapText="1"/>
      <protection hidden="1"/>
    </xf>
    <xf numFmtId="0" fontId="7" fillId="21" borderId="43" xfId="0" applyFont="1" applyFill="1" applyBorder="1" applyAlignment="1" applyProtection="1">
      <alignment horizontal="center" vertical="center" wrapText="1"/>
      <protection hidden="1"/>
    </xf>
    <xf numFmtId="0" fontId="7" fillId="21" borderId="44" xfId="0" applyFont="1" applyFill="1" applyBorder="1" applyAlignment="1" applyProtection="1">
      <alignment horizontal="center" vertical="center" wrapText="1"/>
      <protection hidden="1"/>
    </xf>
    <xf numFmtId="9" fontId="20" fillId="0" borderId="43" xfId="0" applyNumberFormat="1" applyFont="1" applyBorder="1" applyAlignment="1" applyProtection="1">
      <alignment horizontal="left" vertical="center" wrapText="1"/>
      <protection locked="0" hidden="1"/>
    </xf>
    <xf numFmtId="9" fontId="20" fillId="0" borderId="44" xfId="0" applyNumberFormat="1" applyFont="1" applyBorder="1" applyAlignment="1" applyProtection="1">
      <alignment horizontal="left" vertical="center" wrapText="1"/>
      <protection locked="0" hidden="1"/>
    </xf>
    <xf numFmtId="9" fontId="20" fillId="0" borderId="43" xfId="0" applyNumberFormat="1" applyFont="1" applyBorder="1" applyAlignment="1" applyProtection="1">
      <alignment horizontal="left" vertical="center" wrapText="1"/>
      <protection hidden="1"/>
    </xf>
    <xf numFmtId="9" fontId="20" fillId="0" borderId="44" xfId="0" applyNumberFormat="1" applyFont="1" applyBorder="1" applyAlignment="1" applyProtection="1">
      <alignment horizontal="left" vertical="center" wrapText="1"/>
      <protection hidden="1"/>
    </xf>
    <xf numFmtId="9" fontId="20" fillId="0" borderId="27" xfId="0" applyNumberFormat="1" applyFont="1" applyBorder="1" applyAlignment="1" applyProtection="1">
      <alignment horizontal="left" vertical="center" wrapText="1"/>
      <protection locked="0" hidden="1"/>
    </xf>
    <xf numFmtId="9" fontId="20" fillId="0" borderId="25" xfId="0" applyNumberFormat="1" applyFont="1" applyBorder="1" applyAlignment="1" applyProtection="1">
      <alignment horizontal="left" vertical="center" wrapText="1"/>
      <protection locked="0" hidden="1"/>
    </xf>
    <xf numFmtId="165" fontId="20" fillId="0" borderId="27" xfId="0" applyNumberFormat="1" applyFont="1" applyBorder="1" applyAlignment="1" applyProtection="1">
      <alignment horizontal="left" vertical="center" wrapText="1"/>
      <protection hidden="1"/>
    </xf>
    <xf numFmtId="165" fontId="20" fillId="0" borderId="16" xfId="0" applyNumberFormat="1" applyFont="1" applyBorder="1" applyAlignment="1" applyProtection="1">
      <alignment horizontal="left" vertical="center" wrapText="1"/>
      <protection hidden="1"/>
    </xf>
    <xf numFmtId="165" fontId="20" fillId="0" borderId="25" xfId="0" applyNumberFormat="1" applyFont="1" applyBorder="1" applyAlignment="1" applyProtection="1">
      <alignment horizontal="left" vertical="center" wrapText="1"/>
      <protection hidden="1"/>
    </xf>
    <xf numFmtId="0" fontId="17" fillId="19" borderId="6" xfId="0" applyFont="1" applyFill="1" applyBorder="1" applyAlignment="1">
      <alignment horizontal="center" vertical="center" wrapText="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42" xfId="0" applyFont="1" applyFill="1" applyBorder="1" applyAlignment="1">
      <alignment horizontal="center" vertical="center" wrapText="1"/>
    </xf>
    <xf numFmtId="0" fontId="17" fillId="19" borderId="43" xfId="0" applyFont="1" applyFill="1" applyBorder="1" applyAlignment="1">
      <alignment horizontal="center" vertical="center" wrapText="1"/>
    </xf>
    <xf numFmtId="0" fontId="17" fillId="19" borderId="44" xfId="0" applyFont="1" applyFill="1" applyBorder="1" applyAlignment="1">
      <alignment horizontal="center" vertical="center" wrapText="1"/>
    </xf>
    <xf numFmtId="1" fontId="7" fillId="0" borderId="43" xfId="0" applyNumberFormat="1" applyFont="1" applyBorder="1" applyAlignment="1" applyProtection="1">
      <alignment horizontal="center" vertical="center" wrapText="1"/>
      <protection hidden="1"/>
    </xf>
    <xf numFmtId="1" fontId="7" fillId="0" borderId="44" xfId="0" applyNumberFormat="1" applyFont="1" applyBorder="1" applyAlignment="1" applyProtection="1">
      <alignment horizontal="center" vertical="center" wrapText="1"/>
      <protection hidden="1"/>
    </xf>
    <xf numFmtId="1" fontId="7" fillId="0" borderId="27" xfId="0" applyNumberFormat="1" applyFont="1" applyBorder="1" applyAlignment="1" applyProtection="1">
      <alignment horizontal="left" vertical="center" wrapText="1"/>
      <protection hidden="1"/>
    </xf>
    <xf numFmtId="0" fontId="3" fillId="0" borderId="25" xfId="0" applyFont="1" applyBorder="1" applyAlignment="1" applyProtection="1">
      <alignment horizontal="left" vertical="center" wrapText="1"/>
      <protection hidden="1"/>
    </xf>
    <xf numFmtId="1" fontId="7" fillId="0" borderId="43" xfId="0" applyNumberFormat="1" applyFont="1" applyBorder="1" applyAlignment="1" applyProtection="1">
      <alignment horizontal="left" vertical="center" wrapText="1"/>
      <protection hidden="1"/>
    </xf>
    <xf numFmtId="1" fontId="7" fillId="0" borderId="44" xfId="0" applyNumberFormat="1" applyFont="1" applyBorder="1" applyAlignment="1" applyProtection="1">
      <alignment horizontal="left" vertical="center" wrapText="1"/>
      <protection hidden="1"/>
    </xf>
    <xf numFmtId="1" fontId="7" fillId="20" borderId="43" xfId="0" applyNumberFormat="1" applyFont="1" applyFill="1" applyBorder="1" applyAlignment="1" applyProtection="1">
      <alignment horizontal="left" vertical="center" wrapText="1"/>
      <protection locked="0" hidden="1"/>
    </xf>
    <xf numFmtId="1" fontId="7" fillId="20" borderId="44" xfId="0" applyNumberFormat="1" applyFont="1" applyFill="1" applyBorder="1" applyAlignment="1" applyProtection="1">
      <alignment horizontal="left" vertical="center" wrapText="1"/>
      <protection locked="0" hidden="1"/>
    </xf>
    <xf numFmtId="0" fontId="3" fillId="0" borderId="13" xfId="0" applyFont="1" applyBorder="1" applyAlignment="1">
      <alignment horizontal="left" vertical="center" wrapText="1"/>
    </xf>
    <xf numFmtId="0" fontId="25" fillId="9" borderId="42" xfId="0" applyFont="1" applyFill="1" applyBorder="1" applyAlignment="1">
      <alignment horizontal="left" vertical="center" wrapText="1"/>
    </xf>
    <xf numFmtId="0" fontId="25" fillId="9" borderId="43" xfId="0" applyFont="1" applyFill="1" applyBorder="1" applyAlignment="1">
      <alignment horizontal="left" vertical="center" wrapText="1"/>
    </xf>
    <xf numFmtId="0" fontId="25" fillId="9" borderId="44" xfId="0" applyFont="1" applyFill="1" applyBorder="1" applyAlignment="1">
      <alignment horizontal="left" vertical="center" wrapText="1"/>
    </xf>
    <xf numFmtId="0" fontId="3" fillId="0" borderId="43"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9" fontId="20" fillId="0" borderId="27" xfId="0" applyNumberFormat="1" applyFont="1" applyBorder="1" applyAlignment="1" applyProtection="1">
      <alignment horizontal="left" vertical="center" wrapText="1"/>
      <protection hidden="1"/>
    </xf>
    <xf numFmtId="9" fontId="20" fillId="0" borderId="25" xfId="0" applyNumberFormat="1" applyFont="1" applyBorder="1" applyAlignment="1" applyProtection="1">
      <alignment horizontal="left" vertical="center" wrapText="1"/>
      <protection hidden="1"/>
    </xf>
    <xf numFmtId="165" fontId="7" fillId="0" borderId="43" xfId="0" applyNumberFormat="1" applyFont="1" applyBorder="1" applyAlignment="1" applyProtection="1">
      <alignment horizontal="left" vertical="center" wrapText="1"/>
      <protection hidden="1"/>
    </xf>
    <xf numFmtId="165" fontId="7" fillId="0" borderId="44" xfId="0" applyNumberFormat="1" applyFont="1" applyBorder="1" applyAlignment="1" applyProtection="1">
      <alignment horizontal="left" vertical="center" wrapText="1"/>
      <protection hidden="1"/>
    </xf>
    <xf numFmtId="0" fontId="15" fillId="13" borderId="19" xfId="0" applyFont="1" applyFill="1" applyBorder="1" applyAlignment="1">
      <alignment horizontal="center" vertical="top" wrapText="1"/>
    </xf>
    <xf numFmtId="0" fontId="15" fillId="13" borderId="21" xfId="0" applyFont="1" applyFill="1" applyBorder="1" applyAlignment="1">
      <alignment horizontal="center" vertical="top" wrapText="1"/>
    </xf>
    <xf numFmtId="0" fontId="13" fillId="0" borderId="0" xfId="0" applyFont="1" applyAlignment="1">
      <alignment horizontal="center" vertical="center"/>
    </xf>
    <xf numFmtId="0" fontId="13" fillId="0" borderId="12" xfId="0" applyFont="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12" fillId="0" borderId="33" xfId="0" applyFont="1" applyBorder="1" applyAlignment="1">
      <alignment horizontal="left" vertical="center" wrapText="1"/>
    </xf>
    <xf numFmtId="0" fontId="12" fillId="24" borderId="1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15" xfId="0" applyFont="1" applyFill="1" applyBorder="1" applyAlignment="1">
      <alignment horizontal="left" vertical="center" wrapText="1"/>
    </xf>
    <xf numFmtId="0" fontId="12" fillId="24" borderId="26" xfId="0" applyFont="1" applyFill="1" applyBorder="1" applyAlignment="1">
      <alignment horizontal="left" vertical="center" wrapText="1"/>
    </xf>
    <xf numFmtId="0" fontId="13" fillId="0" borderId="11" xfId="0" applyFont="1" applyBorder="1" applyAlignment="1">
      <alignment horizontal="center" vertical="center"/>
    </xf>
    <xf numFmtId="0" fontId="13" fillId="0" borderId="12" xfId="0" applyFont="1" applyBorder="1" applyAlignment="1">
      <alignment vertical="center"/>
    </xf>
    <xf numFmtId="0" fontId="14" fillId="0" borderId="13" xfId="0" applyFont="1" applyBorder="1" applyAlignment="1">
      <alignment vertical="center"/>
    </xf>
    <xf numFmtId="0" fontId="14" fillId="0" borderId="14" xfId="0" applyFont="1" applyBorder="1" applyAlignment="1">
      <alignment vertical="center"/>
    </xf>
    <xf numFmtId="0" fontId="12" fillId="0" borderId="16" xfId="0" applyFont="1" applyBorder="1" applyAlignment="1">
      <alignment vertical="center" wrapText="1"/>
    </xf>
    <xf numFmtId="0" fontId="12" fillId="0" borderId="25" xfId="0" applyFont="1" applyBorder="1" applyAlignment="1">
      <alignment vertical="center" wrapText="1"/>
    </xf>
    <xf numFmtId="0" fontId="15" fillId="13" borderId="41" xfId="0" applyFont="1" applyFill="1" applyBorder="1" applyAlignment="1">
      <alignment horizontal="center" vertical="center" wrapText="1"/>
    </xf>
    <xf numFmtId="0" fontId="15" fillId="13" borderId="40" xfId="0" applyFont="1" applyFill="1" applyBorder="1" applyAlignment="1">
      <alignment horizontal="center" vertical="center" wrapText="1"/>
    </xf>
    <xf numFmtId="0" fontId="15" fillId="13" borderId="6" xfId="0" applyFont="1" applyFill="1" applyBorder="1" applyAlignment="1">
      <alignment horizontal="center" vertical="center" wrapText="1"/>
    </xf>
    <xf numFmtId="0" fontId="12" fillId="0" borderId="42" xfId="0" applyFont="1" applyBorder="1" applyAlignment="1">
      <alignment horizontal="center" vertical="center" wrapText="1"/>
    </xf>
    <xf numFmtId="0" fontId="15" fillId="13" borderId="7" xfId="0" applyFont="1" applyFill="1" applyBorder="1" applyAlignment="1">
      <alignment horizontal="center" vertical="center" wrapText="1"/>
    </xf>
    <xf numFmtId="0" fontId="12" fillId="0" borderId="43" xfId="0" applyFont="1" applyBorder="1" applyAlignment="1">
      <alignment horizontal="center" vertical="center" wrapText="1"/>
    </xf>
    <xf numFmtId="0" fontId="3" fillId="0" borderId="43"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Alignment="1">
      <alignment horizontal="left" vertical="center"/>
    </xf>
    <xf numFmtId="0" fontId="12" fillId="0" borderId="33" xfId="0" applyFont="1" applyBorder="1" applyAlignment="1">
      <alignment horizontal="left" vertical="center"/>
    </xf>
    <xf numFmtId="0" fontId="12" fillId="0" borderId="3" xfId="0" applyFont="1" applyBorder="1" applyAlignment="1">
      <alignment horizontal="left" vertical="center" wrapText="1"/>
    </xf>
    <xf numFmtId="0" fontId="12" fillId="0" borderId="17" xfId="0" applyFont="1" applyBorder="1" applyAlignment="1">
      <alignment horizontal="left" vertical="center" wrapText="1"/>
    </xf>
    <xf numFmtId="0" fontId="12" fillId="0" borderId="11" xfId="0" applyFont="1" applyBorder="1" applyAlignment="1">
      <alignment horizontal="left" vertical="center" wrapText="1"/>
    </xf>
    <xf numFmtId="0" fontId="12" fillId="0" borderId="18" xfId="0" applyFont="1" applyBorder="1" applyAlignment="1">
      <alignment horizontal="left" vertical="center" wrapText="1"/>
    </xf>
    <xf numFmtId="0" fontId="8" fillId="13" borderId="40" xfId="0" applyFont="1" applyFill="1" applyBorder="1" applyAlignment="1">
      <alignment horizontal="center" vertical="center"/>
    </xf>
    <xf numFmtId="0" fontId="8" fillId="13" borderId="21" xfId="0" applyFont="1" applyFill="1" applyBorder="1" applyAlignment="1">
      <alignment horizontal="center" vertical="center"/>
    </xf>
    <xf numFmtId="0" fontId="13" fillId="0" borderId="0" xfId="0" applyFont="1" applyAlignment="1">
      <alignment horizontal="center" vertical="center" wrapText="1"/>
    </xf>
    <xf numFmtId="0" fontId="12" fillId="0" borderId="15" xfId="0" applyFont="1" applyBorder="1" applyAlignment="1">
      <alignment vertical="center" wrapText="1"/>
    </xf>
    <xf numFmtId="0" fontId="3" fillId="0" borderId="0" xfId="0" applyFont="1" applyAlignment="1">
      <alignment horizontal="center" vertical="center"/>
    </xf>
    <xf numFmtId="0" fontId="13" fillId="0" borderId="20" xfId="0" applyFont="1" applyBorder="1" applyAlignment="1">
      <alignment vertical="center"/>
    </xf>
    <xf numFmtId="0" fontId="14" fillId="0" borderId="22" xfId="0" applyFont="1" applyBorder="1" applyAlignment="1">
      <alignment vertical="center"/>
    </xf>
    <xf numFmtId="0" fontId="12" fillId="0" borderId="21" xfId="0" applyFont="1" applyBorder="1" applyAlignment="1">
      <alignment vertical="center"/>
    </xf>
    <xf numFmtId="0" fontId="8" fillId="14" borderId="44" xfId="0" applyFont="1" applyFill="1" applyBorder="1" applyAlignment="1">
      <alignment horizontal="center" vertical="center" wrapText="1"/>
    </xf>
    <xf numFmtId="0" fontId="8" fillId="13" borderId="19" xfId="0" applyFont="1" applyFill="1" applyBorder="1" applyAlignment="1">
      <alignment horizontal="center" vertical="center"/>
    </xf>
    <xf numFmtId="0" fontId="14" fillId="0" borderId="23" xfId="0" applyFont="1" applyBorder="1" applyAlignment="1">
      <alignment vertical="center"/>
    </xf>
    <xf numFmtId="0" fontId="12" fillId="0" borderId="24" xfId="0" applyFont="1" applyBorder="1" applyAlignment="1">
      <alignment vertical="center"/>
    </xf>
    <xf numFmtId="0" fontId="8" fillId="14" borderId="42" xfId="0" applyFont="1" applyFill="1" applyBorder="1" applyAlignment="1">
      <alignment horizontal="center" vertical="center" wrapText="1"/>
    </xf>
    <xf numFmtId="0" fontId="12" fillId="0" borderId="26" xfId="0" applyFont="1" applyBorder="1" applyAlignment="1">
      <alignment vertical="center" wrapText="1"/>
    </xf>
    <xf numFmtId="0" fontId="0" fillId="0" borderId="0" xfId="0"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7.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tabSelected="1" topLeftCell="A38" zoomScale="80" zoomScaleNormal="80" zoomScalePageLayoutView="75" workbookViewId="0">
      <selection activeCell="A41" sqref="A41:D41"/>
    </sheetView>
  </sheetViews>
  <sheetFormatPr defaultColWidth="9.109375" defaultRowHeight="13.2" x14ac:dyDescent="0.25"/>
  <cols>
    <col min="1" max="1" width="84.5546875" style="45" customWidth="1"/>
    <col min="2" max="2" width="24.6640625" style="45" customWidth="1"/>
    <col min="3" max="3" width="29.44140625" style="45" customWidth="1"/>
    <col min="4" max="4" width="29.109375" style="45" customWidth="1"/>
    <col min="5" max="5" width="8.33203125" style="45" hidden="1" customWidth="1"/>
    <col min="6" max="16384" width="9.109375" style="45"/>
  </cols>
  <sheetData>
    <row r="1" spans="1:5" ht="13.5" customHeight="1" thickBot="1" x14ac:dyDescent="0.3">
      <c r="A1" s="316"/>
      <c r="B1" s="316"/>
      <c r="C1" s="316"/>
      <c r="D1" s="317"/>
    </row>
    <row r="2" spans="1:5" ht="25.5" customHeight="1" x14ac:dyDescent="0.25">
      <c r="A2" s="371" t="s">
        <v>0</v>
      </c>
      <c r="B2" s="372"/>
      <c r="C2" s="372"/>
      <c r="D2" s="373"/>
    </row>
    <row r="3" spans="1:5" ht="18" customHeight="1" x14ac:dyDescent="0.25">
      <c r="A3" s="374" t="s">
        <v>1</v>
      </c>
      <c r="B3" s="375"/>
      <c r="C3" s="375"/>
      <c r="D3" s="376"/>
    </row>
    <row r="4" spans="1:5" ht="15" customHeight="1" x14ac:dyDescent="0.25">
      <c r="A4" s="339" t="s">
        <v>2</v>
      </c>
      <c r="B4" s="340"/>
      <c r="C4" s="340"/>
      <c r="D4" s="341"/>
    </row>
    <row r="5" spans="1:5" ht="18" customHeight="1" x14ac:dyDescent="0.25">
      <c r="A5" s="318" t="s">
        <v>3</v>
      </c>
      <c r="B5" s="363" t="str">
        <f>IF(OR(B6&lt;&gt;"",B7&lt;&gt;""),"Yes","No")</f>
        <v>Yes</v>
      </c>
      <c r="C5" s="363"/>
      <c r="D5" s="364"/>
    </row>
    <row r="6" spans="1:5" ht="83.25" customHeight="1" x14ac:dyDescent="0.25">
      <c r="A6" s="319" t="s">
        <v>4</v>
      </c>
      <c r="B6" s="360" t="str">
        <f>'DEM (Strategic Priorities)'!J11</f>
        <v xml:space="preserve">-Social Inclusion and Equality
-Gender Equality and Diversity
-Climate Change and Environmental Sustainability
-Institutional Capacity and the Rule of Law
</v>
      </c>
      <c r="C6" s="361"/>
      <c r="D6" s="362"/>
    </row>
    <row r="7" spans="1:5" ht="138" customHeight="1" x14ac:dyDescent="0.25">
      <c r="A7" s="310" t="s">
        <v>5</v>
      </c>
      <c r="B7" s="360" t="str">
        <f>'DEM (Strategic Priorities)'!K20</f>
        <v xml:space="preserve">-Property value within project area of influence (% change)*
-Households benefitting from housing solutions (#)*
-Households with new or upgraded access to drinking water (#)*
-Households with new or upgraded access to sanitation (#)*
-Roads built or upgraded  (km)*
-Households with wastewater treatment (#)*
-Households protected from flood risk  (#)*
-Households with new or improved access to electricity supply  (#)*
</v>
      </c>
      <c r="C7" s="361"/>
      <c r="D7" s="362"/>
    </row>
    <row r="8" spans="1:5" ht="15" customHeight="1" x14ac:dyDescent="0.25">
      <c r="A8" s="318" t="s">
        <v>6</v>
      </c>
      <c r="B8" s="363" t="str">
        <f>IF(OR('DEM (Strategic Priorities)'!$D$80="Yes",'DEM (Strategic Priorities)'!D83="Yes"),"Yes","No")</f>
        <v>Yes</v>
      </c>
      <c r="C8" s="363"/>
      <c r="D8" s="364"/>
    </row>
    <row r="9" spans="1:5" ht="44.25" customHeight="1" x14ac:dyDescent="0.25">
      <c r="A9" s="310" t="s">
        <v>7</v>
      </c>
      <c r="B9" s="320" t="str">
        <f>IF('DEM (Strategic Priorities)'!D80="Yes",'DEM (Strategic Priorities)'!C80,"")</f>
        <v>GN-2836</v>
      </c>
      <c r="C9" s="365" t="s">
        <v>442</v>
      </c>
      <c r="D9" s="366"/>
    </row>
    <row r="10" spans="1:5" ht="41.25" customHeight="1" x14ac:dyDescent="0.25">
      <c r="A10" s="310" t="s">
        <v>8</v>
      </c>
      <c r="B10" s="320" t="str">
        <f>IF('DEM (Strategic Priorities)'!D83="Yes",'DEM (Strategic Priorities)'!C83," ")</f>
        <v>GN-2915-2</v>
      </c>
      <c r="C10" s="367" t="str">
        <f>IF('DEM (Strategic Priorities)'!D83="Yes","The intervention is included in the 2018 Operational Program.","The intervention is not included in the 2018 Operational Program.")</f>
        <v>The intervention is included in the 2018 Operational Program.</v>
      </c>
      <c r="D10" s="368"/>
    </row>
    <row r="11" spans="1:5" ht="60" customHeight="1" x14ac:dyDescent="0.25">
      <c r="A11" s="321" t="s">
        <v>9</v>
      </c>
      <c r="B11" s="322"/>
      <c r="C11" s="369"/>
      <c r="D11" s="370"/>
      <c r="E11" s="45">
        <f>SUM(E14+E18+E24)</f>
        <v>3</v>
      </c>
    </row>
    <row r="12" spans="1:5" ht="25.5" customHeight="1" x14ac:dyDescent="0.25">
      <c r="A12" s="323" t="s">
        <v>10</v>
      </c>
      <c r="B12" s="324"/>
      <c r="C12" s="325" t="str">
        <f>IF(AND(E12=1,B13&gt;=6.95),"Evaluable",IF(AND(E12=1,B13&gt;=5),"Partially Evaluable","Not Evaluable"))</f>
        <v>Evaluable</v>
      </c>
      <c r="D12" s="324"/>
      <c r="E12" s="100">
        <f>IF(E11&gt;=3,1,0)</f>
        <v>1</v>
      </c>
    </row>
    <row r="13" spans="1:5" ht="13.8" hidden="1" x14ac:dyDescent="0.25">
      <c r="A13" s="326"/>
      <c r="B13" s="327">
        <f>AVERAGE(B14,B18,B24)</f>
        <v>8.8583333333333325</v>
      </c>
      <c r="C13" s="328"/>
      <c r="D13" s="329">
        <v>10</v>
      </c>
    </row>
    <row r="14" spans="1:5" ht="15" customHeight="1" x14ac:dyDescent="0.25">
      <c r="A14" s="318" t="s">
        <v>11</v>
      </c>
      <c r="B14" s="336">
        <f>'DEM (Evaluability)'!G11</f>
        <v>10</v>
      </c>
      <c r="C14" s="337"/>
      <c r="D14" s="338"/>
      <c r="E14" s="45">
        <f>IF(B14&gt;=5,1,0)</f>
        <v>1</v>
      </c>
    </row>
    <row r="15" spans="1:5" ht="15" customHeight="1" x14ac:dyDescent="0.25">
      <c r="A15" s="310" t="s">
        <v>12</v>
      </c>
      <c r="B15" s="1">
        <f>'DEM (Evaluability)'!G12</f>
        <v>3</v>
      </c>
      <c r="C15" s="334"/>
      <c r="D15" s="335"/>
    </row>
    <row r="16" spans="1:5" ht="15" customHeight="1" x14ac:dyDescent="0.25">
      <c r="A16" s="310" t="s">
        <v>13</v>
      </c>
      <c r="B16" s="1">
        <f>'DEM (Evaluability)'!G19</f>
        <v>4</v>
      </c>
      <c r="C16" s="334"/>
      <c r="D16" s="335"/>
    </row>
    <row r="17" spans="1:5" ht="15" customHeight="1" x14ac:dyDescent="0.25">
      <c r="A17" s="310" t="s">
        <v>14</v>
      </c>
      <c r="B17" s="1">
        <f>'DEM (Evaluability)'!G24</f>
        <v>3</v>
      </c>
      <c r="C17" s="334"/>
      <c r="D17" s="335"/>
    </row>
    <row r="18" spans="1:5" ht="15" customHeight="1" x14ac:dyDescent="0.25">
      <c r="A18" s="318" t="s">
        <v>15</v>
      </c>
      <c r="B18" s="336">
        <f>'DEM (Evaluability)'!G38</f>
        <v>8</v>
      </c>
      <c r="C18" s="337"/>
      <c r="D18" s="338"/>
      <c r="E18" s="45">
        <f>IF(B18&gt;=5,1,0)</f>
        <v>1</v>
      </c>
    </row>
    <row r="19" spans="1:5" ht="13.8" x14ac:dyDescent="0.25">
      <c r="A19" s="310" t="s">
        <v>16</v>
      </c>
      <c r="B19" s="1">
        <f>IF('DEM (Evaluability)'!H41=1,'DEM (Evaluability)'!G42,IF('DEM (Evaluability)'!H41=2,'DEM (Evaluability)'!G49,0))</f>
        <v>3</v>
      </c>
      <c r="C19" s="334"/>
      <c r="D19" s="335"/>
    </row>
    <row r="20" spans="1:5" ht="15" customHeight="1" x14ac:dyDescent="0.25">
      <c r="A20" s="310" t="s">
        <v>17</v>
      </c>
      <c r="B20" s="1">
        <f>IF('DEM (Evaluability)'!H41=1,'DEM (Evaluability)'!G43,IF('DEM (Evaluability)'!H41=2,'DEM (Evaluability)'!G50,0))</f>
        <v>3</v>
      </c>
      <c r="C20" s="334"/>
      <c r="D20" s="335"/>
    </row>
    <row r="21" spans="1:5" ht="15" customHeight="1" x14ac:dyDescent="0.25">
      <c r="A21" s="310" t="s">
        <v>18</v>
      </c>
      <c r="B21" s="1">
        <f>IF('DEM (Evaluability)'!H41=1,'DEM (Evaluability)'!G44,IF('DEM (Evaluability)'!H41=2,'DEM (Evaluability)'!G51,0))</f>
        <v>0</v>
      </c>
      <c r="C21" s="334"/>
      <c r="D21" s="335"/>
    </row>
    <row r="22" spans="1:5" ht="15" customHeight="1" x14ac:dyDescent="0.25">
      <c r="A22" s="310" t="s">
        <v>19</v>
      </c>
      <c r="B22" s="1">
        <f>IF('DEM (Evaluability)'!H41=1,'DEM (Evaluability)'!G45,IF('DEM (Evaluability)'!H41=2,'DEM (Evaluability)'!G52,0))</f>
        <v>2</v>
      </c>
      <c r="C22" s="334"/>
      <c r="D22" s="335"/>
    </row>
    <row r="23" spans="1:5" ht="15" customHeight="1" x14ac:dyDescent="0.25">
      <c r="A23" s="310" t="s">
        <v>20</v>
      </c>
      <c r="B23" s="1">
        <f>IF('DEM (Evaluability)'!H41=1,'DEM (Evaluability)'!G46,IF('DEM (Evaluability)'!H41=2,'DEM (Evaluability)'!G53,0))</f>
        <v>0</v>
      </c>
      <c r="C23" s="334"/>
      <c r="D23" s="335"/>
    </row>
    <row r="24" spans="1:5" ht="15" customHeight="1" x14ac:dyDescent="0.25">
      <c r="A24" s="318" t="s">
        <v>21</v>
      </c>
      <c r="B24" s="336">
        <f>'DEM (Evaluability)'!G54</f>
        <v>8.5749999999999993</v>
      </c>
      <c r="C24" s="337"/>
      <c r="D24" s="338"/>
      <c r="E24" s="45">
        <f>IF(B24&gt;=5,1,0)</f>
        <v>1</v>
      </c>
    </row>
    <row r="25" spans="1:5" ht="15" customHeight="1" x14ac:dyDescent="0.25">
      <c r="A25" s="310" t="s">
        <v>22</v>
      </c>
      <c r="B25" s="1">
        <f>'DEM (Evaluability)'!G55</f>
        <v>1.075</v>
      </c>
      <c r="C25" s="334"/>
      <c r="D25" s="335"/>
    </row>
    <row r="26" spans="1:5" ht="15" customHeight="1" x14ac:dyDescent="0.25">
      <c r="A26" s="310" t="s">
        <v>23</v>
      </c>
      <c r="B26" s="1">
        <f>'DEM (Evaluability)'!G61</f>
        <v>7.5</v>
      </c>
      <c r="C26" s="334"/>
      <c r="D26" s="335"/>
    </row>
    <row r="27" spans="1:5" ht="15" customHeight="1" x14ac:dyDescent="0.25">
      <c r="A27" s="339" t="s">
        <v>24</v>
      </c>
      <c r="B27" s="340"/>
      <c r="C27" s="340"/>
      <c r="D27" s="341"/>
    </row>
    <row r="28" spans="1:5" ht="15" customHeight="1" x14ac:dyDescent="0.25">
      <c r="A28" s="330" t="s">
        <v>25</v>
      </c>
      <c r="B28" s="349" t="str">
        <f>IF('DEM ( Risk)'!D12&lt;&gt;"",'DEM ( Risk)'!D12,"Specify risk rate on risk tab")</f>
        <v>Medium</v>
      </c>
      <c r="C28" s="349"/>
      <c r="D28" s="350"/>
    </row>
    <row r="29" spans="1:5" ht="15" customHeight="1" x14ac:dyDescent="0.25">
      <c r="A29" s="313" t="s">
        <v>26</v>
      </c>
      <c r="B29" s="351" t="str">
        <f>IF(AND('DEM ( Risk)'!D15="yes", 'DEM ( Risk)'!D16="yes"), "Yes", "")</f>
        <v>Yes</v>
      </c>
      <c r="C29" s="351"/>
      <c r="D29" s="352"/>
    </row>
    <row r="30" spans="1:5" ht="15" customHeight="1" x14ac:dyDescent="0.25">
      <c r="A30" s="313" t="s">
        <v>27</v>
      </c>
      <c r="B30" s="355" t="str">
        <f>IF('DEM ( Risk)'!D18="yes", "Yes", "")</f>
        <v>Yes</v>
      </c>
      <c r="C30" s="356"/>
      <c r="D30" s="357"/>
    </row>
    <row r="31" spans="1:5" ht="15" customHeight="1" x14ac:dyDescent="0.25">
      <c r="A31" s="313" t="s">
        <v>28</v>
      </c>
      <c r="B31" s="355" t="str">
        <f>IF('DEM ( Risk)'!D19="yes", "Yes", "")</f>
        <v>Yes</v>
      </c>
      <c r="C31" s="356"/>
      <c r="D31" s="357"/>
    </row>
    <row r="32" spans="1:5" ht="15" customHeight="1" x14ac:dyDescent="0.25">
      <c r="A32" s="330" t="s">
        <v>29</v>
      </c>
      <c r="B32" s="349" t="str">
        <f>IF('DEM ( Risk)'!D13&lt;&gt;"",'DEM ( Risk)'!D13,"Specify risk classification on risk tab")</f>
        <v>A</v>
      </c>
      <c r="C32" s="349"/>
      <c r="D32" s="350"/>
    </row>
    <row r="33" spans="1:4" ht="15" customHeight="1" x14ac:dyDescent="0.25">
      <c r="A33" s="339" t="s">
        <v>30</v>
      </c>
      <c r="B33" s="340"/>
      <c r="C33" s="340"/>
      <c r="D33" s="341"/>
    </row>
    <row r="34" spans="1:4" ht="15" customHeight="1" x14ac:dyDescent="0.25">
      <c r="A34" s="310" t="s">
        <v>31</v>
      </c>
      <c r="B34" s="331"/>
      <c r="C34" s="353"/>
      <c r="D34" s="354"/>
    </row>
    <row r="35" spans="1:4" ht="99" customHeight="1" x14ac:dyDescent="0.25">
      <c r="A35" s="332" t="s">
        <v>32</v>
      </c>
      <c r="B35" s="333" t="str">
        <f>IF('DEM (Additionality)'!E14="Yes","Yes","")</f>
        <v>Yes</v>
      </c>
      <c r="C35" s="346" t="str">
        <f>'DEM (Additionality)'!N14</f>
        <v>Financial Management: Budget, Treasury, Accounting and Reporting, External Control, Internal Audit.
Procurement: nformation System, parison, ontracting Individual Consultant, ational Public Bidding.</v>
      </c>
      <c r="D35" s="347"/>
    </row>
    <row r="36" spans="1:4" ht="46.5" customHeight="1" x14ac:dyDescent="0.25">
      <c r="A36" s="332" t="s">
        <v>33</v>
      </c>
      <c r="B36" s="333" t="str">
        <f>IF('DEM (Additionality)'!E27="yes", "Yes","")</f>
        <v>Yes</v>
      </c>
      <c r="C36" s="346" t="str">
        <f>'DEM (Additionality)'!M28</f>
        <v>Strategic Planning National System, Monitoring and Evaluation National System.</v>
      </c>
      <c r="D36" s="347"/>
    </row>
    <row r="37" spans="1:4" ht="44.25" customHeight="1" x14ac:dyDescent="0.25">
      <c r="A37" s="310" t="s">
        <v>34</v>
      </c>
      <c r="B37" s="331"/>
      <c r="C37" s="358"/>
      <c r="D37" s="359"/>
    </row>
    <row r="38" spans="1:4" ht="47.25" customHeight="1" x14ac:dyDescent="0.25">
      <c r="A38" s="310" t="s">
        <v>35</v>
      </c>
      <c r="B38" s="333" t="str">
        <f>IF('DEM (Additionality)'!E35="yes", "Yes","")</f>
        <v>Yes</v>
      </c>
      <c r="C38" s="344"/>
      <c r="D38" s="345"/>
    </row>
    <row r="39" spans="1:4" ht="25.5" customHeight="1" x14ac:dyDescent="0.25">
      <c r="A39" s="348" t="s">
        <v>36</v>
      </c>
      <c r="B39" s="348"/>
      <c r="C39" s="348"/>
      <c r="D39" s="348"/>
    </row>
    <row r="40" spans="1:4" ht="1.5" customHeight="1" x14ac:dyDescent="0.25">
      <c r="A40" s="348"/>
      <c r="B40" s="348"/>
      <c r="C40" s="348"/>
      <c r="D40" s="348"/>
    </row>
    <row r="41" spans="1:4" ht="409.6" customHeight="1" x14ac:dyDescent="0.25">
      <c r="A41" s="342" t="s">
        <v>443</v>
      </c>
      <c r="B41" s="343"/>
      <c r="C41" s="343"/>
      <c r="D41" s="343"/>
    </row>
  </sheetData>
  <sheetProtection algorithmName="SHA-512" hashValue="VF5ynKUGqbj0TcktIiEQbptV77cIMHUPS8wzsfe0md3+3rA20vPg4vIIHjEe7q54YRWK9gizFmwJU1d/6FGbcA==" saltValue="1fJlpBUbQU5OB5Dd3xizWw==" spinCount="100000" sheet="1" objects="1" scenarios="1"/>
  <mergeCells count="38">
    <mergeCell ref="A2:D2"/>
    <mergeCell ref="A3:D3"/>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49" orientation="portrait" horizontalDpi="4294967293" verticalDpi="4294967293" r:id="rId1"/>
  <headerFooter>
    <oddHeader>&amp;RAnnex I - UR-L1146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09375" defaultRowHeight="13.2" x14ac:dyDescent="0.25"/>
  <cols>
    <col min="1" max="1" width="2.44140625" style="2" customWidth="1"/>
    <col min="2" max="2" width="82.88671875" style="3" customWidth="1"/>
    <col min="3" max="3" width="68.88671875" style="2" customWidth="1"/>
    <col min="4" max="4" width="25.33203125" style="9" customWidth="1"/>
    <col min="5" max="5" width="16.109375" style="24" hidden="1" customWidth="1"/>
    <col min="6" max="11" width="9.109375" style="24" hidden="1" customWidth="1"/>
    <col min="12" max="12" width="9.109375" style="24" customWidth="1"/>
    <col min="13" max="13" width="9.109375" style="2" customWidth="1"/>
    <col min="14" max="16384" width="9.109375" style="2"/>
  </cols>
  <sheetData>
    <row r="2" spans="1:13" ht="17.399999999999999" x14ac:dyDescent="0.25">
      <c r="B2" s="460" t="s">
        <v>172</v>
      </c>
      <c r="C2" s="460"/>
      <c r="D2" s="460"/>
    </row>
    <row r="3" spans="1:13" ht="18" thickBot="1" x14ac:dyDescent="0.3">
      <c r="B3" s="460" t="s">
        <v>361</v>
      </c>
      <c r="C3" s="505"/>
      <c r="D3" s="505"/>
    </row>
    <row r="4" spans="1:13" ht="17.399999999999999" x14ac:dyDescent="0.25">
      <c r="A4" s="496" t="s">
        <v>78</v>
      </c>
      <c r="B4" s="497"/>
      <c r="C4" s="497"/>
      <c r="D4" s="497"/>
      <c r="E4" s="26"/>
    </row>
    <row r="5" spans="1:13" ht="23.25" customHeight="1" x14ac:dyDescent="0.25">
      <c r="A5" s="14"/>
      <c r="B5" s="498" t="s">
        <v>362</v>
      </c>
      <c r="C5" s="498"/>
      <c r="D5" s="498"/>
      <c r="E5" s="27"/>
    </row>
    <row r="6" spans="1:13" ht="31.5" customHeight="1" x14ac:dyDescent="0.25">
      <c r="A6" s="4">
        <v>1</v>
      </c>
      <c r="B6" s="473" t="s">
        <v>174</v>
      </c>
      <c r="C6" s="473"/>
      <c r="D6" s="473"/>
      <c r="E6" s="27"/>
    </row>
    <row r="7" spans="1:13" ht="30.75" customHeight="1" thickBot="1" x14ac:dyDescent="0.3">
      <c r="A7" s="15">
        <v>2</v>
      </c>
      <c r="B7" s="494" t="s">
        <v>401</v>
      </c>
      <c r="C7" s="494"/>
      <c r="D7" s="494"/>
      <c r="E7" s="28"/>
    </row>
    <row r="8" spans="1:13" ht="27" customHeight="1" x14ac:dyDescent="0.25">
      <c r="C8" s="3"/>
      <c r="D8" s="8"/>
    </row>
    <row r="9" spans="1:13" ht="18" thickBot="1" x14ac:dyDescent="0.3">
      <c r="B9" s="493" t="s">
        <v>376</v>
      </c>
      <c r="C9" s="493"/>
      <c r="D9" s="493"/>
    </row>
    <row r="10" spans="1:13" s="17" customFormat="1" ht="15.75" customHeight="1" x14ac:dyDescent="0.25">
      <c r="B10" s="19" t="s">
        <v>81</v>
      </c>
      <c r="C10" s="20" t="s">
        <v>82</v>
      </c>
      <c r="D10" s="21" t="s">
        <v>83</v>
      </c>
      <c r="E10" s="29"/>
      <c r="F10" s="29"/>
      <c r="G10" s="29"/>
      <c r="H10" s="29"/>
      <c r="I10" s="29"/>
      <c r="J10" s="29"/>
      <c r="K10" s="29"/>
      <c r="L10" s="29"/>
    </row>
    <row r="11" spans="1:13" s="17" customFormat="1" ht="14.4" thickBot="1" x14ac:dyDescent="0.3">
      <c r="B11" s="33" t="s">
        <v>378</v>
      </c>
      <c r="C11" s="34"/>
      <c r="D11" s="35"/>
      <c r="E11" s="29"/>
      <c r="F11" s="29"/>
      <c r="G11" s="29"/>
      <c r="H11" s="29"/>
      <c r="I11" s="29"/>
      <c r="J11" s="29"/>
      <c r="K11" s="29"/>
      <c r="L11" s="29"/>
    </row>
    <row r="12" spans="1:13" s="17" customFormat="1" ht="13.8" x14ac:dyDescent="0.25">
      <c r="B12" s="7" t="s">
        <v>379</v>
      </c>
      <c r="C12" s="42"/>
      <c r="D12" s="36" t="str">
        <f>'DEM (Additionality)'!E12</f>
        <v>Yes</v>
      </c>
      <c r="E12" s="29"/>
      <c r="F12" s="29"/>
      <c r="G12" s="29"/>
      <c r="H12" s="29"/>
      <c r="I12" s="29"/>
      <c r="J12" s="29"/>
      <c r="K12" s="29"/>
      <c r="L12" s="29"/>
    </row>
    <row r="13" spans="1:13" s="17" customFormat="1" ht="13.8" x14ac:dyDescent="0.25">
      <c r="B13" s="296" t="s">
        <v>402</v>
      </c>
      <c r="C13" s="178"/>
      <c r="D13" s="311" t="str">
        <f>'DEM (Additionality)'!E13</f>
        <v>Yes</v>
      </c>
      <c r="E13" s="29"/>
      <c r="F13" s="29"/>
      <c r="G13" s="29"/>
      <c r="H13" s="29"/>
      <c r="I13" s="29"/>
      <c r="J13" s="29"/>
      <c r="K13" s="29"/>
      <c r="L13" s="29"/>
    </row>
    <row r="14" spans="1:13" s="17" customFormat="1" ht="13.8" x14ac:dyDescent="0.25">
      <c r="B14" s="187" t="s">
        <v>403</v>
      </c>
      <c r="C14" s="187"/>
      <c r="D14" s="199" t="str">
        <f>'DEM (Additionality)'!E14</f>
        <v>Yes</v>
      </c>
      <c r="E14" s="29" t="str">
        <f t="shared" ref="E14:E24" si="0">IF(D14="Yes",B14,"")</f>
        <v xml:space="preserve">     Administración financiera</v>
      </c>
      <c r="F14" s="29">
        <f>LEN(E14)</f>
        <v>30</v>
      </c>
      <c r="G14" s="29" t="str">
        <f>RIGHT(E14,(F14-5))</f>
        <v>Administración financiera</v>
      </c>
      <c r="H14" s="29" t="str">
        <f>IF(D14="Yes",CONCATENATE(G14,": "),"")</f>
        <v xml:space="preserve">Administración financiera: </v>
      </c>
      <c r="I14" s="29" t="str">
        <f>CONCATENATE(H14,H15,H16,H17,H18,H19)</f>
        <v xml:space="preserve">Administración financiera: Presupuesto, Tesorería, Contabilidad y emisión de informes, Controles externos, Auditoría interna, </v>
      </c>
      <c r="J14" s="29">
        <f>LEN(I14)</f>
        <v>126</v>
      </c>
      <c r="K14" s="29" t="str">
        <f>LEFT(I14,(J14-2))</f>
        <v>Administración financiera: Presupuesto, Tesorería, Contabilidad y emisión de informes, Controles externos, Auditoría interna</v>
      </c>
      <c r="L14" s="29" t="str">
        <f>IF(J14=0,"",CONCATENATE(K14,"."))</f>
        <v>Administración financiera: Presupuesto, Tesorería, Contabilidad y emisión de informes, Controles externos, Auditoría interna.</v>
      </c>
      <c r="M14" s="17" t="str">
        <f>CONCATENATE(L14,CHAR(10),CHAR(10),L20)</f>
        <v>Administración financiera: Presupuesto, Tesorería, Contabilidad y emisión de informes, Controles externos, Auditoría interna.
Adquisiciones y contrataciones: Sistema de información, Método de comparación de precios, Contratación de consultor individual, Licitación pública nacional.</v>
      </c>
    </row>
    <row r="15" spans="1:13" s="17" customFormat="1" ht="13.8" x14ac:dyDescent="0.25">
      <c r="B15" s="312" t="s">
        <v>404</v>
      </c>
      <c r="C15" s="150"/>
      <c r="D15" s="263" t="str">
        <f>'DEM (Additionality)'!E15</f>
        <v>Yes</v>
      </c>
      <c r="E15" s="29" t="str">
        <f t="shared" si="0"/>
        <v xml:space="preserve">         Presupuesto</v>
      </c>
      <c r="F15" s="29">
        <f t="shared" ref="F15:F33" si="1">LEN(E15)</f>
        <v>20</v>
      </c>
      <c r="G15" s="29" t="str">
        <f>RIGHT(E15,(F15-9))</f>
        <v>Presupuesto</v>
      </c>
      <c r="H15" s="29" t="str">
        <f>IF(D15="Yes",CONCATENATE(G15,", "),"")</f>
        <v xml:space="preserve">Presupuesto, </v>
      </c>
      <c r="I15" s="29"/>
      <c r="J15" s="29"/>
      <c r="K15" s="29"/>
      <c r="L15" s="29"/>
    </row>
    <row r="16" spans="1:13" s="17" customFormat="1" ht="13.8" x14ac:dyDescent="0.25">
      <c r="B16" s="312" t="s">
        <v>405</v>
      </c>
      <c r="C16" s="150"/>
      <c r="D16" s="263" t="str">
        <f>'DEM (Additionality)'!E16</f>
        <v>Yes</v>
      </c>
      <c r="E16" s="29" t="str">
        <f t="shared" si="0"/>
        <v xml:space="preserve">         Tesorería</v>
      </c>
      <c r="F16" s="29">
        <f t="shared" si="1"/>
        <v>18</v>
      </c>
      <c r="G16" s="29" t="str">
        <f>RIGHT(E16,(F16-9))</f>
        <v>Tesorería</v>
      </c>
      <c r="H16" s="29" t="str">
        <f t="shared" ref="H16:H33" si="2">IF(D16="Yes",CONCATENATE(G16,", "),"")</f>
        <v xml:space="preserve">Tesorería, </v>
      </c>
      <c r="I16" s="29"/>
      <c r="J16" s="29"/>
      <c r="K16" s="29"/>
      <c r="L16" s="29"/>
    </row>
    <row r="17" spans="2:12" s="17" customFormat="1" ht="13.8" x14ac:dyDescent="0.25">
      <c r="B17" s="312" t="s">
        <v>406</v>
      </c>
      <c r="C17" s="150"/>
      <c r="D17" s="263" t="str">
        <f>'DEM (Additionality)'!E17</f>
        <v>Yes</v>
      </c>
      <c r="E17" s="29" t="str">
        <f t="shared" si="0"/>
        <v xml:space="preserve">         Contabilidad y emisión de informes</v>
      </c>
      <c r="F17" s="29">
        <f t="shared" si="1"/>
        <v>43</v>
      </c>
      <c r="G17" s="29" t="str">
        <f>RIGHT(E17,(F17-9))</f>
        <v>Contabilidad y emisión de informes</v>
      </c>
      <c r="H17" s="29" t="str">
        <f t="shared" si="2"/>
        <v xml:space="preserve">Contabilidad y emisión de informes, </v>
      </c>
      <c r="I17" s="29"/>
      <c r="J17" s="29"/>
      <c r="K17" s="29"/>
      <c r="L17" s="29"/>
    </row>
    <row r="18" spans="2:12" s="17" customFormat="1" ht="13.8" x14ac:dyDescent="0.25">
      <c r="B18" s="312" t="s">
        <v>407</v>
      </c>
      <c r="C18" s="150"/>
      <c r="D18" s="263" t="str">
        <f>'DEM (Additionality)'!E18</f>
        <v>Yes</v>
      </c>
      <c r="E18" s="29" t="str">
        <f t="shared" si="0"/>
        <v xml:space="preserve">         Controles externos</v>
      </c>
      <c r="F18" s="29">
        <f t="shared" si="1"/>
        <v>27</v>
      </c>
      <c r="G18" s="29" t="str">
        <f>RIGHT(E18,(F18-9))</f>
        <v>Controles externos</v>
      </c>
      <c r="H18" s="29" t="str">
        <f t="shared" si="2"/>
        <v xml:space="preserve">Controles externos, </v>
      </c>
      <c r="I18" s="29"/>
      <c r="J18" s="29"/>
      <c r="K18" s="29"/>
      <c r="L18" s="29"/>
    </row>
    <row r="19" spans="2:12" s="17" customFormat="1" ht="13.8" x14ac:dyDescent="0.25">
      <c r="B19" s="312" t="s">
        <v>408</v>
      </c>
      <c r="C19" s="150"/>
      <c r="D19" s="263" t="str">
        <f>'DEM (Additionality)'!E19</f>
        <v>Yes</v>
      </c>
      <c r="E19" s="29" t="str">
        <f t="shared" si="0"/>
        <v xml:space="preserve">         Auditoría interna</v>
      </c>
      <c r="F19" s="29">
        <f t="shared" si="1"/>
        <v>26</v>
      </c>
      <c r="G19" s="29" t="str">
        <f>RIGHT(E19,(F19-9))</f>
        <v>Auditoría interna</v>
      </c>
      <c r="H19" s="29" t="str">
        <f t="shared" si="2"/>
        <v xml:space="preserve">Auditoría interna, </v>
      </c>
      <c r="I19" s="29"/>
      <c r="J19" s="29"/>
      <c r="K19" s="29"/>
      <c r="L19" s="29"/>
    </row>
    <row r="20" spans="2:12" s="17" customFormat="1" ht="13.8" x14ac:dyDescent="0.25">
      <c r="B20" s="187" t="s">
        <v>409</v>
      </c>
      <c r="C20" s="187"/>
      <c r="D20" s="199" t="str">
        <f>'DEM (Additionality)'!E20</f>
        <v>Yes</v>
      </c>
      <c r="E20" s="29" t="str">
        <f t="shared" si="0"/>
        <v xml:space="preserve">     Adquisiciones y contrataciones</v>
      </c>
      <c r="F20" s="29">
        <f>LEN(E20)</f>
        <v>35</v>
      </c>
      <c r="G20" s="29" t="str">
        <f>RIGHT(E20,(F20-5))</f>
        <v>Adquisiciones y contrataciones</v>
      </c>
      <c r="H20" s="29" t="str">
        <f>IF(D20="Yes",CONCATENATE(G20,": "),"")</f>
        <v xml:space="preserve">Adquisiciones y contrataciones: </v>
      </c>
      <c r="I20" s="29" t="str">
        <f>CONCATENATE(H20,H21,H22,H23,H24)</f>
        <v xml:space="preserve">Adquisiciones y contrataciones: Sistema de información, Método de comparación de precios, Contratación de consultor individual, Licitación pública nacional, </v>
      </c>
      <c r="J20" s="29">
        <f>LEN(I20)</f>
        <v>157</v>
      </c>
      <c r="K20" s="29" t="str">
        <f>LEFT(I20,(J20-2))</f>
        <v>Adquisiciones y contrataciones: Sistema de información, Método de comparación de precios, Contratación de consultor individual, Licitación pública nacional</v>
      </c>
      <c r="L20" s="29" t="str">
        <f>IF(J20=0,"",CONCATENATE(K20,"."))</f>
        <v>Adquisiciones y contrataciones: Sistema de información, Método de comparación de precios, Contratación de consultor individual, Licitación pública nacional.</v>
      </c>
    </row>
    <row r="21" spans="2:12" s="17" customFormat="1" ht="13.8" x14ac:dyDescent="0.25">
      <c r="B21" s="312" t="s">
        <v>410</v>
      </c>
      <c r="C21" s="150"/>
      <c r="D21" s="263" t="str">
        <f>'DEM (Additionality)'!E21</f>
        <v>Yes</v>
      </c>
      <c r="E21" s="29" t="str">
        <f t="shared" si="0"/>
        <v xml:space="preserve">         Sistema de información</v>
      </c>
      <c r="F21" s="29">
        <f t="shared" si="1"/>
        <v>31</v>
      </c>
      <c r="G21" s="29" t="str">
        <f>RIGHT(E21,(F21-9))</f>
        <v>Sistema de información</v>
      </c>
      <c r="H21" s="29" t="str">
        <f t="shared" si="2"/>
        <v xml:space="preserve">Sistema de información, </v>
      </c>
      <c r="I21" s="29"/>
      <c r="J21" s="29"/>
      <c r="K21" s="29"/>
      <c r="L21" s="29"/>
    </row>
    <row r="22" spans="2:12" s="17" customFormat="1" ht="13.8" x14ac:dyDescent="0.25">
      <c r="B22" s="312" t="s">
        <v>411</v>
      </c>
      <c r="C22" s="150"/>
      <c r="D22" s="263" t="str">
        <f>'DEM (Additionality)'!E22</f>
        <v>Yes</v>
      </c>
      <c r="E22" s="29" t="str">
        <f t="shared" si="0"/>
        <v xml:space="preserve">         Método de comparación de precios</v>
      </c>
      <c r="F22" s="29">
        <f t="shared" si="1"/>
        <v>41</v>
      </c>
      <c r="G22" s="29" t="str">
        <f>RIGHT(E22,(F22-9))</f>
        <v>Método de comparación de precios</v>
      </c>
      <c r="H22" s="29" t="str">
        <f t="shared" si="2"/>
        <v xml:space="preserve">Método de comparación de precios, </v>
      </c>
      <c r="I22" s="29"/>
      <c r="J22" s="29"/>
      <c r="K22" s="29"/>
      <c r="L22" s="29"/>
    </row>
    <row r="23" spans="2:12" s="17" customFormat="1" ht="13.8" x14ac:dyDescent="0.25">
      <c r="B23" s="312" t="s">
        <v>412</v>
      </c>
      <c r="C23" s="150"/>
      <c r="D23" s="263" t="str">
        <f>'DEM (Additionality)'!E23</f>
        <v>Yes</v>
      </c>
      <c r="E23" s="29" t="str">
        <f t="shared" si="0"/>
        <v xml:space="preserve">         Contratación de consultor individual</v>
      </c>
      <c r="F23" s="29">
        <f t="shared" si="1"/>
        <v>45</v>
      </c>
      <c r="G23" s="29" t="str">
        <f>RIGHT(E23,(F23-9))</f>
        <v>Contratación de consultor individual</v>
      </c>
      <c r="H23" s="29" t="str">
        <f t="shared" si="2"/>
        <v xml:space="preserve">Contratación de consultor individual, </v>
      </c>
      <c r="I23" s="29"/>
      <c r="J23" s="29"/>
      <c r="K23" s="29"/>
      <c r="L23" s="29"/>
    </row>
    <row r="24" spans="2:12" s="17" customFormat="1" ht="13.8" x14ac:dyDescent="0.25">
      <c r="B24" s="312" t="s">
        <v>413</v>
      </c>
      <c r="C24" s="301"/>
      <c r="D24" s="301" t="str">
        <f>'DEM (Additionality)'!E24</f>
        <v>Yes</v>
      </c>
      <c r="E24" s="29" t="str">
        <f t="shared" si="0"/>
        <v xml:space="preserve">         Licitación pública nacional</v>
      </c>
      <c r="F24" s="29">
        <f t="shared" si="1"/>
        <v>36</v>
      </c>
      <c r="G24" s="29" t="str">
        <f>RIGHT(E24,(F24-9))</f>
        <v>Licitación pública nacional</v>
      </c>
      <c r="H24" s="29" t="str">
        <f t="shared" si="2"/>
        <v xml:space="preserve">Licitación pública nacional, </v>
      </c>
      <c r="I24" s="29"/>
      <c r="J24" s="29"/>
      <c r="K24" s="29"/>
      <c r="L24" s="29"/>
    </row>
    <row r="25" spans="2:12" s="17" customFormat="1" ht="13.8" x14ac:dyDescent="0.25">
      <c r="B25" s="312" t="s">
        <v>414</v>
      </c>
      <c r="C25" s="150"/>
      <c r="D25" s="263" t="str">
        <f>'DEM (Additionality)'!E25</f>
        <v>Yes</v>
      </c>
      <c r="E25" s="29"/>
      <c r="F25" s="29"/>
      <c r="G25" s="29"/>
      <c r="H25" s="29"/>
      <c r="I25" s="29"/>
      <c r="J25" s="29"/>
      <c r="K25" s="29"/>
      <c r="L25" s="29"/>
    </row>
    <row r="26" spans="2:12" s="17" customFormat="1" ht="13.8" x14ac:dyDescent="0.25">
      <c r="B26" s="312" t="s">
        <v>415</v>
      </c>
      <c r="C26" s="150"/>
      <c r="D26" s="263" t="str">
        <f>'DEM (Additionality)'!E26</f>
        <v>Yes</v>
      </c>
      <c r="E26" s="29"/>
      <c r="F26" s="29"/>
      <c r="G26" s="29"/>
      <c r="H26" s="29"/>
      <c r="I26" s="29"/>
      <c r="J26" s="29"/>
      <c r="K26" s="29"/>
      <c r="L26" s="29"/>
    </row>
    <row r="27" spans="2:12" s="17" customFormat="1" ht="13.8" x14ac:dyDescent="0.25">
      <c r="B27" s="296" t="s">
        <v>394</v>
      </c>
      <c r="C27" s="178"/>
      <c r="D27" s="311" t="str">
        <f>'DEM (Additionality)'!E27</f>
        <v>Yes</v>
      </c>
      <c r="E27" s="29"/>
      <c r="F27" s="29"/>
      <c r="G27" s="29"/>
      <c r="H27" s="29"/>
      <c r="I27" s="29"/>
      <c r="J27" s="29"/>
      <c r="K27" s="29"/>
      <c r="L27" s="29"/>
    </row>
    <row r="28" spans="2:12" s="17" customFormat="1" ht="13.8" x14ac:dyDescent="0.25">
      <c r="B28" s="183" t="s">
        <v>416</v>
      </c>
      <c r="C28" s="187"/>
      <c r="D28" s="199" t="str">
        <f>'DEM (Additionality)'!E28</f>
        <v>Yes</v>
      </c>
      <c r="E28" s="29" t="str">
        <f>IF(D28="Yes",B28,"")</f>
        <v xml:space="preserve">     Sistema Nacional de Planeación Estratégica</v>
      </c>
      <c r="F28" s="29">
        <f t="shared" si="1"/>
        <v>47</v>
      </c>
      <c r="G28" s="29" t="str">
        <f>RIGHT(E28,(F28-5))</f>
        <v>Sistema Nacional de Planeación Estratégica</v>
      </c>
      <c r="H28" s="29" t="str">
        <f t="shared" si="2"/>
        <v xml:space="preserve">Sistema Nacional de Planeación Estratégica, </v>
      </c>
      <c r="I28" s="29" t="str">
        <f>CONCATENATE(H28,H30,H32,H33)</f>
        <v xml:space="preserve">Sistema Nacional de Planeación Estratégica, Sistema Nacional de Monitoreo y Evaluación, </v>
      </c>
      <c r="J28" s="29">
        <f>LEN(I28)</f>
        <v>88</v>
      </c>
      <c r="K28" s="29" t="str">
        <f>LEFT(I28,(J28-2))</f>
        <v>Sistema Nacional de Planeación Estratégica, Sistema Nacional de Monitoreo y Evaluación</v>
      </c>
      <c r="L28" s="29" t="str">
        <f>IF(J28=0,"",CONCATENATE(K28,"."))</f>
        <v>Sistema Nacional de Planeación Estratégica, Sistema Nacional de Monitoreo y Evaluación.</v>
      </c>
    </row>
    <row r="29" spans="2:12" s="17" customFormat="1" ht="13.8" x14ac:dyDescent="0.25">
      <c r="B29" s="220" t="s">
        <v>396</v>
      </c>
      <c r="C29" s="242"/>
      <c r="D29" s="222" t="str">
        <f>'DEM (Additionality)'!E29</f>
        <v>Yes</v>
      </c>
      <c r="E29" s="29"/>
      <c r="F29" s="29"/>
      <c r="G29" s="29"/>
      <c r="H29" s="29"/>
      <c r="I29" s="29"/>
      <c r="J29" s="29"/>
      <c r="K29" s="29"/>
      <c r="L29" s="29"/>
    </row>
    <row r="30" spans="2:12" s="17" customFormat="1" ht="13.8" x14ac:dyDescent="0.25">
      <c r="B30" s="183" t="s">
        <v>417</v>
      </c>
      <c r="C30" s="187"/>
      <c r="D30" s="199" t="str">
        <f>'DEM (Additionality)'!E30</f>
        <v>Yes</v>
      </c>
      <c r="E30" s="29" t="str">
        <f>IF(D30="Yes",B30,"")</f>
        <v xml:space="preserve">     Sistema Nacional de Monitoreo y Evaluación</v>
      </c>
      <c r="F30" s="29">
        <f t="shared" si="1"/>
        <v>47</v>
      </c>
      <c r="G30" s="29" t="str">
        <f>RIGHT(E30,(F30-5))</f>
        <v>Sistema Nacional de Monitoreo y Evaluación</v>
      </c>
      <c r="H30" s="29" t="str">
        <f t="shared" si="2"/>
        <v xml:space="preserve">Sistema Nacional de Monitoreo y Evaluación, </v>
      </c>
      <c r="I30" s="29"/>
      <c r="J30" s="29"/>
      <c r="K30" s="29"/>
      <c r="L30" s="29"/>
    </row>
    <row r="31" spans="2:12" s="17" customFormat="1" ht="13.8" x14ac:dyDescent="0.25">
      <c r="B31" s="220" t="s">
        <v>396</v>
      </c>
      <c r="C31" s="242"/>
      <c r="D31" s="222" t="str">
        <f>'DEM (Additionality)'!E31</f>
        <v>Yes</v>
      </c>
      <c r="E31" s="29"/>
      <c r="F31" s="29"/>
      <c r="G31" s="29"/>
      <c r="H31" s="29"/>
      <c r="I31" s="29"/>
      <c r="J31" s="29"/>
      <c r="K31" s="29"/>
      <c r="L31" s="29"/>
    </row>
    <row r="32" spans="2:12" s="17" customFormat="1" ht="13.8" x14ac:dyDescent="0.25">
      <c r="B32" s="183" t="s">
        <v>418</v>
      </c>
      <c r="C32" s="187"/>
      <c r="D32" s="199">
        <f>'DEM (Additionality)'!E32</f>
        <v>0</v>
      </c>
      <c r="E32" s="29" t="str">
        <f>IF(D32="Yes",B32,"")</f>
        <v/>
      </c>
      <c r="F32" s="29">
        <f t="shared" si="1"/>
        <v>0</v>
      </c>
      <c r="G32" s="29" t="e">
        <f>RIGHT(E32,(F32-5))</f>
        <v>#VALUE!</v>
      </c>
      <c r="H32" s="29" t="str">
        <f t="shared" si="2"/>
        <v/>
      </c>
      <c r="I32" s="29"/>
      <c r="J32" s="29"/>
      <c r="K32" s="29"/>
      <c r="L32" s="29"/>
    </row>
    <row r="33" spans="2:12" s="17" customFormat="1" ht="13.8" x14ac:dyDescent="0.25">
      <c r="B33" s="183" t="s">
        <v>419</v>
      </c>
      <c r="C33" s="187"/>
      <c r="D33" s="199">
        <f>'DEM (Additionality)'!E33</f>
        <v>0</v>
      </c>
      <c r="E33" s="29" t="str">
        <f>IF(D33="Yes",B33,"")</f>
        <v/>
      </c>
      <c r="F33" s="29">
        <f t="shared" si="1"/>
        <v>0</v>
      </c>
      <c r="G33" s="29" t="e">
        <f>RIGHT(E33,(F33-5))</f>
        <v>#VALUE!</v>
      </c>
      <c r="H33" s="29" t="str">
        <f t="shared" si="2"/>
        <v/>
      </c>
      <c r="I33" s="29"/>
      <c r="J33" s="29"/>
      <c r="K33" s="29"/>
      <c r="L33" s="29"/>
    </row>
    <row r="34" spans="2:12" s="17" customFormat="1" ht="27.6" x14ac:dyDescent="0.25">
      <c r="B34" s="310" t="s">
        <v>420</v>
      </c>
      <c r="C34" s="242"/>
      <c r="D34" s="222">
        <f>'DEM (Additionality)'!E34</f>
        <v>0</v>
      </c>
      <c r="E34" s="29"/>
      <c r="F34" s="29"/>
      <c r="G34" s="29"/>
      <c r="H34" s="29"/>
      <c r="I34" s="29"/>
      <c r="J34" s="29"/>
      <c r="K34" s="29"/>
      <c r="L34" s="29"/>
    </row>
    <row r="35" spans="2:12" s="17" customFormat="1" ht="13.8" x14ac:dyDescent="0.25">
      <c r="B35" s="313" t="s">
        <v>421</v>
      </c>
      <c r="C35" s="242" t="s">
        <v>422</v>
      </c>
      <c r="D35" s="222" t="e">
        <f>'DEM (Additionality)'!#REF!</f>
        <v>#REF!</v>
      </c>
      <c r="E35" s="29"/>
      <c r="F35" s="29"/>
      <c r="G35" s="29"/>
      <c r="H35" s="29"/>
      <c r="I35" s="29"/>
      <c r="J35" s="29"/>
      <c r="K35" s="29"/>
      <c r="L35" s="29"/>
    </row>
    <row r="36" spans="2:12" s="17" customFormat="1" ht="13.8" x14ac:dyDescent="0.25">
      <c r="B36" s="313" t="s">
        <v>423</v>
      </c>
      <c r="C36" s="242" t="s">
        <v>422</v>
      </c>
      <c r="D36" s="222" t="e">
        <f>'DEM (Additionality)'!#REF!</f>
        <v>#REF!</v>
      </c>
      <c r="E36" s="29"/>
      <c r="F36" s="29"/>
      <c r="G36" s="29"/>
      <c r="H36" s="29"/>
      <c r="I36" s="29"/>
      <c r="J36" s="29"/>
      <c r="K36" s="29"/>
      <c r="L36" s="29"/>
    </row>
    <row r="37" spans="2:12" s="17" customFormat="1" ht="13.8" x14ac:dyDescent="0.25">
      <c r="B37" s="313" t="s">
        <v>424</v>
      </c>
      <c r="C37" s="242" t="s">
        <v>422</v>
      </c>
      <c r="D37" s="222" t="e">
        <f>'DEM (Additionality)'!#REF!</f>
        <v>#REF!</v>
      </c>
      <c r="E37" s="29"/>
      <c r="F37" s="29"/>
      <c r="G37" s="29"/>
      <c r="H37" s="29"/>
      <c r="I37" s="29"/>
      <c r="J37" s="29"/>
      <c r="K37" s="29"/>
      <c r="L37" s="29"/>
    </row>
    <row r="38" spans="2:12" s="17" customFormat="1" ht="27.6" x14ac:dyDescent="0.25">
      <c r="B38" s="310" t="s">
        <v>35</v>
      </c>
      <c r="C38" s="242" t="s">
        <v>425</v>
      </c>
      <c r="D38" s="222" t="str">
        <f>'DEM (Additionality)'!E35</f>
        <v>Yes</v>
      </c>
      <c r="E38" s="29"/>
      <c r="F38" s="29"/>
      <c r="G38" s="29"/>
      <c r="H38" s="29"/>
      <c r="I38" s="29"/>
      <c r="J38" s="29"/>
      <c r="K38" s="29"/>
      <c r="L38" s="29"/>
    </row>
    <row r="39" spans="2:12" s="17" customFormat="1" ht="109.5" customHeight="1" thickBot="1" x14ac:dyDescent="0.3">
      <c r="B39" s="30" t="s">
        <v>426</v>
      </c>
      <c r="C39" s="31" t="s">
        <v>427</v>
      </c>
      <c r="D39" s="44" t="e">
        <f>'DEM (Additionality)'!#REF!</f>
        <v>#REF!</v>
      </c>
      <c r="E39" s="29"/>
      <c r="F39" s="29"/>
      <c r="G39" s="29"/>
      <c r="H39" s="29"/>
      <c r="I39" s="29"/>
      <c r="J39" s="29"/>
      <c r="K39" s="29">
        <f>3*0.2</f>
        <v>0.60000000000000009</v>
      </c>
      <c r="L39" s="29"/>
    </row>
    <row r="40" spans="2:12" s="17" customFormat="1" ht="13.8" x14ac:dyDescent="0.25">
      <c r="B40" s="16"/>
      <c r="D40" s="18"/>
      <c r="E40" s="29"/>
      <c r="F40" s="29"/>
      <c r="G40" s="29"/>
      <c r="H40" s="29"/>
      <c r="I40" s="29"/>
      <c r="J40" s="29"/>
      <c r="K40" s="29">
        <f>3*0.25</f>
        <v>0.75</v>
      </c>
      <c r="L40" s="29"/>
    </row>
    <row r="41" spans="2:12" x14ac:dyDescent="0.25">
      <c r="K41" s="24">
        <f>3*0.15</f>
        <v>0.44999999999999996</v>
      </c>
    </row>
    <row r="43" spans="2:12" x14ac:dyDescent="0.25">
      <c r="K43" s="24">
        <f>SUM(K39:K42)</f>
        <v>1.8</v>
      </c>
    </row>
    <row r="45" spans="2:12" x14ac:dyDescent="0.25">
      <c r="K45" s="24">
        <f>1*0.25</f>
        <v>0.25</v>
      </c>
    </row>
    <row r="46" spans="2:12" x14ac:dyDescent="0.25">
      <c r="K46" s="24">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3.2" x14ac:dyDescent="0.25"/>
  <sheetData>
    <row r="2" spans="1:3" x14ac:dyDescent="0.25">
      <c r="A2" s="32" t="s">
        <v>92</v>
      </c>
      <c r="B2" s="32" t="s">
        <v>428</v>
      </c>
      <c r="C2" s="32" t="s">
        <v>369</v>
      </c>
    </row>
    <row r="3" spans="1:3" x14ac:dyDescent="0.25">
      <c r="A3" s="32" t="s">
        <v>94</v>
      </c>
      <c r="B3" s="32" t="s">
        <v>367</v>
      </c>
      <c r="C3" s="32" t="s">
        <v>429</v>
      </c>
    </row>
    <row r="4" spans="1:3" x14ac:dyDescent="0.25">
      <c r="B4" s="32" t="s">
        <v>430</v>
      </c>
      <c r="C4" s="32" t="s">
        <v>431</v>
      </c>
    </row>
    <row r="5" spans="1:3" x14ac:dyDescent="0.25">
      <c r="B5" s="32"/>
      <c r="C5" s="32" t="s">
        <v>432</v>
      </c>
    </row>
    <row r="6" spans="1:3" x14ac:dyDescent="0.25">
      <c r="B6" s="32"/>
    </row>
    <row r="7" spans="1:3" x14ac:dyDescent="0.25">
      <c r="B7" s="32"/>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3.2" x14ac:dyDescent="0.25"/>
  <cols>
    <col min="1" max="1" width="21.6640625" customWidth="1"/>
  </cols>
  <sheetData>
    <row r="1" spans="1:2" x14ac:dyDescent="0.25">
      <c r="A1" t="s">
        <v>433</v>
      </c>
    </row>
    <row r="2" spans="1:2" ht="13.8" thickBot="1" x14ac:dyDescent="0.3"/>
    <row r="3" spans="1:2" ht="13.8" x14ac:dyDescent="0.25">
      <c r="A3" t="s">
        <v>434</v>
      </c>
      <c r="B3" s="19"/>
    </row>
    <row r="4" spans="1:2" ht="13.8" x14ac:dyDescent="0.25">
      <c r="A4" t="s">
        <v>435</v>
      </c>
      <c r="B4" s="292"/>
    </row>
    <row r="6" spans="1:2" x14ac:dyDescent="0.25">
      <c r="A6" t="s">
        <v>436</v>
      </c>
      <c r="B6" s="198"/>
    </row>
    <row r="7" spans="1:2" x14ac:dyDescent="0.25">
      <c r="A7" t="s">
        <v>437</v>
      </c>
      <c r="B7" s="178"/>
    </row>
    <row r="8" spans="1:2" x14ac:dyDescent="0.25">
      <c r="A8" t="s">
        <v>438</v>
      </c>
      <c r="B8" s="187"/>
    </row>
    <row r="10" spans="1:2" ht="13.8" x14ac:dyDescent="0.25">
      <c r="A10" t="s">
        <v>439</v>
      </c>
      <c r="B10" s="301"/>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42"/>
  <sheetViews>
    <sheetView topLeftCell="A38" zoomScale="80" zoomScaleNormal="80" zoomScalePageLayoutView="80" workbookViewId="0">
      <selection activeCell="A41" sqref="A41:D41"/>
    </sheetView>
  </sheetViews>
  <sheetFormatPr defaultColWidth="9.109375" defaultRowHeight="13.2" x14ac:dyDescent="0.25"/>
  <cols>
    <col min="1" max="1" width="82.44140625" style="45" customWidth="1"/>
    <col min="2" max="2" width="24.6640625" style="45" customWidth="1"/>
    <col min="3" max="3" width="29.88671875" style="45" customWidth="1"/>
    <col min="4" max="4" width="29.6640625" style="45" customWidth="1"/>
    <col min="5" max="5" width="9.33203125" style="45" hidden="1" customWidth="1"/>
    <col min="6" max="6" width="11.5546875" style="45" customWidth="1"/>
    <col min="7" max="16384" width="9.109375" style="45"/>
  </cols>
  <sheetData>
    <row r="1" spans="1:5" ht="13.5" customHeight="1" thickBot="1" x14ac:dyDescent="0.3">
      <c r="A1" s="316"/>
      <c r="B1" s="316"/>
      <c r="C1" s="316"/>
      <c r="D1" s="317"/>
    </row>
    <row r="2" spans="1:5" ht="25.5" customHeight="1" x14ac:dyDescent="0.25">
      <c r="A2" s="371" t="s">
        <v>37</v>
      </c>
      <c r="B2" s="372"/>
      <c r="C2" s="372"/>
      <c r="D2" s="373"/>
    </row>
    <row r="3" spans="1:5" ht="18" customHeight="1" x14ac:dyDescent="0.25">
      <c r="A3" s="374" t="s">
        <v>38</v>
      </c>
      <c r="B3" s="375"/>
      <c r="C3" s="375"/>
      <c r="D3" s="376"/>
    </row>
    <row r="4" spans="1:5" ht="19.5" customHeight="1" x14ac:dyDescent="0.25">
      <c r="A4" s="339" t="s">
        <v>39</v>
      </c>
      <c r="B4" s="340"/>
      <c r="C4" s="340"/>
      <c r="D4" s="341"/>
    </row>
    <row r="5" spans="1:5" ht="15" customHeight="1" x14ac:dyDescent="0.25">
      <c r="A5" s="318" t="s">
        <v>40</v>
      </c>
      <c r="B5" s="363" t="str">
        <f>IF('Summary (I, II, III) '!B5:D5="Yes","Sí","No")</f>
        <v>Sí</v>
      </c>
      <c r="C5" s="363"/>
      <c r="D5" s="364"/>
    </row>
    <row r="6" spans="1:5" ht="90" customHeight="1" x14ac:dyDescent="0.25">
      <c r="A6" s="319" t="s">
        <v>41</v>
      </c>
      <c r="B6" s="379" t="str">
        <f>'Prioridades Estrategicas'!J11</f>
        <v xml:space="preserve">-Inclusión Social e Igualdad
-Equidad de Género y Diversidad
-Cambio Climático y Sostenibilidad Ambiental
-Capacidad Institucional y Estado de Derecho
</v>
      </c>
      <c r="C6" s="379"/>
      <c r="D6" s="380"/>
    </row>
    <row r="7" spans="1:5" ht="152.25" customHeight="1" x14ac:dyDescent="0.25">
      <c r="A7" s="310" t="s">
        <v>42</v>
      </c>
      <c r="B7" s="379" t="str">
        <f>'Prioridades Estrategicas'!K18</f>
        <v xml:space="preserve">-Valor de la propiedad dentro del área de influencia del proyecto (% cambio)*
-Hogares que se benefician de soluciones de vivienda (#)*
-Hogares con acceso nuevo o mejorado a agua potable (#)*
-Hogares con acceso nuevo o mejorado a saneamiento  (#)*
-Caminos construidos o mejorados  (km)*
-Hogares con tratamiento de agua residuales (#)*
-Hogares protegidos del riesgo de inundación (#)*
-Hogares con acceso Nuevo o mejorado al suministro de electricidad (#)*
</v>
      </c>
      <c r="C7" s="379"/>
      <c r="D7" s="380"/>
    </row>
    <row r="8" spans="1:5" ht="15" customHeight="1" x14ac:dyDescent="0.25">
      <c r="A8" s="318" t="s">
        <v>43</v>
      </c>
      <c r="B8" s="363" t="str">
        <f>IF('Summary (I, II, III) '!B8:D8="Yes","Sí","No")</f>
        <v>Sí</v>
      </c>
      <c r="C8" s="363"/>
      <c r="D8" s="364"/>
    </row>
    <row r="9" spans="1:5" ht="40.5" customHeight="1" x14ac:dyDescent="0.25">
      <c r="A9" s="310" t="s">
        <v>44</v>
      </c>
      <c r="B9" s="320" t="str">
        <f>IF('DEM (Strategic Priorities)'!D80="Yes",'DEM (Strategic Priorities)'!C80,"")</f>
        <v>GN-2836</v>
      </c>
      <c r="C9" s="369" t="s">
        <v>441</v>
      </c>
      <c r="D9" s="370"/>
    </row>
    <row r="10" spans="1:5" ht="60" customHeight="1" x14ac:dyDescent="0.25">
      <c r="A10" s="310" t="s">
        <v>45</v>
      </c>
      <c r="B10" s="320" t="str">
        <f>IF('DEM (Strategic Priorities)'!D83="Yes",'DEM (Strategic Priorities)'!C83,"")</f>
        <v>GN-2915-2</v>
      </c>
      <c r="C10" s="381" t="str">
        <f>IF('DEM (Strategic Priorities)'!D83="Yes","La intervención está incluida en el Programa de Operaciones de 2018.","La intervención no está incluida en el Programa de Operaciones de 2018.")</f>
        <v>La intervención está incluida en el Programa de Operaciones de 2018.</v>
      </c>
      <c r="D10" s="382"/>
    </row>
    <row r="11" spans="1:5" ht="46.5" customHeight="1" x14ac:dyDescent="0.25">
      <c r="A11" s="310" t="s">
        <v>46</v>
      </c>
      <c r="B11" s="322"/>
      <c r="C11" s="365"/>
      <c r="D11" s="366"/>
      <c r="E11" s="45">
        <f>E14+E18+E24</f>
        <v>3</v>
      </c>
    </row>
    <row r="12" spans="1:5" ht="21" customHeight="1" x14ac:dyDescent="0.25">
      <c r="A12" s="323" t="s">
        <v>10</v>
      </c>
      <c r="B12" s="324"/>
      <c r="C12" s="325" t="str">
        <f>IF(AND(E12=1,B13&gt;=6.95),"Evaluable",IF(AND(E12=1,B13&gt;=5),"Parcialmente Evaluable","No Evaluable"))</f>
        <v>Evaluable</v>
      </c>
      <c r="D12" s="324"/>
      <c r="E12" s="100">
        <f>IF(E11&gt;=3,1,0)</f>
        <v>1</v>
      </c>
    </row>
    <row r="13" spans="1:5" ht="14.25" hidden="1" customHeight="1" x14ac:dyDescent="0.25">
      <c r="A13" s="326"/>
      <c r="B13" s="327">
        <f>AVERAGE(B14,B18,B24)</f>
        <v>8.8583333333333325</v>
      </c>
      <c r="C13" s="328"/>
      <c r="D13" s="329">
        <v>10</v>
      </c>
    </row>
    <row r="14" spans="1:5" ht="15" customHeight="1" x14ac:dyDescent="0.25">
      <c r="A14" s="318" t="s">
        <v>47</v>
      </c>
      <c r="B14" s="336">
        <f>'DEM (Evaluability)'!G11</f>
        <v>10</v>
      </c>
      <c r="C14" s="337"/>
      <c r="D14" s="338"/>
      <c r="E14" s="45">
        <f>IF(B14&gt;=5,1,0)</f>
        <v>1</v>
      </c>
    </row>
    <row r="15" spans="1:5" ht="15" customHeight="1" x14ac:dyDescent="0.25">
      <c r="A15" s="310" t="s">
        <v>48</v>
      </c>
      <c r="B15" s="1">
        <f>'DEM (Evaluability)'!G12</f>
        <v>3</v>
      </c>
      <c r="C15" s="334"/>
      <c r="D15" s="335"/>
      <c r="E15" s="48"/>
    </row>
    <row r="16" spans="1:5" ht="15" customHeight="1" x14ac:dyDescent="0.25">
      <c r="A16" s="310" t="s">
        <v>49</v>
      </c>
      <c r="B16" s="1">
        <f>'DEM (Evaluability)'!G19</f>
        <v>4</v>
      </c>
      <c r="C16" s="334"/>
      <c r="D16" s="335"/>
      <c r="E16" s="48"/>
    </row>
    <row r="17" spans="1:5" ht="15" customHeight="1" x14ac:dyDescent="0.25">
      <c r="A17" s="310" t="s">
        <v>50</v>
      </c>
      <c r="B17" s="1">
        <f>'DEM (Evaluability)'!G24</f>
        <v>3</v>
      </c>
      <c r="C17" s="334"/>
      <c r="D17" s="335"/>
      <c r="E17" s="48"/>
    </row>
    <row r="18" spans="1:5" ht="15" customHeight="1" x14ac:dyDescent="0.25">
      <c r="A18" s="318" t="s">
        <v>51</v>
      </c>
      <c r="B18" s="336">
        <f>'DEM (Evaluability)'!G38</f>
        <v>8</v>
      </c>
      <c r="C18" s="337"/>
      <c r="D18" s="338"/>
      <c r="E18" s="45">
        <f>IF(B18&gt;=5,1,0)</f>
        <v>1</v>
      </c>
    </row>
    <row r="19" spans="1:5" ht="13.8" x14ac:dyDescent="0.25">
      <c r="A19" s="310" t="s">
        <v>52</v>
      </c>
      <c r="B19" s="1">
        <f>IF('DEM (Evaluability)'!H41=1,'DEM (Evaluability)'!G42,IF('DEM (Evaluability)'!H41=2,'DEM (Evaluability)'!G49,0))</f>
        <v>3</v>
      </c>
      <c r="C19" s="334"/>
      <c r="D19" s="335"/>
    </row>
    <row r="20" spans="1:5" ht="15" customHeight="1" x14ac:dyDescent="0.25">
      <c r="A20" s="310" t="s">
        <v>53</v>
      </c>
      <c r="B20" s="1">
        <f>IF('DEM (Evaluability)'!H41=1,'DEM (Evaluability)'!G43,IF('DEM (Evaluability)'!H41=2,('DEM (Evaluability)'!G50)))</f>
        <v>3</v>
      </c>
      <c r="C20" s="334"/>
      <c r="D20" s="335"/>
    </row>
    <row r="21" spans="1:5" ht="15" customHeight="1" x14ac:dyDescent="0.25">
      <c r="A21" s="310" t="s">
        <v>54</v>
      </c>
      <c r="B21" s="1">
        <f>IF('DEM (Evaluability)'!H41=1,'DEM (Evaluability)'!G44,IF('DEM (Evaluability)'!H41=2,'DEM (Evaluability)'!G51))</f>
        <v>0</v>
      </c>
      <c r="C21" s="334"/>
      <c r="D21" s="335"/>
    </row>
    <row r="22" spans="1:5" ht="15" customHeight="1" x14ac:dyDescent="0.25">
      <c r="A22" s="310" t="s">
        <v>55</v>
      </c>
      <c r="B22" s="1">
        <f>IF('DEM (Evaluability)'!H41=1,'DEM (Evaluability)'!G45,IF('DEM (Evaluability)'!H41=2,'DEM (Evaluability)'!G52))</f>
        <v>2</v>
      </c>
      <c r="C22" s="334"/>
      <c r="D22" s="335"/>
    </row>
    <row r="23" spans="1:5" ht="15" customHeight="1" x14ac:dyDescent="0.25">
      <c r="A23" s="310" t="s">
        <v>56</v>
      </c>
      <c r="B23" s="1">
        <f>IF('DEM (Evaluability)'!H41=1,'DEM (Evaluability)'!G46,IF('DEM (Evaluability)'!H41=2,'DEM (Evaluability)'!G53))</f>
        <v>0</v>
      </c>
      <c r="C23" s="334"/>
      <c r="D23" s="335"/>
    </row>
    <row r="24" spans="1:5" ht="15" customHeight="1" x14ac:dyDescent="0.25">
      <c r="A24" s="318" t="s">
        <v>57</v>
      </c>
      <c r="B24" s="336">
        <f>'DEM (Evaluability)'!G54</f>
        <v>8.5749999999999993</v>
      </c>
      <c r="C24" s="337"/>
      <c r="D24" s="338"/>
      <c r="E24" s="45">
        <f>IF(B24&gt;=5,1,0)</f>
        <v>1</v>
      </c>
    </row>
    <row r="25" spans="1:5" ht="15" customHeight="1" x14ac:dyDescent="0.25">
      <c r="A25" s="310" t="s">
        <v>58</v>
      </c>
      <c r="B25" s="1">
        <f>'DEM (Evaluability)'!G55</f>
        <v>1.075</v>
      </c>
      <c r="C25" s="334"/>
      <c r="D25" s="335"/>
    </row>
    <row r="26" spans="1:5" ht="15" customHeight="1" x14ac:dyDescent="0.25">
      <c r="A26" s="310" t="s">
        <v>59</v>
      </c>
      <c r="B26" s="1">
        <f>'DEM (Evaluability)'!G61</f>
        <v>7.5</v>
      </c>
      <c r="C26" s="334"/>
      <c r="D26" s="335"/>
    </row>
    <row r="27" spans="1:5" ht="19.5" customHeight="1" x14ac:dyDescent="0.25">
      <c r="A27" s="339" t="s">
        <v>60</v>
      </c>
      <c r="B27" s="340"/>
      <c r="C27" s="340"/>
      <c r="D27" s="341"/>
    </row>
    <row r="28" spans="1:5" ht="15" customHeight="1" x14ac:dyDescent="0.25">
      <c r="A28" s="330" t="s">
        <v>61</v>
      </c>
      <c r="B28" s="349" t="str">
        <f>IF('Summary (I, II, III) '!B28:D28="LOW","Bajo",IF('Summary (I, II, III) '!B28:D28="MEDIUM","Medio",IF('Summary (I, II, III) '!B28:D28="HIGH","Alto","Specify risk rate on risk tab")))</f>
        <v>Medio</v>
      </c>
      <c r="C28" s="349"/>
      <c r="D28" s="350"/>
    </row>
    <row r="29" spans="1:5" ht="13.8" x14ac:dyDescent="0.25">
      <c r="A29" s="313" t="s">
        <v>62</v>
      </c>
      <c r="B29" s="355" t="str">
        <f>IF(AND('DEM ( Risk)'!D15="yes", 'DEM ( Risk)'!D16="yes"), "Sí", "")</f>
        <v>Sí</v>
      </c>
      <c r="C29" s="377"/>
      <c r="D29" s="378"/>
    </row>
    <row r="30" spans="1:5" ht="27.6" x14ac:dyDescent="0.25">
      <c r="A30" s="313" t="s">
        <v>63</v>
      </c>
      <c r="B30" s="355" t="str">
        <f>IF('DEM ( Risk)'!D18="yes", "Sí", "")</f>
        <v>Sí</v>
      </c>
      <c r="C30" s="377"/>
      <c r="D30" s="378"/>
    </row>
    <row r="31" spans="1:5" ht="27.6" x14ac:dyDescent="0.25">
      <c r="A31" s="313" t="s">
        <v>64</v>
      </c>
      <c r="B31" s="355" t="str">
        <f>IF('DEM ( Risk)'!D19="yes", "Sí", "")</f>
        <v>Sí</v>
      </c>
      <c r="C31" s="377"/>
      <c r="D31" s="378"/>
    </row>
    <row r="32" spans="1:5" ht="15" customHeight="1" x14ac:dyDescent="0.25">
      <c r="A32" s="330" t="s">
        <v>65</v>
      </c>
      <c r="B32" s="349" t="str">
        <f>'Summary (I, II, III) '!B32:D32</f>
        <v>A</v>
      </c>
      <c r="C32" s="349"/>
      <c r="D32" s="350"/>
    </row>
    <row r="33" spans="1:4" ht="19.5" customHeight="1" x14ac:dyDescent="0.25">
      <c r="A33" s="390" t="s">
        <v>66</v>
      </c>
      <c r="B33" s="391"/>
      <c r="C33" s="391"/>
      <c r="D33" s="392"/>
    </row>
    <row r="34" spans="1:4" ht="15.75" customHeight="1" x14ac:dyDescent="0.25">
      <c r="A34" s="310" t="s">
        <v>67</v>
      </c>
      <c r="B34" s="331"/>
      <c r="C34" s="384"/>
      <c r="D34" s="385"/>
    </row>
    <row r="35" spans="1:4" ht="114" customHeight="1" x14ac:dyDescent="0.25">
      <c r="A35" s="332" t="s">
        <v>68</v>
      </c>
      <c r="B35" s="333" t="str">
        <f>IF('DEM (Additionality)'!E13="yes", "Sí", "")</f>
        <v>Sí</v>
      </c>
      <c r="C35" s="393" t="str">
        <f>Adicionalidad!M14</f>
        <v>Administración financiera: Presupuesto, Tesorería, Contabilidad y emisión de informes, Controles externos, Auditoría interna.
Adquisiciones y contrataciones: Sistema de información, Método de comparación de precios, Contratación de consultor individual, Licitación pública nacional.</v>
      </c>
      <c r="D35" s="394"/>
    </row>
    <row r="36" spans="1:4" ht="70.95" customHeight="1" x14ac:dyDescent="0.25">
      <c r="A36" s="332" t="s">
        <v>69</v>
      </c>
      <c r="B36" s="333" t="str">
        <f>IF('DEM (Additionality)'!E27="yes", "Sí", "")</f>
        <v>Sí</v>
      </c>
      <c r="C36" s="386" t="str">
        <f>Adicionalidad!L28</f>
        <v>Sistema Nacional de Planeación Estratégica, Sistema Nacional de Monitoreo y Evaluación.</v>
      </c>
      <c r="D36" s="387"/>
    </row>
    <row r="37" spans="1:4" ht="44.25" customHeight="1" x14ac:dyDescent="0.25">
      <c r="A37" s="310" t="s">
        <v>70</v>
      </c>
      <c r="B37" s="331"/>
      <c r="C37" s="386"/>
      <c r="D37" s="387"/>
    </row>
    <row r="38" spans="1:4" ht="80.400000000000006" customHeight="1" thickBot="1" x14ac:dyDescent="0.3">
      <c r="A38" s="310" t="s">
        <v>71</v>
      </c>
      <c r="B38" s="333" t="str">
        <f>IF('DEM (Additionality)'!E35="yes", "Sí", "")</f>
        <v>Sí</v>
      </c>
      <c r="C38" s="388">
        <f>IF('DEM (Additionality)'!E35="Yes",'DEM (Additionality)'!C35,"")</f>
        <v>0</v>
      </c>
      <c r="D38" s="389"/>
    </row>
    <row r="39" spans="1:4" ht="24.75" customHeight="1" x14ac:dyDescent="0.25">
      <c r="A39" s="395" t="s">
        <v>72</v>
      </c>
      <c r="B39" s="395"/>
      <c r="C39" s="395"/>
      <c r="D39" s="395"/>
    </row>
    <row r="40" spans="1:4" ht="13.8" x14ac:dyDescent="0.25">
      <c r="A40" s="16"/>
      <c r="B40" s="315"/>
      <c r="C40" s="315"/>
      <c r="D40" s="317"/>
    </row>
    <row r="41" spans="1:4" ht="409.6" customHeight="1" x14ac:dyDescent="0.25">
      <c r="A41" s="342" t="s">
        <v>444</v>
      </c>
      <c r="B41" s="343"/>
      <c r="C41" s="343"/>
      <c r="D41" s="343"/>
    </row>
    <row r="42" spans="1:4" x14ac:dyDescent="0.25">
      <c r="A42" s="383"/>
      <c r="B42" s="383"/>
      <c r="C42" s="383"/>
      <c r="D42" s="383"/>
    </row>
  </sheetData>
  <sheetProtection algorithmName="SHA-512" hashValue="ZDgawyNTXQudxC40hqxeDXFWZ57+qbt0y1je6uQzM4NgPj0oBjPombC7ZeqqjiIUTtunNVEd3UTKFsVq7Idt/g==" saltValue="1MjOIEciotF3Q1ZBNGk9Ig==" spinCount="100000" sheet="1" objects="1" scenarios="1"/>
  <mergeCells count="38">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rintOptions horizontalCentered="1"/>
  <pageMargins left="0.7" right="0.7" top="0.75" bottom="0.75" header="0.3" footer="0.3"/>
  <pageSetup scale="44" orientation="portrait" r:id="rId1"/>
  <headerFooter>
    <oddHeader>&amp;RAnexo I - UR-L1146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pageSetUpPr fitToPage="1"/>
  </sheetPr>
  <dimension ref="A1:E36"/>
  <sheetViews>
    <sheetView zoomScale="80" zoomScaleNormal="80" zoomScalePageLayoutView="80" workbookViewId="0">
      <selection activeCell="B14" sqref="B14:D14"/>
    </sheetView>
  </sheetViews>
  <sheetFormatPr defaultColWidth="9.109375" defaultRowHeight="13.2" x14ac:dyDescent="0.25"/>
  <cols>
    <col min="1" max="1" width="84.5546875" style="45" customWidth="1"/>
    <col min="2" max="2" width="24.6640625" style="45" customWidth="1"/>
    <col min="3" max="3" width="29.44140625" style="45" customWidth="1"/>
    <col min="4" max="4" width="29.109375" style="45" customWidth="1"/>
    <col min="5" max="5" width="5.88671875" style="45" hidden="1" customWidth="1"/>
    <col min="6" max="16384" width="9.109375" style="45"/>
  </cols>
  <sheetData>
    <row r="1" spans="1:5" ht="13.5" customHeight="1" thickBot="1" x14ac:dyDescent="0.3">
      <c r="A1" s="8"/>
      <c r="B1" s="8"/>
      <c r="C1" s="8"/>
    </row>
    <row r="2" spans="1:5" ht="25.5" customHeight="1" x14ac:dyDescent="0.25">
      <c r="A2" s="434" t="s">
        <v>0</v>
      </c>
      <c r="B2" s="435"/>
      <c r="C2" s="435"/>
      <c r="D2" s="436"/>
    </row>
    <row r="3" spans="1:5" ht="18" customHeight="1" x14ac:dyDescent="0.25">
      <c r="A3" s="437" t="s">
        <v>1</v>
      </c>
      <c r="B3" s="438"/>
      <c r="C3" s="438"/>
      <c r="D3" s="439"/>
    </row>
    <row r="4" spans="1:5" ht="15" customHeight="1" x14ac:dyDescent="0.25">
      <c r="A4" s="407" t="s">
        <v>2</v>
      </c>
      <c r="B4" s="408"/>
      <c r="C4" s="408"/>
      <c r="D4" s="409"/>
    </row>
    <row r="5" spans="1:5" ht="18" customHeight="1" x14ac:dyDescent="0.25">
      <c r="A5" s="156" t="s">
        <v>3</v>
      </c>
      <c r="B5" s="423" t="str">
        <f>IF(OR(B6&lt;&gt;"",B7&lt;&gt;""),"Yes","No")</f>
        <v>Yes</v>
      </c>
      <c r="C5" s="423"/>
      <c r="D5" s="424"/>
    </row>
    <row r="6" spans="1:5" ht="120" customHeight="1" x14ac:dyDescent="0.25">
      <c r="A6" s="157" t="s">
        <v>4</v>
      </c>
      <c r="B6" s="431" t="str">
        <f>'DEM (Strategic Priorities)'!J11</f>
        <v xml:space="preserve">-Social Inclusion and Equality
-Gender Equality and Diversity
-Climate Change and Environmental Sustainability
-Institutional Capacity and the Rule of Law
</v>
      </c>
      <c r="C6" s="432"/>
      <c r="D6" s="433"/>
    </row>
    <row r="7" spans="1:5" ht="120" customHeight="1" x14ac:dyDescent="0.25">
      <c r="A7" s="158" t="s">
        <v>5</v>
      </c>
      <c r="B7" s="431" t="str">
        <f>'DEM (Strategic Priorities)'!K20</f>
        <v xml:space="preserve">-Property value within project area of influence (% change)*
-Households benefitting from housing solutions (#)*
-Households with new or upgraded access to drinking water (#)*
-Households with new or upgraded access to sanitation (#)*
-Roads built or upgraded  (km)*
-Households with wastewater treatment (#)*
-Households protected from flood risk  (#)*
-Households with new or improved access to electricity supply  (#)*
</v>
      </c>
      <c r="C7" s="432"/>
      <c r="D7" s="433"/>
    </row>
    <row r="8" spans="1:5" ht="15" customHeight="1" x14ac:dyDescent="0.25">
      <c r="A8" s="156" t="s">
        <v>6</v>
      </c>
      <c r="B8" s="423" t="str">
        <f>IF(OR('DEM (Strategic Priorities)'!$D$80="Yes",'DEM (Strategic Priorities)'!D83="Yes"),"Yes","No")</f>
        <v>Yes</v>
      </c>
      <c r="C8" s="423"/>
      <c r="D8" s="424"/>
    </row>
    <row r="9" spans="1:5" ht="60" customHeight="1" x14ac:dyDescent="0.25">
      <c r="A9" s="158" t="s">
        <v>7</v>
      </c>
      <c r="B9" s="159" t="str">
        <f>IF('DEM (Strategic Priorities)'!D80="Yes",'DEM (Strategic Priorities)'!C80,"")</f>
        <v>GN-2836</v>
      </c>
      <c r="C9" s="425" t="str">
        <f>IF('DEM (Strategic Priorities)'!D80="Yes",'DEM (Strategic Priorities)'!C81,"")</f>
        <v xml:space="preserve">objetivo estratégico II </v>
      </c>
      <c r="D9" s="426"/>
    </row>
    <row r="10" spans="1:5" ht="60" customHeight="1" x14ac:dyDescent="0.25">
      <c r="A10" s="158" t="s">
        <v>8</v>
      </c>
      <c r="B10" s="159" t="str">
        <f>IF('DEM (Strategic Priorities)'!D83="Yes",'DEM (Strategic Priorities)'!C83," ")</f>
        <v>GN-2915-2</v>
      </c>
      <c r="C10" s="427" t="str">
        <f>IF('DEM (Strategic Priorities)'!D83="Yes","The intervention is included in the 2018 Operational Program.","The intervention is not included in the 2018 Operational Program.")</f>
        <v>The intervention is included in the 2018 Operational Program.</v>
      </c>
      <c r="D10" s="428"/>
    </row>
    <row r="11" spans="1:5" ht="60" customHeight="1" x14ac:dyDescent="0.25">
      <c r="A11" s="160" t="s">
        <v>9</v>
      </c>
      <c r="B11" s="161"/>
      <c r="C11" s="429" t="str">
        <f>IF('DEM (Strategic Priorities)'!D85="Yes",'DEM (Strategic Priorities)'!C85,"")</f>
        <v>Ver Parrafo 1.18</v>
      </c>
      <c r="D11" s="430"/>
      <c r="E11" s="45">
        <f>SUM(E14+E19)</f>
        <v>2</v>
      </c>
    </row>
    <row r="12" spans="1:5" ht="15.6" x14ac:dyDescent="0.25">
      <c r="A12" s="162" t="s">
        <v>10</v>
      </c>
      <c r="B12" s="99"/>
      <c r="C12" s="137" t="str">
        <f>IF(AND(E12=1,C13&gt;=6.95),"Evaluable",IF(AND(E12=1,C13&gt;=5),"Partially Evaluable","Not Evaluable"))</f>
        <v>Evaluable</v>
      </c>
      <c r="D12" s="99"/>
      <c r="E12" s="100">
        <f>IF(E11&gt;=2,1,0)</f>
        <v>1</v>
      </c>
    </row>
    <row r="13" spans="1:5" hidden="1" x14ac:dyDescent="0.25">
      <c r="A13" s="163"/>
      <c r="B13" s="171"/>
      <c r="C13" s="164">
        <f>AVERAGE(B14,B19)</f>
        <v>9.2874999999999996</v>
      </c>
      <c r="D13" s="165">
        <v>10</v>
      </c>
    </row>
    <row r="14" spans="1:5" ht="15" customHeight="1" x14ac:dyDescent="0.25">
      <c r="A14" s="156" t="s">
        <v>11</v>
      </c>
      <c r="B14" s="410">
        <f>'DEM (Evaluability)'!G11</f>
        <v>10</v>
      </c>
      <c r="C14" s="411"/>
      <c r="D14" s="412"/>
      <c r="E14" s="45">
        <f>IF(B14&gt;=5,1,0)</f>
        <v>1</v>
      </c>
    </row>
    <row r="15" spans="1:5" ht="15" customHeight="1" x14ac:dyDescent="0.25">
      <c r="A15" s="158" t="s">
        <v>12</v>
      </c>
      <c r="B15" s="413">
        <f>'DEM (Evaluability)'!G12</f>
        <v>3</v>
      </c>
      <c r="C15" s="414"/>
      <c r="D15" s="415"/>
    </row>
    <row r="16" spans="1:5" ht="15" customHeight="1" x14ac:dyDescent="0.25">
      <c r="A16" s="158" t="s">
        <v>13</v>
      </c>
      <c r="B16" s="413">
        <f>'DEM (Evaluability)'!G19</f>
        <v>4</v>
      </c>
      <c r="C16" s="414"/>
      <c r="D16" s="415"/>
    </row>
    <row r="17" spans="1:5" ht="15" customHeight="1" x14ac:dyDescent="0.25">
      <c r="A17" s="158" t="s">
        <v>14</v>
      </c>
      <c r="B17" s="413">
        <f>'DEM (Evaluability)'!G24</f>
        <v>3</v>
      </c>
      <c r="C17" s="414"/>
      <c r="D17" s="415"/>
    </row>
    <row r="18" spans="1:5" ht="15" customHeight="1" x14ac:dyDescent="0.25">
      <c r="A18" s="156" t="s">
        <v>15</v>
      </c>
      <c r="B18" s="410" t="s">
        <v>73</v>
      </c>
      <c r="C18" s="411"/>
      <c r="D18" s="412"/>
    </row>
    <row r="19" spans="1:5" ht="15" customHeight="1" x14ac:dyDescent="0.25">
      <c r="A19" s="156" t="s">
        <v>21</v>
      </c>
      <c r="B19" s="410">
        <f>'DEM (Evaluability)'!G54</f>
        <v>8.5749999999999993</v>
      </c>
      <c r="C19" s="411"/>
      <c r="D19" s="412"/>
      <c r="E19" s="45">
        <f>IF(B19&gt;=5,1,0)</f>
        <v>1</v>
      </c>
    </row>
    <row r="20" spans="1:5" ht="15" customHeight="1" x14ac:dyDescent="0.25">
      <c r="A20" s="158" t="s">
        <v>22</v>
      </c>
      <c r="B20" s="413">
        <f>'DEM (Evaluability)'!G55</f>
        <v>1.075</v>
      </c>
      <c r="C20" s="414"/>
      <c r="D20" s="415"/>
    </row>
    <row r="21" spans="1:5" ht="15" customHeight="1" x14ac:dyDescent="0.25">
      <c r="A21" s="158" t="s">
        <v>23</v>
      </c>
      <c r="B21" s="413">
        <f>'DEM (Evaluability)'!G61</f>
        <v>7.5</v>
      </c>
      <c r="C21" s="414"/>
      <c r="D21" s="415"/>
    </row>
    <row r="22" spans="1:5" ht="15" customHeight="1" x14ac:dyDescent="0.25">
      <c r="A22" s="407" t="s">
        <v>24</v>
      </c>
      <c r="B22" s="408"/>
      <c r="C22" s="408"/>
      <c r="D22" s="409"/>
    </row>
    <row r="23" spans="1:5" ht="15" customHeight="1" x14ac:dyDescent="0.25">
      <c r="A23" s="166" t="s">
        <v>25</v>
      </c>
      <c r="B23" s="416" t="str">
        <f>IF('DEM ( Risk)'!D12&lt;&gt;"",'DEM ( Risk)'!D12,"Specify risk rate on risk tab")</f>
        <v>Medium</v>
      </c>
      <c r="C23" s="416"/>
      <c r="D23" s="417"/>
    </row>
    <row r="24" spans="1:5" ht="15" customHeight="1" x14ac:dyDescent="0.25">
      <c r="A24" s="167" t="s">
        <v>26</v>
      </c>
      <c r="B24" s="418" t="str">
        <f>IF(AND('DEM ( Risk)'!D15="yes", 'DEM ( Risk)'!D16="yes"), "Yes", "")</f>
        <v>Yes</v>
      </c>
      <c r="C24" s="418"/>
      <c r="D24" s="419"/>
    </row>
    <row r="25" spans="1:5" ht="15" customHeight="1" x14ac:dyDescent="0.25">
      <c r="A25" s="167" t="s">
        <v>27</v>
      </c>
      <c r="B25" s="420" t="str">
        <f>IF('DEM ( Risk)'!D18="yes", "Yes", "")</f>
        <v>Yes</v>
      </c>
      <c r="C25" s="421"/>
      <c r="D25" s="422"/>
    </row>
    <row r="26" spans="1:5" ht="15" customHeight="1" x14ac:dyDescent="0.25">
      <c r="A26" s="167" t="s">
        <v>28</v>
      </c>
      <c r="B26" s="420" t="str">
        <f>IF('DEM ( Risk)'!D19="yes", "Yes", "")</f>
        <v>Yes</v>
      </c>
      <c r="C26" s="421"/>
      <c r="D26" s="422"/>
    </row>
    <row r="27" spans="1:5" ht="15" customHeight="1" x14ac:dyDescent="0.25">
      <c r="A27" s="166" t="s">
        <v>29</v>
      </c>
      <c r="B27" s="416" t="str">
        <f>IF('DEM ( Risk)'!D13&lt;&gt;"",'DEM ( Risk)'!D13,"Specify risk classification on risk tab")</f>
        <v>A</v>
      </c>
      <c r="C27" s="416"/>
      <c r="D27" s="417"/>
    </row>
    <row r="28" spans="1:5" ht="15" customHeight="1" x14ac:dyDescent="0.25">
      <c r="A28" s="407" t="s">
        <v>30</v>
      </c>
      <c r="B28" s="408"/>
      <c r="C28" s="408"/>
      <c r="D28" s="409"/>
    </row>
    <row r="29" spans="1:5" ht="15" customHeight="1" x14ac:dyDescent="0.25">
      <c r="A29" s="158" t="s">
        <v>31</v>
      </c>
      <c r="B29" s="168"/>
      <c r="C29" s="399"/>
      <c r="D29" s="400"/>
    </row>
    <row r="30" spans="1:5" ht="70.2" customHeight="1" x14ac:dyDescent="0.25">
      <c r="A30" s="169" t="s">
        <v>32</v>
      </c>
      <c r="B30" s="170" t="str">
        <f>IF('DEM (Additionality)'!E14="Yes","Yes","")</f>
        <v>Yes</v>
      </c>
      <c r="C30" s="401" t="str">
        <f>'DEM (Additionality)'!N14</f>
        <v>Financial Management: Budget, Treasury, Accounting and Reporting, External Control, Internal Audit.
Procurement: nformation System, parison, ontracting Individual Consultant, ational Public Bidding.</v>
      </c>
      <c r="D30" s="402"/>
    </row>
    <row r="31" spans="1:5" ht="70.2" customHeight="1" x14ac:dyDescent="0.25">
      <c r="A31" s="169" t="s">
        <v>33</v>
      </c>
      <c r="B31" s="170" t="str">
        <f>IF('DEM (Additionality)'!E27="yes", "Yes","")</f>
        <v>Yes</v>
      </c>
      <c r="C31" s="401" t="str">
        <f>'DEM (Additionality)'!M28</f>
        <v>Strategic Planning National System, Monitoring and Evaluation National System.</v>
      </c>
      <c r="D31" s="402"/>
    </row>
    <row r="32" spans="1:5" ht="44.25" customHeight="1" x14ac:dyDescent="0.25">
      <c r="A32" s="158" t="s">
        <v>34</v>
      </c>
      <c r="B32" s="168"/>
      <c r="C32" s="403"/>
      <c r="D32" s="404"/>
    </row>
    <row r="33" spans="1:4" ht="80.400000000000006" customHeight="1" x14ac:dyDescent="0.25">
      <c r="A33" s="158" t="s">
        <v>35</v>
      </c>
      <c r="B33" s="170" t="str">
        <f>IF('DEM (Additionality)'!E35="yes", "Yes","")</f>
        <v>Yes</v>
      </c>
      <c r="C33" s="405"/>
      <c r="D33" s="406"/>
    </row>
    <row r="34" spans="1:4" ht="25.5" customHeight="1" x14ac:dyDescent="0.25">
      <c r="A34" s="396" t="s">
        <v>36</v>
      </c>
      <c r="B34" s="396"/>
      <c r="C34" s="396"/>
      <c r="D34" s="396"/>
    </row>
    <row r="35" spans="1:4" ht="13.5" customHeight="1" x14ac:dyDescent="0.25">
      <c r="A35" s="396"/>
      <c r="B35" s="396"/>
      <c r="C35" s="396"/>
      <c r="D35" s="396"/>
    </row>
    <row r="36" spans="1:4" ht="300" customHeight="1" x14ac:dyDescent="0.25">
      <c r="A36" s="397" t="s">
        <v>74</v>
      </c>
      <c r="B36" s="398"/>
      <c r="C36" s="398"/>
      <c r="D36" s="398"/>
    </row>
  </sheetData>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pageSetUpPr fitToPage="1"/>
  </sheetPr>
  <dimension ref="A1:E37"/>
  <sheetViews>
    <sheetView zoomScale="80" zoomScaleNormal="80" zoomScalePageLayoutView="80" workbookViewId="0">
      <selection activeCell="B9" sqref="B9"/>
    </sheetView>
  </sheetViews>
  <sheetFormatPr defaultColWidth="9.109375" defaultRowHeight="13.2" x14ac:dyDescent="0.25"/>
  <cols>
    <col min="1" max="1" width="82.44140625" style="45" customWidth="1"/>
    <col min="2" max="2" width="24.6640625" style="45" customWidth="1"/>
    <col min="3" max="3" width="29.88671875" style="45" customWidth="1"/>
    <col min="4" max="4" width="29.6640625" style="45" customWidth="1"/>
    <col min="5" max="5" width="4.88671875" style="45" hidden="1" customWidth="1"/>
    <col min="6" max="6" width="11.5546875" style="45" customWidth="1"/>
    <col min="7" max="16384" width="9.109375" style="45"/>
  </cols>
  <sheetData>
    <row r="1" spans="1:5" ht="13.5" customHeight="1" thickBot="1" x14ac:dyDescent="0.3">
      <c r="A1" s="8"/>
      <c r="B1" s="8"/>
      <c r="C1" s="8"/>
    </row>
    <row r="2" spans="1:5" ht="25.5" customHeight="1" x14ac:dyDescent="0.25">
      <c r="A2" s="434" t="s">
        <v>37</v>
      </c>
      <c r="B2" s="435"/>
      <c r="C2" s="435"/>
      <c r="D2" s="436"/>
    </row>
    <row r="3" spans="1:5" ht="18" customHeight="1" x14ac:dyDescent="0.25">
      <c r="A3" s="437" t="s">
        <v>38</v>
      </c>
      <c r="B3" s="438"/>
      <c r="C3" s="438"/>
      <c r="D3" s="439"/>
    </row>
    <row r="4" spans="1:5" ht="19.5" customHeight="1" x14ac:dyDescent="0.25">
      <c r="A4" s="407" t="s">
        <v>39</v>
      </c>
      <c r="B4" s="408"/>
      <c r="C4" s="408"/>
      <c r="D4" s="409"/>
    </row>
    <row r="5" spans="1:5" ht="15" customHeight="1" x14ac:dyDescent="0.25">
      <c r="A5" s="156" t="s">
        <v>40</v>
      </c>
      <c r="B5" s="423" t="str">
        <f>IF('Summary (I, II, III) '!B5:D5="Yes","Sí","No")</f>
        <v>Sí</v>
      </c>
      <c r="C5" s="423"/>
      <c r="D5" s="424"/>
    </row>
    <row r="6" spans="1:5" ht="120" customHeight="1" x14ac:dyDescent="0.25">
      <c r="A6" s="157" t="s">
        <v>41</v>
      </c>
      <c r="B6" s="456" t="str">
        <f>'Prioridades Estrategicas'!J11</f>
        <v xml:space="preserve">-Inclusión Social e Igualdad
-Equidad de Género y Diversidad
-Cambio Climático y Sostenibilidad Ambiental
-Capacidad Institucional y Estado de Derecho
</v>
      </c>
      <c r="C6" s="456"/>
      <c r="D6" s="457"/>
    </row>
    <row r="7" spans="1:5" ht="120" customHeight="1" x14ac:dyDescent="0.25">
      <c r="A7" s="158" t="s">
        <v>42</v>
      </c>
      <c r="B7" s="456" t="str">
        <f>'Prioridades Estrategicas'!K18</f>
        <v xml:space="preserve">-Valor de la propiedad dentro del área de influencia del proyecto (% cambio)*
-Hogares que se benefician de soluciones de vivienda (#)*
-Hogares con acceso nuevo o mejorado a agua potable (#)*
-Hogares con acceso nuevo o mejorado a saneamiento  (#)*
-Caminos construidos o mejorados  (km)*
-Hogares con tratamiento de agua residuales (#)*
-Hogares protegidos del riesgo de inundación (#)*
-Hogares con acceso Nuevo o mejorado al suministro de electricidad (#)*
</v>
      </c>
      <c r="C7" s="456"/>
      <c r="D7" s="457"/>
    </row>
    <row r="8" spans="1:5" ht="15" customHeight="1" x14ac:dyDescent="0.25">
      <c r="A8" s="156" t="s">
        <v>43</v>
      </c>
      <c r="B8" s="423" t="str">
        <f>IF('Summary (I, II, III) '!B8:D8="Yes","Sí","No")</f>
        <v>Sí</v>
      </c>
      <c r="C8" s="423"/>
      <c r="D8" s="424"/>
    </row>
    <row r="9" spans="1:5" ht="60" customHeight="1" x14ac:dyDescent="0.25">
      <c r="A9" s="158" t="s">
        <v>44</v>
      </c>
      <c r="B9" s="159" t="str">
        <f>IF('DEM (Strategic Priorities)'!D80="Yes",'DEM (Strategic Priorities)'!C80,"")</f>
        <v>GN-2836</v>
      </c>
      <c r="C9" s="429" t="str">
        <f>IF('DEM (Strategic Priorities)'!D80="Yes",'DEM (Strategic Priorities)'!C81,"")</f>
        <v xml:space="preserve">objetivo estratégico II </v>
      </c>
      <c r="D9" s="430"/>
    </row>
    <row r="10" spans="1:5" ht="60" customHeight="1" x14ac:dyDescent="0.25">
      <c r="A10" s="158" t="s">
        <v>45</v>
      </c>
      <c r="B10" s="159" t="str">
        <f>IF('DEM (Strategic Priorities)'!D83="Yes",'DEM (Strategic Priorities)'!C83,"")</f>
        <v>GN-2915-2</v>
      </c>
      <c r="C10" s="454" t="str">
        <f>IF('DEM (Strategic Priorities)'!D83="Yes","La intervención está incluida en el Programa de Operaciones de 2018.","La intervención no está incluida en el Programa de Operaciones de 2018.")</f>
        <v>La intervención está incluida en el Programa de Operaciones de 2018.</v>
      </c>
      <c r="D10" s="455"/>
    </row>
    <row r="11" spans="1:5" ht="60" customHeight="1" x14ac:dyDescent="0.25">
      <c r="A11" s="158" t="s">
        <v>46</v>
      </c>
      <c r="B11" s="161"/>
      <c r="C11" s="425" t="str">
        <f>IF('DEM (Strategic Priorities)'!D85="Yes",'DEM (Strategic Priorities)'!C85,"")</f>
        <v>Ver Parrafo 1.18</v>
      </c>
      <c r="D11" s="426"/>
      <c r="E11" s="45">
        <f>E14+E18+E19</f>
        <v>2</v>
      </c>
    </row>
    <row r="12" spans="1:5" ht="22.5" customHeight="1" x14ac:dyDescent="0.25">
      <c r="A12" s="162" t="s">
        <v>10</v>
      </c>
      <c r="B12" s="99"/>
      <c r="C12" s="137" t="str">
        <f>IF(AND(E12=1,C13&gt;=6.95),"Evaluable",IF(AND(E12=1,C13&gt;=5),"Parcialmente Evaluable","No Evaluable"))</f>
        <v>Evaluable</v>
      </c>
      <c r="D12" s="99"/>
      <c r="E12" s="100">
        <f>IF(E11&gt;=2,1,0)</f>
        <v>1</v>
      </c>
    </row>
    <row r="13" spans="1:5" ht="14.25" hidden="1" customHeight="1" x14ac:dyDescent="0.25">
      <c r="A13" s="163"/>
      <c r="B13" s="171"/>
      <c r="C13" s="164">
        <f>AVERAGE(B14,B19)</f>
        <v>9.2874999999999996</v>
      </c>
      <c r="D13" s="165">
        <v>10</v>
      </c>
    </row>
    <row r="14" spans="1:5" ht="15" customHeight="1" x14ac:dyDescent="0.25">
      <c r="A14" s="156" t="s">
        <v>47</v>
      </c>
      <c r="B14" s="410">
        <f>'DEM (Evaluability)'!G11</f>
        <v>10</v>
      </c>
      <c r="C14" s="411"/>
      <c r="D14" s="412"/>
      <c r="E14" s="45">
        <f>IF(B14&gt;=5,1,0)</f>
        <v>1</v>
      </c>
    </row>
    <row r="15" spans="1:5" ht="15" customHeight="1" x14ac:dyDescent="0.25">
      <c r="A15" s="158" t="s">
        <v>48</v>
      </c>
      <c r="B15" s="413">
        <f>'DEM (Evaluability)'!G12</f>
        <v>3</v>
      </c>
      <c r="C15" s="414"/>
      <c r="D15" s="415"/>
      <c r="E15" s="48"/>
    </row>
    <row r="16" spans="1:5" ht="15" customHeight="1" x14ac:dyDescent="0.25">
      <c r="A16" s="158" t="s">
        <v>49</v>
      </c>
      <c r="B16" s="413">
        <f>'DEM (Evaluability)'!G19</f>
        <v>4</v>
      </c>
      <c r="C16" s="414"/>
      <c r="D16" s="415"/>
      <c r="E16" s="48"/>
    </row>
    <row r="17" spans="1:5" ht="15" customHeight="1" x14ac:dyDescent="0.25">
      <c r="A17" s="158" t="s">
        <v>50</v>
      </c>
      <c r="B17" s="413">
        <f>'DEM (Evaluability)'!G24</f>
        <v>3</v>
      </c>
      <c r="C17" s="414"/>
      <c r="D17" s="415"/>
      <c r="E17" s="48"/>
    </row>
    <row r="18" spans="1:5" ht="15" customHeight="1" x14ac:dyDescent="0.25">
      <c r="A18" s="156" t="s">
        <v>51</v>
      </c>
      <c r="B18" s="410" t="s">
        <v>73</v>
      </c>
      <c r="C18" s="411"/>
      <c r="D18" s="412"/>
    </row>
    <row r="19" spans="1:5" ht="15" customHeight="1" x14ac:dyDescent="0.25">
      <c r="A19" s="156" t="s">
        <v>57</v>
      </c>
      <c r="B19" s="410">
        <f>'DEM (Evaluability)'!G54</f>
        <v>8.5749999999999993</v>
      </c>
      <c r="C19" s="411"/>
      <c r="D19" s="412"/>
      <c r="E19" s="45">
        <f>IF(B19&gt;=5,1,0)</f>
        <v>1</v>
      </c>
    </row>
    <row r="20" spans="1:5" ht="15" customHeight="1" x14ac:dyDescent="0.25">
      <c r="A20" s="158" t="s">
        <v>58</v>
      </c>
      <c r="B20" s="413">
        <f>'DEM (Evaluability)'!G55</f>
        <v>1.075</v>
      </c>
      <c r="C20" s="414"/>
      <c r="D20" s="415"/>
    </row>
    <row r="21" spans="1:5" ht="15" customHeight="1" x14ac:dyDescent="0.25">
      <c r="A21" s="158" t="s">
        <v>59</v>
      </c>
      <c r="B21" s="413">
        <f>'DEM (Evaluability)'!G61</f>
        <v>7.5</v>
      </c>
      <c r="C21" s="414"/>
      <c r="D21" s="415"/>
    </row>
    <row r="22" spans="1:5" ht="19.5" customHeight="1" x14ac:dyDescent="0.25">
      <c r="A22" s="407" t="s">
        <v>60</v>
      </c>
      <c r="B22" s="408"/>
      <c r="C22" s="408"/>
      <c r="D22" s="409"/>
    </row>
    <row r="23" spans="1:5" ht="15" customHeight="1" x14ac:dyDescent="0.25">
      <c r="A23" s="166" t="s">
        <v>61</v>
      </c>
      <c r="B23" s="416" t="str">
        <f>IF('Summary (I, II, III) '!B28:D28="LOW","Bajo",IF('Summary (I, II, III) '!B28:D28="MEDIUM","Medio",IF('Summary (I, II, III) '!B28:D28="HIGH","Alto","Specify risk rate on risk tab")))</f>
        <v>Medio</v>
      </c>
      <c r="C23" s="416"/>
      <c r="D23" s="417"/>
    </row>
    <row r="24" spans="1:5" x14ac:dyDescent="0.25">
      <c r="A24" s="167" t="s">
        <v>62</v>
      </c>
      <c r="B24" s="420" t="str">
        <f>IF(AND('DEM ( Risk)'!D15="yes", 'DEM ( Risk)'!D16="yes"), "Sí", "")</f>
        <v>Sí</v>
      </c>
      <c r="C24" s="452"/>
      <c r="D24" s="453"/>
    </row>
    <row r="25" spans="1:5" x14ac:dyDescent="0.25">
      <c r="A25" s="167" t="s">
        <v>63</v>
      </c>
      <c r="B25" s="420" t="str">
        <f>IF('DEM ( Risk)'!D18="yes", "Sí", "")</f>
        <v>Sí</v>
      </c>
      <c r="C25" s="452"/>
      <c r="D25" s="453"/>
    </row>
    <row r="26" spans="1:5" x14ac:dyDescent="0.25">
      <c r="A26" s="167" t="s">
        <v>64</v>
      </c>
      <c r="B26" s="420" t="str">
        <f>IF('DEM ( Risk)'!D19="yes", "Sí", "")</f>
        <v>Sí</v>
      </c>
      <c r="C26" s="452"/>
      <c r="D26" s="453"/>
    </row>
    <row r="27" spans="1:5" ht="15" customHeight="1" x14ac:dyDescent="0.25">
      <c r="A27" s="166" t="s">
        <v>65</v>
      </c>
      <c r="B27" s="416" t="str">
        <f>'Summary (I, II, III) '!B32:D32</f>
        <v>A</v>
      </c>
      <c r="C27" s="416"/>
      <c r="D27" s="417"/>
    </row>
    <row r="28" spans="1:5" ht="19.5" customHeight="1" x14ac:dyDescent="0.25">
      <c r="A28" s="449" t="s">
        <v>66</v>
      </c>
      <c r="B28" s="450"/>
      <c r="C28" s="450"/>
      <c r="D28" s="451"/>
    </row>
    <row r="29" spans="1:5" ht="15.75" customHeight="1" x14ac:dyDescent="0.25">
      <c r="A29" s="158" t="s">
        <v>67</v>
      </c>
      <c r="B29" s="168"/>
      <c r="C29" s="440"/>
      <c r="D29" s="441"/>
    </row>
    <row r="30" spans="1:5" ht="70.95" customHeight="1" x14ac:dyDescent="0.25">
      <c r="A30" s="169" t="s">
        <v>68</v>
      </c>
      <c r="B30" s="170" t="str">
        <f>IF('DEM (Additionality)'!E13="yes", "Sí", "")</f>
        <v>Sí</v>
      </c>
      <c r="C30" s="442" t="str">
        <f>Adicionalidad!M14</f>
        <v>Administración financiera: Presupuesto, Tesorería, Contabilidad y emisión de informes, Controles externos, Auditoría interna.
Adquisiciones y contrataciones: Sistema de información, Método de comparación de precios, Contratación de consultor individual, Licitación pública nacional.</v>
      </c>
      <c r="D30" s="443"/>
    </row>
    <row r="31" spans="1:5" ht="70.95" customHeight="1" x14ac:dyDescent="0.25">
      <c r="A31" s="169" t="s">
        <v>69</v>
      </c>
      <c r="B31" s="170" t="str">
        <f>IF('DEM (Additionality)'!E27="yes", "Sí", "")</f>
        <v>Sí</v>
      </c>
      <c r="C31" s="444" t="str">
        <f>Adicionalidad!L28</f>
        <v>Sistema Nacional de Planeación Estratégica, Sistema Nacional de Monitoreo y Evaluación.</v>
      </c>
      <c r="D31" s="445"/>
    </row>
    <row r="32" spans="1:5" ht="44.25" customHeight="1" x14ac:dyDescent="0.25">
      <c r="A32" s="158" t="s">
        <v>70</v>
      </c>
      <c r="B32" s="168"/>
      <c r="C32" s="444"/>
      <c r="D32" s="445"/>
    </row>
    <row r="33" spans="1:4" ht="80.400000000000006" customHeight="1" thickBot="1" x14ac:dyDescent="0.3">
      <c r="A33" s="158" t="s">
        <v>71</v>
      </c>
      <c r="B33" s="170" t="str">
        <f>IF('DEM (Additionality)'!E35="yes", "Sí", "")</f>
        <v>Sí</v>
      </c>
      <c r="C33" s="446">
        <f>IF('DEM (Additionality)'!E35="Yes",'DEM (Additionality)'!C35,"")</f>
        <v>0</v>
      </c>
      <c r="D33" s="447"/>
    </row>
    <row r="34" spans="1:4" ht="24.75" customHeight="1" x14ac:dyDescent="0.25">
      <c r="A34" s="448" t="s">
        <v>72</v>
      </c>
      <c r="B34" s="448"/>
      <c r="C34" s="448"/>
      <c r="D34" s="448"/>
    </row>
    <row r="35" spans="1:4" x14ac:dyDescent="0.25">
      <c r="A35" s="3"/>
      <c r="B35" s="47"/>
      <c r="C35" s="47"/>
    </row>
    <row r="36" spans="1:4" ht="300" customHeight="1" x14ac:dyDescent="0.25">
      <c r="A36" s="397" t="s">
        <v>75</v>
      </c>
      <c r="B36" s="398"/>
      <c r="C36" s="398"/>
      <c r="D36" s="398"/>
    </row>
    <row r="37" spans="1:4" x14ac:dyDescent="0.25">
      <c r="A37" s="383"/>
      <c r="B37" s="383"/>
      <c r="C37" s="383"/>
      <c r="D37" s="383"/>
    </row>
  </sheetData>
  <sheetProtection algorithmName="SHA-512" hashValue="4t+xUQ/VqVTFm9E13GASC+3gQnkbucKCb/zefBBgoMcYMJrRAxLqhr7WWYNpZT6AC3blDAW/uPtfDSWC4rEopQ==" saltValue="QGIu9eiOjXisTLbGVfVOVg=="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ageMargins left="0.7" right="0.7" top="0.75" bottom="0.75" header="0.3" footer="0.3"/>
  <pageSetup scale="47" orientation="portrait" r:id="rId1"/>
  <headerFooter>
    <oddHeader>&amp;RAnexo I - [NUMERO DE PROYECTO]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5"/>
  <sheetViews>
    <sheetView topLeftCell="A55" zoomScaleNormal="100" workbookViewId="0">
      <selection activeCell="C85" sqref="C85"/>
    </sheetView>
  </sheetViews>
  <sheetFormatPr defaultColWidth="9.109375" defaultRowHeight="13.2" outlineLevelRow="1" x14ac:dyDescent="0.25"/>
  <cols>
    <col min="1" max="1" width="0.33203125" style="2" customWidth="1"/>
    <col min="2" max="2" width="107.33203125" style="3" customWidth="1"/>
    <col min="3" max="3" width="34.109375" style="2" customWidth="1"/>
    <col min="4" max="4" width="27.44140625" style="9" customWidth="1"/>
    <col min="5" max="5" width="40.5546875" style="9" customWidth="1"/>
    <col min="6" max="6" width="9.88671875" style="49" hidden="1" customWidth="1"/>
    <col min="7" max="7" width="10.5546875" style="49" hidden="1" customWidth="1"/>
    <col min="8" max="8" width="10.88671875" style="49" hidden="1" customWidth="1"/>
    <col min="9" max="9" width="10" style="49" hidden="1" customWidth="1"/>
    <col min="10" max="10" width="20.109375" style="49" hidden="1" customWidth="1"/>
    <col min="11" max="11" width="8.6640625" style="49" hidden="1" customWidth="1"/>
    <col min="12" max="12" width="51.33203125" style="132" customWidth="1"/>
    <col min="13" max="13" width="52.109375" style="132" customWidth="1"/>
    <col min="14" max="14" width="28.6640625" style="132" customWidth="1"/>
    <col min="15" max="18" width="9.109375" style="24"/>
    <col min="19" max="16384" width="9.109375" style="2"/>
  </cols>
  <sheetData>
    <row r="2" spans="1:14" ht="17.399999999999999" x14ac:dyDescent="0.25">
      <c r="B2" s="460" t="s">
        <v>76</v>
      </c>
      <c r="C2" s="460"/>
      <c r="D2" s="460"/>
      <c r="E2" s="60"/>
    </row>
    <row r="3" spans="1:14" ht="20.25" customHeight="1" thickBot="1" x14ac:dyDescent="0.3">
      <c r="B3" s="460" t="s">
        <v>77</v>
      </c>
      <c r="C3" s="460"/>
      <c r="D3" s="460"/>
      <c r="E3" s="60"/>
    </row>
    <row r="4" spans="1:14" ht="17.399999999999999" x14ac:dyDescent="0.25">
      <c r="A4" s="461" t="s">
        <v>78</v>
      </c>
      <c r="B4" s="462"/>
      <c r="C4" s="462"/>
      <c r="D4" s="462"/>
      <c r="E4" s="463"/>
    </row>
    <row r="5" spans="1:14" ht="34.5" customHeight="1" x14ac:dyDescent="0.25">
      <c r="A5" s="10"/>
      <c r="B5" s="348" t="s">
        <v>79</v>
      </c>
      <c r="C5" s="348"/>
      <c r="D5" s="348"/>
      <c r="E5" s="464"/>
    </row>
    <row r="6" spans="1:14" ht="162.75" customHeight="1" thickBot="1" x14ac:dyDescent="0.3">
      <c r="A6" s="15"/>
      <c r="B6" s="465" t="s">
        <v>80</v>
      </c>
      <c r="C6" s="465"/>
      <c r="D6" s="465"/>
      <c r="E6" s="466"/>
    </row>
    <row r="7" spans="1:14" ht="27" customHeight="1" thickBot="1" x14ac:dyDescent="0.3">
      <c r="B7" s="448"/>
      <c r="C7" s="448"/>
      <c r="D7" s="448"/>
      <c r="E7" s="448"/>
    </row>
    <row r="8" spans="1:14" ht="13.8" x14ac:dyDescent="0.25">
      <c r="B8" s="19" t="s">
        <v>81</v>
      </c>
      <c r="C8" s="91" t="s">
        <v>82</v>
      </c>
      <c r="D8" s="91" t="s">
        <v>83</v>
      </c>
      <c r="E8" s="91" t="s">
        <v>83</v>
      </c>
      <c r="F8" s="92"/>
      <c r="G8" s="92"/>
      <c r="H8" s="92"/>
      <c r="I8" s="92"/>
      <c r="J8" s="92"/>
      <c r="K8" s="94"/>
      <c r="L8" s="458" t="s">
        <v>84</v>
      </c>
      <c r="M8" s="459"/>
      <c r="N8" s="459"/>
    </row>
    <row r="9" spans="1:14" ht="15.75" customHeight="1" x14ac:dyDescent="0.25">
      <c r="B9" s="172" t="s">
        <v>85</v>
      </c>
      <c r="C9" s="173"/>
      <c r="D9" s="173"/>
      <c r="E9" s="173"/>
      <c r="F9" s="174"/>
      <c r="G9" s="174"/>
      <c r="H9" s="174"/>
      <c r="I9" s="174"/>
      <c r="J9" s="174"/>
      <c r="K9" s="95"/>
      <c r="L9" s="175" t="s">
        <v>86</v>
      </c>
      <c r="M9" s="176" t="s">
        <v>87</v>
      </c>
      <c r="N9" s="176" t="s">
        <v>88</v>
      </c>
    </row>
    <row r="10" spans="1:14" ht="15.75" customHeight="1" x14ac:dyDescent="0.25">
      <c r="B10" s="177" t="s">
        <v>89</v>
      </c>
      <c r="C10" s="178"/>
      <c r="D10" s="179" t="s">
        <v>90</v>
      </c>
      <c r="E10" s="179"/>
      <c r="F10" s="180"/>
      <c r="G10" s="180"/>
      <c r="H10" s="180"/>
      <c r="I10" s="180"/>
      <c r="J10" s="180"/>
      <c r="K10" s="96"/>
      <c r="L10" s="181"/>
      <c r="M10" s="182"/>
      <c r="N10" s="182"/>
    </row>
    <row r="11" spans="1:14" x14ac:dyDescent="0.25">
      <c r="B11" s="183" t="s">
        <v>91</v>
      </c>
      <c r="C11" s="145"/>
      <c r="D11" s="184" t="s">
        <v>92</v>
      </c>
      <c r="E11" s="185"/>
      <c r="F11" s="180">
        <f>IF(D11="Yes",1,0)</f>
        <v>1</v>
      </c>
      <c r="G11" s="180" t="str">
        <f>IF(F11&lt;&gt;0,B11,"")</f>
        <v>Social Inclusion and Equality</v>
      </c>
      <c r="H11" s="180" t="str">
        <f>IF(G11&lt;&gt;"","-","")</f>
        <v>-</v>
      </c>
      <c r="I11" s="180" t="str">
        <f>IF(G11&lt;&gt;"",CONCATENATE(H11,G11,CHAR(10)),"")</f>
        <v xml:space="preserve">-Social Inclusion and Equality
</v>
      </c>
      <c r="J11" s="180" t="str">
        <f>CONCATENATE(I11,I12,I13,I15,I16,I19)</f>
        <v xml:space="preserve">-Social Inclusion and Equality
-Gender Equality and Diversity
-Climate Change and Environmental Sustainability
-Institutional Capacity and the Rule of Law
</v>
      </c>
      <c r="K11" s="96"/>
      <c r="L11" s="143"/>
      <c r="M11" s="186"/>
      <c r="N11" s="186"/>
    </row>
    <row r="12" spans="1:14" outlineLevel="1" x14ac:dyDescent="0.25">
      <c r="B12" s="183" t="s">
        <v>93</v>
      </c>
      <c r="C12" s="145"/>
      <c r="D12" s="184" t="s">
        <v>94</v>
      </c>
      <c r="E12" s="185"/>
      <c r="F12" s="180">
        <f>IF(D12="Yes",1,0)</f>
        <v>0</v>
      </c>
      <c r="G12" s="180" t="str">
        <f>IF(F12&lt;&gt;0,B12,"")</f>
        <v/>
      </c>
      <c r="H12" s="180" t="str">
        <f>IF(G12&lt;&gt;"","-","")</f>
        <v/>
      </c>
      <c r="I12" s="180" t="str">
        <f>IF(G12&lt;&gt;"",CONCATENATE(H12,G12,CHAR(10)),"")</f>
        <v/>
      </c>
      <c r="J12" s="180"/>
      <c r="K12" s="96"/>
      <c r="L12" s="143"/>
      <c r="M12" s="186"/>
      <c r="N12" s="186"/>
    </row>
    <row r="13" spans="1:14" x14ac:dyDescent="0.25">
      <c r="B13" s="183" t="s">
        <v>95</v>
      </c>
      <c r="C13" s="145"/>
      <c r="D13" s="184" t="s">
        <v>94</v>
      </c>
      <c r="E13" s="185"/>
      <c r="F13" s="180">
        <f>IF(D13="Yes",1,0)</f>
        <v>0</v>
      </c>
      <c r="G13" s="180" t="str">
        <f>IF(F13&lt;&gt;0,B13,"")</f>
        <v/>
      </c>
      <c r="H13" s="180" t="str">
        <f>IF(G13&lt;&gt;"","-","")</f>
        <v/>
      </c>
      <c r="I13" s="180" t="str">
        <f>IF(G13&lt;&gt;"",CONCATENATE(H13,G13,CHAR(10)),"")</f>
        <v/>
      </c>
      <c r="J13" s="180"/>
      <c r="K13" s="96"/>
      <c r="L13" s="143"/>
      <c r="M13" s="186"/>
      <c r="N13" s="186"/>
    </row>
    <row r="14" spans="1:14" ht="15.75" customHeight="1" x14ac:dyDescent="0.25">
      <c r="B14" s="177" t="s">
        <v>96</v>
      </c>
      <c r="C14" s="178"/>
      <c r="D14" s="179" t="s">
        <v>90</v>
      </c>
      <c r="E14" s="179"/>
      <c r="F14" s="180"/>
      <c r="G14" s="180"/>
      <c r="H14" s="180"/>
      <c r="I14" s="180"/>
      <c r="J14" s="180"/>
      <c r="K14" s="96"/>
      <c r="L14" s="181"/>
      <c r="M14" s="182"/>
      <c r="N14" s="182"/>
    </row>
    <row r="15" spans="1:14" ht="15.75" customHeight="1" outlineLevel="1" x14ac:dyDescent="0.25">
      <c r="B15" s="183" t="s">
        <v>97</v>
      </c>
      <c r="C15" s="187"/>
      <c r="D15" s="184" t="s">
        <v>92</v>
      </c>
      <c r="E15" s="185"/>
      <c r="F15" s="180">
        <f>IF(D15="Yes",1,0)</f>
        <v>1</v>
      </c>
      <c r="G15" s="180" t="str">
        <f>IF(F15&lt;&gt;0,B15,"")</f>
        <v>Gender Equality and Diversity</v>
      </c>
      <c r="H15" s="180" t="str">
        <f>IF(G15&lt;&gt;"","-","")</f>
        <v>-</v>
      </c>
      <c r="I15" s="180" t="str">
        <f>IF(G15&lt;&gt;"",CONCATENATE(H15,G15,CHAR(10)),"")</f>
        <v xml:space="preserve">-Gender Equality and Diversity
</v>
      </c>
      <c r="J15" s="180"/>
      <c r="K15" s="96"/>
      <c r="L15" s="143"/>
      <c r="M15" s="186"/>
      <c r="N15" s="186"/>
    </row>
    <row r="16" spans="1:14" ht="15.75" customHeight="1" x14ac:dyDescent="0.25">
      <c r="B16" s="183" t="s">
        <v>98</v>
      </c>
      <c r="C16" s="187"/>
      <c r="D16" s="188" t="str">
        <f>IF(OR(D17="Yes",D18="Yes"),"Yes","")</f>
        <v>Yes</v>
      </c>
      <c r="E16" s="185"/>
      <c r="F16" s="180">
        <f>IF(D16="Yes",1,0)</f>
        <v>1</v>
      </c>
      <c r="G16" s="180" t="str">
        <f>IF(F16&lt;&gt;0,B16,"")</f>
        <v>Climate Change and Environmental Sustainability</v>
      </c>
      <c r="H16" s="180" t="str">
        <f>IF(G16&lt;&gt;"","-","")</f>
        <v>-</v>
      </c>
      <c r="I16" s="180" t="str">
        <f>IF(G16&lt;&gt;"",CONCATENATE(H16,G16,CHAR(10)),"")</f>
        <v xml:space="preserve">-Climate Change and Environmental Sustainability
</v>
      </c>
      <c r="J16" s="180"/>
      <c r="K16" s="96"/>
      <c r="L16" s="143"/>
      <c r="M16" s="186"/>
      <c r="N16" s="186"/>
    </row>
    <row r="17" spans="2:14" x14ac:dyDescent="0.25">
      <c r="B17" s="158" t="s">
        <v>99</v>
      </c>
      <c r="C17" s="189"/>
      <c r="D17" s="190" t="s">
        <v>92</v>
      </c>
      <c r="E17" s="185"/>
      <c r="F17" s="180"/>
      <c r="G17" s="180"/>
      <c r="H17" s="180"/>
      <c r="I17" s="180"/>
      <c r="J17" s="180"/>
      <c r="K17" s="96"/>
      <c r="L17" s="143"/>
      <c r="M17" s="186"/>
      <c r="N17" s="186"/>
    </row>
    <row r="18" spans="2:14" x14ac:dyDescent="0.25">
      <c r="B18" s="158" t="s">
        <v>100</v>
      </c>
      <c r="C18" s="189"/>
      <c r="D18" s="190" t="s">
        <v>92</v>
      </c>
      <c r="E18" s="185"/>
      <c r="F18" s="180"/>
      <c r="G18" s="180"/>
      <c r="H18" s="180"/>
      <c r="I18" s="180"/>
      <c r="J18" s="180"/>
      <c r="K18" s="96"/>
      <c r="L18" s="143"/>
      <c r="M18" s="186"/>
      <c r="N18" s="186"/>
    </row>
    <row r="19" spans="2:14" outlineLevel="1" x14ac:dyDescent="0.25">
      <c r="B19" s="183" t="s">
        <v>101</v>
      </c>
      <c r="C19" s="145"/>
      <c r="D19" s="184" t="s">
        <v>92</v>
      </c>
      <c r="E19" s="185"/>
      <c r="F19" s="180">
        <f>IF(D19="Yes",1,0)</f>
        <v>1</v>
      </c>
      <c r="G19" s="180" t="str">
        <f>IF(F19&lt;&gt;0,B19,"")</f>
        <v>Institutional Capacity and the Rule of Law</v>
      </c>
      <c r="H19" s="180" t="str">
        <f>IF(G19&lt;&gt;"","-","")</f>
        <v>-</v>
      </c>
      <c r="I19" s="180" t="str">
        <f>IF(G19&lt;&gt;"",CONCATENATE(H19,G19,CHAR(10)),"")</f>
        <v xml:space="preserve">-Institutional Capacity and the Rule of Law
</v>
      </c>
      <c r="J19" s="180"/>
      <c r="K19" s="96"/>
      <c r="L19" s="143"/>
      <c r="M19" s="186"/>
      <c r="N19" s="186"/>
    </row>
    <row r="20" spans="2:14" ht="15.75" customHeight="1" x14ac:dyDescent="0.25">
      <c r="B20" s="177" t="s">
        <v>102</v>
      </c>
      <c r="C20" s="191"/>
      <c r="D20" s="179" t="s">
        <v>103</v>
      </c>
      <c r="E20" s="179" t="s">
        <v>104</v>
      </c>
      <c r="F20" s="180"/>
      <c r="G20" s="180"/>
      <c r="H20" s="180"/>
      <c r="I20" s="180"/>
      <c r="J20" s="180"/>
      <c r="K20" s="96" t="str">
        <f>CONCATENATE(J21,J22,J23,J24,J25,J26,J27,J28,J29,J30,J31,J32,J33,J34,J35,J36,J37,J38,J39,J40,J41,J42,J43,J44,J45,J46,J47,J48,J49,J50,J51,J52,J53,J54,J55,J56,J57,J58,J59,J60,J61,J62,J63,J64,J65,J66,J67,J68,J69,J70,J71,J72,J73,J74,J75,J76)</f>
        <v xml:space="preserve">-Property value within project area of influence (% change)*
-Households benefitting from housing solutions (#)*
-Households with new or upgraded access to drinking water (#)*
-Households with new or upgraded access to sanitation (#)*
-Roads built or upgraded  (km)*
-Households with wastewater treatment (#)*
-Households protected from flood risk  (#)*
-Households with new or improved access to electricity supply  (#)*
</v>
      </c>
      <c r="L20" s="181"/>
      <c r="M20" s="182"/>
      <c r="N20" s="182"/>
    </row>
    <row r="21" spans="2:14" outlineLevel="1" x14ac:dyDescent="0.25">
      <c r="B21" s="158" t="s">
        <v>105</v>
      </c>
      <c r="C21" s="146"/>
      <c r="D21" s="146" t="s">
        <v>94</v>
      </c>
      <c r="E21" s="192"/>
      <c r="F21" s="180">
        <f t="shared" ref="F21:F27" si="0">IF(D21="Yes",1,0)</f>
        <v>0</v>
      </c>
      <c r="G21" s="180" t="str">
        <f>IF(F21=1,B21,"")</f>
        <v/>
      </c>
      <c r="H21" s="180" t="str">
        <f t="shared" ref="H21:H76" si="1">IF(G21&lt;&gt;"","-","")</f>
        <v/>
      </c>
      <c r="I21" s="180" t="str">
        <f>IF(E21="Yes","*","")</f>
        <v/>
      </c>
      <c r="J21" s="180" t="str">
        <f>IF(G21&lt;&gt;"",CONCATENATE(H21,G21,I21,CHAR(10)),"")</f>
        <v/>
      </c>
      <c r="K21" s="96"/>
      <c r="L21" s="143"/>
      <c r="M21" s="186"/>
      <c r="N21" s="186"/>
    </row>
    <row r="22" spans="2:14" outlineLevel="1" x14ac:dyDescent="0.25">
      <c r="B22" s="158" t="s">
        <v>106</v>
      </c>
      <c r="C22" s="146"/>
      <c r="D22" s="146" t="s">
        <v>94</v>
      </c>
      <c r="E22" s="192"/>
      <c r="F22" s="180">
        <f t="shared" si="0"/>
        <v>0</v>
      </c>
      <c r="G22" s="180" t="str">
        <f t="shared" ref="G22:G76" si="2">IF(F22=1,B22,"")</f>
        <v/>
      </c>
      <c r="H22" s="180" t="str">
        <f t="shared" si="1"/>
        <v/>
      </c>
      <c r="I22" s="180" t="str">
        <f t="shared" ref="I22:I76" si="3">IF(E22="Yes","*","")</f>
        <v/>
      </c>
      <c r="J22" s="180" t="str">
        <f>IF(G22&lt;&gt;"",CONCATENATE(H22,G22,I22,CHAR(10)),"")</f>
        <v/>
      </c>
      <c r="K22" s="96"/>
      <c r="L22" s="143"/>
      <c r="M22" s="186"/>
      <c r="N22" s="186"/>
    </row>
    <row r="23" spans="2:14" outlineLevel="1" x14ac:dyDescent="0.25">
      <c r="B23" s="158" t="s">
        <v>107</v>
      </c>
      <c r="C23" s="146"/>
      <c r="D23" s="192" t="s">
        <v>92</v>
      </c>
      <c r="E23" s="146" t="s">
        <v>92</v>
      </c>
      <c r="F23" s="180">
        <f>IF(E23="Yes",1,0)</f>
        <v>1</v>
      </c>
      <c r="G23" s="180" t="str">
        <f t="shared" si="2"/>
        <v>Property value within project area of influence (% change)</v>
      </c>
      <c r="H23" s="180" t="str">
        <f t="shared" si="1"/>
        <v>-</v>
      </c>
      <c r="I23" s="180" t="str">
        <f t="shared" si="3"/>
        <v>*</v>
      </c>
      <c r="J23" s="180" t="str">
        <f>IF(G23&lt;&gt;"",CONCATENATE(H23,G23,I23,CHAR(10)),"")</f>
        <v xml:space="preserve">-Property value within project area of influence (% change)*
</v>
      </c>
      <c r="K23" s="96"/>
      <c r="L23" s="143"/>
      <c r="M23" s="186"/>
      <c r="N23" s="186"/>
    </row>
    <row r="24" spans="2:14" outlineLevel="1" x14ac:dyDescent="0.25">
      <c r="B24" s="158" t="s">
        <v>108</v>
      </c>
      <c r="C24" s="146"/>
      <c r="D24" s="192" t="s">
        <v>92</v>
      </c>
      <c r="E24" s="146" t="s">
        <v>94</v>
      </c>
      <c r="F24" s="180">
        <f>IF(E24="Yes",1,0)</f>
        <v>0</v>
      </c>
      <c r="G24" s="180" t="str">
        <f t="shared" si="2"/>
        <v/>
      </c>
      <c r="H24" s="180" t="str">
        <f t="shared" si="1"/>
        <v/>
      </c>
      <c r="I24" s="180" t="str">
        <f t="shared" si="3"/>
        <v/>
      </c>
      <c r="J24" s="180" t="str">
        <f>IF(G24&lt;&gt;"",CONCATENATE(H24,G24,I24,CHAR(10)),"")</f>
        <v/>
      </c>
      <c r="K24" s="96"/>
      <c r="L24" s="143"/>
      <c r="M24" s="186"/>
      <c r="N24" s="186"/>
    </row>
    <row r="25" spans="2:14" outlineLevel="1" x14ac:dyDescent="0.25">
      <c r="B25" s="158" t="s">
        <v>109</v>
      </c>
      <c r="C25" s="146"/>
      <c r="D25" s="192"/>
      <c r="E25" s="146" t="s">
        <v>94</v>
      </c>
      <c r="F25" s="180">
        <f>IF(E25="Yes",1,0)</f>
        <v>0</v>
      </c>
      <c r="G25" s="180" t="str">
        <f t="shared" si="2"/>
        <v/>
      </c>
      <c r="H25" s="180" t="str">
        <f t="shared" si="1"/>
        <v/>
      </c>
      <c r="I25" s="180" t="str">
        <f t="shared" si="3"/>
        <v/>
      </c>
      <c r="J25" s="180" t="str">
        <f>IF(G25&lt;&gt;"",CONCATENATE(H25,G25,I25,CHAR(10)),"")</f>
        <v/>
      </c>
      <c r="K25" s="96"/>
      <c r="L25" s="143"/>
      <c r="M25" s="186"/>
      <c r="N25" s="186"/>
    </row>
    <row r="26" spans="2:14" outlineLevel="1" x14ac:dyDescent="0.25">
      <c r="B26" s="158" t="s">
        <v>110</v>
      </c>
      <c r="C26" s="146"/>
      <c r="D26" s="146" t="s">
        <v>94</v>
      </c>
      <c r="E26" s="192"/>
      <c r="F26" s="180">
        <f t="shared" si="0"/>
        <v>0</v>
      </c>
      <c r="G26" s="180" t="str">
        <f t="shared" si="2"/>
        <v/>
      </c>
      <c r="H26" s="180" t="str">
        <f t="shared" si="1"/>
        <v/>
      </c>
      <c r="I26" s="180" t="str">
        <f t="shared" si="3"/>
        <v/>
      </c>
      <c r="J26" s="180" t="str">
        <f t="shared" ref="J26:J76" si="4">IF(G26&lt;&gt;"",CONCATENATE(H26,G26,I26,CHAR(10)),"")</f>
        <v/>
      </c>
      <c r="K26" s="96"/>
      <c r="L26" s="143"/>
      <c r="M26" s="186"/>
      <c r="N26" s="186"/>
    </row>
    <row r="27" spans="2:14" outlineLevel="1" x14ac:dyDescent="0.25">
      <c r="B27" s="158" t="s">
        <v>111</v>
      </c>
      <c r="C27" s="146"/>
      <c r="D27" s="146" t="s">
        <v>94</v>
      </c>
      <c r="E27" s="192"/>
      <c r="F27" s="180">
        <f t="shared" si="0"/>
        <v>0</v>
      </c>
      <c r="G27" s="180" t="str">
        <f t="shared" si="2"/>
        <v/>
      </c>
      <c r="H27" s="180" t="str">
        <f t="shared" si="1"/>
        <v/>
      </c>
      <c r="I27" s="180" t="str">
        <f t="shared" si="3"/>
        <v/>
      </c>
      <c r="J27" s="180" t="str">
        <f t="shared" si="4"/>
        <v/>
      </c>
      <c r="K27" s="96"/>
      <c r="L27" s="143"/>
      <c r="M27" s="186"/>
      <c r="N27" s="186"/>
    </row>
    <row r="28" spans="2:14" outlineLevel="1" x14ac:dyDescent="0.25">
      <c r="B28" s="158" t="s">
        <v>112</v>
      </c>
      <c r="C28" s="146"/>
      <c r="D28" s="192"/>
      <c r="E28" s="146" t="s">
        <v>94</v>
      </c>
      <c r="F28" s="180">
        <f t="shared" ref="F28:F76" si="5">IF(E28="Yes",1,0)</f>
        <v>0</v>
      </c>
      <c r="G28" s="180" t="str">
        <f t="shared" si="2"/>
        <v/>
      </c>
      <c r="H28" s="180" t="str">
        <f t="shared" si="1"/>
        <v/>
      </c>
      <c r="I28" s="180" t="str">
        <f t="shared" si="3"/>
        <v/>
      </c>
      <c r="J28" s="180" t="str">
        <f t="shared" si="4"/>
        <v/>
      </c>
      <c r="K28" s="96"/>
      <c r="L28" s="143"/>
      <c r="M28" s="186"/>
      <c r="N28" s="186"/>
    </row>
    <row r="29" spans="2:14" outlineLevel="1" x14ac:dyDescent="0.25">
      <c r="B29" s="158" t="s">
        <v>113</v>
      </c>
      <c r="C29" s="146"/>
      <c r="D29" s="192"/>
      <c r="E29" s="146" t="s">
        <v>94</v>
      </c>
      <c r="F29" s="180">
        <f t="shared" si="5"/>
        <v>0</v>
      </c>
      <c r="G29" s="180" t="str">
        <f t="shared" si="2"/>
        <v/>
      </c>
      <c r="H29" s="180" t="str">
        <f t="shared" si="1"/>
        <v/>
      </c>
      <c r="I29" s="180" t="str">
        <f t="shared" si="3"/>
        <v/>
      </c>
      <c r="J29" s="180" t="str">
        <f t="shared" si="4"/>
        <v/>
      </c>
      <c r="K29" s="96"/>
      <c r="L29" s="143"/>
      <c r="M29" s="186"/>
      <c r="N29" s="186"/>
    </row>
    <row r="30" spans="2:14" outlineLevel="1" x14ac:dyDescent="0.25">
      <c r="B30" s="158" t="s">
        <v>114</v>
      </c>
      <c r="C30" s="146"/>
      <c r="D30" s="192"/>
      <c r="E30" s="146" t="s">
        <v>94</v>
      </c>
      <c r="F30" s="180">
        <f t="shared" si="5"/>
        <v>0</v>
      </c>
      <c r="G30" s="180" t="str">
        <f t="shared" si="2"/>
        <v/>
      </c>
      <c r="H30" s="180" t="str">
        <f t="shared" si="1"/>
        <v/>
      </c>
      <c r="I30" s="180" t="str">
        <f t="shared" si="3"/>
        <v/>
      </c>
      <c r="J30" s="180" t="str">
        <f t="shared" si="4"/>
        <v/>
      </c>
      <c r="K30" s="96"/>
      <c r="L30" s="143"/>
      <c r="M30" s="186"/>
      <c r="N30" s="186"/>
    </row>
    <row r="31" spans="2:14" outlineLevel="1" x14ac:dyDescent="0.25">
      <c r="B31" s="158" t="s">
        <v>115</v>
      </c>
      <c r="C31" s="146"/>
      <c r="D31" s="192"/>
      <c r="E31" s="146" t="s">
        <v>94</v>
      </c>
      <c r="F31" s="180">
        <f t="shared" si="5"/>
        <v>0</v>
      </c>
      <c r="G31" s="180" t="str">
        <f t="shared" si="2"/>
        <v/>
      </c>
      <c r="H31" s="180" t="str">
        <f t="shared" si="1"/>
        <v/>
      </c>
      <c r="I31" s="180" t="str">
        <f t="shared" si="3"/>
        <v/>
      </c>
      <c r="J31" s="180" t="str">
        <f t="shared" si="4"/>
        <v/>
      </c>
      <c r="K31" s="96"/>
      <c r="L31" s="143"/>
      <c r="M31" s="186"/>
      <c r="N31" s="186"/>
    </row>
    <row r="32" spans="2:14" outlineLevel="1" x14ac:dyDescent="0.25">
      <c r="B32" s="158" t="s">
        <v>116</v>
      </c>
      <c r="C32" s="146"/>
      <c r="D32" s="192" t="s">
        <v>92</v>
      </c>
      <c r="E32" s="146" t="s">
        <v>92</v>
      </c>
      <c r="F32" s="180">
        <f t="shared" si="5"/>
        <v>1</v>
      </c>
      <c r="G32" s="180" t="str">
        <f t="shared" si="2"/>
        <v>Households benefitting from housing solutions (#)</v>
      </c>
      <c r="H32" s="180" t="str">
        <f t="shared" si="1"/>
        <v>-</v>
      </c>
      <c r="I32" s="180" t="str">
        <f t="shared" si="3"/>
        <v>*</v>
      </c>
      <c r="J32" s="180" t="str">
        <f t="shared" si="4"/>
        <v xml:space="preserve">-Households benefitting from housing solutions (#)*
</v>
      </c>
      <c r="K32" s="96"/>
      <c r="L32" s="143"/>
      <c r="M32" s="186"/>
      <c r="N32" s="186"/>
    </row>
    <row r="33" spans="2:14" outlineLevel="1" x14ac:dyDescent="0.25">
      <c r="B33" s="158" t="s">
        <v>117</v>
      </c>
      <c r="C33" s="146"/>
      <c r="D33" s="192"/>
      <c r="E33" s="146" t="s">
        <v>94</v>
      </c>
      <c r="F33" s="180">
        <f t="shared" si="5"/>
        <v>0</v>
      </c>
      <c r="G33" s="180" t="str">
        <f t="shared" si="2"/>
        <v/>
      </c>
      <c r="H33" s="180" t="str">
        <f t="shared" si="1"/>
        <v/>
      </c>
      <c r="I33" s="180" t="str">
        <f t="shared" si="3"/>
        <v/>
      </c>
      <c r="J33" s="180" t="str">
        <f t="shared" si="4"/>
        <v/>
      </c>
      <c r="K33" s="96"/>
      <c r="L33" s="143"/>
      <c r="M33" s="186"/>
      <c r="N33" s="186"/>
    </row>
    <row r="34" spans="2:14" outlineLevel="1" x14ac:dyDescent="0.25">
      <c r="B34" s="158" t="s">
        <v>118</v>
      </c>
      <c r="C34" s="146"/>
      <c r="D34" s="192"/>
      <c r="E34" s="146" t="s">
        <v>94</v>
      </c>
      <c r="F34" s="180">
        <f t="shared" si="5"/>
        <v>0</v>
      </c>
      <c r="G34" s="180" t="str">
        <f t="shared" si="2"/>
        <v/>
      </c>
      <c r="H34" s="180" t="str">
        <f t="shared" si="1"/>
        <v/>
      </c>
      <c r="I34" s="180" t="str">
        <f t="shared" si="3"/>
        <v/>
      </c>
      <c r="J34" s="180" t="str">
        <f t="shared" si="4"/>
        <v/>
      </c>
      <c r="K34" s="96"/>
      <c r="L34" s="143"/>
      <c r="M34" s="186"/>
      <c r="N34" s="186"/>
    </row>
    <row r="35" spans="2:14" outlineLevel="1" x14ac:dyDescent="0.25">
      <c r="B35" s="158" t="s">
        <v>119</v>
      </c>
      <c r="C35" s="146"/>
      <c r="D35" s="192" t="s">
        <v>92</v>
      </c>
      <c r="E35" s="146" t="s">
        <v>94</v>
      </c>
      <c r="F35" s="180">
        <f t="shared" si="5"/>
        <v>0</v>
      </c>
      <c r="G35" s="180" t="str">
        <f t="shared" si="2"/>
        <v/>
      </c>
      <c r="H35" s="180" t="str">
        <f t="shared" si="1"/>
        <v/>
      </c>
      <c r="I35" s="180" t="str">
        <f t="shared" si="3"/>
        <v/>
      </c>
      <c r="J35" s="180" t="str">
        <f t="shared" si="4"/>
        <v/>
      </c>
      <c r="K35" s="96"/>
      <c r="L35" s="143"/>
      <c r="M35" s="186"/>
      <c r="N35" s="186"/>
    </row>
    <row r="36" spans="2:14" outlineLevel="1" x14ac:dyDescent="0.25">
      <c r="B36" s="158" t="s">
        <v>120</v>
      </c>
      <c r="C36" s="146"/>
      <c r="D36" s="192"/>
      <c r="E36" s="146" t="s">
        <v>94</v>
      </c>
      <c r="F36" s="180">
        <f t="shared" si="5"/>
        <v>0</v>
      </c>
      <c r="G36" s="180" t="str">
        <f t="shared" si="2"/>
        <v/>
      </c>
      <c r="H36" s="180" t="str">
        <f t="shared" si="1"/>
        <v/>
      </c>
      <c r="I36" s="180" t="str">
        <f t="shared" si="3"/>
        <v/>
      </c>
      <c r="J36" s="180" t="str">
        <f t="shared" si="4"/>
        <v/>
      </c>
      <c r="K36" s="96"/>
      <c r="L36" s="143"/>
      <c r="M36" s="186"/>
      <c r="N36" s="186"/>
    </row>
    <row r="37" spans="2:14" outlineLevel="1" x14ac:dyDescent="0.25">
      <c r="B37" s="158" t="s">
        <v>121</v>
      </c>
      <c r="C37" s="146"/>
      <c r="D37" s="192"/>
      <c r="E37" s="146" t="s">
        <v>94</v>
      </c>
      <c r="F37" s="180">
        <f t="shared" si="5"/>
        <v>0</v>
      </c>
      <c r="G37" s="180" t="str">
        <f t="shared" si="2"/>
        <v/>
      </c>
      <c r="H37" s="180" t="str">
        <f t="shared" si="1"/>
        <v/>
      </c>
      <c r="I37" s="180" t="str">
        <f t="shared" si="3"/>
        <v/>
      </c>
      <c r="J37" s="180" t="str">
        <f t="shared" si="4"/>
        <v/>
      </c>
      <c r="K37" s="96"/>
      <c r="L37" s="143"/>
      <c r="M37" s="186"/>
      <c r="N37" s="186"/>
    </row>
    <row r="38" spans="2:14" outlineLevel="1" x14ac:dyDescent="0.25">
      <c r="B38" s="158" t="s">
        <v>122</v>
      </c>
      <c r="C38" s="146"/>
      <c r="D38" s="192" t="s">
        <v>92</v>
      </c>
      <c r="E38" s="146" t="s">
        <v>92</v>
      </c>
      <c r="F38" s="180">
        <f t="shared" si="5"/>
        <v>1</v>
      </c>
      <c r="G38" s="180" t="str">
        <f t="shared" si="2"/>
        <v>Households with new or upgraded access to drinking water (#)</v>
      </c>
      <c r="H38" s="180" t="str">
        <f t="shared" si="1"/>
        <v>-</v>
      </c>
      <c r="I38" s="180" t="str">
        <f t="shared" si="3"/>
        <v>*</v>
      </c>
      <c r="J38" s="180" t="str">
        <f t="shared" si="4"/>
        <v xml:space="preserve">-Households with new or upgraded access to drinking water (#)*
</v>
      </c>
      <c r="K38" s="96"/>
      <c r="L38" s="143"/>
      <c r="M38" s="186"/>
      <c r="N38" s="186"/>
    </row>
    <row r="39" spans="2:14" x14ac:dyDescent="0.25">
      <c r="B39" s="158" t="s">
        <v>123</v>
      </c>
      <c r="C39" s="146"/>
      <c r="D39" s="192" t="s">
        <v>92</v>
      </c>
      <c r="E39" s="146" t="s">
        <v>92</v>
      </c>
      <c r="F39" s="180">
        <f t="shared" si="5"/>
        <v>1</v>
      </c>
      <c r="G39" s="180" t="str">
        <f t="shared" si="2"/>
        <v>Households with new or upgraded access to sanitation (#)</v>
      </c>
      <c r="H39" s="180" t="str">
        <f t="shared" si="1"/>
        <v>-</v>
      </c>
      <c r="I39" s="180" t="str">
        <f t="shared" si="3"/>
        <v>*</v>
      </c>
      <c r="J39" s="180" t="str">
        <f t="shared" si="4"/>
        <v xml:space="preserve">-Households with new or upgraded access to sanitation (#)*
</v>
      </c>
      <c r="K39" s="96"/>
      <c r="L39" s="143"/>
      <c r="M39" s="186"/>
      <c r="N39" s="186"/>
    </row>
    <row r="40" spans="2:14" outlineLevel="1" x14ac:dyDescent="0.25">
      <c r="B40" s="158" t="s">
        <v>124</v>
      </c>
      <c r="C40" s="146"/>
      <c r="D40" s="192"/>
      <c r="E40" s="146" t="s">
        <v>94</v>
      </c>
      <c r="F40" s="180">
        <f t="shared" si="5"/>
        <v>0</v>
      </c>
      <c r="G40" s="180" t="str">
        <f t="shared" si="2"/>
        <v/>
      </c>
      <c r="H40" s="180" t="str">
        <f t="shared" si="1"/>
        <v/>
      </c>
      <c r="I40" s="180" t="str">
        <f t="shared" si="3"/>
        <v/>
      </c>
      <c r="J40" s="180" t="str">
        <f t="shared" si="4"/>
        <v/>
      </c>
      <c r="K40" s="96"/>
      <c r="L40" s="143"/>
      <c r="M40" s="186"/>
      <c r="N40" s="186"/>
    </row>
    <row r="41" spans="2:14" outlineLevel="1" x14ac:dyDescent="0.25">
      <c r="B41" s="158" t="s">
        <v>125</v>
      </c>
      <c r="C41" s="146"/>
      <c r="D41" s="192"/>
      <c r="E41" s="146" t="s">
        <v>92</v>
      </c>
      <c r="F41" s="180">
        <f t="shared" si="5"/>
        <v>1</v>
      </c>
      <c r="G41" s="180" t="str">
        <f t="shared" si="2"/>
        <v>Roads built or upgraded  (km)</v>
      </c>
      <c r="H41" s="180" t="str">
        <f t="shared" si="1"/>
        <v>-</v>
      </c>
      <c r="I41" s="180" t="str">
        <f t="shared" si="3"/>
        <v>*</v>
      </c>
      <c r="J41" s="180" t="str">
        <f t="shared" si="4"/>
        <v xml:space="preserve">-Roads built or upgraded  (km)*
</v>
      </c>
      <c r="K41" s="96"/>
      <c r="L41" s="143"/>
      <c r="M41" s="186"/>
      <c r="N41" s="186"/>
    </row>
    <row r="42" spans="2:14" outlineLevel="1" x14ac:dyDescent="0.25">
      <c r="B42" s="158" t="s">
        <v>126</v>
      </c>
      <c r="C42" s="146"/>
      <c r="D42" s="192"/>
      <c r="E42" s="146" t="s">
        <v>94</v>
      </c>
      <c r="F42" s="180">
        <f t="shared" si="5"/>
        <v>0</v>
      </c>
      <c r="G42" s="180" t="str">
        <f t="shared" si="2"/>
        <v/>
      </c>
      <c r="H42" s="180" t="str">
        <f t="shared" si="1"/>
        <v/>
      </c>
      <c r="I42" s="180" t="str">
        <f t="shared" si="3"/>
        <v/>
      </c>
      <c r="J42" s="180" t="str">
        <f t="shared" si="4"/>
        <v/>
      </c>
      <c r="K42" s="96"/>
      <c r="L42" s="143"/>
      <c r="M42" s="186"/>
      <c r="N42" s="186"/>
    </row>
    <row r="43" spans="2:14" outlineLevel="1" x14ac:dyDescent="0.25">
      <c r="B43" s="158" t="s">
        <v>127</v>
      </c>
      <c r="C43" s="146"/>
      <c r="D43" s="192"/>
      <c r="E43" s="146" t="s">
        <v>94</v>
      </c>
      <c r="F43" s="180">
        <f t="shared" si="5"/>
        <v>0</v>
      </c>
      <c r="G43" s="180" t="str">
        <f t="shared" si="2"/>
        <v/>
      </c>
      <c r="H43" s="180" t="str">
        <f t="shared" si="1"/>
        <v/>
      </c>
      <c r="I43" s="180" t="str">
        <f t="shared" si="3"/>
        <v/>
      </c>
      <c r="J43" s="180" t="str">
        <f t="shared" si="4"/>
        <v/>
      </c>
      <c r="K43" s="96"/>
      <c r="L43" s="143"/>
      <c r="M43" s="186"/>
      <c r="N43" s="186"/>
    </row>
    <row r="44" spans="2:14" outlineLevel="1" x14ac:dyDescent="0.25">
      <c r="B44" s="158" t="s">
        <v>128</v>
      </c>
      <c r="C44" s="146"/>
      <c r="D44" s="192" t="s">
        <v>92</v>
      </c>
      <c r="E44" s="146" t="s">
        <v>94</v>
      </c>
      <c r="F44" s="180">
        <f t="shared" si="5"/>
        <v>0</v>
      </c>
      <c r="G44" s="180" t="str">
        <f t="shared" si="2"/>
        <v/>
      </c>
      <c r="H44" s="180" t="str">
        <f t="shared" si="1"/>
        <v/>
      </c>
      <c r="I44" s="180" t="str">
        <f t="shared" si="3"/>
        <v/>
      </c>
      <c r="J44" s="180" t="str">
        <f t="shared" si="4"/>
        <v/>
      </c>
      <c r="K44" s="96"/>
      <c r="L44" s="143"/>
      <c r="M44" s="186"/>
      <c r="N44" s="186"/>
    </row>
    <row r="45" spans="2:14" ht="26.4" outlineLevel="1" x14ac:dyDescent="0.25">
      <c r="B45" s="158" t="s">
        <v>129</v>
      </c>
      <c r="C45" s="146"/>
      <c r="D45" s="192" t="s">
        <v>92</v>
      </c>
      <c r="E45" s="146" t="s">
        <v>94</v>
      </c>
      <c r="F45" s="180">
        <f t="shared" si="5"/>
        <v>0</v>
      </c>
      <c r="G45" s="180" t="str">
        <f t="shared" si="2"/>
        <v/>
      </c>
      <c r="H45" s="180" t="str">
        <f t="shared" si="1"/>
        <v/>
      </c>
      <c r="I45" s="180" t="str">
        <f t="shared" si="3"/>
        <v/>
      </c>
      <c r="J45" s="180" t="str">
        <f t="shared" si="4"/>
        <v/>
      </c>
      <c r="K45" s="96"/>
      <c r="L45" s="143"/>
      <c r="M45" s="186"/>
      <c r="N45" s="186"/>
    </row>
    <row r="46" spans="2:14" outlineLevel="1" x14ac:dyDescent="0.25">
      <c r="B46" s="177" t="s">
        <v>130</v>
      </c>
      <c r="C46" s="191"/>
      <c r="D46" s="179" t="s">
        <v>103</v>
      </c>
      <c r="E46" s="179" t="s">
        <v>104</v>
      </c>
      <c r="F46" s="180"/>
      <c r="G46" s="180"/>
      <c r="H46" s="180"/>
      <c r="I46" s="180"/>
      <c r="J46" s="180"/>
      <c r="K46" s="96" t="str">
        <f>CONCATENATE(J47,J48,J49,J50,J51,J52,J53,J54,J55,J56,J57,J58,J59,J60,J61,J62,J64,J65,J67,J68,J69,J70,J76,J77,J78,J80,J81,J82,J83,J84,J85,J86,J87,J88,J89,J90,J91,J92,J93,J94,J95,J96,J97,J98,J99,J100,J101,J102)</f>
        <v xml:space="preserve">-Households with wastewater treatment (#)*
-Households protected from flood risk  (#)*
-Households with new or improved access to electricity supply  (#)*
</v>
      </c>
      <c r="L46" s="181"/>
      <c r="M46" s="182"/>
      <c r="N46" s="182"/>
    </row>
    <row r="47" spans="2:14" outlineLevel="1" x14ac:dyDescent="0.25">
      <c r="B47" s="158" t="s">
        <v>131</v>
      </c>
      <c r="C47" s="146"/>
      <c r="D47" s="192"/>
      <c r="E47" s="146" t="s">
        <v>94</v>
      </c>
      <c r="F47" s="180">
        <f t="shared" si="5"/>
        <v>0</v>
      </c>
      <c r="G47" s="180" t="str">
        <f t="shared" si="2"/>
        <v/>
      </c>
      <c r="H47" s="180" t="str">
        <f t="shared" si="1"/>
        <v/>
      </c>
      <c r="I47" s="180" t="str">
        <f t="shared" si="3"/>
        <v/>
      </c>
      <c r="J47" s="180" t="str">
        <f t="shared" si="4"/>
        <v/>
      </c>
      <c r="K47" s="96"/>
      <c r="L47" s="143"/>
      <c r="M47" s="186"/>
      <c r="N47" s="186"/>
    </row>
    <row r="48" spans="2:14" outlineLevel="1" x14ac:dyDescent="0.25">
      <c r="B48" s="158" t="s">
        <v>132</v>
      </c>
      <c r="C48" s="146"/>
      <c r="D48" s="192"/>
      <c r="E48" s="146" t="s">
        <v>94</v>
      </c>
      <c r="F48" s="180">
        <f t="shared" si="5"/>
        <v>0</v>
      </c>
      <c r="G48" s="180" t="str">
        <f t="shared" si="2"/>
        <v/>
      </c>
      <c r="H48" s="180" t="str">
        <f t="shared" si="1"/>
        <v/>
      </c>
      <c r="I48" s="180" t="str">
        <f t="shared" si="3"/>
        <v/>
      </c>
      <c r="J48" s="180" t="str">
        <f t="shared" si="4"/>
        <v/>
      </c>
      <c r="K48" s="96"/>
      <c r="L48" s="143"/>
      <c r="M48" s="186"/>
      <c r="N48" s="186"/>
    </row>
    <row r="49" spans="2:14" outlineLevel="1" x14ac:dyDescent="0.25">
      <c r="B49" s="158" t="s">
        <v>133</v>
      </c>
      <c r="C49" s="146"/>
      <c r="D49" s="192"/>
      <c r="E49" s="146" t="s">
        <v>94</v>
      </c>
      <c r="F49" s="180">
        <f t="shared" si="5"/>
        <v>0</v>
      </c>
      <c r="G49" s="180" t="str">
        <f t="shared" si="2"/>
        <v/>
      </c>
      <c r="H49" s="180" t="str">
        <f t="shared" si="1"/>
        <v/>
      </c>
      <c r="I49" s="180" t="str">
        <f t="shared" si="3"/>
        <v/>
      </c>
      <c r="J49" s="180" t="str">
        <f t="shared" si="4"/>
        <v/>
      </c>
      <c r="K49" s="96"/>
      <c r="L49" s="143"/>
      <c r="M49" s="186"/>
      <c r="N49" s="186"/>
    </row>
    <row r="50" spans="2:14" outlineLevel="1" x14ac:dyDescent="0.25">
      <c r="B50" s="158" t="s">
        <v>134</v>
      </c>
      <c r="C50" s="146"/>
      <c r="D50" s="192"/>
      <c r="E50" s="146" t="s">
        <v>92</v>
      </c>
      <c r="F50" s="180">
        <f t="shared" si="5"/>
        <v>1</v>
      </c>
      <c r="G50" s="180" t="str">
        <f t="shared" si="2"/>
        <v>Households with wastewater treatment (#)</v>
      </c>
      <c r="H50" s="180" t="str">
        <f t="shared" si="1"/>
        <v>-</v>
      </c>
      <c r="I50" s="180" t="str">
        <f t="shared" si="3"/>
        <v>*</v>
      </c>
      <c r="J50" s="180" t="str">
        <f t="shared" si="4"/>
        <v xml:space="preserve">-Households with wastewater treatment (#)*
</v>
      </c>
      <c r="K50" s="96"/>
      <c r="L50" s="143"/>
      <c r="M50" s="186"/>
      <c r="N50" s="186"/>
    </row>
    <row r="51" spans="2:14" outlineLevel="1" x14ac:dyDescent="0.25">
      <c r="B51" s="158" t="s">
        <v>135</v>
      </c>
      <c r="C51" s="146"/>
      <c r="D51" s="192" t="s">
        <v>92</v>
      </c>
      <c r="E51" s="146" t="s">
        <v>94</v>
      </c>
      <c r="F51" s="180">
        <f t="shared" si="5"/>
        <v>0</v>
      </c>
      <c r="G51" s="180" t="str">
        <f t="shared" si="2"/>
        <v/>
      </c>
      <c r="H51" s="180" t="str">
        <f t="shared" si="1"/>
        <v/>
      </c>
      <c r="I51" s="180" t="str">
        <f t="shared" si="3"/>
        <v/>
      </c>
      <c r="J51" s="180" t="str">
        <f t="shared" si="4"/>
        <v/>
      </c>
      <c r="K51" s="96"/>
      <c r="L51" s="143"/>
      <c r="M51" s="186"/>
      <c r="N51" s="186"/>
    </row>
    <row r="52" spans="2:14" outlineLevel="1" x14ac:dyDescent="0.25">
      <c r="B52" s="158" t="s">
        <v>136</v>
      </c>
      <c r="C52" s="146"/>
      <c r="D52" s="192" t="s">
        <v>92</v>
      </c>
      <c r="E52" s="146" t="s">
        <v>92</v>
      </c>
      <c r="F52" s="180">
        <f t="shared" si="5"/>
        <v>1</v>
      </c>
      <c r="G52" s="180" t="str">
        <f t="shared" si="2"/>
        <v>Households protected from flood risk  (#)</v>
      </c>
      <c r="H52" s="180" t="str">
        <f t="shared" si="1"/>
        <v>-</v>
      </c>
      <c r="I52" s="180" t="str">
        <f t="shared" si="3"/>
        <v>*</v>
      </c>
      <c r="J52" s="180" t="str">
        <f t="shared" si="4"/>
        <v xml:space="preserve">-Households protected from flood risk  (#)*
</v>
      </c>
      <c r="K52" s="96"/>
      <c r="L52" s="143"/>
      <c r="M52" s="186"/>
      <c r="N52" s="186"/>
    </row>
    <row r="53" spans="2:14" outlineLevel="1" x14ac:dyDescent="0.25">
      <c r="B53" s="158" t="s">
        <v>137</v>
      </c>
      <c r="C53" s="146"/>
      <c r="D53" s="192" t="s">
        <v>92</v>
      </c>
      <c r="E53" s="146" t="s">
        <v>92</v>
      </c>
      <c r="F53" s="180">
        <f t="shared" si="5"/>
        <v>1</v>
      </c>
      <c r="G53" s="180" t="str">
        <f t="shared" si="2"/>
        <v>Households with new or improved access to electricity supply  (#)</v>
      </c>
      <c r="H53" s="180" t="str">
        <f t="shared" si="1"/>
        <v>-</v>
      </c>
      <c r="I53" s="180" t="str">
        <f t="shared" si="3"/>
        <v>*</v>
      </c>
      <c r="J53" s="180" t="str">
        <f t="shared" si="4"/>
        <v xml:space="preserve">-Households with new or improved access to electricity supply  (#)*
</v>
      </c>
      <c r="K53" s="96"/>
      <c r="L53" s="143"/>
      <c r="M53" s="186"/>
      <c r="N53" s="186"/>
    </row>
    <row r="54" spans="2:14" outlineLevel="1" x14ac:dyDescent="0.25">
      <c r="B54" s="158" t="s">
        <v>138</v>
      </c>
      <c r="C54" s="146"/>
      <c r="D54" s="192"/>
      <c r="E54" s="146" t="s">
        <v>94</v>
      </c>
      <c r="F54" s="180">
        <f t="shared" si="5"/>
        <v>0</v>
      </c>
      <c r="G54" s="180" t="str">
        <f t="shared" si="2"/>
        <v/>
      </c>
      <c r="H54" s="180" t="str">
        <f t="shared" si="1"/>
        <v/>
      </c>
      <c r="I54" s="180" t="str">
        <f t="shared" si="3"/>
        <v/>
      </c>
      <c r="J54" s="180" t="str">
        <f t="shared" si="4"/>
        <v/>
      </c>
      <c r="K54" s="96"/>
      <c r="L54" s="143"/>
      <c r="M54" s="186"/>
      <c r="N54" s="186"/>
    </row>
    <row r="55" spans="2:14" outlineLevel="1" x14ac:dyDescent="0.25">
      <c r="B55" s="158" t="s">
        <v>139</v>
      </c>
      <c r="C55" s="146"/>
      <c r="D55" s="192"/>
      <c r="E55" s="146" t="s">
        <v>94</v>
      </c>
      <c r="F55" s="180">
        <f t="shared" si="5"/>
        <v>0</v>
      </c>
      <c r="G55" s="180" t="str">
        <f t="shared" si="2"/>
        <v/>
      </c>
      <c r="H55" s="180" t="str">
        <f t="shared" si="1"/>
        <v/>
      </c>
      <c r="I55" s="180" t="str">
        <f t="shared" si="3"/>
        <v/>
      </c>
      <c r="J55" s="180" t="str">
        <f t="shared" si="4"/>
        <v/>
      </c>
      <c r="K55" s="96"/>
      <c r="L55" s="143"/>
      <c r="M55" s="186"/>
      <c r="N55" s="186"/>
    </row>
    <row r="56" spans="2:14" outlineLevel="1" x14ac:dyDescent="0.25">
      <c r="B56" s="158" t="s">
        <v>140</v>
      </c>
      <c r="C56" s="146"/>
      <c r="D56" s="192"/>
      <c r="E56" s="146" t="s">
        <v>94</v>
      </c>
      <c r="F56" s="180">
        <f t="shared" si="5"/>
        <v>0</v>
      </c>
      <c r="G56" s="180" t="str">
        <f t="shared" si="2"/>
        <v/>
      </c>
      <c r="H56" s="180" t="str">
        <f t="shared" si="1"/>
        <v/>
      </c>
      <c r="I56" s="180" t="str">
        <f t="shared" si="3"/>
        <v/>
      </c>
      <c r="J56" s="180" t="str">
        <f t="shared" si="4"/>
        <v/>
      </c>
      <c r="K56" s="96"/>
      <c r="L56" s="143"/>
      <c r="M56" s="186"/>
      <c r="N56" s="186"/>
    </row>
    <row r="57" spans="2:14" outlineLevel="1" x14ac:dyDescent="0.25">
      <c r="B57" s="158" t="s">
        <v>141</v>
      </c>
      <c r="C57" s="146"/>
      <c r="D57" s="192"/>
      <c r="E57" s="146" t="s">
        <v>94</v>
      </c>
      <c r="F57" s="180">
        <f t="shared" si="5"/>
        <v>0</v>
      </c>
      <c r="G57" s="180" t="str">
        <f t="shared" si="2"/>
        <v/>
      </c>
      <c r="H57" s="180" t="str">
        <f t="shared" si="1"/>
        <v/>
      </c>
      <c r="I57" s="180" t="str">
        <f t="shared" si="3"/>
        <v/>
      </c>
      <c r="J57" s="180" t="str">
        <f t="shared" si="4"/>
        <v/>
      </c>
      <c r="K57" s="96"/>
      <c r="L57" s="143"/>
      <c r="M57" s="186"/>
      <c r="N57" s="186"/>
    </row>
    <row r="58" spans="2:14" outlineLevel="1" x14ac:dyDescent="0.25">
      <c r="B58" s="158" t="s">
        <v>142</v>
      </c>
      <c r="C58" s="146"/>
      <c r="D58" s="192"/>
      <c r="E58" s="146" t="s">
        <v>94</v>
      </c>
      <c r="F58" s="180">
        <f t="shared" si="5"/>
        <v>0</v>
      </c>
      <c r="G58" s="180" t="str">
        <f t="shared" si="2"/>
        <v/>
      </c>
      <c r="H58" s="180" t="str">
        <f t="shared" si="1"/>
        <v/>
      </c>
      <c r="I58" s="180" t="str">
        <f t="shared" si="3"/>
        <v/>
      </c>
      <c r="J58" s="180" t="str">
        <f t="shared" si="4"/>
        <v/>
      </c>
      <c r="K58" s="96"/>
      <c r="L58" s="143"/>
      <c r="M58" s="186"/>
      <c r="N58" s="186"/>
    </row>
    <row r="59" spans="2:14" outlineLevel="1" x14ac:dyDescent="0.25">
      <c r="B59" s="158" t="s">
        <v>143</v>
      </c>
      <c r="C59" s="146"/>
      <c r="D59" s="192"/>
      <c r="E59" s="146" t="s">
        <v>94</v>
      </c>
      <c r="F59" s="180">
        <f t="shared" si="5"/>
        <v>0</v>
      </c>
      <c r="G59" s="180" t="str">
        <f t="shared" si="2"/>
        <v/>
      </c>
      <c r="H59" s="180" t="str">
        <f t="shared" si="1"/>
        <v/>
      </c>
      <c r="I59" s="180" t="str">
        <f t="shared" si="3"/>
        <v/>
      </c>
      <c r="J59" s="180" t="str">
        <f t="shared" si="4"/>
        <v/>
      </c>
      <c r="K59" s="96"/>
      <c r="L59" s="143"/>
      <c r="M59" s="186"/>
      <c r="N59" s="186"/>
    </row>
    <row r="60" spans="2:14" outlineLevel="1" x14ac:dyDescent="0.25">
      <c r="B60" s="158" t="s">
        <v>144</v>
      </c>
      <c r="C60" s="146"/>
      <c r="D60" s="192"/>
      <c r="E60" s="146" t="s">
        <v>94</v>
      </c>
      <c r="F60" s="180">
        <f t="shared" si="5"/>
        <v>0</v>
      </c>
      <c r="G60" s="180" t="str">
        <f t="shared" si="2"/>
        <v/>
      </c>
      <c r="H60" s="180" t="str">
        <f t="shared" si="1"/>
        <v/>
      </c>
      <c r="I60" s="180" t="str">
        <f t="shared" si="3"/>
        <v/>
      </c>
      <c r="J60" s="180" t="str">
        <f t="shared" si="4"/>
        <v/>
      </c>
      <c r="K60" s="96"/>
      <c r="L60" s="143"/>
      <c r="M60" s="186"/>
      <c r="N60" s="186"/>
    </row>
    <row r="61" spans="2:14" outlineLevel="1" x14ac:dyDescent="0.25">
      <c r="B61" s="158" t="s">
        <v>145</v>
      </c>
      <c r="C61" s="146"/>
      <c r="D61" s="192"/>
      <c r="E61" s="146" t="s">
        <v>94</v>
      </c>
      <c r="F61" s="180">
        <f t="shared" si="5"/>
        <v>0</v>
      </c>
      <c r="G61" s="180" t="str">
        <f t="shared" si="2"/>
        <v/>
      </c>
      <c r="H61" s="180" t="str">
        <f t="shared" si="1"/>
        <v/>
      </c>
      <c r="I61" s="180" t="str">
        <f t="shared" si="3"/>
        <v/>
      </c>
      <c r="J61" s="180" t="str">
        <f t="shared" si="4"/>
        <v/>
      </c>
      <c r="K61" s="96"/>
      <c r="L61" s="143"/>
      <c r="M61" s="186"/>
      <c r="N61" s="186"/>
    </row>
    <row r="62" spans="2:14" ht="26.4" outlineLevel="1" x14ac:dyDescent="0.25">
      <c r="B62" s="158" t="s">
        <v>146</v>
      </c>
      <c r="C62" s="146"/>
      <c r="D62" s="192"/>
      <c r="E62" s="146" t="s">
        <v>94</v>
      </c>
      <c r="F62" s="180">
        <f t="shared" si="5"/>
        <v>0</v>
      </c>
      <c r="G62" s="180" t="str">
        <f t="shared" si="2"/>
        <v/>
      </c>
      <c r="H62" s="180" t="str">
        <f t="shared" si="1"/>
        <v/>
      </c>
      <c r="I62" s="180" t="str">
        <f t="shared" si="3"/>
        <v/>
      </c>
      <c r="J62" s="180" t="str">
        <f t="shared" si="4"/>
        <v/>
      </c>
      <c r="K62" s="96"/>
      <c r="L62" s="143"/>
      <c r="M62" s="186"/>
      <c r="N62" s="186"/>
    </row>
    <row r="63" spans="2:14" outlineLevel="1" x14ac:dyDescent="0.25">
      <c r="B63" s="158" t="s">
        <v>147</v>
      </c>
      <c r="C63" s="146"/>
      <c r="D63" s="192"/>
      <c r="E63" s="146" t="s">
        <v>94</v>
      </c>
      <c r="F63" s="180">
        <f>IF(E63="Yes",1,0)</f>
        <v>0</v>
      </c>
      <c r="G63" s="180" t="str">
        <f>IF(F63=1,B63,"")</f>
        <v/>
      </c>
      <c r="H63" s="180" t="str">
        <f>IF(G63&lt;&gt;"","-","")</f>
        <v/>
      </c>
      <c r="I63" s="180" t="str">
        <f>IF(E63="Yes","*","")</f>
        <v/>
      </c>
      <c r="J63" s="180" t="str">
        <f>IF(G63&lt;&gt;"",CONCATENATE(H63,G63,I63,CHAR(10)),"")</f>
        <v/>
      </c>
      <c r="K63" s="96"/>
      <c r="L63" s="143"/>
      <c r="M63" s="186"/>
      <c r="N63" s="186"/>
    </row>
    <row r="64" spans="2:14" outlineLevel="1" x14ac:dyDescent="0.25">
      <c r="B64" s="158" t="s">
        <v>148</v>
      </c>
      <c r="C64" s="146"/>
      <c r="D64" s="192" t="s">
        <v>92</v>
      </c>
      <c r="E64" s="146" t="s">
        <v>94</v>
      </c>
      <c r="F64" s="180">
        <f t="shared" si="5"/>
        <v>0</v>
      </c>
      <c r="G64" s="180" t="str">
        <f t="shared" si="2"/>
        <v/>
      </c>
      <c r="H64" s="180" t="str">
        <f t="shared" si="1"/>
        <v/>
      </c>
      <c r="I64" s="180" t="str">
        <f t="shared" si="3"/>
        <v/>
      </c>
      <c r="J64" s="180" t="str">
        <f t="shared" si="4"/>
        <v/>
      </c>
      <c r="K64" s="96"/>
      <c r="L64" s="143"/>
      <c r="M64" s="186"/>
      <c r="N64" s="186"/>
    </row>
    <row r="65" spans="2:14" outlineLevel="1" x14ac:dyDescent="0.25">
      <c r="B65" s="158" t="s">
        <v>149</v>
      </c>
      <c r="C65" s="146"/>
      <c r="D65" s="192" t="s">
        <v>92</v>
      </c>
      <c r="E65" s="146" t="s">
        <v>94</v>
      </c>
      <c r="F65" s="180">
        <f t="shared" si="5"/>
        <v>0</v>
      </c>
      <c r="G65" s="180" t="str">
        <f t="shared" si="2"/>
        <v/>
      </c>
      <c r="H65" s="180" t="str">
        <f t="shared" si="1"/>
        <v/>
      </c>
      <c r="I65" s="180" t="str">
        <f t="shared" si="3"/>
        <v/>
      </c>
      <c r="J65" s="180" t="str">
        <f t="shared" si="4"/>
        <v/>
      </c>
      <c r="K65" s="96"/>
      <c r="L65" s="143"/>
      <c r="M65" s="186"/>
      <c r="N65" s="186"/>
    </row>
    <row r="66" spans="2:14" outlineLevel="1" x14ac:dyDescent="0.25">
      <c r="B66" s="158" t="s">
        <v>150</v>
      </c>
      <c r="C66" s="146"/>
      <c r="D66" s="192"/>
      <c r="E66" s="146" t="s">
        <v>94</v>
      </c>
      <c r="F66" s="180">
        <f>IF(E66="Yes",1,0)</f>
        <v>0</v>
      </c>
      <c r="G66" s="180" t="str">
        <f>IF(F66=1,B66,"")</f>
        <v/>
      </c>
      <c r="H66" s="180" t="str">
        <f>IF(G66&lt;&gt;"","-","")</f>
        <v/>
      </c>
      <c r="I66" s="180" t="str">
        <f>IF(E66="Yes","*","")</f>
        <v/>
      </c>
      <c r="J66" s="180" t="str">
        <f>IF(G66&lt;&gt;"",CONCATENATE(H66,G66,I66,CHAR(10)),"")</f>
        <v/>
      </c>
      <c r="K66" s="96"/>
      <c r="L66" s="143"/>
      <c r="M66" s="186"/>
      <c r="N66" s="186"/>
    </row>
    <row r="67" spans="2:14" outlineLevel="1" x14ac:dyDescent="0.25">
      <c r="B67" s="158" t="s">
        <v>151</v>
      </c>
      <c r="C67" s="146"/>
      <c r="D67" s="192"/>
      <c r="E67" s="146" t="s">
        <v>94</v>
      </c>
      <c r="F67" s="180">
        <f t="shared" si="5"/>
        <v>0</v>
      </c>
      <c r="G67" s="180" t="str">
        <f t="shared" si="2"/>
        <v/>
      </c>
      <c r="H67" s="180" t="str">
        <f t="shared" si="1"/>
        <v/>
      </c>
      <c r="I67" s="180" t="str">
        <f t="shared" si="3"/>
        <v/>
      </c>
      <c r="J67" s="180" t="str">
        <f t="shared" si="4"/>
        <v/>
      </c>
      <c r="K67" s="96"/>
      <c r="L67" s="143"/>
      <c r="M67" s="186"/>
      <c r="N67" s="186"/>
    </row>
    <row r="68" spans="2:14" outlineLevel="1" x14ac:dyDescent="0.25">
      <c r="B68" s="158" t="s">
        <v>152</v>
      </c>
      <c r="C68" s="146"/>
      <c r="D68" s="192"/>
      <c r="E68" s="146" t="s">
        <v>94</v>
      </c>
      <c r="F68" s="180">
        <f t="shared" si="5"/>
        <v>0</v>
      </c>
      <c r="G68" s="180" t="str">
        <f t="shared" si="2"/>
        <v/>
      </c>
      <c r="H68" s="180" t="str">
        <f t="shared" si="1"/>
        <v/>
      </c>
      <c r="I68" s="180" t="str">
        <f t="shared" si="3"/>
        <v/>
      </c>
      <c r="J68" s="180" t="str">
        <f t="shared" si="4"/>
        <v/>
      </c>
      <c r="K68" s="96"/>
      <c r="L68" s="143"/>
      <c r="M68" s="186"/>
      <c r="N68" s="186"/>
    </row>
    <row r="69" spans="2:14" outlineLevel="1" x14ac:dyDescent="0.25">
      <c r="B69" s="158" t="s">
        <v>153</v>
      </c>
      <c r="C69" s="146"/>
      <c r="D69" s="192"/>
      <c r="E69" s="146" t="s">
        <v>94</v>
      </c>
      <c r="F69" s="180">
        <f t="shared" si="5"/>
        <v>0</v>
      </c>
      <c r="G69" s="180" t="str">
        <f t="shared" si="2"/>
        <v/>
      </c>
      <c r="H69" s="180" t="str">
        <f t="shared" si="1"/>
        <v/>
      </c>
      <c r="I69" s="180" t="str">
        <f t="shared" si="3"/>
        <v/>
      </c>
      <c r="J69" s="180" t="str">
        <f t="shared" si="4"/>
        <v/>
      </c>
      <c r="K69" s="96"/>
      <c r="L69" s="143"/>
      <c r="M69" s="186"/>
      <c r="N69" s="186"/>
    </row>
    <row r="70" spans="2:14" outlineLevel="1" x14ac:dyDescent="0.25">
      <c r="B70" s="158" t="s">
        <v>154</v>
      </c>
      <c r="C70" s="146"/>
      <c r="D70" s="192"/>
      <c r="E70" s="146" t="s">
        <v>94</v>
      </c>
      <c r="F70" s="180">
        <f t="shared" si="5"/>
        <v>0</v>
      </c>
      <c r="G70" s="180" t="str">
        <f t="shared" si="2"/>
        <v/>
      </c>
      <c r="H70" s="180" t="str">
        <f t="shared" si="1"/>
        <v/>
      </c>
      <c r="I70" s="180" t="str">
        <f t="shared" si="3"/>
        <v/>
      </c>
      <c r="J70" s="180" t="str">
        <f t="shared" si="4"/>
        <v/>
      </c>
      <c r="K70" s="96"/>
      <c r="L70" s="143"/>
      <c r="M70" s="186"/>
      <c r="N70" s="186"/>
    </row>
    <row r="71" spans="2:14" outlineLevel="1" x14ac:dyDescent="0.25">
      <c r="B71" s="158" t="s">
        <v>155</v>
      </c>
      <c r="C71" s="146"/>
      <c r="D71" s="192"/>
      <c r="E71" s="146" t="s">
        <v>94</v>
      </c>
      <c r="F71" s="180">
        <f>IF(E71="Yes",1,0)</f>
        <v>0</v>
      </c>
      <c r="G71" s="180" t="str">
        <f>IF(F71=1,B71,"")</f>
        <v/>
      </c>
      <c r="H71" s="180" t="str">
        <f>IF(G71&lt;&gt;"","-","")</f>
        <v/>
      </c>
      <c r="I71" s="180" t="str">
        <f>IF(E71="Yes","*","")</f>
        <v/>
      </c>
      <c r="J71" s="180" t="str">
        <f>IF(G71&lt;&gt;"",CONCATENATE(H71,G71,I71,CHAR(10)),"")</f>
        <v/>
      </c>
      <c r="K71" s="96"/>
      <c r="L71" s="143"/>
      <c r="M71" s="186"/>
      <c r="N71" s="186"/>
    </row>
    <row r="72" spans="2:14" outlineLevel="1" x14ac:dyDescent="0.25">
      <c r="B72" s="158" t="s">
        <v>156</v>
      </c>
      <c r="C72" s="146"/>
      <c r="D72" s="192"/>
      <c r="E72" s="146" t="s">
        <v>94</v>
      </c>
      <c r="F72" s="180">
        <f>IF(E72="Yes",1,0)</f>
        <v>0</v>
      </c>
      <c r="G72" s="180" t="str">
        <f>IF(F72=1,B72,"")</f>
        <v/>
      </c>
      <c r="H72" s="180" t="str">
        <f>IF(G72&lt;&gt;"","-","")</f>
        <v/>
      </c>
      <c r="I72" s="180" t="str">
        <f>IF(E72="Yes","*","")</f>
        <v/>
      </c>
      <c r="J72" s="180" t="str">
        <f>IF(G72&lt;&gt;"",CONCATENATE(H72,G72,I72,CHAR(10)),"")</f>
        <v/>
      </c>
      <c r="K72" s="96"/>
      <c r="L72" s="143"/>
      <c r="M72" s="186"/>
      <c r="N72" s="186"/>
    </row>
    <row r="73" spans="2:14" outlineLevel="1" x14ac:dyDescent="0.25">
      <c r="B73" s="158" t="s">
        <v>157</v>
      </c>
      <c r="C73" s="146"/>
      <c r="D73" s="192"/>
      <c r="E73" s="146" t="s">
        <v>94</v>
      </c>
      <c r="F73" s="180">
        <f>IF(E73="Yes",1,0)</f>
        <v>0</v>
      </c>
      <c r="G73" s="180" t="str">
        <f>IF(F73=1,B73,"")</f>
        <v/>
      </c>
      <c r="H73" s="180" t="str">
        <f>IF(G73&lt;&gt;"","-","")</f>
        <v/>
      </c>
      <c r="I73" s="180" t="str">
        <f>IF(E73="Yes","*","")</f>
        <v/>
      </c>
      <c r="J73" s="180" t="str">
        <f>IF(G73&lt;&gt;"",CONCATENATE(H73,G73,I73,CHAR(10)),"")</f>
        <v/>
      </c>
      <c r="K73" s="96"/>
      <c r="L73" s="143"/>
      <c r="M73" s="186"/>
      <c r="N73" s="186"/>
    </row>
    <row r="74" spans="2:14" outlineLevel="1" x14ac:dyDescent="0.25">
      <c r="B74" s="158" t="s">
        <v>158</v>
      </c>
      <c r="C74" s="146"/>
      <c r="D74" s="192"/>
      <c r="E74" s="146" t="s">
        <v>94</v>
      </c>
      <c r="F74" s="180">
        <f>IF(E74="Yes",1,0)</f>
        <v>0</v>
      </c>
      <c r="G74" s="180" t="str">
        <f>IF(F74=1,B74,"")</f>
        <v/>
      </c>
      <c r="H74" s="180" t="str">
        <f>IF(G74&lt;&gt;"","-","")</f>
        <v/>
      </c>
      <c r="I74" s="180" t="str">
        <f>IF(E74="Yes","*","")</f>
        <v/>
      </c>
      <c r="J74" s="180" t="str">
        <f>IF(G74&lt;&gt;"",CONCATENATE(H74,G74,I74,CHAR(10)),"")</f>
        <v/>
      </c>
      <c r="K74" s="96"/>
      <c r="L74" s="143"/>
      <c r="M74" s="186"/>
      <c r="N74" s="186"/>
    </row>
    <row r="75" spans="2:14" outlineLevel="1" x14ac:dyDescent="0.25">
      <c r="B75" s="158" t="s">
        <v>159</v>
      </c>
      <c r="C75" s="146"/>
      <c r="D75" s="192"/>
      <c r="E75" s="146" t="s">
        <v>94</v>
      </c>
      <c r="F75" s="180">
        <f>IF(E75="Yes",1,0)</f>
        <v>0</v>
      </c>
      <c r="G75" s="180" t="str">
        <f>IF(F75=1,B75,"")</f>
        <v/>
      </c>
      <c r="H75" s="180" t="str">
        <f>IF(G75&lt;&gt;"","-","")</f>
        <v/>
      </c>
      <c r="I75" s="180" t="str">
        <f>IF(E75="Yes","*","")</f>
        <v/>
      </c>
      <c r="J75" s="180" t="str">
        <f>IF(G75&lt;&gt;"",CONCATENATE(H75,G75,I75,CHAR(10)),"")</f>
        <v/>
      </c>
      <c r="K75" s="96"/>
      <c r="L75" s="143"/>
      <c r="M75" s="186"/>
      <c r="N75" s="186"/>
    </row>
    <row r="76" spans="2:14" ht="13.8" outlineLevel="1" thickBot="1" x14ac:dyDescent="0.3">
      <c r="B76" s="46" t="s">
        <v>160</v>
      </c>
      <c r="C76" s="83"/>
      <c r="D76" s="84"/>
      <c r="E76" s="83" t="s">
        <v>94</v>
      </c>
      <c r="F76" s="93">
        <f t="shared" si="5"/>
        <v>0</v>
      </c>
      <c r="G76" s="93" t="str">
        <f t="shared" si="2"/>
        <v/>
      </c>
      <c r="H76" s="93" t="str">
        <f t="shared" si="1"/>
        <v/>
      </c>
      <c r="I76" s="93" t="str">
        <f t="shared" si="3"/>
        <v/>
      </c>
      <c r="J76" s="93" t="str">
        <f t="shared" si="4"/>
        <v/>
      </c>
      <c r="K76" s="97"/>
      <c r="L76" s="138"/>
      <c r="M76" s="186"/>
      <c r="N76" s="139"/>
    </row>
    <row r="77" spans="2:14" ht="15.75" customHeight="1" thickBot="1" x14ac:dyDescent="0.3">
      <c r="D77" s="37"/>
      <c r="E77" s="37"/>
    </row>
    <row r="78" spans="2:14" ht="15.75" customHeight="1" x14ac:dyDescent="0.25">
      <c r="B78" s="7" t="s">
        <v>161</v>
      </c>
      <c r="C78" s="42"/>
      <c r="D78" s="43"/>
      <c r="E78" s="43"/>
      <c r="F78" s="85"/>
      <c r="G78" s="85"/>
      <c r="H78" s="85"/>
      <c r="I78" s="85"/>
      <c r="J78" s="85"/>
      <c r="K78" s="85"/>
      <c r="L78" s="140"/>
      <c r="M78" s="141"/>
      <c r="N78" s="141"/>
    </row>
    <row r="79" spans="2:14" ht="15.75" customHeight="1" x14ac:dyDescent="0.25">
      <c r="B79" s="177" t="s">
        <v>162</v>
      </c>
      <c r="C79" s="193"/>
      <c r="D79" s="194"/>
      <c r="E79" s="194"/>
      <c r="L79" s="181"/>
      <c r="M79" s="182"/>
      <c r="N79" s="182"/>
    </row>
    <row r="80" spans="2:14" x14ac:dyDescent="0.25">
      <c r="B80" s="195" t="s">
        <v>163</v>
      </c>
      <c r="C80" s="147" t="s">
        <v>164</v>
      </c>
      <c r="D80" s="190" t="s">
        <v>92</v>
      </c>
      <c r="E80" s="192"/>
      <c r="L80" s="143"/>
      <c r="M80" s="186"/>
      <c r="N80" s="186"/>
    </row>
    <row r="81" spans="2:14" x14ac:dyDescent="0.25">
      <c r="B81" s="195" t="s">
        <v>165</v>
      </c>
      <c r="C81" s="148" t="s">
        <v>166</v>
      </c>
      <c r="D81" s="190" t="s">
        <v>92</v>
      </c>
      <c r="E81" s="192"/>
      <c r="L81" s="143"/>
      <c r="M81" s="186"/>
      <c r="N81" s="186"/>
    </row>
    <row r="82" spans="2:14" ht="24" customHeight="1" x14ac:dyDescent="0.25">
      <c r="B82" s="196" t="s">
        <v>167</v>
      </c>
      <c r="C82" s="193"/>
      <c r="D82" s="194"/>
      <c r="E82" s="194"/>
      <c r="L82" s="181"/>
      <c r="M82" s="182"/>
      <c r="N82" s="182"/>
    </row>
    <row r="83" spans="2:14" x14ac:dyDescent="0.25">
      <c r="B83" s="195" t="s">
        <v>168</v>
      </c>
      <c r="C83" s="147" t="s">
        <v>440</v>
      </c>
      <c r="D83" s="190" t="s">
        <v>92</v>
      </c>
      <c r="E83" s="192"/>
      <c r="L83" s="143"/>
      <c r="M83" s="186"/>
      <c r="N83" s="186"/>
    </row>
    <row r="84" spans="2:14" ht="24" customHeight="1" x14ac:dyDescent="0.25">
      <c r="B84" s="177" t="s">
        <v>169</v>
      </c>
      <c r="C84" s="193"/>
      <c r="D84" s="194"/>
      <c r="E84" s="194"/>
      <c r="L84" s="181"/>
      <c r="M84" s="182"/>
      <c r="N84" s="182"/>
    </row>
    <row r="85" spans="2:14" ht="13.8" thickBot="1" x14ac:dyDescent="0.3">
      <c r="B85" s="22" t="s">
        <v>170</v>
      </c>
      <c r="C85" s="23" t="s">
        <v>171</v>
      </c>
      <c r="D85" s="38" t="s">
        <v>92</v>
      </c>
      <c r="E85" s="84"/>
      <c r="F85" s="86"/>
      <c r="G85" s="86"/>
      <c r="H85" s="86"/>
      <c r="I85" s="86"/>
      <c r="J85" s="86"/>
      <c r="K85" s="86"/>
      <c r="L85" s="138"/>
      <c r="M85" s="139"/>
      <c r="N85" s="186"/>
    </row>
  </sheetData>
  <sheetProtection algorithmName="SHA-512" hashValue="XSVtU5i5kORDxkYedSi4ZC6XT95qxjihVaWrzA3VDMbJkTrlfoKs9y6oOGcOPXQWNeZFC9zqXJX92r0VjKSh0w==" saltValue="aAEMXxhFnl1iis/9QJ77O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D85:E85 D80:E81 D83:E83 D17:D19 E12 D11:D13 D21:D33 D15 E16:E18 E22:E45 D35:D45 D47:E76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2"/>
  <sheetViews>
    <sheetView zoomScale="80" zoomScaleNormal="80" workbookViewId="0">
      <selection activeCell="C19" sqref="C19"/>
    </sheetView>
  </sheetViews>
  <sheetFormatPr defaultColWidth="9.109375" defaultRowHeight="13.2" outlineLevelRow="1" x14ac:dyDescent="0.25"/>
  <cols>
    <col min="1" max="1" width="0.33203125" style="2" customWidth="1"/>
    <col min="2" max="2" width="107.33203125" style="3" customWidth="1"/>
    <col min="3" max="3" width="34.109375" style="2" customWidth="1"/>
    <col min="4" max="5" width="25.33203125" style="9" customWidth="1"/>
    <col min="6" max="8" width="9.109375" style="24" hidden="1" customWidth="1"/>
    <col min="9" max="9" width="32.44140625" style="24" hidden="1" customWidth="1"/>
    <col min="10" max="10" width="21.5546875" style="24" hidden="1" customWidth="1"/>
    <col min="11" max="11" width="9" style="24" customWidth="1"/>
    <col min="12" max="16384" width="9.109375" style="2"/>
  </cols>
  <sheetData>
    <row r="2" spans="1:11" ht="17.399999999999999" x14ac:dyDescent="0.25">
      <c r="B2" s="460" t="s">
        <v>172</v>
      </c>
      <c r="C2" s="460"/>
      <c r="D2" s="460"/>
      <c r="E2" s="60"/>
    </row>
    <row r="3" spans="1:11" ht="20.25" customHeight="1" thickBot="1" x14ac:dyDescent="0.3">
      <c r="B3" s="469" t="s">
        <v>173</v>
      </c>
      <c r="C3" s="469"/>
      <c r="D3" s="469"/>
      <c r="E3" s="60"/>
    </row>
    <row r="4" spans="1:11" ht="17.399999999999999" x14ac:dyDescent="0.25">
      <c r="A4" s="470" t="s">
        <v>78</v>
      </c>
      <c r="B4" s="471"/>
      <c r="C4" s="471"/>
      <c r="D4" s="472"/>
      <c r="E4" s="62"/>
    </row>
    <row r="5" spans="1:11" ht="30.75" customHeight="1" x14ac:dyDescent="0.25">
      <c r="A5" s="4">
        <v>1</v>
      </c>
      <c r="B5" s="473" t="s">
        <v>174</v>
      </c>
      <c r="C5" s="473"/>
      <c r="D5" s="474"/>
      <c r="E5" s="16"/>
    </row>
    <row r="6" spans="1:11" ht="75.75" customHeight="1" thickBot="1" x14ac:dyDescent="0.3">
      <c r="A6" s="15"/>
      <c r="B6" s="467" t="s">
        <v>175</v>
      </c>
      <c r="C6" s="467"/>
      <c r="D6" s="468"/>
      <c r="E6" s="63"/>
    </row>
    <row r="7" spans="1:11" ht="27" customHeight="1" thickBot="1" x14ac:dyDescent="0.3">
      <c r="C7" s="3"/>
      <c r="D7" s="8"/>
      <c r="E7" s="8"/>
    </row>
    <row r="8" spans="1:11" ht="15.75" customHeight="1" thickBot="1" x14ac:dyDescent="0.3">
      <c r="B8" s="39" t="s">
        <v>176</v>
      </c>
      <c r="C8" s="40" t="s">
        <v>82</v>
      </c>
      <c r="D8" s="67" t="s">
        <v>177</v>
      </c>
      <c r="E8" s="197" t="s">
        <v>178</v>
      </c>
      <c r="F8" s="55"/>
      <c r="G8" s="55"/>
      <c r="H8" s="55"/>
      <c r="I8" s="55"/>
      <c r="J8" s="55"/>
      <c r="K8" s="55"/>
    </row>
    <row r="9" spans="1:11" ht="15.75" customHeight="1" x14ac:dyDescent="0.25">
      <c r="B9" s="41" t="s">
        <v>179</v>
      </c>
      <c r="C9" s="198"/>
      <c r="D9" s="68" t="s">
        <v>83</v>
      </c>
      <c r="E9" s="173" t="s">
        <v>83</v>
      </c>
      <c r="F9" s="49"/>
      <c r="G9" s="49"/>
      <c r="H9" s="49"/>
      <c r="I9" s="49"/>
      <c r="J9" s="49"/>
      <c r="K9" s="49"/>
    </row>
    <row r="10" spans="1:11" ht="15.75" customHeight="1" x14ac:dyDescent="0.25">
      <c r="B10" s="177" t="s">
        <v>180</v>
      </c>
      <c r="C10" s="178"/>
      <c r="D10" s="69"/>
      <c r="E10" s="178"/>
      <c r="F10" s="50"/>
      <c r="G10" s="50"/>
      <c r="H10" s="50"/>
      <c r="I10" s="50"/>
      <c r="J10" s="50"/>
      <c r="K10" s="50"/>
    </row>
    <row r="11" spans="1:11" ht="15.75" customHeight="1" x14ac:dyDescent="0.25">
      <c r="B11" s="183" t="s">
        <v>181</v>
      </c>
      <c r="C11" s="187"/>
      <c r="D11" s="70" t="str">
        <f>'DEM (Strategic Priorities)'!D11</f>
        <v>Yes</v>
      </c>
      <c r="E11" s="199"/>
      <c r="F11" s="50">
        <f>IF(D11="Yes",1,0)</f>
        <v>1</v>
      </c>
      <c r="G11" s="50" t="str">
        <f>IF(F11&lt;&gt;0,B11,"")</f>
        <v>Inclusión Social e Igualdad</v>
      </c>
      <c r="H11" s="50" t="str">
        <f>IF(G11&lt;&gt;"","-","")</f>
        <v>-</v>
      </c>
      <c r="I11" s="50" t="str">
        <f>IF(G11&lt;&gt;"",CONCATENATE(H11,G11,CHAR(10)),"")</f>
        <v xml:space="preserve">-Inclusión Social e Igualdad
</v>
      </c>
      <c r="J11" s="50" t="str">
        <f>CONCATENATE(I11,I12,I13,I15,I16,I17)</f>
        <v xml:space="preserve">-Inclusión Social e Igualdad
-Equidad de Género y Diversidad
-Cambio Climático y Sostenibilidad Ambiental
-Capacidad Institucional y Estado de Derecho
</v>
      </c>
      <c r="K11" s="50"/>
    </row>
    <row r="12" spans="1:11" ht="22.5" customHeight="1" outlineLevel="1" x14ac:dyDescent="0.25">
      <c r="B12" s="183" t="s">
        <v>182</v>
      </c>
      <c r="C12" s="187"/>
      <c r="D12" s="70" t="str">
        <f>'DEM (Strategic Priorities)'!D12</f>
        <v>No</v>
      </c>
      <c r="E12" s="199"/>
      <c r="F12" s="50">
        <f>IF(D12="Yes",1,0)</f>
        <v>0</v>
      </c>
      <c r="G12" s="50" t="str">
        <f>IF(F12&lt;&gt;0,B12,"")</f>
        <v/>
      </c>
      <c r="H12" s="50" t="str">
        <f>IF(G12&lt;&gt;"","-","")</f>
        <v/>
      </c>
      <c r="I12" s="50" t="str">
        <f>IF(G12&lt;&gt;"",CONCATENATE(H12,G12,CHAR(10)),"")</f>
        <v/>
      </c>
      <c r="J12" s="50"/>
      <c r="K12" s="50"/>
    </row>
    <row r="13" spans="1:11" ht="15.75" customHeight="1" x14ac:dyDescent="0.25">
      <c r="B13" s="183" t="s">
        <v>183</v>
      </c>
      <c r="C13" s="187"/>
      <c r="D13" s="70" t="str">
        <f>'DEM (Strategic Priorities)'!D13</f>
        <v>No</v>
      </c>
      <c r="E13" s="199"/>
      <c r="F13" s="50">
        <f>IF(D13="Yes",1,0)</f>
        <v>0</v>
      </c>
      <c r="G13" s="50" t="str">
        <f>IF(F13&lt;&gt;0,B13,"")</f>
        <v/>
      </c>
      <c r="H13" s="50" t="str">
        <f>IF(G13&lt;&gt;"","-","")</f>
        <v/>
      </c>
      <c r="I13" s="50" t="str">
        <f>IF(G13&lt;&gt;"",CONCATENATE(H13,G13,CHAR(10)),"")</f>
        <v/>
      </c>
      <c r="J13" s="50"/>
      <c r="K13" s="50"/>
    </row>
    <row r="14" spans="1:11" ht="15.75" customHeight="1" x14ac:dyDescent="0.25">
      <c r="B14" s="177" t="s">
        <v>184</v>
      </c>
      <c r="C14" s="178"/>
      <c r="D14" s="178"/>
      <c r="E14" s="178"/>
      <c r="F14" s="50"/>
      <c r="G14" s="50"/>
      <c r="H14" s="50"/>
      <c r="I14" s="50"/>
      <c r="J14" s="50"/>
      <c r="K14" s="50"/>
    </row>
    <row r="15" spans="1:11" ht="21.75" customHeight="1" x14ac:dyDescent="0.25">
      <c r="B15" s="183" t="s">
        <v>185</v>
      </c>
      <c r="C15" s="187"/>
      <c r="D15" s="70" t="str">
        <f>'DEM (Strategic Priorities)'!D15</f>
        <v>Yes</v>
      </c>
      <c r="E15" s="199"/>
      <c r="F15" s="50">
        <f>IF(D15="Yes",1,0)</f>
        <v>1</v>
      </c>
      <c r="G15" s="50" t="str">
        <f>IF(F15&lt;&gt;0,B15,"")</f>
        <v>Equidad de Género y Diversidad</v>
      </c>
      <c r="H15" s="50" t="str">
        <f>IF(G15&lt;&gt;"","-","")</f>
        <v>-</v>
      </c>
      <c r="I15" s="50" t="str">
        <f>IF(G15&lt;&gt;"",CONCATENATE(H15,G15,CHAR(10)),"")</f>
        <v xml:space="preserve">-Equidad de Género y Diversidad
</v>
      </c>
      <c r="J15" s="50"/>
      <c r="K15" s="50"/>
    </row>
    <row r="16" spans="1:11" ht="21.75" customHeight="1" x14ac:dyDescent="0.25">
      <c r="B16" s="183" t="s">
        <v>186</v>
      </c>
      <c r="C16" s="187"/>
      <c r="D16" s="70" t="str">
        <f>'DEM (Strategic Priorities)'!D16</f>
        <v>Yes</v>
      </c>
      <c r="E16" s="199"/>
      <c r="F16" s="50">
        <f>IF(D16="Yes",1,0)</f>
        <v>1</v>
      </c>
      <c r="G16" s="50" t="str">
        <f>IF(F16&lt;&gt;0,B16,"")</f>
        <v>Cambio Climático y Sostenibilidad Ambiental</v>
      </c>
      <c r="H16" s="50" t="str">
        <f>IF(G16&lt;&gt;"","-","")</f>
        <v>-</v>
      </c>
      <c r="I16" s="50" t="str">
        <f>IF(G16&lt;&gt;"",CONCATENATE(H16,G16,CHAR(10)),"")</f>
        <v xml:space="preserve">-Cambio Climático y Sostenibilidad Ambiental
</v>
      </c>
      <c r="J16" s="50"/>
      <c r="K16" s="50"/>
    </row>
    <row r="17" spans="2:11" ht="15.75" customHeight="1" outlineLevel="1" x14ac:dyDescent="0.25">
      <c r="B17" s="183" t="s">
        <v>187</v>
      </c>
      <c r="C17" s="187"/>
      <c r="D17" s="70" t="str">
        <f>'DEM (Strategic Priorities)'!D19</f>
        <v>Yes</v>
      </c>
      <c r="E17" s="199"/>
      <c r="F17" s="50">
        <f>IF(D17="Yes",1,0)</f>
        <v>1</v>
      </c>
      <c r="G17" s="50" t="str">
        <f>IF(F17&lt;&gt;0,B17,"")</f>
        <v>Capacidad Institucional y Estado de Derecho</v>
      </c>
      <c r="H17" s="50" t="str">
        <f>IF(G17&lt;&gt;"","-","")</f>
        <v>-</v>
      </c>
      <c r="I17" s="50" t="str">
        <f>IF(G17&lt;&gt;"",CONCATENATE(H17,G17,CHAR(10)),"")</f>
        <v xml:space="preserve">-Capacidad Institucional y Estado de Derecho
</v>
      </c>
      <c r="J17" s="50"/>
      <c r="K17" s="50"/>
    </row>
    <row r="18" spans="2:11" ht="15.75" customHeight="1" outlineLevel="1" x14ac:dyDescent="0.25">
      <c r="B18" s="177" t="s">
        <v>188</v>
      </c>
      <c r="C18" s="191"/>
      <c r="D18" s="72"/>
      <c r="E18" s="179"/>
      <c r="F18" s="50"/>
      <c r="G18" s="50"/>
      <c r="H18" s="50"/>
      <c r="I18" s="50"/>
      <c r="J18" s="50"/>
      <c r="K18" s="50" t="str">
        <f>CONCATENATE(J19,J20,J21,J22,J23,J24,J25,J26,J27,J28,J29,J30,J31,J32,J33,J34,J35,J36,J37,J38,J39,J40,J41,J42,J43,J44,J45,J46,J47,J48,J49,J50,J51,J52,J53,J54,J55,J56,J57,J58,J59,J60,J61,J62,J63,J64,J65,J66,J67,J68,J69,J70,J71,J72,J73)</f>
        <v xml:space="preserve">-Valor de la propiedad dentro del área de influencia del proyecto (% cambio)*
-Hogares que se benefician de soluciones de vivienda (#)*
-Hogares con acceso nuevo o mejorado a agua potable (#)*
-Hogares con acceso nuevo o mejorado a saneamiento  (#)*
-Caminos construidos o mejorados  (km)*
-Hogares con tratamiento de agua residuales (#)*
-Hogares protegidos del riesgo de inundación (#)*
-Hogares con acceso Nuevo o mejorado al suministro de electricidad (#)*
</v>
      </c>
    </row>
    <row r="19" spans="2:11" ht="34.5" customHeight="1" outlineLevel="1" x14ac:dyDescent="0.25">
      <c r="B19" s="158" t="s">
        <v>189</v>
      </c>
      <c r="C19" s="146"/>
      <c r="D19" s="71" t="str">
        <f>'DEM (Strategic Priorities)'!D21</f>
        <v>No</v>
      </c>
      <c r="E19" s="71">
        <f>'DEM (Strategic Priorities)'!E21</f>
        <v>0</v>
      </c>
      <c r="F19" s="50">
        <f t="shared" ref="F19:F25" si="0">IF(D19="Yes",1,0)</f>
        <v>0</v>
      </c>
      <c r="G19" s="50" t="str">
        <f>IF(F19=1,B19,"")</f>
        <v/>
      </c>
      <c r="H19" s="50" t="str">
        <f t="shared" ref="H19:H43" si="1">IF(G19&lt;&gt;"","-","")</f>
        <v/>
      </c>
      <c r="I19" s="61" t="str">
        <f>IF(E19="Yes","*","")</f>
        <v/>
      </c>
      <c r="J19" s="50" t="str">
        <f>IF(G19&lt;&gt;"",CONCATENATE(H19,G19,I19,CHAR(10)),"")</f>
        <v/>
      </c>
      <c r="K19" s="61"/>
    </row>
    <row r="20" spans="2:11" ht="24.75" customHeight="1" outlineLevel="1" x14ac:dyDescent="0.25">
      <c r="B20" s="158" t="s">
        <v>190</v>
      </c>
      <c r="C20" s="146"/>
      <c r="D20" s="71" t="str">
        <f>'DEM (Strategic Priorities)'!D22</f>
        <v>No</v>
      </c>
      <c r="E20" s="71">
        <f>'DEM (Strategic Priorities)'!E22</f>
        <v>0</v>
      </c>
      <c r="F20" s="50">
        <f t="shared" si="0"/>
        <v>0</v>
      </c>
      <c r="G20" s="50" t="str">
        <f t="shared" ref="G20:G43" si="2">IF(F20=1,B20,"")</f>
        <v/>
      </c>
      <c r="H20" s="50" t="str">
        <f t="shared" si="1"/>
        <v/>
      </c>
      <c r="I20" s="61" t="str">
        <f t="shared" ref="I20:I43" si="3">IF(E20="Yes","*","")</f>
        <v/>
      </c>
      <c r="J20" s="50" t="str">
        <f>IF(G20&lt;&gt;"",CONCATENATE(H20,G20,I20,CHAR(10)),"")</f>
        <v/>
      </c>
      <c r="K20" s="50"/>
    </row>
    <row r="21" spans="2:11" ht="15.75" customHeight="1" outlineLevel="1" x14ac:dyDescent="0.25">
      <c r="B21" s="158" t="s">
        <v>191</v>
      </c>
      <c r="C21" s="146"/>
      <c r="D21" s="71" t="str">
        <f>'DEM (Strategic Priorities)'!D23</f>
        <v>Yes</v>
      </c>
      <c r="E21" s="200" t="str">
        <f>'DEM (Strategic Priorities)'!E23</f>
        <v>Yes</v>
      </c>
      <c r="F21" s="50">
        <f>IF(E21="Yes",1,0)</f>
        <v>1</v>
      </c>
      <c r="G21" s="50" t="str">
        <f t="shared" si="2"/>
        <v>Valor de la propiedad dentro del área de influencia del proyecto (% cambio)</v>
      </c>
      <c r="H21" s="50" t="str">
        <f t="shared" si="1"/>
        <v>-</v>
      </c>
      <c r="I21" s="61" t="str">
        <f t="shared" si="3"/>
        <v>*</v>
      </c>
      <c r="J21" s="50" t="str">
        <f>IF(G21&lt;&gt;"",CONCATENATE(H21,G21,I21,CHAR(10)),"")</f>
        <v xml:space="preserve">-Valor de la propiedad dentro del área de influencia del proyecto (% cambio)*
</v>
      </c>
      <c r="K21" s="50"/>
    </row>
    <row r="22" spans="2:11" ht="15.75" customHeight="1" outlineLevel="1" x14ac:dyDescent="0.25">
      <c r="B22" s="158" t="s">
        <v>192</v>
      </c>
      <c r="C22" s="146"/>
      <c r="D22" s="71" t="str">
        <f>'DEM (Strategic Priorities)'!D24</f>
        <v>Yes</v>
      </c>
      <c r="E22" s="200" t="str">
        <f>'DEM (Strategic Priorities)'!E24</f>
        <v>No</v>
      </c>
      <c r="F22" s="50">
        <f>IF(E22="Yes",1,0)</f>
        <v>0</v>
      </c>
      <c r="G22" s="50" t="str">
        <f t="shared" si="2"/>
        <v/>
      </c>
      <c r="H22" s="50" t="str">
        <f t="shared" si="1"/>
        <v/>
      </c>
      <c r="I22" s="61" t="str">
        <f t="shared" si="3"/>
        <v/>
      </c>
      <c r="J22" s="50" t="str">
        <f>IF(G22&lt;&gt;"",CONCATENATE(H22,G22,I22,CHAR(10)),"")</f>
        <v/>
      </c>
      <c r="K22" s="50"/>
    </row>
    <row r="23" spans="2:11" ht="15.75" customHeight="1" outlineLevel="1" x14ac:dyDescent="0.25">
      <c r="B23" s="158" t="s">
        <v>193</v>
      </c>
      <c r="C23" s="146"/>
      <c r="D23" s="71">
        <f>'DEM (Strategic Priorities)'!D25</f>
        <v>0</v>
      </c>
      <c r="E23" s="200" t="str">
        <f>'DEM (Strategic Priorities)'!E25</f>
        <v>No</v>
      </c>
      <c r="F23" s="50">
        <f>IF(E23="Yes",1,0)</f>
        <v>0</v>
      </c>
      <c r="G23" s="50" t="str">
        <f t="shared" si="2"/>
        <v/>
      </c>
      <c r="H23" s="50" t="str">
        <f t="shared" si="1"/>
        <v/>
      </c>
      <c r="I23" s="61" t="str">
        <f t="shared" si="3"/>
        <v/>
      </c>
      <c r="J23" s="50" t="str">
        <f>IF(G23&lt;&gt;"",CONCATENATE(H23,G23,I23,CHAR(10)),"")</f>
        <v/>
      </c>
      <c r="K23" s="50"/>
    </row>
    <row r="24" spans="2:11" ht="15.75" customHeight="1" outlineLevel="1" x14ac:dyDescent="0.25">
      <c r="B24" s="158" t="s">
        <v>194</v>
      </c>
      <c r="C24" s="146"/>
      <c r="D24" s="71" t="str">
        <f>'DEM (Strategic Priorities)'!D26</f>
        <v>No</v>
      </c>
      <c r="E24" s="200">
        <f>'DEM (Strategic Priorities)'!E26</f>
        <v>0</v>
      </c>
      <c r="F24" s="50">
        <f t="shared" si="0"/>
        <v>0</v>
      </c>
      <c r="G24" s="50" t="str">
        <f t="shared" si="2"/>
        <v/>
      </c>
      <c r="H24" s="50" t="str">
        <f t="shared" si="1"/>
        <v/>
      </c>
      <c r="I24" s="61" t="str">
        <f t="shared" si="3"/>
        <v/>
      </c>
      <c r="J24" s="50" t="str">
        <f t="shared" ref="J24:J43" si="4">IF(G24&lt;&gt;"",CONCATENATE(H24,G24,I24,CHAR(10)),"")</f>
        <v/>
      </c>
      <c r="K24" s="50"/>
    </row>
    <row r="25" spans="2:11" ht="15.75" customHeight="1" outlineLevel="1" x14ac:dyDescent="0.25">
      <c r="B25" s="158" t="s">
        <v>195</v>
      </c>
      <c r="C25" s="146"/>
      <c r="D25" s="71" t="str">
        <f>'DEM (Strategic Priorities)'!D27</f>
        <v>No</v>
      </c>
      <c r="E25" s="200">
        <f>'DEM (Strategic Priorities)'!E27</f>
        <v>0</v>
      </c>
      <c r="F25" s="50">
        <f t="shared" si="0"/>
        <v>0</v>
      </c>
      <c r="G25" s="50" t="str">
        <f t="shared" si="2"/>
        <v/>
      </c>
      <c r="H25" s="50" t="str">
        <f t="shared" si="1"/>
        <v/>
      </c>
      <c r="I25" s="61" t="str">
        <f t="shared" si="3"/>
        <v/>
      </c>
      <c r="J25" s="50" t="str">
        <f t="shared" si="4"/>
        <v/>
      </c>
      <c r="K25" s="50"/>
    </row>
    <row r="26" spans="2:11" ht="30" customHeight="1" outlineLevel="1" x14ac:dyDescent="0.25">
      <c r="B26" s="158" t="s">
        <v>196</v>
      </c>
      <c r="C26" s="146"/>
      <c r="D26" s="73">
        <f>'DEM (Strategic Priorities)'!D28</f>
        <v>0</v>
      </c>
      <c r="E26" s="200" t="str">
        <f>'DEM (Strategic Priorities)'!E28</f>
        <v>No</v>
      </c>
      <c r="F26" s="50">
        <f t="shared" ref="F26:F43" si="5">IF(E26="Yes",1,0)</f>
        <v>0</v>
      </c>
      <c r="G26" s="50" t="str">
        <f t="shared" si="2"/>
        <v/>
      </c>
      <c r="H26" s="50" t="str">
        <f t="shared" si="1"/>
        <v/>
      </c>
      <c r="I26" s="61" t="str">
        <f t="shared" si="3"/>
        <v/>
      </c>
      <c r="J26" s="50" t="str">
        <f t="shared" si="4"/>
        <v/>
      </c>
      <c r="K26" s="50"/>
    </row>
    <row r="27" spans="2:11" ht="15.75" customHeight="1" outlineLevel="1" x14ac:dyDescent="0.25">
      <c r="B27" s="158" t="s">
        <v>197</v>
      </c>
      <c r="C27" s="146"/>
      <c r="D27" s="73">
        <f>'DEM (Strategic Priorities)'!D29</f>
        <v>0</v>
      </c>
      <c r="E27" s="200" t="str">
        <f>'DEM (Strategic Priorities)'!E29</f>
        <v>No</v>
      </c>
      <c r="F27" s="50">
        <f t="shared" si="5"/>
        <v>0</v>
      </c>
      <c r="G27" s="50" t="str">
        <f t="shared" si="2"/>
        <v/>
      </c>
      <c r="H27" s="50" t="str">
        <f t="shared" si="1"/>
        <v/>
      </c>
      <c r="I27" s="61" t="str">
        <f t="shared" si="3"/>
        <v/>
      </c>
      <c r="J27" s="50" t="str">
        <f t="shared" si="4"/>
        <v/>
      </c>
      <c r="K27" s="50"/>
    </row>
    <row r="28" spans="2:11" ht="15.75" customHeight="1" outlineLevel="1" x14ac:dyDescent="0.25">
      <c r="B28" s="158" t="s">
        <v>198</v>
      </c>
      <c r="C28" s="146"/>
      <c r="D28" s="73">
        <f>'DEM (Strategic Priorities)'!D30</f>
        <v>0</v>
      </c>
      <c r="E28" s="200" t="str">
        <f>'DEM (Strategic Priorities)'!E30</f>
        <v>No</v>
      </c>
      <c r="F28" s="50">
        <f t="shared" si="5"/>
        <v>0</v>
      </c>
      <c r="G28" s="50" t="str">
        <f t="shared" si="2"/>
        <v/>
      </c>
      <c r="H28" s="50" t="str">
        <f t="shared" si="1"/>
        <v/>
      </c>
      <c r="I28" s="61" t="str">
        <f t="shared" si="3"/>
        <v/>
      </c>
      <c r="J28" s="50" t="str">
        <f t="shared" si="4"/>
        <v/>
      </c>
      <c r="K28" s="50"/>
    </row>
    <row r="29" spans="2:11" ht="15.75" customHeight="1" outlineLevel="1" x14ac:dyDescent="0.25">
      <c r="B29" s="158" t="s">
        <v>199</v>
      </c>
      <c r="C29" s="146"/>
      <c r="D29" s="73">
        <f>'DEM (Strategic Priorities)'!D31</f>
        <v>0</v>
      </c>
      <c r="E29" s="200" t="str">
        <f>'DEM (Strategic Priorities)'!E31</f>
        <v>No</v>
      </c>
      <c r="F29" s="50">
        <f t="shared" si="5"/>
        <v>0</v>
      </c>
      <c r="G29" s="50" t="str">
        <f t="shared" si="2"/>
        <v/>
      </c>
      <c r="H29" s="50" t="str">
        <f t="shared" si="1"/>
        <v/>
      </c>
      <c r="I29" s="61" t="str">
        <f t="shared" si="3"/>
        <v/>
      </c>
      <c r="J29" s="50" t="str">
        <f t="shared" si="4"/>
        <v/>
      </c>
      <c r="K29" s="50"/>
    </row>
    <row r="30" spans="2:11" ht="27" customHeight="1" outlineLevel="1" x14ac:dyDescent="0.25">
      <c r="B30" s="158" t="s">
        <v>200</v>
      </c>
      <c r="C30" s="146"/>
      <c r="D30" s="73" t="str">
        <f>'DEM (Strategic Priorities)'!D32</f>
        <v>Yes</v>
      </c>
      <c r="E30" s="200" t="str">
        <f>'DEM (Strategic Priorities)'!E32</f>
        <v>Yes</v>
      </c>
      <c r="F30" s="50">
        <f t="shared" si="5"/>
        <v>1</v>
      </c>
      <c r="G30" s="50" t="str">
        <f t="shared" si="2"/>
        <v>Hogares que se benefician de soluciones de vivienda (#)</v>
      </c>
      <c r="H30" s="50" t="str">
        <f t="shared" si="1"/>
        <v>-</v>
      </c>
      <c r="I30" s="61" t="str">
        <f t="shared" si="3"/>
        <v>*</v>
      </c>
      <c r="J30" s="50" t="str">
        <f t="shared" si="4"/>
        <v xml:space="preserve">-Hogares que se benefician de soluciones de vivienda (#)*
</v>
      </c>
      <c r="K30" s="50"/>
    </row>
    <row r="31" spans="2:11" ht="15.75" customHeight="1" outlineLevel="1" x14ac:dyDescent="0.25">
      <c r="B31" s="158" t="s">
        <v>201</v>
      </c>
      <c r="C31" s="146"/>
      <c r="D31" s="73">
        <f>'DEM (Strategic Priorities)'!D33</f>
        <v>0</v>
      </c>
      <c r="E31" s="200" t="str">
        <f>'DEM (Strategic Priorities)'!E33</f>
        <v>No</v>
      </c>
      <c r="F31" s="50">
        <f t="shared" si="5"/>
        <v>0</v>
      </c>
      <c r="G31" s="50" t="str">
        <f t="shared" si="2"/>
        <v/>
      </c>
      <c r="H31" s="50" t="str">
        <f t="shared" si="1"/>
        <v/>
      </c>
      <c r="I31" s="61" t="str">
        <f t="shared" si="3"/>
        <v/>
      </c>
      <c r="J31" s="50" t="str">
        <f t="shared" si="4"/>
        <v/>
      </c>
      <c r="K31" s="50"/>
    </row>
    <row r="32" spans="2:11" ht="15.75" customHeight="1" outlineLevel="1" x14ac:dyDescent="0.25">
      <c r="B32" s="158" t="s">
        <v>202</v>
      </c>
      <c r="C32" s="146"/>
      <c r="D32" s="73">
        <f>'DEM (Strategic Priorities)'!D34</f>
        <v>0</v>
      </c>
      <c r="E32" s="200" t="str">
        <f>'DEM (Strategic Priorities)'!E34</f>
        <v>No</v>
      </c>
      <c r="F32" s="50">
        <f t="shared" si="5"/>
        <v>0</v>
      </c>
      <c r="G32" s="50" t="str">
        <f t="shared" si="2"/>
        <v/>
      </c>
      <c r="H32" s="50" t="str">
        <f t="shared" si="1"/>
        <v/>
      </c>
      <c r="I32" s="61" t="str">
        <f t="shared" si="3"/>
        <v/>
      </c>
      <c r="J32" s="50" t="str">
        <f t="shared" si="4"/>
        <v/>
      </c>
      <c r="K32" s="50"/>
    </row>
    <row r="33" spans="2:11" ht="15.75" customHeight="1" outlineLevel="1" x14ac:dyDescent="0.25">
      <c r="B33" s="158" t="s">
        <v>203</v>
      </c>
      <c r="C33" s="146"/>
      <c r="D33" s="73" t="str">
        <f>'DEM (Strategic Priorities)'!D35</f>
        <v>Yes</v>
      </c>
      <c r="E33" s="200" t="str">
        <f>'DEM (Strategic Priorities)'!E35</f>
        <v>No</v>
      </c>
      <c r="F33" s="50">
        <f t="shared" si="5"/>
        <v>0</v>
      </c>
      <c r="G33" s="50" t="str">
        <f t="shared" si="2"/>
        <v/>
      </c>
      <c r="H33" s="50" t="str">
        <f t="shared" si="1"/>
        <v/>
      </c>
      <c r="I33" s="61" t="str">
        <f t="shared" si="3"/>
        <v/>
      </c>
      <c r="J33" s="50" t="str">
        <f t="shared" si="4"/>
        <v/>
      </c>
      <c r="K33" s="50"/>
    </row>
    <row r="34" spans="2:11" ht="15.75" customHeight="1" outlineLevel="1" x14ac:dyDescent="0.25">
      <c r="B34" s="158" t="s">
        <v>204</v>
      </c>
      <c r="C34" s="146"/>
      <c r="D34" s="73">
        <f>'DEM (Strategic Priorities)'!D36</f>
        <v>0</v>
      </c>
      <c r="E34" s="200" t="str">
        <f>'DEM (Strategic Priorities)'!E36</f>
        <v>No</v>
      </c>
      <c r="F34" s="50">
        <f t="shared" si="5"/>
        <v>0</v>
      </c>
      <c r="G34" s="50" t="str">
        <f t="shared" si="2"/>
        <v/>
      </c>
      <c r="H34" s="50" t="str">
        <f t="shared" si="1"/>
        <v/>
      </c>
      <c r="I34" s="61" t="str">
        <f t="shared" si="3"/>
        <v/>
      </c>
      <c r="J34" s="50" t="str">
        <f t="shared" si="4"/>
        <v/>
      </c>
      <c r="K34" s="50"/>
    </row>
    <row r="35" spans="2:11" ht="15.75" customHeight="1" x14ac:dyDescent="0.25">
      <c r="B35" s="158" t="s">
        <v>205</v>
      </c>
      <c r="C35" s="146"/>
      <c r="D35" s="73">
        <f>'DEM (Strategic Priorities)'!D37</f>
        <v>0</v>
      </c>
      <c r="E35" s="200" t="str">
        <f>'DEM (Strategic Priorities)'!E37</f>
        <v>No</v>
      </c>
      <c r="F35" s="50">
        <f t="shared" si="5"/>
        <v>0</v>
      </c>
      <c r="G35" s="50" t="str">
        <f t="shared" si="2"/>
        <v/>
      </c>
      <c r="H35" s="50" t="str">
        <f t="shared" si="1"/>
        <v/>
      </c>
      <c r="I35" s="61" t="str">
        <f t="shared" si="3"/>
        <v/>
      </c>
      <c r="J35" s="50" t="str">
        <f t="shared" si="4"/>
        <v/>
      </c>
      <c r="K35" s="50"/>
    </row>
    <row r="36" spans="2:11" ht="15.75" customHeight="1" outlineLevel="1" x14ac:dyDescent="0.25">
      <c r="B36" s="158" t="s">
        <v>206</v>
      </c>
      <c r="C36" s="146"/>
      <c r="D36" s="73" t="str">
        <f>'DEM (Strategic Priorities)'!D38</f>
        <v>Yes</v>
      </c>
      <c r="E36" s="200" t="str">
        <f>'DEM (Strategic Priorities)'!E38</f>
        <v>Yes</v>
      </c>
      <c r="F36" s="50">
        <f t="shared" si="5"/>
        <v>1</v>
      </c>
      <c r="G36" s="50" t="str">
        <f t="shared" si="2"/>
        <v>Hogares con acceso nuevo o mejorado a agua potable (#)</v>
      </c>
      <c r="H36" s="50" t="str">
        <f t="shared" si="1"/>
        <v>-</v>
      </c>
      <c r="I36" s="61" t="str">
        <f t="shared" si="3"/>
        <v>*</v>
      </c>
      <c r="J36" s="50" t="str">
        <f t="shared" si="4"/>
        <v xml:space="preserve">-Hogares con acceso nuevo o mejorado a agua potable (#)*
</v>
      </c>
      <c r="K36" s="50"/>
    </row>
    <row r="37" spans="2:11" ht="27.75" customHeight="1" outlineLevel="1" x14ac:dyDescent="0.25">
      <c r="B37" s="158" t="s">
        <v>207</v>
      </c>
      <c r="C37" s="146"/>
      <c r="D37" s="73" t="str">
        <f>'DEM (Strategic Priorities)'!D39</f>
        <v>Yes</v>
      </c>
      <c r="E37" s="200" t="str">
        <f>'DEM (Strategic Priorities)'!E39</f>
        <v>Yes</v>
      </c>
      <c r="F37" s="50">
        <f t="shared" si="5"/>
        <v>1</v>
      </c>
      <c r="G37" s="50" t="str">
        <f t="shared" si="2"/>
        <v>Hogares con acceso nuevo o mejorado a saneamiento  (#)</v>
      </c>
      <c r="H37" s="50" t="str">
        <f t="shared" si="1"/>
        <v>-</v>
      </c>
      <c r="I37" s="61" t="str">
        <f t="shared" si="3"/>
        <v>*</v>
      </c>
      <c r="J37" s="50" t="str">
        <f t="shared" si="4"/>
        <v xml:space="preserve">-Hogares con acceso nuevo o mejorado a saneamiento  (#)*
</v>
      </c>
      <c r="K37" s="50"/>
    </row>
    <row r="38" spans="2:11" ht="27" customHeight="1" outlineLevel="1" x14ac:dyDescent="0.25">
      <c r="B38" s="158" t="s">
        <v>208</v>
      </c>
      <c r="C38" s="146"/>
      <c r="D38" s="73">
        <f>'DEM (Strategic Priorities)'!D40</f>
        <v>0</v>
      </c>
      <c r="E38" s="200" t="str">
        <f>'DEM (Strategic Priorities)'!E40</f>
        <v>No</v>
      </c>
      <c r="F38" s="50">
        <f t="shared" si="5"/>
        <v>0</v>
      </c>
      <c r="G38" s="50" t="str">
        <f t="shared" si="2"/>
        <v/>
      </c>
      <c r="H38" s="50" t="str">
        <f t="shared" si="1"/>
        <v/>
      </c>
      <c r="I38" s="61" t="str">
        <f t="shared" si="3"/>
        <v/>
      </c>
      <c r="J38" s="50" t="str">
        <f t="shared" si="4"/>
        <v/>
      </c>
      <c r="K38" s="50"/>
    </row>
    <row r="39" spans="2:11" ht="15.75" customHeight="1" outlineLevel="1" x14ac:dyDescent="0.25">
      <c r="B39" s="158" t="s">
        <v>209</v>
      </c>
      <c r="C39" s="146"/>
      <c r="D39" s="73">
        <f>'DEM (Strategic Priorities)'!D41</f>
        <v>0</v>
      </c>
      <c r="E39" s="200" t="str">
        <f>'DEM (Strategic Priorities)'!E41</f>
        <v>Yes</v>
      </c>
      <c r="F39" s="50">
        <f t="shared" si="5"/>
        <v>1</v>
      </c>
      <c r="G39" s="50" t="str">
        <f t="shared" si="2"/>
        <v>Caminos construidos o mejorados  (km)</v>
      </c>
      <c r="H39" s="50" t="str">
        <f t="shared" si="1"/>
        <v>-</v>
      </c>
      <c r="I39" s="61" t="str">
        <f t="shared" si="3"/>
        <v>*</v>
      </c>
      <c r="J39" s="50" t="str">
        <f t="shared" si="4"/>
        <v xml:space="preserve">-Caminos construidos o mejorados  (km)*
</v>
      </c>
      <c r="K39" s="50"/>
    </row>
    <row r="40" spans="2:11" ht="28.5" customHeight="1" outlineLevel="1" x14ac:dyDescent="0.25">
      <c r="B40" s="158" t="s">
        <v>210</v>
      </c>
      <c r="C40" s="146"/>
      <c r="D40" s="73">
        <f>'DEM (Strategic Priorities)'!D42</f>
        <v>0</v>
      </c>
      <c r="E40" s="200" t="str">
        <f>'DEM (Strategic Priorities)'!E42</f>
        <v>No</v>
      </c>
      <c r="F40" s="50">
        <f t="shared" si="5"/>
        <v>0</v>
      </c>
      <c r="G40" s="50" t="str">
        <f t="shared" si="2"/>
        <v/>
      </c>
      <c r="H40" s="50" t="str">
        <f t="shared" si="1"/>
        <v/>
      </c>
      <c r="I40" s="61" t="str">
        <f t="shared" si="3"/>
        <v/>
      </c>
      <c r="J40" s="50" t="str">
        <f t="shared" si="4"/>
        <v/>
      </c>
      <c r="K40" s="50"/>
    </row>
    <row r="41" spans="2:11" ht="15.75" customHeight="1" x14ac:dyDescent="0.25">
      <c r="B41" s="158" t="s">
        <v>211</v>
      </c>
      <c r="C41" s="146"/>
      <c r="D41" s="73">
        <f>'DEM (Strategic Priorities)'!D43</f>
        <v>0</v>
      </c>
      <c r="E41" s="200" t="str">
        <f>'DEM (Strategic Priorities)'!E43</f>
        <v>No</v>
      </c>
      <c r="F41" s="50">
        <f t="shared" si="5"/>
        <v>0</v>
      </c>
      <c r="G41" s="50" t="str">
        <f t="shared" si="2"/>
        <v/>
      </c>
      <c r="H41" s="50" t="str">
        <f t="shared" si="1"/>
        <v/>
      </c>
      <c r="I41" s="61" t="str">
        <f t="shared" si="3"/>
        <v/>
      </c>
      <c r="J41" s="50" t="str">
        <f t="shared" si="4"/>
        <v/>
      </c>
      <c r="K41" s="50"/>
    </row>
    <row r="42" spans="2:11" ht="15.75" customHeight="1" x14ac:dyDescent="0.25">
      <c r="B42" s="158" t="s">
        <v>212</v>
      </c>
      <c r="C42" s="146"/>
      <c r="D42" s="73" t="str">
        <f>'DEM (Strategic Priorities)'!D44</f>
        <v>Yes</v>
      </c>
      <c r="E42" s="200" t="str">
        <f>'DEM (Strategic Priorities)'!E44</f>
        <v>No</v>
      </c>
      <c r="F42" s="50">
        <f t="shared" si="5"/>
        <v>0</v>
      </c>
      <c r="G42" s="50" t="str">
        <f t="shared" si="2"/>
        <v/>
      </c>
      <c r="H42" s="50" t="str">
        <f t="shared" si="1"/>
        <v/>
      </c>
      <c r="I42" s="61" t="str">
        <f t="shared" si="3"/>
        <v/>
      </c>
      <c r="J42" s="50" t="str">
        <f t="shared" si="4"/>
        <v/>
      </c>
      <c r="K42" s="50"/>
    </row>
    <row r="43" spans="2:11" ht="27.75" customHeight="1" x14ac:dyDescent="0.25">
      <c r="B43" s="158" t="s">
        <v>213</v>
      </c>
      <c r="C43" s="146"/>
      <c r="D43" s="73" t="str">
        <f>'DEM (Strategic Priorities)'!D45</f>
        <v>Yes</v>
      </c>
      <c r="E43" s="200" t="str">
        <f>'DEM (Strategic Priorities)'!E45</f>
        <v>No</v>
      </c>
      <c r="F43" s="50">
        <f t="shared" si="5"/>
        <v>0</v>
      </c>
      <c r="G43" s="50" t="str">
        <f t="shared" si="2"/>
        <v/>
      </c>
      <c r="H43" s="50" t="str">
        <f t="shared" si="1"/>
        <v/>
      </c>
      <c r="I43" s="61" t="str">
        <f t="shared" si="3"/>
        <v/>
      </c>
      <c r="J43" s="50" t="str">
        <f t="shared" si="4"/>
        <v/>
      </c>
      <c r="K43" s="50"/>
    </row>
    <row r="44" spans="2:11" ht="15.75" customHeight="1" x14ac:dyDescent="0.25">
      <c r="B44" s="201" t="s">
        <v>214</v>
      </c>
      <c r="C44" s="146"/>
      <c r="D44" s="73">
        <f>'DEM (Strategic Priorities)'!D47</f>
        <v>0</v>
      </c>
      <c r="E44" s="200" t="str">
        <f>'DEM (Strategic Priorities)'!E47</f>
        <v>No</v>
      </c>
      <c r="F44" s="50">
        <f t="shared" ref="F44:F73" si="6">IF(E44="Yes",1,0)</f>
        <v>0</v>
      </c>
      <c r="G44" s="50" t="str">
        <f t="shared" ref="G44:G73" si="7">IF(F44=1,B44,"")</f>
        <v/>
      </c>
      <c r="H44" s="50" t="str">
        <f t="shared" ref="H44:H73" si="8">IF(G44&lt;&gt;"","-","")</f>
        <v/>
      </c>
      <c r="I44" s="61" t="str">
        <f t="shared" ref="I44:I73" si="9">IF(E44="Yes","*","")</f>
        <v/>
      </c>
      <c r="J44" s="50" t="str">
        <f t="shared" ref="J44:J73" si="10">IF(G44&lt;&gt;"",CONCATENATE(H44,G44,I44,CHAR(10)),"")</f>
        <v/>
      </c>
      <c r="K44" s="50"/>
    </row>
    <row r="45" spans="2:11" ht="15.75" customHeight="1" x14ac:dyDescent="0.25">
      <c r="B45" s="158" t="s">
        <v>215</v>
      </c>
      <c r="C45" s="146"/>
      <c r="D45" s="73">
        <f>'DEM (Strategic Priorities)'!D48</f>
        <v>0</v>
      </c>
      <c r="E45" s="200" t="str">
        <f>'DEM (Strategic Priorities)'!E48</f>
        <v>No</v>
      </c>
      <c r="F45" s="50">
        <f t="shared" si="6"/>
        <v>0</v>
      </c>
      <c r="G45" s="50" t="str">
        <f t="shared" si="7"/>
        <v/>
      </c>
      <c r="H45" s="50" t="str">
        <f t="shared" si="8"/>
        <v/>
      </c>
      <c r="I45" s="61" t="str">
        <f t="shared" si="9"/>
        <v/>
      </c>
      <c r="J45" s="50" t="str">
        <f t="shared" si="10"/>
        <v/>
      </c>
      <c r="K45" s="50"/>
    </row>
    <row r="46" spans="2:11" ht="15.75" customHeight="1" x14ac:dyDescent="0.25">
      <c r="B46" s="158" t="s">
        <v>216</v>
      </c>
      <c r="C46" s="146"/>
      <c r="D46" s="73">
        <f>'DEM (Strategic Priorities)'!D49</f>
        <v>0</v>
      </c>
      <c r="E46" s="200" t="str">
        <f>'DEM (Strategic Priorities)'!E49</f>
        <v>No</v>
      </c>
      <c r="F46" s="50">
        <f t="shared" si="6"/>
        <v>0</v>
      </c>
      <c r="G46" s="50" t="str">
        <f t="shared" si="7"/>
        <v/>
      </c>
      <c r="H46" s="50" t="str">
        <f t="shared" si="8"/>
        <v/>
      </c>
      <c r="I46" s="61" t="str">
        <f t="shared" si="9"/>
        <v/>
      </c>
      <c r="J46" s="50" t="str">
        <f t="shared" si="10"/>
        <v/>
      </c>
      <c r="K46" s="50"/>
    </row>
    <row r="47" spans="2:11" ht="15.75" customHeight="1" x14ac:dyDescent="0.25">
      <c r="B47" s="158" t="s">
        <v>217</v>
      </c>
      <c r="C47" s="146"/>
      <c r="D47" s="73">
        <f>'DEM (Strategic Priorities)'!D50</f>
        <v>0</v>
      </c>
      <c r="E47" s="200" t="str">
        <f>'DEM (Strategic Priorities)'!E50</f>
        <v>Yes</v>
      </c>
      <c r="F47" s="50">
        <f t="shared" si="6"/>
        <v>1</v>
      </c>
      <c r="G47" s="50" t="str">
        <f t="shared" si="7"/>
        <v>Hogares con tratamiento de agua residuales (#)</v>
      </c>
      <c r="H47" s="50" t="str">
        <f t="shared" si="8"/>
        <v>-</v>
      </c>
      <c r="I47" s="61" t="str">
        <f t="shared" si="9"/>
        <v>*</v>
      </c>
      <c r="J47" s="50" t="str">
        <f t="shared" si="10"/>
        <v xml:space="preserve">-Hogares con tratamiento de agua residuales (#)*
</v>
      </c>
      <c r="K47" s="50"/>
    </row>
    <row r="48" spans="2:11" ht="15.75" customHeight="1" x14ac:dyDescent="0.25">
      <c r="B48" s="158" t="s">
        <v>218</v>
      </c>
      <c r="C48" s="146"/>
      <c r="D48" s="73" t="str">
        <f>'DEM (Strategic Priorities)'!D51</f>
        <v>Yes</v>
      </c>
      <c r="E48" s="200" t="str">
        <f>'DEM (Strategic Priorities)'!E51</f>
        <v>No</v>
      </c>
      <c r="F48" s="50">
        <f t="shared" si="6"/>
        <v>0</v>
      </c>
      <c r="G48" s="50" t="str">
        <f t="shared" si="7"/>
        <v/>
      </c>
      <c r="H48" s="50" t="str">
        <f t="shared" si="8"/>
        <v/>
      </c>
      <c r="I48" s="61" t="str">
        <f t="shared" si="9"/>
        <v/>
      </c>
      <c r="J48" s="50" t="str">
        <f t="shared" si="10"/>
        <v/>
      </c>
      <c r="K48" s="50"/>
    </row>
    <row r="49" spans="2:11" ht="15.75" customHeight="1" x14ac:dyDescent="0.25">
      <c r="B49" s="158" t="s">
        <v>219</v>
      </c>
      <c r="C49" s="146"/>
      <c r="D49" s="73" t="str">
        <f>'DEM (Strategic Priorities)'!D52</f>
        <v>Yes</v>
      </c>
      <c r="E49" s="200" t="str">
        <f>'DEM (Strategic Priorities)'!E52</f>
        <v>Yes</v>
      </c>
      <c r="F49" s="50">
        <f t="shared" si="6"/>
        <v>1</v>
      </c>
      <c r="G49" s="50" t="str">
        <f t="shared" si="7"/>
        <v>Hogares protegidos del riesgo de inundación (#)</v>
      </c>
      <c r="H49" s="50" t="str">
        <f t="shared" si="8"/>
        <v>-</v>
      </c>
      <c r="I49" s="61" t="str">
        <f t="shared" si="9"/>
        <v>*</v>
      </c>
      <c r="J49" s="50" t="str">
        <f t="shared" si="10"/>
        <v xml:space="preserve">-Hogares protegidos del riesgo de inundación (#)*
</v>
      </c>
      <c r="K49" s="50"/>
    </row>
    <row r="50" spans="2:11" ht="15.75" customHeight="1" x14ac:dyDescent="0.25">
      <c r="B50" s="158" t="s">
        <v>220</v>
      </c>
      <c r="C50" s="146"/>
      <c r="D50" s="73" t="str">
        <f>'DEM (Strategic Priorities)'!D53</f>
        <v>Yes</v>
      </c>
      <c r="E50" s="200" t="str">
        <f>'DEM (Strategic Priorities)'!E53</f>
        <v>Yes</v>
      </c>
      <c r="F50" s="50">
        <f t="shared" si="6"/>
        <v>1</v>
      </c>
      <c r="G50" s="50" t="str">
        <f t="shared" si="7"/>
        <v>Hogares con acceso Nuevo o mejorado al suministro de electricidad (#)</v>
      </c>
      <c r="H50" s="50" t="str">
        <f t="shared" si="8"/>
        <v>-</v>
      </c>
      <c r="I50" s="61" t="str">
        <f t="shared" si="9"/>
        <v>*</v>
      </c>
      <c r="J50" s="50" t="str">
        <f t="shared" si="10"/>
        <v xml:space="preserve">-Hogares con acceso Nuevo o mejorado al suministro de electricidad (#)*
</v>
      </c>
      <c r="K50" s="50"/>
    </row>
    <row r="51" spans="2:11" ht="15.75" customHeight="1" x14ac:dyDescent="0.25">
      <c r="B51" s="158" t="s">
        <v>221</v>
      </c>
      <c r="C51" s="146"/>
      <c r="D51" s="73">
        <f>'DEM (Strategic Priorities)'!D54</f>
        <v>0</v>
      </c>
      <c r="E51" s="200" t="str">
        <f>'DEM (Strategic Priorities)'!E54</f>
        <v>No</v>
      </c>
      <c r="F51" s="50">
        <f t="shared" si="6"/>
        <v>0</v>
      </c>
      <c r="G51" s="50" t="str">
        <f t="shared" si="7"/>
        <v/>
      </c>
      <c r="H51" s="50" t="str">
        <f t="shared" si="8"/>
        <v/>
      </c>
      <c r="I51" s="61" t="str">
        <f t="shared" si="9"/>
        <v/>
      </c>
      <c r="J51" s="50" t="str">
        <f t="shared" si="10"/>
        <v/>
      </c>
      <c r="K51" s="50"/>
    </row>
    <row r="52" spans="2:11" ht="15.75" customHeight="1" x14ac:dyDescent="0.25">
      <c r="B52" s="158" t="s">
        <v>222</v>
      </c>
      <c r="C52" s="146"/>
      <c r="D52" s="73">
        <f>'DEM (Strategic Priorities)'!D55</f>
        <v>0</v>
      </c>
      <c r="E52" s="200" t="str">
        <f>'DEM (Strategic Priorities)'!E55</f>
        <v>No</v>
      </c>
      <c r="F52" s="50">
        <f t="shared" si="6"/>
        <v>0</v>
      </c>
      <c r="G52" s="50" t="str">
        <f t="shared" si="7"/>
        <v/>
      </c>
      <c r="H52" s="50" t="str">
        <f t="shared" si="8"/>
        <v/>
      </c>
      <c r="I52" s="61" t="str">
        <f t="shared" si="9"/>
        <v/>
      </c>
      <c r="J52" s="50" t="str">
        <f t="shared" si="10"/>
        <v/>
      </c>
      <c r="K52" s="50"/>
    </row>
    <row r="53" spans="2:11" ht="15.75" customHeight="1" x14ac:dyDescent="0.25">
      <c r="B53" s="158" t="s">
        <v>223</v>
      </c>
      <c r="C53" s="146"/>
      <c r="D53" s="73">
        <f>'DEM (Strategic Priorities)'!D56</f>
        <v>0</v>
      </c>
      <c r="E53" s="200" t="str">
        <f>'DEM (Strategic Priorities)'!E56</f>
        <v>No</v>
      </c>
      <c r="F53" s="50">
        <f t="shared" si="6"/>
        <v>0</v>
      </c>
      <c r="G53" s="50" t="str">
        <f t="shared" si="7"/>
        <v/>
      </c>
      <c r="H53" s="50" t="str">
        <f t="shared" si="8"/>
        <v/>
      </c>
      <c r="I53" s="61" t="str">
        <f t="shared" si="9"/>
        <v/>
      </c>
      <c r="J53" s="50" t="str">
        <f t="shared" si="10"/>
        <v/>
      </c>
      <c r="K53" s="50"/>
    </row>
    <row r="54" spans="2:11" ht="15.75" customHeight="1" x14ac:dyDescent="0.25">
      <c r="B54" s="158" t="s">
        <v>224</v>
      </c>
      <c r="C54" s="146"/>
      <c r="D54" s="73">
        <f>'DEM (Strategic Priorities)'!D57</f>
        <v>0</v>
      </c>
      <c r="E54" s="200" t="str">
        <f>'DEM (Strategic Priorities)'!E57</f>
        <v>No</v>
      </c>
      <c r="F54" s="50">
        <f t="shared" si="6"/>
        <v>0</v>
      </c>
      <c r="G54" s="50" t="str">
        <f t="shared" si="7"/>
        <v/>
      </c>
      <c r="H54" s="50" t="str">
        <f t="shared" si="8"/>
        <v/>
      </c>
      <c r="I54" s="61" t="str">
        <f t="shared" si="9"/>
        <v/>
      </c>
      <c r="J54" s="50" t="str">
        <f t="shared" si="10"/>
        <v/>
      </c>
      <c r="K54" s="50"/>
    </row>
    <row r="55" spans="2:11" ht="15.75" customHeight="1" x14ac:dyDescent="0.25">
      <c r="B55" s="158" t="s">
        <v>225</v>
      </c>
      <c r="C55" s="146"/>
      <c r="D55" s="73">
        <f>'DEM (Strategic Priorities)'!D58</f>
        <v>0</v>
      </c>
      <c r="E55" s="200" t="str">
        <f>'DEM (Strategic Priorities)'!E58</f>
        <v>No</v>
      </c>
      <c r="F55" s="50">
        <f t="shared" si="6"/>
        <v>0</v>
      </c>
      <c r="G55" s="50" t="str">
        <f t="shared" si="7"/>
        <v/>
      </c>
      <c r="H55" s="50" t="str">
        <f t="shared" si="8"/>
        <v/>
      </c>
      <c r="I55" s="61" t="str">
        <f t="shared" si="9"/>
        <v/>
      </c>
      <c r="J55" s="50" t="str">
        <f t="shared" si="10"/>
        <v/>
      </c>
      <c r="K55" s="50"/>
    </row>
    <row r="56" spans="2:11" ht="15.75" customHeight="1" x14ac:dyDescent="0.25">
      <c r="B56" s="158" t="s">
        <v>226</v>
      </c>
      <c r="C56" s="146"/>
      <c r="D56" s="73">
        <f>'DEM (Strategic Priorities)'!D59</f>
        <v>0</v>
      </c>
      <c r="E56" s="200" t="str">
        <f>'DEM (Strategic Priorities)'!E59</f>
        <v>No</v>
      </c>
      <c r="F56" s="50">
        <f t="shared" si="6"/>
        <v>0</v>
      </c>
      <c r="G56" s="50" t="str">
        <f t="shared" si="7"/>
        <v/>
      </c>
      <c r="H56" s="50" t="str">
        <f t="shared" si="8"/>
        <v/>
      </c>
      <c r="I56" s="61" t="str">
        <f t="shared" si="9"/>
        <v/>
      </c>
      <c r="J56" s="50" t="str">
        <f t="shared" si="10"/>
        <v/>
      </c>
      <c r="K56" s="50"/>
    </row>
    <row r="57" spans="2:11" ht="26.4" x14ac:dyDescent="0.25">
      <c r="B57" s="158" t="s">
        <v>227</v>
      </c>
      <c r="C57" s="146"/>
      <c r="D57" s="73">
        <f>'DEM (Strategic Priorities)'!D60</f>
        <v>0</v>
      </c>
      <c r="E57" s="200" t="str">
        <f>'DEM (Strategic Priorities)'!E60</f>
        <v>No</v>
      </c>
      <c r="F57" s="50">
        <f t="shared" si="6"/>
        <v>0</v>
      </c>
      <c r="G57" s="50" t="str">
        <f t="shared" si="7"/>
        <v/>
      </c>
      <c r="H57" s="50" t="str">
        <f t="shared" si="8"/>
        <v/>
      </c>
      <c r="I57" s="61" t="str">
        <f t="shared" si="9"/>
        <v/>
      </c>
      <c r="J57" s="50" t="str">
        <f t="shared" si="10"/>
        <v/>
      </c>
      <c r="K57" s="50"/>
    </row>
    <row r="58" spans="2:11" x14ac:dyDescent="0.25">
      <c r="B58" s="158" t="s">
        <v>228</v>
      </c>
      <c r="C58" s="146"/>
      <c r="D58" s="73">
        <f>'DEM (Strategic Priorities)'!D61</f>
        <v>0</v>
      </c>
      <c r="E58" s="200" t="str">
        <f>'DEM (Strategic Priorities)'!E61</f>
        <v>No</v>
      </c>
      <c r="F58" s="50">
        <f t="shared" si="6"/>
        <v>0</v>
      </c>
      <c r="G58" s="50" t="str">
        <f t="shared" si="7"/>
        <v/>
      </c>
      <c r="H58" s="50" t="str">
        <f t="shared" si="8"/>
        <v/>
      </c>
      <c r="I58" s="61" t="str">
        <f t="shared" si="9"/>
        <v/>
      </c>
      <c r="J58" s="50" t="str">
        <f t="shared" si="10"/>
        <v/>
      </c>
      <c r="K58" s="50"/>
    </row>
    <row r="59" spans="2:11" ht="26.4" x14ac:dyDescent="0.25">
      <c r="B59" s="158" t="s">
        <v>229</v>
      </c>
      <c r="C59" s="146"/>
      <c r="D59" s="73">
        <f>'DEM (Strategic Priorities)'!D62</f>
        <v>0</v>
      </c>
      <c r="E59" s="200" t="str">
        <f>'DEM (Strategic Priorities)'!E62</f>
        <v>No</v>
      </c>
      <c r="F59" s="50">
        <f t="shared" si="6"/>
        <v>0</v>
      </c>
      <c r="G59" s="50" t="str">
        <f t="shared" si="7"/>
        <v/>
      </c>
      <c r="H59" s="50" t="str">
        <f t="shared" si="8"/>
        <v/>
      </c>
      <c r="I59" s="61" t="str">
        <f t="shared" si="9"/>
        <v/>
      </c>
      <c r="J59" s="50" t="str">
        <f t="shared" si="10"/>
        <v/>
      </c>
      <c r="K59" s="50"/>
    </row>
    <row r="60" spans="2:11" x14ac:dyDescent="0.25">
      <c r="B60" s="202" t="s">
        <v>230</v>
      </c>
      <c r="C60" s="203"/>
      <c r="D60" s="98">
        <f>'DEM (Strategic Priorities)'!D63</f>
        <v>0</v>
      </c>
      <c r="E60" s="204" t="str">
        <f>'DEM (Strategic Priorities)'!E63</f>
        <v>No</v>
      </c>
      <c r="F60" s="50">
        <f>IF(E60="Yes",1,0)</f>
        <v>0</v>
      </c>
      <c r="G60" s="50" t="str">
        <f>IF(F60=1,B60,"")</f>
        <v/>
      </c>
      <c r="H60" s="50" t="str">
        <f>IF(G60&lt;&gt;"","-","")</f>
        <v/>
      </c>
      <c r="I60" s="61" t="str">
        <f>IF(E60="Yes","*","")</f>
        <v/>
      </c>
      <c r="J60" s="50" t="str">
        <f>IF(G60&lt;&gt;"",CONCATENATE(H60,G60,I60,CHAR(10)),"")</f>
        <v/>
      </c>
      <c r="K60" s="50"/>
    </row>
    <row r="61" spans="2:11" x14ac:dyDescent="0.25">
      <c r="B61" s="158" t="s">
        <v>231</v>
      </c>
      <c r="C61" s="146"/>
      <c r="D61" s="73" t="str">
        <f>'DEM (Strategic Priorities)'!D64</f>
        <v>Yes</v>
      </c>
      <c r="E61" s="200" t="str">
        <f>'DEM (Strategic Priorities)'!E64</f>
        <v>No</v>
      </c>
      <c r="F61" s="50">
        <f t="shared" si="6"/>
        <v>0</v>
      </c>
      <c r="G61" s="50" t="str">
        <f t="shared" si="7"/>
        <v/>
      </c>
      <c r="H61" s="50" t="str">
        <f t="shared" si="8"/>
        <v/>
      </c>
      <c r="I61" s="61" t="str">
        <f t="shared" si="9"/>
        <v/>
      </c>
      <c r="J61" s="50" t="str">
        <f t="shared" si="10"/>
        <v/>
      </c>
      <c r="K61" s="50"/>
    </row>
    <row r="62" spans="2:11" ht="26.4" x14ac:dyDescent="0.25">
      <c r="B62" s="158" t="s">
        <v>232</v>
      </c>
      <c r="C62" s="146"/>
      <c r="D62" s="73" t="str">
        <f>'DEM (Strategic Priorities)'!D65</f>
        <v>Yes</v>
      </c>
      <c r="E62" s="200" t="str">
        <f>'DEM (Strategic Priorities)'!E65</f>
        <v>No</v>
      </c>
      <c r="F62" s="50">
        <f t="shared" si="6"/>
        <v>0</v>
      </c>
      <c r="G62" s="50" t="str">
        <f t="shared" si="7"/>
        <v/>
      </c>
      <c r="H62" s="50" t="str">
        <f t="shared" si="8"/>
        <v/>
      </c>
      <c r="I62" s="61" t="str">
        <f t="shared" si="9"/>
        <v/>
      </c>
      <c r="J62" s="50" t="str">
        <f t="shared" si="10"/>
        <v/>
      </c>
      <c r="K62" s="50"/>
    </row>
    <row r="63" spans="2:11" x14ac:dyDescent="0.25">
      <c r="B63" s="202" t="s">
        <v>233</v>
      </c>
      <c r="C63" s="203"/>
      <c r="D63" s="98">
        <f>'DEM (Strategic Priorities)'!D66</f>
        <v>0</v>
      </c>
      <c r="E63" s="204" t="str">
        <f>'DEM (Strategic Priorities)'!E66</f>
        <v>No</v>
      </c>
      <c r="F63" s="50">
        <f>IF(E63="Yes",1,0)</f>
        <v>0</v>
      </c>
      <c r="G63" s="50" t="str">
        <f>IF(F63=1,B63,"")</f>
        <v/>
      </c>
      <c r="H63" s="50" t="str">
        <f>IF(G63&lt;&gt;"","-","")</f>
        <v/>
      </c>
      <c r="I63" s="61" t="str">
        <f>IF(E63="Yes","*","")</f>
        <v/>
      </c>
      <c r="J63" s="50" t="str">
        <f>IF(G63&lt;&gt;"",CONCATENATE(H63,G63,I63,CHAR(10)),"")</f>
        <v/>
      </c>
      <c r="K63" s="50"/>
    </row>
    <row r="64" spans="2:11" ht="15.75" customHeight="1" x14ac:dyDescent="0.25">
      <c r="B64" s="158" t="s">
        <v>234</v>
      </c>
      <c r="C64" s="146"/>
      <c r="D64" s="73">
        <f>'DEM (Strategic Priorities)'!D67</f>
        <v>0</v>
      </c>
      <c r="E64" s="200" t="str">
        <f>'DEM (Strategic Priorities)'!E67</f>
        <v>No</v>
      </c>
      <c r="F64" s="50">
        <f t="shared" si="6"/>
        <v>0</v>
      </c>
      <c r="G64" s="50" t="str">
        <f t="shared" si="7"/>
        <v/>
      </c>
      <c r="H64" s="50" t="str">
        <f t="shared" si="8"/>
        <v/>
      </c>
      <c r="I64" s="61" t="str">
        <f t="shared" si="9"/>
        <v/>
      </c>
      <c r="J64" s="50" t="str">
        <f t="shared" si="10"/>
        <v/>
      </c>
      <c r="K64" s="50"/>
    </row>
    <row r="65" spans="2:11" ht="15.75" customHeight="1" x14ac:dyDescent="0.25">
      <c r="B65" s="158" t="s">
        <v>235</v>
      </c>
      <c r="C65" s="146"/>
      <c r="D65" s="73">
        <f>'DEM (Strategic Priorities)'!D68</f>
        <v>0</v>
      </c>
      <c r="E65" s="200" t="str">
        <f>'DEM (Strategic Priorities)'!E68</f>
        <v>No</v>
      </c>
      <c r="F65" s="50">
        <f t="shared" si="6"/>
        <v>0</v>
      </c>
      <c r="G65" s="50" t="str">
        <f t="shared" si="7"/>
        <v/>
      </c>
      <c r="H65" s="50" t="str">
        <f t="shared" si="8"/>
        <v/>
      </c>
      <c r="I65" s="61" t="str">
        <f t="shared" si="9"/>
        <v/>
      </c>
      <c r="J65" s="50" t="str">
        <f t="shared" si="10"/>
        <v/>
      </c>
      <c r="K65" s="50"/>
    </row>
    <row r="66" spans="2:11" ht="15.75" customHeight="1" x14ac:dyDescent="0.25">
      <c r="B66" s="158" t="s">
        <v>236</v>
      </c>
      <c r="C66" s="146"/>
      <c r="D66" s="73">
        <f>'DEM (Strategic Priorities)'!D69</f>
        <v>0</v>
      </c>
      <c r="E66" s="200" t="str">
        <f>'DEM (Strategic Priorities)'!E69</f>
        <v>No</v>
      </c>
      <c r="F66" s="50">
        <f t="shared" si="6"/>
        <v>0</v>
      </c>
      <c r="G66" s="50" t="str">
        <f t="shared" si="7"/>
        <v/>
      </c>
      <c r="H66" s="50" t="str">
        <f t="shared" si="8"/>
        <v/>
      </c>
      <c r="I66" s="61" t="str">
        <f t="shared" si="9"/>
        <v/>
      </c>
      <c r="J66" s="50" t="str">
        <f t="shared" si="10"/>
        <v/>
      </c>
      <c r="K66" s="50"/>
    </row>
    <row r="67" spans="2:11" ht="15.75" customHeight="1" x14ac:dyDescent="0.25">
      <c r="B67" s="202" t="s">
        <v>237</v>
      </c>
      <c r="C67" s="203"/>
      <c r="D67" s="98">
        <f>'DEM (Strategic Priorities)'!D70</f>
        <v>0</v>
      </c>
      <c r="E67" s="204" t="str">
        <f>'DEM (Strategic Priorities)'!E70</f>
        <v>No</v>
      </c>
      <c r="F67" s="50">
        <f t="shared" si="6"/>
        <v>0</v>
      </c>
      <c r="G67" s="50" t="str">
        <f t="shared" si="7"/>
        <v/>
      </c>
      <c r="H67" s="50" t="str">
        <f t="shared" si="8"/>
        <v/>
      </c>
      <c r="I67" s="61" t="str">
        <f t="shared" si="9"/>
        <v/>
      </c>
      <c r="J67" s="50" t="str">
        <f t="shared" si="10"/>
        <v/>
      </c>
      <c r="K67" s="50"/>
    </row>
    <row r="68" spans="2:11" ht="15.75" customHeight="1" x14ac:dyDescent="0.25">
      <c r="B68" s="202" t="s">
        <v>238</v>
      </c>
      <c r="C68" s="203"/>
      <c r="D68" s="98">
        <f>'DEM (Strategic Priorities)'!D71</f>
        <v>0</v>
      </c>
      <c r="E68" s="204" t="str">
        <f>'DEM (Strategic Priorities)'!E71</f>
        <v>No</v>
      </c>
      <c r="F68" s="50">
        <f>IF(E68="Yes",1,0)</f>
        <v>0</v>
      </c>
      <c r="G68" s="50" t="str">
        <f>IF(F68=1,B68,"")</f>
        <v/>
      </c>
      <c r="H68" s="50" t="str">
        <f>IF(G68&lt;&gt;"","-","")</f>
        <v/>
      </c>
      <c r="I68" s="61" t="str">
        <f>IF(E68="Yes","*","")</f>
        <v/>
      </c>
      <c r="J68" s="50" t="str">
        <f>IF(G68&lt;&gt;"",CONCATENATE(H68,G68,I68,CHAR(10)),"")</f>
        <v/>
      </c>
      <c r="K68" s="50"/>
    </row>
    <row r="69" spans="2:11" ht="15.75" customHeight="1" x14ac:dyDescent="0.25">
      <c r="B69" s="202" t="s">
        <v>239</v>
      </c>
      <c r="C69" s="203"/>
      <c r="D69" s="98">
        <f>'DEM (Strategic Priorities)'!D72</f>
        <v>0</v>
      </c>
      <c r="E69" s="204" t="str">
        <f>'DEM (Strategic Priorities)'!E72</f>
        <v>No</v>
      </c>
      <c r="F69" s="50">
        <f>IF(E69="Yes",1,0)</f>
        <v>0</v>
      </c>
      <c r="G69" s="50" t="str">
        <f>IF(F69=1,B69,"")</f>
        <v/>
      </c>
      <c r="H69" s="50" t="str">
        <f>IF(G69&lt;&gt;"","-","")</f>
        <v/>
      </c>
      <c r="I69" s="61" t="str">
        <f>IF(E69="Yes","*","")</f>
        <v/>
      </c>
      <c r="J69" s="50" t="str">
        <f>IF(G69&lt;&gt;"",CONCATENATE(H69,G69,I69,CHAR(10)),"")</f>
        <v/>
      </c>
      <c r="K69" s="50"/>
    </row>
    <row r="70" spans="2:11" ht="15.75" customHeight="1" x14ac:dyDescent="0.25">
      <c r="B70" s="202" t="s">
        <v>240</v>
      </c>
      <c r="C70" s="203"/>
      <c r="D70" s="98">
        <f>'DEM (Strategic Priorities)'!D73</f>
        <v>0</v>
      </c>
      <c r="E70" s="204" t="str">
        <f>'DEM (Strategic Priorities)'!E73</f>
        <v>No</v>
      </c>
      <c r="F70" s="50">
        <f>IF(E70="Yes",1,0)</f>
        <v>0</v>
      </c>
      <c r="G70" s="50" t="str">
        <f>IF(F70=1,B70,"")</f>
        <v/>
      </c>
      <c r="H70" s="50" t="str">
        <f>IF(G70&lt;&gt;"","-","")</f>
        <v/>
      </c>
      <c r="I70" s="61" t="str">
        <f>IF(E70="Yes","*","")</f>
        <v/>
      </c>
      <c r="J70" s="50" t="str">
        <f>IF(G70&lt;&gt;"",CONCATENATE(H70,G70,I70,CHAR(10)),"")</f>
        <v/>
      </c>
      <c r="K70" s="50"/>
    </row>
    <row r="71" spans="2:11" ht="15.75" customHeight="1" x14ac:dyDescent="0.25">
      <c r="B71" s="202" t="s">
        <v>241</v>
      </c>
      <c r="C71" s="203"/>
      <c r="D71" s="98">
        <f>'DEM (Strategic Priorities)'!D74</f>
        <v>0</v>
      </c>
      <c r="E71" s="204" t="str">
        <f>'DEM (Strategic Priorities)'!E74</f>
        <v>No</v>
      </c>
      <c r="F71" s="50">
        <f>IF(E71="Yes",1,0)</f>
        <v>0</v>
      </c>
      <c r="G71" s="50" t="str">
        <f>IF(F71=1,B71,"")</f>
        <v/>
      </c>
      <c r="H71" s="50" t="str">
        <f>IF(G71&lt;&gt;"","-","")</f>
        <v/>
      </c>
      <c r="I71" s="61" t="str">
        <f>IF(E71="Yes","*","")</f>
        <v/>
      </c>
      <c r="J71" s="50" t="str">
        <f>IF(G71&lt;&gt;"",CONCATENATE(H71,G71,I71,CHAR(10)),"")</f>
        <v/>
      </c>
      <c r="K71" s="50"/>
    </row>
    <row r="72" spans="2:11" ht="15.75" customHeight="1" x14ac:dyDescent="0.25">
      <c r="B72" s="202" t="s">
        <v>242</v>
      </c>
      <c r="C72" s="203"/>
      <c r="D72" s="98">
        <f>'DEM (Strategic Priorities)'!D75</f>
        <v>0</v>
      </c>
      <c r="E72" s="204" t="str">
        <f>'DEM (Strategic Priorities)'!E75</f>
        <v>No</v>
      </c>
      <c r="F72" s="50">
        <f>IF(E72="Yes",1,0)</f>
        <v>0</v>
      </c>
      <c r="G72" s="50" t="str">
        <f>IF(F72=1,B72,"")</f>
        <v/>
      </c>
      <c r="H72" s="50" t="str">
        <f>IF(G72&lt;&gt;"","-","")</f>
        <v/>
      </c>
      <c r="I72" s="61" t="str">
        <f>IF(E72="Yes","*","")</f>
        <v/>
      </c>
      <c r="J72" s="50" t="str">
        <f>IF(G72&lt;&gt;"",CONCATENATE(H72,G72,I72,CHAR(10)),"")</f>
        <v/>
      </c>
      <c r="K72" s="50"/>
    </row>
    <row r="73" spans="2:11" ht="15.75" customHeight="1" x14ac:dyDescent="0.25">
      <c r="B73" s="158" t="s">
        <v>243</v>
      </c>
      <c r="C73" s="146"/>
      <c r="D73" s="73">
        <f>'DEM (Strategic Priorities)'!D76</f>
        <v>0</v>
      </c>
      <c r="E73" s="200" t="str">
        <f>'DEM (Strategic Priorities)'!E76</f>
        <v>No</v>
      </c>
      <c r="F73" s="50">
        <f t="shared" si="6"/>
        <v>0</v>
      </c>
      <c r="G73" s="50" t="str">
        <f t="shared" si="7"/>
        <v/>
      </c>
      <c r="H73" s="50" t="str">
        <f t="shared" si="8"/>
        <v/>
      </c>
      <c r="I73" s="61" t="str">
        <f t="shared" si="9"/>
        <v/>
      </c>
      <c r="J73" s="50" t="str">
        <f t="shared" si="10"/>
        <v/>
      </c>
      <c r="K73" s="50"/>
    </row>
    <row r="74" spans="2:11" ht="35.25" customHeight="1" thickBot="1" x14ac:dyDescent="0.3">
      <c r="D74" s="37"/>
      <c r="E74" s="37"/>
      <c r="F74" s="49"/>
      <c r="G74" s="49"/>
      <c r="H74" s="49"/>
      <c r="I74" s="49"/>
      <c r="J74" s="49"/>
      <c r="K74" s="49"/>
    </row>
    <row r="75" spans="2:11" ht="43.5" customHeight="1" x14ac:dyDescent="0.25">
      <c r="B75" s="7" t="s">
        <v>244</v>
      </c>
      <c r="C75" s="42"/>
      <c r="D75" s="173"/>
      <c r="E75" s="65"/>
      <c r="F75" s="49"/>
      <c r="G75" s="49"/>
      <c r="H75" s="49"/>
      <c r="I75" s="49"/>
      <c r="J75" s="49"/>
      <c r="K75" s="49"/>
    </row>
    <row r="76" spans="2:11" ht="24" customHeight="1" x14ac:dyDescent="0.25">
      <c r="B76" s="177" t="s">
        <v>162</v>
      </c>
      <c r="C76" s="193"/>
      <c r="D76" s="194"/>
      <c r="E76" s="66"/>
      <c r="F76" s="49"/>
      <c r="G76" s="49"/>
      <c r="H76" s="49"/>
      <c r="I76" s="49"/>
      <c r="J76" s="49"/>
      <c r="K76" s="49"/>
    </row>
    <row r="77" spans="2:11" ht="28.5" customHeight="1" x14ac:dyDescent="0.25">
      <c r="B77" s="195" t="s">
        <v>245</v>
      </c>
      <c r="C77" s="147" t="s">
        <v>246</v>
      </c>
      <c r="D77" s="190"/>
      <c r="E77" s="64"/>
      <c r="F77" s="49"/>
      <c r="G77" s="49"/>
      <c r="H77" s="49"/>
      <c r="I77" s="49"/>
      <c r="J77" s="49"/>
      <c r="K77" s="49"/>
    </row>
    <row r="78" spans="2:11" ht="24" customHeight="1" x14ac:dyDescent="0.25">
      <c r="B78" s="195" t="s">
        <v>247</v>
      </c>
      <c r="C78" s="147" t="s">
        <v>248</v>
      </c>
      <c r="D78" s="190"/>
      <c r="E78" s="64"/>
      <c r="F78" s="49"/>
      <c r="G78" s="49"/>
      <c r="H78" s="49"/>
      <c r="I78" s="49"/>
      <c r="J78" s="49"/>
      <c r="K78" s="49"/>
    </row>
    <row r="79" spans="2:11" ht="28.5" customHeight="1" x14ac:dyDescent="0.25">
      <c r="B79" s="196" t="s">
        <v>167</v>
      </c>
      <c r="C79" s="193"/>
      <c r="D79" s="194"/>
      <c r="E79" s="66"/>
      <c r="F79" s="49"/>
      <c r="G79" s="49"/>
      <c r="H79" s="49"/>
      <c r="I79" s="49"/>
      <c r="J79" s="49"/>
      <c r="K79" s="49"/>
    </row>
    <row r="80" spans="2:11" ht="26.4" x14ac:dyDescent="0.25">
      <c r="B80" s="195" t="s">
        <v>168</v>
      </c>
      <c r="C80" s="147" t="s">
        <v>249</v>
      </c>
      <c r="D80" s="190"/>
      <c r="E80" s="64"/>
      <c r="F80" s="49"/>
      <c r="G80" s="49"/>
      <c r="H80" s="49"/>
      <c r="I80" s="49"/>
      <c r="J80" s="49"/>
      <c r="K80" s="49"/>
    </row>
    <row r="81" spans="2:11" x14ac:dyDescent="0.25">
      <c r="B81" s="177" t="s">
        <v>250</v>
      </c>
      <c r="C81" s="193"/>
      <c r="D81" s="194"/>
      <c r="E81" s="66"/>
      <c r="F81" s="49"/>
      <c r="G81" s="49"/>
      <c r="H81" s="49"/>
      <c r="I81" s="49"/>
      <c r="J81" s="49"/>
      <c r="K81" s="49"/>
    </row>
    <row r="82" spans="2:11" ht="27" thickBot="1" x14ac:dyDescent="0.3">
      <c r="B82" s="22" t="s">
        <v>170</v>
      </c>
      <c r="C82" s="23" t="s">
        <v>251</v>
      </c>
      <c r="D82" s="190"/>
      <c r="E82" s="64"/>
      <c r="F82" s="49"/>
      <c r="G82" s="49"/>
      <c r="H82" s="49"/>
      <c r="I82" s="49"/>
      <c r="J82" s="49"/>
      <c r="K82" s="49"/>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A52" zoomScale="55" zoomScaleNormal="55" zoomScaleSheetLayoutView="70" workbookViewId="0">
      <selection activeCell="I46" sqref="I46"/>
    </sheetView>
  </sheetViews>
  <sheetFormatPr defaultColWidth="9.109375" defaultRowHeight="13.2" x14ac:dyDescent="0.25"/>
  <cols>
    <col min="1" max="1" width="0.33203125" style="2" customWidth="1"/>
    <col min="2" max="2" width="139.33203125" style="3" customWidth="1"/>
    <col min="3" max="3" width="55.33203125" style="3" customWidth="1"/>
    <col min="4" max="4" width="16.6640625" style="9" customWidth="1"/>
    <col min="5" max="5" width="11.5546875" style="112" hidden="1" customWidth="1"/>
    <col min="6" max="6" width="12.88671875" style="123" hidden="1" customWidth="1"/>
    <col min="7" max="7" width="14.6640625" style="6" customWidth="1"/>
    <col min="8" max="8" width="11" style="49" hidden="1" customWidth="1"/>
    <col min="9" max="9" width="25.44140625" style="132" customWidth="1"/>
    <col min="10" max="10" width="36.6640625" style="132" customWidth="1"/>
    <col min="11" max="11" width="25.44140625" style="132" customWidth="1"/>
    <col min="12" max="13" width="25.44140625" style="24" customWidth="1"/>
    <col min="14" max="39" width="9.109375" style="24"/>
    <col min="40" max="16384" width="9.109375" style="2"/>
  </cols>
  <sheetData>
    <row r="1" spans="1:11" ht="13.8" thickBot="1" x14ac:dyDescent="0.3">
      <c r="B1" s="125"/>
      <c r="C1" s="126"/>
      <c r="D1" s="127"/>
    </row>
    <row r="2" spans="1:11" ht="17.399999999999999" x14ac:dyDescent="0.25">
      <c r="A2" s="130"/>
      <c r="B2" s="461" t="s">
        <v>76</v>
      </c>
      <c r="C2" s="462"/>
      <c r="D2" s="463"/>
      <c r="E2" s="110"/>
      <c r="F2" s="110"/>
      <c r="G2" s="109"/>
    </row>
    <row r="3" spans="1:11" ht="18" thickBot="1" x14ac:dyDescent="0.3">
      <c r="A3" s="131"/>
      <c r="B3" s="482" t="s">
        <v>252</v>
      </c>
      <c r="C3" s="469"/>
      <c r="D3" s="483"/>
      <c r="E3" s="110"/>
      <c r="F3" s="110"/>
      <c r="G3" s="109"/>
    </row>
    <row r="4" spans="1:11" ht="17.399999999999999" x14ac:dyDescent="0.25">
      <c r="A4" s="10" t="s">
        <v>253</v>
      </c>
      <c r="B4" s="128"/>
      <c r="C4" s="62"/>
      <c r="D4" s="129"/>
      <c r="E4" s="124"/>
      <c r="F4" s="124"/>
      <c r="G4" s="62"/>
    </row>
    <row r="5" spans="1:11" ht="23.25" customHeight="1" x14ac:dyDescent="0.25">
      <c r="A5" s="10"/>
      <c r="B5" s="484" t="s">
        <v>254</v>
      </c>
      <c r="C5" s="485"/>
      <c r="D5" s="486"/>
      <c r="E5" s="55"/>
      <c r="F5" s="55"/>
      <c r="G5" s="17"/>
    </row>
    <row r="6" spans="1:11" ht="32.25" customHeight="1" x14ac:dyDescent="0.25">
      <c r="A6" s="4">
        <v>1</v>
      </c>
      <c r="B6" s="487" t="s">
        <v>255</v>
      </c>
      <c r="C6" s="348"/>
      <c r="D6" s="464"/>
      <c r="E6" s="111"/>
      <c r="F6" s="111"/>
      <c r="G6" s="16"/>
    </row>
    <row r="7" spans="1:11" ht="35.25" customHeight="1" thickBot="1" x14ac:dyDescent="0.3">
      <c r="A7" s="15">
        <v>2</v>
      </c>
      <c r="B7" s="488" t="s">
        <v>256</v>
      </c>
      <c r="C7" s="489"/>
      <c r="D7" s="490"/>
      <c r="E7" s="111"/>
      <c r="F7" s="111"/>
      <c r="G7" s="16"/>
    </row>
    <row r="8" spans="1:11" ht="21" customHeight="1" thickBot="1" x14ac:dyDescent="0.3">
      <c r="A8" s="13"/>
      <c r="B8" s="16"/>
      <c r="C8" s="16"/>
      <c r="D8" s="16"/>
      <c r="E8" s="111"/>
      <c r="F8" s="111"/>
      <c r="G8" s="16"/>
    </row>
    <row r="9" spans="1:11" ht="15.75" customHeight="1" x14ac:dyDescent="0.25">
      <c r="B9" s="477" t="s">
        <v>81</v>
      </c>
      <c r="C9" s="479" t="s">
        <v>82</v>
      </c>
      <c r="D9" s="479" t="s">
        <v>257</v>
      </c>
      <c r="F9" s="113"/>
      <c r="G9" s="475" t="s">
        <v>258</v>
      </c>
      <c r="H9" s="113"/>
      <c r="I9" s="151"/>
      <c r="J9" s="152"/>
      <c r="K9" s="152"/>
    </row>
    <row r="10" spans="1:11" ht="21.75" customHeight="1" x14ac:dyDescent="0.25">
      <c r="B10" s="478"/>
      <c r="C10" s="481"/>
      <c r="D10" s="480"/>
      <c r="E10" s="205"/>
      <c r="F10" s="205"/>
      <c r="G10" s="476"/>
      <c r="H10" s="101"/>
      <c r="I10" s="153"/>
      <c r="J10" s="154"/>
      <c r="K10" s="154"/>
    </row>
    <row r="11" spans="1:11" ht="21" customHeight="1" x14ac:dyDescent="0.25">
      <c r="B11" s="206" t="s">
        <v>259</v>
      </c>
      <c r="C11" s="207"/>
      <c r="D11" s="208"/>
      <c r="E11" s="209">
        <v>1</v>
      </c>
      <c r="F11" s="210">
        <v>10</v>
      </c>
      <c r="G11" s="211">
        <f>SUM(G12,G19,G24)</f>
        <v>10</v>
      </c>
      <c r="H11" s="101"/>
      <c r="I11" s="176" t="s">
        <v>260</v>
      </c>
      <c r="J11" s="176" t="s">
        <v>261</v>
      </c>
      <c r="K11" s="176" t="s">
        <v>88</v>
      </c>
    </row>
    <row r="12" spans="1:11" ht="21" customHeight="1" x14ac:dyDescent="0.25">
      <c r="B12" s="212" t="s">
        <v>262</v>
      </c>
      <c r="C12" s="213"/>
      <c r="D12" s="214"/>
      <c r="E12" s="215">
        <v>0.3</v>
      </c>
      <c r="F12" s="216">
        <v>3</v>
      </c>
      <c r="G12" s="217">
        <f>SUM(G13:G18)</f>
        <v>3</v>
      </c>
      <c r="H12" s="101"/>
      <c r="I12" s="218"/>
      <c r="J12" s="219"/>
      <c r="K12" s="219"/>
    </row>
    <row r="13" spans="1:11" ht="13.8" x14ac:dyDescent="0.25">
      <c r="B13" s="220" t="s">
        <v>263</v>
      </c>
      <c r="C13" s="221"/>
      <c r="D13" s="222" t="s">
        <v>92</v>
      </c>
      <c r="E13" s="223">
        <v>0.15</v>
      </c>
      <c r="F13" s="224">
        <v>0.45</v>
      </c>
      <c r="G13" s="225">
        <f t="shared" ref="G13:G18" si="0">IF(D13="Yes",F13,0)</f>
        <v>0.45</v>
      </c>
      <c r="H13" s="101"/>
      <c r="I13" s="143"/>
      <c r="J13" s="186"/>
      <c r="K13" s="186"/>
    </row>
    <row r="14" spans="1:11" ht="303.60000000000002" x14ac:dyDescent="0.25">
      <c r="B14" s="220" t="s">
        <v>264</v>
      </c>
      <c r="C14" s="150"/>
      <c r="D14" s="222" t="s">
        <v>92</v>
      </c>
      <c r="E14" s="223">
        <v>0.2</v>
      </c>
      <c r="F14" s="224">
        <v>0.6</v>
      </c>
      <c r="G14" s="225">
        <f t="shared" si="0"/>
        <v>0.6</v>
      </c>
      <c r="H14" s="101"/>
      <c r="I14" s="143" t="s">
        <v>265</v>
      </c>
      <c r="J14" s="186" t="s">
        <v>266</v>
      </c>
      <c r="K14" s="186"/>
    </row>
    <row r="15" spans="1:11" ht="303.60000000000002" x14ac:dyDescent="0.25">
      <c r="B15" s="220" t="s">
        <v>267</v>
      </c>
      <c r="C15" s="150"/>
      <c r="D15" s="222" t="s">
        <v>92</v>
      </c>
      <c r="E15" s="223">
        <v>0.15</v>
      </c>
      <c r="F15" s="224">
        <v>0.45</v>
      </c>
      <c r="G15" s="225">
        <f t="shared" si="0"/>
        <v>0.45</v>
      </c>
      <c r="H15" s="102"/>
      <c r="I15" s="143" t="s">
        <v>268</v>
      </c>
      <c r="J15" s="186" t="s">
        <v>269</v>
      </c>
      <c r="K15" s="186"/>
    </row>
    <row r="16" spans="1:11" ht="250.8" x14ac:dyDescent="0.25">
      <c r="B16" s="220" t="s">
        <v>270</v>
      </c>
      <c r="C16" s="150"/>
      <c r="D16" s="222" t="s">
        <v>92</v>
      </c>
      <c r="E16" s="223">
        <v>0.2</v>
      </c>
      <c r="F16" s="224">
        <v>0.6</v>
      </c>
      <c r="G16" s="225">
        <f t="shared" si="0"/>
        <v>0.6</v>
      </c>
      <c r="H16" s="101"/>
      <c r="I16" s="143" t="s">
        <v>271</v>
      </c>
      <c r="J16" s="186" t="s">
        <v>272</v>
      </c>
      <c r="K16" s="186"/>
    </row>
    <row r="17" spans="2:11" ht="13.8" x14ac:dyDescent="0.25">
      <c r="B17" s="220" t="s">
        <v>273</v>
      </c>
      <c r="C17" s="150"/>
      <c r="D17" s="222" t="s">
        <v>92</v>
      </c>
      <c r="E17" s="223">
        <v>0.2</v>
      </c>
      <c r="F17" s="224">
        <v>0.6</v>
      </c>
      <c r="G17" s="225">
        <f t="shared" si="0"/>
        <v>0.6</v>
      </c>
      <c r="H17" s="101"/>
      <c r="I17" s="186"/>
      <c r="J17" s="186"/>
      <c r="K17" s="186"/>
    </row>
    <row r="18" spans="2:11" ht="13.8" x14ac:dyDescent="0.25">
      <c r="B18" s="220" t="s">
        <v>274</v>
      </c>
      <c r="C18" s="150"/>
      <c r="D18" s="222" t="s">
        <v>92</v>
      </c>
      <c r="E18" s="223">
        <v>0.1</v>
      </c>
      <c r="F18" s="224">
        <v>0.3</v>
      </c>
      <c r="G18" s="225">
        <f t="shared" si="0"/>
        <v>0.3</v>
      </c>
      <c r="H18" s="101"/>
      <c r="I18" s="143"/>
      <c r="J18" s="186"/>
      <c r="K18" s="186"/>
    </row>
    <row r="19" spans="2:11" ht="21" customHeight="1" x14ac:dyDescent="0.25">
      <c r="B19" s="212" t="s">
        <v>275</v>
      </c>
      <c r="C19" s="213"/>
      <c r="D19" s="214"/>
      <c r="E19" s="215">
        <v>0.4</v>
      </c>
      <c r="F19" s="216">
        <v>4</v>
      </c>
      <c r="G19" s="217">
        <f>SUM(G20+H23)</f>
        <v>4</v>
      </c>
      <c r="H19" s="103">
        <f>IF(AND(G22=0,G21&gt;0),1,IF(AND(G22&gt;0,G21&gt;0),2,IF(AND(G22=0,G21=0),3,0)))</f>
        <v>1</v>
      </c>
      <c r="I19" s="218"/>
      <c r="J19" s="219"/>
      <c r="K19" s="219"/>
    </row>
    <row r="20" spans="2:11" ht="13.8" x14ac:dyDescent="0.25">
      <c r="B20" s="220" t="s">
        <v>276</v>
      </c>
      <c r="C20" s="150"/>
      <c r="D20" s="222" t="s">
        <v>92</v>
      </c>
      <c r="E20" s="223">
        <v>0.43</v>
      </c>
      <c r="F20" s="226">
        <v>1.72</v>
      </c>
      <c r="G20" s="227">
        <f>IF(D20="Yes",F20,0)</f>
        <v>1.72</v>
      </c>
      <c r="H20" s="101"/>
      <c r="I20" s="143"/>
      <c r="J20" s="186"/>
      <c r="K20" s="186"/>
    </row>
    <row r="21" spans="2:11" ht="13.8" x14ac:dyDescent="0.25">
      <c r="B21" s="220" t="s">
        <v>277</v>
      </c>
      <c r="C21" s="228"/>
      <c r="D21" s="222" t="s">
        <v>92</v>
      </c>
      <c r="E21" s="223">
        <v>0.47</v>
      </c>
      <c r="F21" s="226">
        <v>1.88</v>
      </c>
      <c r="G21" s="227">
        <f>IF(D21="Yes",F21,0)</f>
        <v>1.88</v>
      </c>
      <c r="H21" s="101"/>
      <c r="I21" s="143"/>
      <c r="J21" s="186"/>
      <c r="K21" s="186"/>
    </row>
    <row r="22" spans="2:11" ht="39.6" x14ac:dyDescent="0.25">
      <c r="B22" s="220" t="s">
        <v>278</v>
      </c>
      <c r="C22" s="150"/>
      <c r="D22" s="229" t="s">
        <v>94</v>
      </c>
      <c r="E22" s="223">
        <v>0.1</v>
      </c>
      <c r="F22" s="226">
        <f>IF(AND(D21="yes", D22="yes"), 0.4, 0)</f>
        <v>0</v>
      </c>
      <c r="G22" s="227">
        <f>IF(D22="Yes",F22,0)</f>
        <v>0</v>
      </c>
      <c r="H22" s="101"/>
      <c r="I22" s="142" t="s">
        <v>279</v>
      </c>
      <c r="J22" s="186"/>
      <c r="K22" s="186"/>
    </row>
    <row r="23" spans="2:11" ht="27.6" x14ac:dyDescent="0.25">
      <c r="B23" s="220" t="s">
        <v>280</v>
      </c>
      <c r="C23" s="150"/>
      <c r="D23" s="222" t="s">
        <v>92</v>
      </c>
      <c r="E23" s="223">
        <v>0.56999999999999995</v>
      </c>
      <c r="F23" s="226">
        <f>IF(AND(G21=0,D23="Yes"),2.28,IF(AND(G21&gt;0,D23="Yes"),2.28,0))</f>
        <v>2.2799999999999998</v>
      </c>
      <c r="G23" s="227">
        <f>IF(D23="Yes",F23,0)</f>
        <v>2.2799999999999998</v>
      </c>
      <c r="H23" s="103">
        <f>IF(AND(H19=1,G23=0),G21,IF(AND(H19=1,G23&gt;0),G23,IF(H19=2,G21+G22,IF(AND(H19=3,G23&gt;0),2.28,0))))</f>
        <v>2.2799999999999998</v>
      </c>
      <c r="I23" s="143"/>
      <c r="J23" s="186"/>
      <c r="K23" s="186"/>
    </row>
    <row r="24" spans="2:11" ht="21" customHeight="1" x14ac:dyDescent="0.25">
      <c r="B24" s="212" t="s">
        <v>281</v>
      </c>
      <c r="C24" s="213"/>
      <c r="D24" s="214"/>
      <c r="E24" s="215">
        <v>0.3</v>
      </c>
      <c r="F24" s="216">
        <v>3</v>
      </c>
      <c r="G24" s="217">
        <f>SUM(G25+G30+G34)</f>
        <v>3</v>
      </c>
      <c r="H24" s="104"/>
      <c r="I24" s="218"/>
      <c r="J24" s="219"/>
      <c r="K24" s="219"/>
    </row>
    <row r="25" spans="2:11" ht="21" customHeight="1" x14ac:dyDescent="0.25">
      <c r="B25" s="230" t="s">
        <v>282</v>
      </c>
      <c r="C25" s="231"/>
      <c r="D25" s="232"/>
      <c r="E25" s="233">
        <v>0.3</v>
      </c>
      <c r="F25" s="234">
        <v>0.9</v>
      </c>
      <c r="G25" s="235">
        <f>G26</f>
        <v>0.9</v>
      </c>
      <c r="H25" s="101"/>
      <c r="I25" s="236"/>
      <c r="J25" s="237"/>
      <c r="K25" s="237"/>
    </row>
    <row r="26" spans="2:11" ht="13.8" x14ac:dyDescent="0.25">
      <c r="B26" s="220" t="s">
        <v>283</v>
      </c>
      <c r="C26" s="150"/>
      <c r="D26" s="222" t="s">
        <v>92</v>
      </c>
      <c r="E26" s="223">
        <v>1</v>
      </c>
      <c r="F26" s="226">
        <v>0.9</v>
      </c>
      <c r="G26" s="225">
        <f>IF(D26="Yes",F26,0)</f>
        <v>0.9</v>
      </c>
      <c r="H26" s="101"/>
      <c r="I26" s="143"/>
      <c r="J26" s="238"/>
      <c r="K26" s="238"/>
    </row>
    <row r="27" spans="2:11" ht="27.6" x14ac:dyDescent="0.25">
      <c r="B27" s="230" t="s">
        <v>284</v>
      </c>
      <c r="C27" s="239"/>
      <c r="D27" s="239"/>
      <c r="E27" s="240"/>
      <c r="F27" s="240"/>
      <c r="G27" s="241"/>
      <c r="H27" s="101"/>
      <c r="I27" s="236"/>
      <c r="J27" s="237"/>
      <c r="K27" s="237"/>
    </row>
    <row r="28" spans="2:11" ht="13.8" x14ac:dyDescent="0.25">
      <c r="B28" s="220" t="s">
        <v>285</v>
      </c>
      <c r="C28" s="242"/>
      <c r="D28" s="222" t="s">
        <v>92</v>
      </c>
      <c r="E28" s="185"/>
      <c r="F28" s="185"/>
      <c r="G28" s="243"/>
      <c r="H28" s="101"/>
      <c r="I28" s="143"/>
      <c r="J28" s="186"/>
      <c r="K28" s="186"/>
    </row>
    <row r="29" spans="2:11" ht="27.6" x14ac:dyDescent="0.25">
      <c r="B29" s="220" t="s">
        <v>286</v>
      </c>
      <c r="C29" s="150"/>
      <c r="D29" s="222" t="s">
        <v>92</v>
      </c>
      <c r="E29" s="185"/>
      <c r="F29" s="185"/>
      <c r="G29" s="243"/>
      <c r="H29" s="101"/>
      <c r="I29" s="143"/>
      <c r="J29" s="186"/>
      <c r="K29" s="186"/>
    </row>
    <row r="30" spans="2:11" ht="21" customHeight="1" x14ac:dyDescent="0.25">
      <c r="B30" s="230" t="s">
        <v>287</v>
      </c>
      <c r="C30" s="231"/>
      <c r="D30" s="232"/>
      <c r="E30" s="233">
        <v>0.35</v>
      </c>
      <c r="F30" s="244">
        <v>1.05</v>
      </c>
      <c r="G30" s="235">
        <f>SUM(G31:G33)</f>
        <v>1.05</v>
      </c>
      <c r="H30" s="101"/>
      <c r="I30" s="236"/>
      <c r="J30" s="237"/>
      <c r="K30" s="237"/>
    </row>
    <row r="31" spans="2:11" ht="13.8" x14ac:dyDescent="0.25">
      <c r="B31" s="220" t="s">
        <v>288</v>
      </c>
      <c r="C31" s="150"/>
      <c r="D31" s="222" t="s">
        <v>92</v>
      </c>
      <c r="E31" s="223">
        <v>0.28999999999999998</v>
      </c>
      <c r="F31" s="245">
        <v>0.30449999999999999</v>
      </c>
      <c r="G31" s="225">
        <f>IF(D31="Yes",F31,0)</f>
        <v>0.30449999999999999</v>
      </c>
      <c r="H31" s="101"/>
      <c r="I31" s="142"/>
      <c r="J31" s="186"/>
      <c r="K31" s="186"/>
    </row>
    <row r="32" spans="2:11" ht="66" x14ac:dyDescent="0.25">
      <c r="B32" s="220" t="s">
        <v>289</v>
      </c>
      <c r="C32" s="314"/>
      <c r="D32" s="229" t="s">
        <v>92</v>
      </c>
      <c r="E32" s="223">
        <v>0.47</v>
      </c>
      <c r="F32" s="245">
        <v>0.49349999999999999</v>
      </c>
      <c r="G32" s="225">
        <f>IF(D32="Yes",F32,0)</f>
        <v>0.49349999999999999</v>
      </c>
      <c r="H32" s="101"/>
      <c r="I32" s="142" t="s">
        <v>290</v>
      </c>
      <c r="J32" s="186" t="s">
        <v>291</v>
      </c>
      <c r="K32" s="186"/>
    </row>
    <row r="33" spans="2:11" ht="28.2" thickBot="1" x14ac:dyDescent="0.3">
      <c r="B33" s="75" t="s">
        <v>292</v>
      </c>
      <c r="C33" s="150"/>
      <c r="D33" s="222" t="s">
        <v>92</v>
      </c>
      <c r="E33" s="223">
        <v>0.24</v>
      </c>
      <c r="F33" s="245">
        <v>0.252</v>
      </c>
      <c r="G33" s="225">
        <f>IF(D33="Yes",F33,0)</f>
        <v>0.252</v>
      </c>
      <c r="H33" s="101"/>
      <c r="I33" s="143"/>
      <c r="J33" s="186"/>
      <c r="K33" s="186"/>
    </row>
    <row r="34" spans="2:11" ht="21" customHeight="1" x14ac:dyDescent="0.25">
      <c r="B34" s="230" t="s">
        <v>293</v>
      </c>
      <c r="C34" s="231"/>
      <c r="D34" s="232"/>
      <c r="E34" s="246">
        <v>0.35</v>
      </c>
      <c r="F34" s="244">
        <v>1.05</v>
      </c>
      <c r="G34" s="235">
        <f>SUM(G35:G37)</f>
        <v>1.05</v>
      </c>
      <c r="H34" s="101"/>
      <c r="I34" s="236"/>
      <c r="J34" s="237"/>
      <c r="K34" s="237"/>
    </row>
    <row r="35" spans="2:11" ht="13.8" x14ac:dyDescent="0.25">
      <c r="B35" s="220" t="s">
        <v>294</v>
      </c>
      <c r="C35" s="150"/>
      <c r="D35" s="222" t="s">
        <v>92</v>
      </c>
      <c r="E35" s="223">
        <v>0.28999999999999998</v>
      </c>
      <c r="F35" s="245">
        <v>0.30449999999999999</v>
      </c>
      <c r="G35" s="225">
        <f>IF(D35="Yes",F35,0)</f>
        <v>0.30449999999999999</v>
      </c>
      <c r="H35" s="101"/>
      <c r="I35" s="143"/>
      <c r="J35" s="186"/>
      <c r="K35" s="186"/>
    </row>
    <row r="36" spans="2:11" ht="92.4" x14ac:dyDescent="0.25">
      <c r="B36" s="220" t="s">
        <v>295</v>
      </c>
      <c r="C36" s="150"/>
      <c r="D36" s="222" t="s">
        <v>92</v>
      </c>
      <c r="E36" s="223">
        <v>0.47</v>
      </c>
      <c r="F36" s="245">
        <v>0.49349999999999999</v>
      </c>
      <c r="G36" s="225">
        <f>IF(D36="Yes",F36,0)</f>
        <v>0.49349999999999999</v>
      </c>
      <c r="H36" s="101"/>
      <c r="I36" s="143" t="s">
        <v>296</v>
      </c>
      <c r="J36" s="186" t="s">
        <v>297</v>
      </c>
      <c r="K36" s="186"/>
    </row>
    <row r="37" spans="2:11" ht="28.2" thickBot="1" x14ac:dyDescent="0.3">
      <c r="B37" s="75" t="s">
        <v>298</v>
      </c>
      <c r="C37" s="150"/>
      <c r="D37" s="222" t="s">
        <v>92</v>
      </c>
      <c r="E37" s="223">
        <v>0.24</v>
      </c>
      <c r="F37" s="245">
        <v>0.252</v>
      </c>
      <c r="G37" s="225">
        <f>IF(D37="Yes",F37,0)</f>
        <v>0.252</v>
      </c>
      <c r="H37" s="101"/>
      <c r="I37" s="143"/>
      <c r="J37" s="186"/>
      <c r="K37" s="186"/>
    </row>
    <row r="38" spans="2:11" ht="21" customHeight="1" x14ac:dyDescent="0.25">
      <c r="B38" s="89" t="s">
        <v>299</v>
      </c>
      <c r="C38" s="90"/>
      <c r="D38" s="87"/>
      <c r="E38" s="114">
        <v>1</v>
      </c>
      <c r="F38" s="115">
        <v>10</v>
      </c>
      <c r="G38" s="88">
        <f>MAX(G41,G48)</f>
        <v>8</v>
      </c>
      <c r="H38" s="105"/>
      <c r="I38" s="133"/>
      <c r="J38" s="134"/>
      <c r="K38" s="134"/>
    </row>
    <row r="39" spans="2:11" ht="21" customHeight="1" x14ac:dyDescent="0.25">
      <c r="B39" s="247" t="s">
        <v>300</v>
      </c>
      <c r="C39" s="248"/>
      <c r="D39" s="214"/>
      <c r="E39" s="114"/>
      <c r="F39" s="115"/>
      <c r="G39" s="249"/>
      <c r="H39" s="105"/>
      <c r="I39" s="218"/>
      <c r="J39" s="219"/>
      <c r="K39" s="219"/>
    </row>
    <row r="40" spans="2:11" ht="13.8" x14ac:dyDescent="0.25">
      <c r="B40" s="220" t="s">
        <v>301</v>
      </c>
      <c r="C40" s="150"/>
      <c r="D40" s="229" t="s">
        <v>94</v>
      </c>
      <c r="E40" s="116"/>
      <c r="F40" s="250">
        <f>IF(D40="Yes",1,0)</f>
        <v>0</v>
      </c>
      <c r="G40" s="243"/>
      <c r="H40" s="105"/>
      <c r="I40" s="251"/>
      <c r="J40" s="251"/>
      <c r="K40" s="251"/>
    </row>
    <row r="41" spans="2:11" ht="21" customHeight="1" x14ac:dyDescent="0.25">
      <c r="B41" s="247" t="s">
        <v>302</v>
      </c>
      <c r="C41" s="252"/>
      <c r="D41" s="214"/>
      <c r="E41" s="253">
        <v>1</v>
      </c>
      <c r="F41" s="254">
        <v>10</v>
      </c>
      <c r="G41" s="249">
        <f>SUM(G42:G46)</f>
        <v>8</v>
      </c>
      <c r="H41" s="106">
        <f>IF(AND(G41&gt;=G48),1,IF(AND(G48&gt;G41),2,0))</f>
        <v>1</v>
      </c>
      <c r="I41" s="218"/>
      <c r="J41" s="219"/>
      <c r="K41" s="219"/>
    </row>
    <row r="42" spans="2:11" ht="39.6" x14ac:dyDescent="0.25">
      <c r="B42" s="220" t="s">
        <v>303</v>
      </c>
      <c r="C42" s="255">
        <v>48.7</v>
      </c>
      <c r="D42" s="222" t="s">
        <v>92</v>
      </c>
      <c r="E42" s="256">
        <v>0.3</v>
      </c>
      <c r="F42" s="257">
        <v>3</v>
      </c>
      <c r="G42" s="258">
        <f>IF(D42="Yes",F42,0)</f>
        <v>3</v>
      </c>
      <c r="H42" s="101"/>
      <c r="I42" s="143" t="s">
        <v>304</v>
      </c>
      <c r="J42" s="186" t="s">
        <v>305</v>
      </c>
      <c r="K42" s="186"/>
    </row>
    <row r="43" spans="2:11" ht="13.8" x14ac:dyDescent="0.25">
      <c r="B43" s="220" t="s">
        <v>306</v>
      </c>
      <c r="C43" s="150"/>
      <c r="D43" s="222" t="s">
        <v>92</v>
      </c>
      <c r="E43" s="256">
        <v>0.3</v>
      </c>
      <c r="F43" s="257">
        <v>3</v>
      </c>
      <c r="G43" s="258">
        <f>IF(D43="Yes",F43,0)</f>
        <v>3</v>
      </c>
      <c r="H43" s="101"/>
      <c r="I43" s="143"/>
      <c r="J43" s="186"/>
      <c r="K43" s="186"/>
    </row>
    <row r="44" spans="2:11" ht="52.8" x14ac:dyDescent="0.25">
      <c r="B44" s="220" t="s">
        <v>307</v>
      </c>
      <c r="C44" s="150"/>
      <c r="D44" s="229" t="s">
        <v>94</v>
      </c>
      <c r="E44" s="256">
        <v>0.1</v>
      </c>
      <c r="F44" s="257">
        <v>1</v>
      </c>
      <c r="G44" s="258">
        <f>IF(D44="Yes",F44,0)</f>
        <v>0</v>
      </c>
      <c r="H44" s="101"/>
      <c r="I44" s="155" t="s">
        <v>308</v>
      </c>
      <c r="J44" s="186"/>
      <c r="K44" s="186"/>
    </row>
    <row r="45" spans="2:11" ht="13.8" x14ac:dyDescent="0.25">
      <c r="B45" s="220" t="s">
        <v>309</v>
      </c>
      <c r="C45" s="150"/>
      <c r="D45" s="222" t="s">
        <v>92</v>
      </c>
      <c r="E45" s="256">
        <v>0.2</v>
      </c>
      <c r="F45" s="257">
        <v>2</v>
      </c>
      <c r="G45" s="258">
        <f>IF(D45="Yes",F45,0)</f>
        <v>2</v>
      </c>
      <c r="H45" s="101"/>
      <c r="I45" s="142"/>
      <c r="J45" s="186"/>
      <c r="K45" s="186"/>
    </row>
    <row r="46" spans="2:11" ht="105.6" x14ac:dyDescent="0.25">
      <c r="B46" s="220" t="s">
        <v>310</v>
      </c>
      <c r="C46" s="150"/>
      <c r="D46" s="229" t="s">
        <v>94</v>
      </c>
      <c r="E46" s="256">
        <v>0.1</v>
      </c>
      <c r="F46" s="257">
        <v>1</v>
      </c>
      <c r="G46" s="258">
        <f>IF(D46="Yes",F46,0)</f>
        <v>0</v>
      </c>
      <c r="H46" s="101"/>
      <c r="I46" s="155" t="s">
        <v>311</v>
      </c>
      <c r="J46" s="186"/>
      <c r="K46" s="186"/>
    </row>
    <row r="48" spans="2:11" ht="21" customHeight="1" x14ac:dyDescent="0.25">
      <c r="B48" s="247" t="s">
        <v>312</v>
      </c>
      <c r="C48" s="248"/>
      <c r="D48" s="214"/>
      <c r="E48" s="253">
        <v>1</v>
      </c>
      <c r="F48" s="254">
        <v>10</v>
      </c>
      <c r="G48" s="249">
        <f>SUM(G49:G53)</f>
        <v>0</v>
      </c>
      <c r="H48" s="101"/>
      <c r="I48" s="218"/>
      <c r="J48" s="219"/>
      <c r="K48" s="219"/>
    </row>
    <row r="49" spans="2:11" ht="13.8" x14ac:dyDescent="0.25">
      <c r="B49" s="220" t="s">
        <v>313</v>
      </c>
      <c r="C49" s="150"/>
      <c r="D49" s="222"/>
      <c r="E49" s="259">
        <v>0.215</v>
      </c>
      <c r="F49" s="260">
        <v>2.15</v>
      </c>
      <c r="G49" s="258">
        <f>IF(D49="Yes",F49,0)</f>
        <v>0</v>
      </c>
      <c r="H49" s="101"/>
      <c r="I49" s="143"/>
      <c r="J49" s="186"/>
      <c r="K49" s="186"/>
    </row>
    <row r="50" spans="2:11" ht="13.8" x14ac:dyDescent="0.25">
      <c r="B50" s="220" t="s">
        <v>314</v>
      </c>
      <c r="C50" s="150"/>
      <c r="D50" s="222"/>
      <c r="E50" s="259">
        <v>0.33</v>
      </c>
      <c r="F50" s="260">
        <v>3.3</v>
      </c>
      <c r="G50" s="258">
        <f>IF(D50="Yes",F50,0)</f>
        <v>0</v>
      </c>
      <c r="H50" s="101"/>
      <c r="I50" s="143"/>
      <c r="J50" s="186"/>
      <c r="K50" s="186"/>
    </row>
    <row r="51" spans="2:11" ht="14.4" x14ac:dyDescent="0.25">
      <c r="B51" s="220" t="s">
        <v>315</v>
      </c>
      <c r="C51" s="150"/>
      <c r="D51" s="222"/>
      <c r="E51" s="259">
        <v>0.1</v>
      </c>
      <c r="F51" s="260">
        <v>1</v>
      </c>
      <c r="G51" s="258">
        <f>IF(D51="Yes",F51,0)</f>
        <v>0</v>
      </c>
      <c r="H51" s="101"/>
      <c r="I51" s="143"/>
      <c r="J51" s="186"/>
      <c r="K51" s="186"/>
    </row>
    <row r="52" spans="2:11" ht="13.8" x14ac:dyDescent="0.25">
      <c r="B52" s="220" t="s">
        <v>316</v>
      </c>
      <c r="C52" s="150"/>
      <c r="D52" s="222"/>
      <c r="E52" s="259">
        <v>0.215</v>
      </c>
      <c r="F52" s="260">
        <v>2.15</v>
      </c>
      <c r="G52" s="258">
        <f>IF(D52="Yes",F52,0)</f>
        <v>0</v>
      </c>
      <c r="H52" s="101"/>
      <c r="I52" s="143"/>
      <c r="J52" s="186"/>
      <c r="K52" s="186"/>
    </row>
    <row r="53" spans="2:11" ht="14.4" thickBot="1" x14ac:dyDescent="0.3">
      <c r="B53" s="220" t="s">
        <v>317</v>
      </c>
      <c r="C53" s="150"/>
      <c r="D53" s="222"/>
      <c r="E53" s="259">
        <v>0.14000000000000001</v>
      </c>
      <c r="F53" s="260">
        <v>1.4</v>
      </c>
      <c r="G53" s="258">
        <f>IF(D53="Yes",F53,0)</f>
        <v>0</v>
      </c>
      <c r="H53" s="101"/>
      <c r="I53" s="143"/>
      <c r="J53" s="186"/>
      <c r="K53" s="186"/>
    </row>
    <row r="54" spans="2:11" ht="21" customHeight="1" x14ac:dyDescent="0.25">
      <c r="B54" s="56" t="s">
        <v>318</v>
      </c>
      <c r="C54" s="57"/>
      <c r="D54" s="58"/>
      <c r="E54" s="117">
        <v>1</v>
      </c>
      <c r="F54" s="118">
        <v>10</v>
      </c>
      <c r="G54" s="59">
        <f>G61+G55</f>
        <v>8.5749999999999993</v>
      </c>
      <c r="H54" s="107"/>
      <c r="I54" s="135"/>
      <c r="J54" s="136"/>
      <c r="K54" s="136"/>
    </row>
    <row r="55" spans="2:11" ht="21" customHeight="1" x14ac:dyDescent="0.25">
      <c r="B55" s="212" t="s">
        <v>319</v>
      </c>
      <c r="C55" s="214"/>
      <c r="D55" s="214"/>
      <c r="E55" s="261">
        <v>0.25</v>
      </c>
      <c r="F55" s="262">
        <v>2.5</v>
      </c>
      <c r="G55" s="249">
        <f>SUM(G56:G60)</f>
        <v>1.075</v>
      </c>
      <c r="H55" s="101"/>
      <c r="I55" s="218"/>
      <c r="J55" s="219"/>
      <c r="K55" s="219"/>
    </row>
    <row r="56" spans="2:11" ht="13.8" x14ac:dyDescent="0.25">
      <c r="B56" s="220" t="s">
        <v>320</v>
      </c>
      <c r="C56" s="263"/>
      <c r="D56" s="222" t="s">
        <v>92</v>
      </c>
      <c r="E56" s="223">
        <v>0.28999999999999998</v>
      </c>
      <c r="F56" s="264">
        <v>0.72499999999999998</v>
      </c>
      <c r="G56" s="225">
        <f>IF(D56="Yes",F56,0)</f>
        <v>0.72499999999999998</v>
      </c>
      <c r="H56" s="101"/>
      <c r="I56" s="144"/>
      <c r="J56" s="186"/>
      <c r="K56" s="186"/>
    </row>
    <row r="57" spans="2:11" ht="55.2" x14ac:dyDescent="0.25">
      <c r="B57" s="220" t="s">
        <v>321</v>
      </c>
      <c r="C57" s="263"/>
      <c r="D57" s="229" t="s">
        <v>94</v>
      </c>
      <c r="E57" s="223">
        <v>0.14000000000000001</v>
      </c>
      <c r="F57" s="264">
        <v>0.35</v>
      </c>
      <c r="G57" s="225">
        <f>IF(D57="Yes",F57,0)</f>
        <v>0</v>
      </c>
      <c r="H57" s="101"/>
      <c r="I57" s="265" t="s">
        <v>322</v>
      </c>
      <c r="J57" s="186"/>
      <c r="K57" s="186"/>
    </row>
    <row r="58" spans="2:11" ht="55.2" x14ac:dyDescent="0.25">
      <c r="B58" s="220" t="s">
        <v>323</v>
      </c>
      <c r="C58" s="263"/>
      <c r="D58" s="229" t="s">
        <v>94</v>
      </c>
      <c r="E58" s="223">
        <v>0.28999999999999998</v>
      </c>
      <c r="F58" s="264">
        <v>0.72499999999999998</v>
      </c>
      <c r="G58" s="225">
        <f>IF(D58="Yes",F58,0)</f>
        <v>0</v>
      </c>
      <c r="H58" s="101"/>
      <c r="I58" s="265" t="s">
        <v>322</v>
      </c>
      <c r="J58" s="266"/>
      <c r="K58" s="266"/>
    </row>
    <row r="59" spans="2:11" ht="110.4" x14ac:dyDescent="0.25">
      <c r="B59" s="220" t="s">
        <v>324</v>
      </c>
      <c r="C59" s="263"/>
      <c r="D59" s="229" t="s">
        <v>94</v>
      </c>
      <c r="E59" s="223">
        <v>0.14000000000000001</v>
      </c>
      <c r="F59" s="264">
        <v>0.35</v>
      </c>
      <c r="G59" s="225">
        <f>IF(D59="Yes",F59,0)</f>
        <v>0</v>
      </c>
      <c r="H59" s="101"/>
      <c r="I59" s="265" t="s">
        <v>325</v>
      </c>
      <c r="J59" s="186"/>
      <c r="K59" s="186"/>
    </row>
    <row r="60" spans="2:11" ht="13.8" x14ac:dyDescent="0.25">
      <c r="B60" s="220" t="s">
        <v>326</v>
      </c>
      <c r="C60" s="263"/>
      <c r="D60" s="222" t="s">
        <v>92</v>
      </c>
      <c r="E60" s="223">
        <v>0.14000000000000001</v>
      </c>
      <c r="F60" s="264">
        <v>0.35</v>
      </c>
      <c r="G60" s="225">
        <f>IF(D60="Yes",F60,0)</f>
        <v>0.35</v>
      </c>
      <c r="H60" s="101"/>
      <c r="I60" s="265"/>
      <c r="J60" s="186"/>
      <c r="K60" s="186"/>
    </row>
    <row r="61" spans="2:11" ht="21" customHeight="1" x14ac:dyDescent="0.25">
      <c r="B61" s="212" t="s">
        <v>327</v>
      </c>
      <c r="C61" s="214"/>
      <c r="D61" s="214"/>
      <c r="E61" s="261">
        <v>0.75</v>
      </c>
      <c r="F61" s="262">
        <v>7.5</v>
      </c>
      <c r="G61" s="249">
        <f>MAX(G62,G83)</f>
        <v>7.5</v>
      </c>
      <c r="H61" s="101"/>
      <c r="I61" s="218"/>
      <c r="J61" s="219"/>
      <c r="K61" s="219"/>
    </row>
    <row r="62" spans="2:11" ht="21" customHeight="1" x14ac:dyDescent="0.25">
      <c r="B62" s="230" t="s">
        <v>328</v>
      </c>
      <c r="C62" s="232"/>
      <c r="D62" s="232"/>
      <c r="E62" s="246">
        <v>1</v>
      </c>
      <c r="F62" s="267">
        <v>7.5</v>
      </c>
      <c r="G62" s="268">
        <f>SUM(G69+G76)</f>
        <v>7.5</v>
      </c>
      <c r="H62" s="101"/>
      <c r="I62" s="236"/>
      <c r="J62" s="237"/>
      <c r="K62" s="237"/>
    </row>
    <row r="63" spans="2:11" ht="13.8" x14ac:dyDescent="0.25">
      <c r="B63" s="269" t="s">
        <v>329</v>
      </c>
      <c r="C63" s="270"/>
      <c r="D63" s="270"/>
      <c r="E63" s="271"/>
      <c r="F63" s="271"/>
      <c r="G63" s="270"/>
      <c r="H63" s="101"/>
      <c r="I63" s="272"/>
      <c r="J63" s="273"/>
      <c r="K63" s="273"/>
    </row>
    <row r="64" spans="2:11" ht="13.8" x14ac:dyDescent="0.25">
      <c r="B64" s="220" t="s">
        <v>330</v>
      </c>
      <c r="C64" s="263"/>
      <c r="D64" s="222" t="s">
        <v>92</v>
      </c>
      <c r="E64" s="223"/>
      <c r="F64" s="185"/>
      <c r="G64" s="192"/>
      <c r="H64" s="101"/>
      <c r="I64" s="143"/>
      <c r="J64" s="186"/>
      <c r="K64" s="186"/>
    </row>
    <row r="65" spans="2:39" ht="13.8" x14ac:dyDescent="0.25">
      <c r="B65" s="220" t="s">
        <v>331</v>
      </c>
      <c r="C65" s="263"/>
      <c r="D65" s="222" t="s">
        <v>92</v>
      </c>
      <c r="E65" s="223"/>
      <c r="F65" s="185"/>
      <c r="G65" s="192"/>
      <c r="H65" s="101"/>
      <c r="I65" s="143"/>
      <c r="J65" s="186"/>
      <c r="K65" s="186"/>
    </row>
    <row r="66" spans="2:39" ht="13.8" x14ac:dyDescent="0.25">
      <c r="B66" s="220" t="s">
        <v>332</v>
      </c>
      <c r="C66" s="263"/>
      <c r="D66" s="222" t="s">
        <v>92</v>
      </c>
      <c r="E66" s="223"/>
      <c r="F66" s="185"/>
      <c r="G66" s="192"/>
      <c r="H66" s="101"/>
      <c r="I66" s="143"/>
      <c r="J66" s="186"/>
      <c r="K66" s="186"/>
    </row>
    <row r="67" spans="2:39" ht="39.6" x14ac:dyDescent="0.25">
      <c r="B67" s="220" t="s">
        <v>333</v>
      </c>
      <c r="C67" s="263"/>
      <c r="D67" s="222" t="s">
        <v>92</v>
      </c>
      <c r="E67" s="223"/>
      <c r="F67" s="185"/>
      <c r="G67" s="192"/>
      <c r="H67" s="101"/>
      <c r="I67" s="143" t="s">
        <v>334</v>
      </c>
      <c r="J67" s="186"/>
      <c r="K67" s="186"/>
    </row>
    <row r="68" spans="2:39" ht="27.6" x14ac:dyDescent="0.25">
      <c r="B68" s="220" t="s">
        <v>335</v>
      </c>
      <c r="C68" s="263"/>
      <c r="D68" s="222" t="s">
        <v>92</v>
      </c>
      <c r="E68" s="223"/>
      <c r="F68" s="185"/>
      <c r="G68" s="192"/>
      <c r="H68" s="101"/>
      <c r="I68" s="143"/>
      <c r="J68" s="186"/>
      <c r="K68" s="186"/>
    </row>
    <row r="69" spans="2:39" ht="15.75" customHeight="1" x14ac:dyDescent="0.25">
      <c r="B69" s="274" t="s">
        <v>336</v>
      </c>
      <c r="C69" s="270"/>
      <c r="D69" s="270"/>
      <c r="E69" s="275">
        <v>0.4</v>
      </c>
      <c r="F69" s="276">
        <v>3</v>
      </c>
      <c r="G69" s="277">
        <f>MAX(G70,G71,G72,G73,G74,G75)</f>
        <v>3</v>
      </c>
      <c r="H69" s="101"/>
      <c r="I69" s="272"/>
      <c r="J69" s="273"/>
      <c r="K69" s="273"/>
    </row>
    <row r="70" spans="2:39" ht="13.8" x14ac:dyDescent="0.25">
      <c r="B70" s="278" t="s">
        <v>337</v>
      </c>
      <c r="C70" s="279"/>
      <c r="D70" s="222"/>
      <c r="E70" s="223"/>
      <c r="F70" s="264">
        <v>3</v>
      </c>
      <c r="G70" s="225">
        <f t="shared" ref="G70:G75" si="1">IF(D70="Yes",F70,0)</f>
        <v>0</v>
      </c>
      <c r="H70" s="101"/>
      <c r="I70" s="280"/>
      <c r="J70" s="186"/>
      <c r="K70" s="186"/>
    </row>
    <row r="71" spans="2:39" s="5" customFormat="1" ht="13.8" x14ac:dyDescent="0.25">
      <c r="B71" s="278" t="s">
        <v>338</v>
      </c>
      <c r="C71" s="279"/>
      <c r="D71" s="222"/>
      <c r="E71" s="223"/>
      <c r="F71" s="264">
        <v>3</v>
      </c>
      <c r="G71" s="225">
        <f t="shared" si="1"/>
        <v>0</v>
      </c>
      <c r="H71" s="101"/>
      <c r="I71" s="143"/>
      <c r="J71" s="281"/>
      <c r="K71" s="281"/>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row>
    <row r="72" spans="2:39" s="5" customFormat="1" ht="13.8" x14ac:dyDescent="0.25">
      <c r="B72" s="278" t="s">
        <v>339</v>
      </c>
      <c r="C72" s="279"/>
      <c r="D72" s="222"/>
      <c r="E72" s="223"/>
      <c r="F72" s="264">
        <v>3</v>
      </c>
      <c r="G72" s="225">
        <f t="shared" si="1"/>
        <v>0</v>
      </c>
      <c r="H72" s="101"/>
      <c r="I72" s="143"/>
      <c r="J72" s="281"/>
      <c r="K72" s="281"/>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row>
    <row r="73" spans="2:39" ht="13.8" x14ac:dyDescent="0.25">
      <c r="B73" s="278" t="s">
        <v>340</v>
      </c>
      <c r="C73" s="279"/>
      <c r="D73" s="222" t="s">
        <v>92</v>
      </c>
      <c r="E73" s="223"/>
      <c r="F73" s="264">
        <v>3</v>
      </c>
      <c r="G73" s="225">
        <f t="shared" si="1"/>
        <v>3</v>
      </c>
      <c r="H73" s="101"/>
      <c r="I73" s="143"/>
      <c r="J73" s="186"/>
      <c r="K73" s="186"/>
    </row>
    <row r="74" spans="2:39" ht="13.8" x14ac:dyDescent="0.25">
      <c r="B74" s="278" t="s">
        <v>341</v>
      </c>
      <c r="C74" s="279"/>
      <c r="D74" s="222" t="s">
        <v>92</v>
      </c>
      <c r="E74" s="223"/>
      <c r="F74" s="264">
        <v>3</v>
      </c>
      <c r="G74" s="225">
        <f t="shared" si="1"/>
        <v>3</v>
      </c>
      <c r="H74" s="101"/>
      <c r="I74" s="143"/>
      <c r="J74" s="186"/>
      <c r="K74" s="186"/>
    </row>
    <row r="75" spans="2:39" ht="13.8" x14ac:dyDescent="0.25">
      <c r="B75" s="278" t="s">
        <v>342</v>
      </c>
      <c r="C75" s="279"/>
      <c r="D75" s="222"/>
      <c r="E75" s="223"/>
      <c r="F75" s="264">
        <v>3</v>
      </c>
      <c r="G75" s="225">
        <f t="shared" si="1"/>
        <v>0</v>
      </c>
      <c r="H75" s="101"/>
      <c r="I75" s="143"/>
      <c r="J75" s="186"/>
      <c r="K75" s="186"/>
    </row>
    <row r="76" spans="2:39" ht="13.8" x14ac:dyDescent="0.25">
      <c r="B76" s="269" t="s">
        <v>343</v>
      </c>
      <c r="C76" s="270"/>
      <c r="D76" s="270"/>
      <c r="E76" s="275">
        <v>0.6</v>
      </c>
      <c r="F76" s="276">
        <v>4.5</v>
      </c>
      <c r="G76" s="277">
        <f>SUM(G77:G82)</f>
        <v>4.5</v>
      </c>
      <c r="H76" s="101"/>
      <c r="I76" s="272"/>
      <c r="J76" s="273"/>
      <c r="K76" s="273"/>
    </row>
    <row r="77" spans="2:39" ht="13.8" x14ac:dyDescent="0.25">
      <c r="B77" s="220" t="s">
        <v>344</v>
      </c>
      <c r="C77" s="263"/>
      <c r="D77" s="222" t="s">
        <v>92</v>
      </c>
      <c r="E77" s="223">
        <v>0.3</v>
      </c>
      <c r="F77" s="264">
        <v>1.35</v>
      </c>
      <c r="G77" s="225">
        <f t="shared" ref="G77:G82" si="2">IF(D77="Yes",F77,0)</f>
        <v>1.35</v>
      </c>
      <c r="H77" s="101"/>
      <c r="I77" s="143"/>
      <c r="J77" s="186"/>
      <c r="K77" s="186"/>
    </row>
    <row r="78" spans="2:39" ht="13.8" x14ac:dyDescent="0.25">
      <c r="B78" s="278" t="s">
        <v>345</v>
      </c>
      <c r="C78" s="279"/>
      <c r="D78" s="222" t="s">
        <v>92</v>
      </c>
      <c r="E78" s="223">
        <v>0.3</v>
      </c>
      <c r="F78" s="264">
        <v>1.35</v>
      </c>
      <c r="G78" s="225">
        <f t="shared" si="2"/>
        <v>1.35</v>
      </c>
      <c r="H78" s="101"/>
      <c r="I78" s="143"/>
      <c r="J78" s="186"/>
      <c r="K78" s="186"/>
    </row>
    <row r="79" spans="2:39" ht="13.8" x14ac:dyDescent="0.25">
      <c r="B79" s="282" t="s">
        <v>346</v>
      </c>
      <c r="C79" s="279"/>
      <c r="D79" s="222" t="s">
        <v>92</v>
      </c>
      <c r="E79" s="223">
        <v>0.15</v>
      </c>
      <c r="F79" s="264">
        <v>0.67500000000000004</v>
      </c>
      <c r="G79" s="225">
        <f t="shared" si="2"/>
        <v>0.67500000000000004</v>
      </c>
      <c r="H79" s="101"/>
      <c r="I79" s="143"/>
      <c r="J79" s="186"/>
      <c r="K79" s="186"/>
    </row>
    <row r="80" spans="2:39" ht="13.8" x14ac:dyDescent="0.25">
      <c r="B80" s="220" t="s">
        <v>347</v>
      </c>
      <c r="C80" s="263"/>
      <c r="D80" s="222" t="s">
        <v>92</v>
      </c>
      <c r="E80" s="223">
        <v>0.1</v>
      </c>
      <c r="F80" s="264">
        <v>0.45</v>
      </c>
      <c r="G80" s="225">
        <f t="shared" si="2"/>
        <v>0.45</v>
      </c>
      <c r="H80" s="101"/>
      <c r="J80" s="186"/>
      <c r="K80" s="186"/>
    </row>
    <row r="81" spans="2:39" ht="14.4" thickBot="1" x14ac:dyDescent="0.3">
      <c r="B81" s="220" t="s">
        <v>348</v>
      </c>
      <c r="C81" s="263"/>
      <c r="D81" s="222" t="s">
        <v>92</v>
      </c>
      <c r="E81" s="223">
        <v>0</v>
      </c>
      <c r="F81" s="185"/>
      <c r="G81" s="192"/>
      <c r="H81" s="108"/>
      <c r="I81" s="143"/>
      <c r="J81" s="186"/>
      <c r="K81" s="186"/>
    </row>
    <row r="82" spans="2:39" ht="13.8" x14ac:dyDescent="0.25">
      <c r="B82" s="16" t="s">
        <v>349</v>
      </c>
      <c r="C82" s="263"/>
      <c r="D82" s="222" t="s">
        <v>92</v>
      </c>
      <c r="E82" s="119">
        <v>0.15</v>
      </c>
      <c r="F82" s="120">
        <v>0.67500000000000004</v>
      </c>
      <c r="G82" s="225">
        <f t="shared" si="2"/>
        <v>0.67500000000000004</v>
      </c>
      <c r="I82" s="143"/>
      <c r="J82" s="186"/>
      <c r="K82" s="186"/>
    </row>
    <row r="83" spans="2:39" ht="21" customHeight="1" x14ac:dyDescent="0.25">
      <c r="B83" s="230" t="s">
        <v>350</v>
      </c>
      <c r="C83" s="232"/>
      <c r="D83" s="232"/>
      <c r="E83" s="246">
        <v>1</v>
      </c>
      <c r="F83" s="267">
        <v>6</v>
      </c>
      <c r="G83" s="235">
        <f>SUM(G84+G90)</f>
        <v>5.95</v>
      </c>
      <c r="H83" s="101"/>
      <c r="I83" s="236"/>
      <c r="J83" s="237"/>
      <c r="K83" s="237"/>
    </row>
    <row r="84" spans="2:39" ht="15.75" customHeight="1" x14ac:dyDescent="0.25">
      <c r="B84" s="274" t="s">
        <v>336</v>
      </c>
      <c r="C84" s="270"/>
      <c r="D84" s="270"/>
      <c r="E84" s="275">
        <v>0.4</v>
      </c>
      <c r="F84" s="283">
        <v>2.4</v>
      </c>
      <c r="G84" s="277">
        <f>MAX(G85:G89)</f>
        <v>2.35</v>
      </c>
      <c r="H84" s="101"/>
      <c r="I84" s="272"/>
      <c r="J84" s="273"/>
      <c r="K84" s="273"/>
    </row>
    <row r="85" spans="2:39" ht="13.8" x14ac:dyDescent="0.25">
      <c r="B85" s="278" t="s">
        <v>351</v>
      </c>
      <c r="C85" s="279"/>
      <c r="D85" s="222"/>
      <c r="E85" s="223"/>
      <c r="F85" s="264">
        <v>2.35</v>
      </c>
      <c r="G85" s="225">
        <f>IF(D85="Yes",F85,0)</f>
        <v>0</v>
      </c>
      <c r="H85" s="101"/>
      <c r="I85" s="280"/>
      <c r="J85" s="186"/>
      <c r="K85" s="186"/>
    </row>
    <row r="86" spans="2:39" s="5" customFormat="1" ht="13.8" x14ac:dyDescent="0.25">
      <c r="B86" s="278" t="s">
        <v>352</v>
      </c>
      <c r="C86" s="279"/>
      <c r="D86" s="222" t="s">
        <v>92</v>
      </c>
      <c r="E86" s="223"/>
      <c r="F86" s="264">
        <v>2.35</v>
      </c>
      <c r="G86" s="225">
        <f>IF(D86="Yes",F86,0)</f>
        <v>2.35</v>
      </c>
      <c r="H86" s="101"/>
      <c r="I86" s="143"/>
      <c r="J86" s="281"/>
      <c r="K86" s="281"/>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row>
    <row r="87" spans="2:39" s="5" customFormat="1" ht="13.8" x14ac:dyDescent="0.25">
      <c r="B87" s="278" t="s">
        <v>353</v>
      </c>
      <c r="C87" s="279"/>
      <c r="D87" s="222"/>
      <c r="E87" s="223"/>
      <c r="F87" s="264">
        <v>0.9</v>
      </c>
      <c r="G87" s="225">
        <f>IF(D87="Yes",F87,0)</f>
        <v>0</v>
      </c>
      <c r="H87" s="101"/>
      <c r="I87" s="143"/>
      <c r="J87" s="281"/>
      <c r="K87" s="281"/>
      <c r="L87" s="25"/>
      <c r="M87" s="25"/>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row>
    <row r="88" spans="2:39" ht="13.8" x14ac:dyDescent="0.25">
      <c r="B88" s="278" t="s">
        <v>354</v>
      </c>
      <c r="C88" s="279"/>
      <c r="D88" s="222" t="s">
        <v>92</v>
      </c>
      <c r="E88" s="223"/>
      <c r="F88" s="264">
        <v>0.9</v>
      </c>
      <c r="G88" s="225">
        <f>IF(D88="Yes",F88,0)</f>
        <v>0.9</v>
      </c>
      <c r="H88" s="101"/>
      <c r="I88" s="143"/>
      <c r="J88" s="186"/>
      <c r="K88" s="186"/>
    </row>
    <row r="89" spans="2:39" ht="13.8" x14ac:dyDescent="0.25">
      <c r="B89" s="278" t="s">
        <v>355</v>
      </c>
      <c r="C89" s="279"/>
      <c r="D89" s="222" t="s">
        <v>92</v>
      </c>
      <c r="E89" s="223"/>
      <c r="F89" s="264">
        <v>0.9</v>
      </c>
      <c r="G89" s="225">
        <f>IF(D89="Yes",F89,0)</f>
        <v>0.9</v>
      </c>
      <c r="H89" s="101"/>
      <c r="I89" s="143"/>
      <c r="J89" s="186"/>
      <c r="K89" s="186"/>
    </row>
    <row r="90" spans="2:39" ht="13.8" x14ac:dyDescent="0.25">
      <c r="B90" s="269" t="s">
        <v>343</v>
      </c>
      <c r="C90" s="270"/>
      <c r="D90" s="270"/>
      <c r="E90" s="275">
        <v>0.6</v>
      </c>
      <c r="F90" s="283">
        <v>3.6</v>
      </c>
      <c r="G90" s="284">
        <f>SUM(G91:G94)</f>
        <v>3.6</v>
      </c>
      <c r="H90" s="101"/>
      <c r="I90" s="272"/>
      <c r="J90" s="273"/>
      <c r="K90" s="273"/>
    </row>
    <row r="91" spans="2:39" ht="13.8" x14ac:dyDescent="0.25">
      <c r="B91" s="220" t="s">
        <v>356</v>
      </c>
      <c r="C91" s="263"/>
      <c r="D91" s="222" t="s">
        <v>92</v>
      </c>
      <c r="E91" s="223">
        <v>0.35</v>
      </c>
      <c r="F91" s="245">
        <v>1.26</v>
      </c>
      <c r="G91" s="225">
        <f>IF(D91="Yes",F91,0)</f>
        <v>1.26</v>
      </c>
      <c r="H91" s="101"/>
      <c r="I91" s="143"/>
      <c r="J91" s="186"/>
      <c r="K91" s="186"/>
    </row>
    <row r="92" spans="2:39" ht="13.8" x14ac:dyDescent="0.25">
      <c r="B92" s="282" t="s">
        <v>357</v>
      </c>
      <c r="C92" s="279"/>
      <c r="D92" s="222" t="s">
        <v>92</v>
      </c>
      <c r="E92" s="223">
        <v>0.35</v>
      </c>
      <c r="F92" s="245">
        <v>1.26</v>
      </c>
      <c r="G92" s="225">
        <f>IF(D92="Yes",F92,0)</f>
        <v>1.26</v>
      </c>
      <c r="H92" s="101"/>
      <c r="I92" s="143"/>
      <c r="J92" s="186"/>
      <c r="K92" s="186"/>
    </row>
    <row r="93" spans="2:39" ht="13.8" x14ac:dyDescent="0.25">
      <c r="B93" s="282" t="s">
        <v>358</v>
      </c>
      <c r="C93" s="279"/>
      <c r="D93" s="222" t="s">
        <v>92</v>
      </c>
      <c r="E93" s="223">
        <v>0.15</v>
      </c>
      <c r="F93" s="245">
        <v>0.54</v>
      </c>
      <c r="G93" s="225">
        <f>IF(D93="Yes",F93,0)</f>
        <v>0.54</v>
      </c>
      <c r="H93" s="101"/>
      <c r="I93" s="143"/>
      <c r="J93" s="186"/>
      <c r="K93" s="186"/>
    </row>
    <row r="94" spans="2:39" ht="39.6" x14ac:dyDescent="0.25">
      <c r="B94" s="220" t="s">
        <v>349</v>
      </c>
      <c r="C94" s="263"/>
      <c r="D94" s="222" t="s">
        <v>92</v>
      </c>
      <c r="E94" s="223">
        <v>0.15</v>
      </c>
      <c r="F94" s="245">
        <v>0.54</v>
      </c>
      <c r="G94" s="225">
        <f>IF(D94="Yes",F94,0)</f>
        <v>0.54</v>
      </c>
      <c r="H94" s="101"/>
      <c r="I94" s="143" t="s">
        <v>359</v>
      </c>
      <c r="J94" s="186" t="s">
        <v>360</v>
      </c>
      <c r="K94" s="186"/>
    </row>
    <row r="95" spans="2:39" x14ac:dyDescent="0.25">
      <c r="D95" s="11"/>
      <c r="E95" s="121"/>
      <c r="F95" s="122"/>
      <c r="G95" s="12"/>
    </row>
    <row r="96" spans="2:39" x14ac:dyDescent="0.25">
      <c r="D96" s="11"/>
      <c r="E96" s="121"/>
      <c r="F96" s="122"/>
      <c r="G96" s="12"/>
    </row>
    <row r="97" spans="4:7" x14ac:dyDescent="0.25">
      <c r="D97" s="11"/>
      <c r="E97" s="121"/>
      <c r="F97" s="122"/>
      <c r="G97" s="12"/>
    </row>
    <row r="98" spans="4:7" x14ac:dyDescent="0.25">
      <c r="D98" s="11"/>
      <c r="E98" s="121"/>
      <c r="F98" s="122"/>
      <c r="G98" s="12"/>
    </row>
    <row r="99" spans="4:7" x14ac:dyDescent="0.25">
      <c r="D99" s="11"/>
      <c r="E99" s="121"/>
      <c r="F99" s="122"/>
      <c r="G99" s="12"/>
    </row>
    <row r="100" spans="4:7" x14ac:dyDescent="0.25">
      <c r="D100" s="11"/>
      <c r="E100" s="121"/>
      <c r="F100" s="122"/>
      <c r="G100" s="12"/>
    </row>
    <row r="101" spans="4:7" x14ac:dyDescent="0.25">
      <c r="D101" s="11"/>
      <c r="E101" s="121"/>
      <c r="F101" s="122"/>
      <c r="G101" s="12"/>
    </row>
    <row r="102" spans="4:7" x14ac:dyDescent="0.25">
      <c r="D102" s="11"/>
      <c r="E102" s="121"/>
      <c r="F102" s="122"/>
      <c r="G102" s="12"/>
    </row>
    <row r="103" spans="4:7" x14ac:dyDescent="0.25">
      <c r="D103" s="11"/>
      <c r="E103" s="121"/>
      <c r="F103" s="122"/>
      <c r="G103" s="12"/>
    </row>
    <row r="104" spans="4:7" x14ac:dyDescent="0.25">
      <c r="D104" s="11"/>
      <c r="E104" s="121"/>
      <c r="F104" s="122"/>
      <c r="G104" s="12"/>
    </row>
    <row r="105" spans="4:7" x14ac:dyDescent="0.25">
      <c r="D105" s="11"/>
      <c r="E105" s="121"/>
      <c r="F105" s="122"/>
      <c r="G105" s="12"/>
    </row>
    <row r="106" spans="4:7" x14ac:dyDescent="0.25">
      <c r="D106" s="11"/>
      <c r="E106" s="121"/>
      <c r="F106" s="122"/>
      <c r="G106" s="12"/>
    </row>
    <row r="107" spans="4:7" x14ac:dyDescent="0.25">
      <c r="D107" s="11"/>
      <c r="E107" s="121"/>
      <c r="F107" s="122"/>
      <c r="G107" s="12"/>
    </row>
    <row r="108" spans="4:7" x14ac:dyDescent="0.25">
      <c r="D108" s="11"/>
      <c r="E108" s="121"/>
      <c r="F108" s="122"/>
      <c r="G108" s="12"/>
    </row>
    <row r="109" spans="4:7" x14ac:dyDescent="0.25">
      <c r="D109" s="11"/>
      <c r="E109" s="121"/>
      <c r="F109" s="122"/>
      <c r="G109" s="12"/>
    </row>
    <row r="110" spans="4:7" x14ac:dyDescent="0.25">
      <c r="D110" s="11"/>
      <c r="E110" s="121"/>
      <c r="F110" s="122"/>
      <c r="G110" s="12"/>
    </row>
    <row r="111" spans="4:7" x14ac:dyDescent="0.25">
      <c r="D111" s="11"/>
      <c r="E111" s="121"/>
      <c r="F111" s="122"/>
      <c r="G111" s="12"/>
    </row>
    <row r="112" spans="4:7" x14ac:dyDescent="0.25">
      <c r="D112" s="11"/>
      <c r="E112" s="121"/>
      <c r="F112" s="122"/>
      <c r="G112" s="12"/>
    </row>
    <row r="113" spans="4:7" x14ac:dyDescent="0.25">
      <c r="D113" s="11"/>
      <c r="E113" s="121"/>
      <c r="F113" s="122"/>
      <c r="G113" s="12"/>
    </row>
    <row r="114" spans="4:7" x14ac:dyDescent="0.25">
      <c r="D114" s="11"/>
      <c r="E114" s="121"/>
      <c r="F114" s="122"/>
      <c r="G114" s="12"/>
    </row>
    <row r="115" spans="4:7" x14ac:dyDescent="0.25">
      <c r="D115" s="11"/>
      <c r="E115" s="121"/>
      <c r="F115" s="122"/>
      <c r="G115" s="12"/>
    </row>
  </sheetData>
  <sheetProtection algorithmName="SHA-512" hashValue="BuBOC+xGbSq3PxKZ9QYkxYmKV5MWgqhSroGkgnn4EKLv26weCBzxJHXL0B97EHMTbBYel1xL+PdBycqVbv04ig==" saltValue="VBD4+IoNxeBUB3gSrxGxfg==" spinCount="100000" sheet="1" formatCells="0" formatRows="0" selectLockedCells="1"/>
  <mergeCells count="9">
    <mergeCell ref="G9:G10"/>
    <mergeCell ref="B9:B10"/>
    <mergeCell ref="D9:D10"/>
    <mergeCell ref="C9:C10"/>
    <mergeCell ref="B2:D2"/>
    <mergeCell ref="B3:D3"/>
    <mergeCell ref="B5:D5"/>
    <mergeCell ref="B6:D6"/>
    <mergeCell ref="B7:D7"/>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D85:D89 D13:D18 D20:D23 D42:D46 D64:D68 D70:D75 D91:D94 D56:D60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D19" sqref="D19"/>
    </sheetView>
  </sheetViews>
  <sheetFormatPr defaultColWidth="9.109375" defaultRowHeight="13.2" x14ac:dyDescent="0.25"/>
  <cols>
    <col min="1" max="1" width="2.44140625" style="2" customWidth="1"/>
    <col min="2" max="2" width="82.88671875" style="3" customWidth="1"/>
    <col min="3" max="3" width="68.88671875" style="2" customWidth="1"/>
    <col min="4" max="4" width="25.33203125" style="9" customWidth="1"/>
    <col min="5" max="5" width="17.109375" style="24" hidden="1" customWidth="1"/>
    <col min="6" max="8" width="25.88671875" style="24" customWidth="1"/>
    <col min="9" max="27" width="9.109375" style="24"/>
    <col min="28" max="16384" width="9.109375" style="2"/>
  </cols>
  <sheetData>
    <row r="2" spans="1:8" ht="17.399999999999999" x14ac:dyDescent="0.25">
      <c r="B2" s="460" t="s">
        <v>76</v>
      </c>
      <c r="C2" s="460"/>
      <c r="D2" s="460"/>
    </row>
    <row r="3" spans="1:8" ht="18" thickBot="1" x14ac:dyDescent="0.3">
      <c r="B3" s="460" t="s">
        <v>361</v>
      </c>
      <c r="C3" s="495"/>
      <c r="D3" s="495"/>
    </row>
    <row r="4" spans="1:8" ht="17.399999999999999" x14ac:dyDescent="0.25">
      <c r="A4" s="496" t="s">
        <v>78</v>
      </c>
      <c r="B4" s="497"/>
      <c r="C4" s="497"/>
      <c r="D4" s="497"/>
      <c r="E4" s="26"/>
    </row>
    <row r="5" spans="1:8" ht="23.25" customHeight="1" x14ac:dyDescent="0.25">
      <c r="A5" s="14"/>
      <c r="B5" s="498" t="s">
        <v>362</v>
      </c>
      <c r="C5" s="498"/>
      <c r="D5" s="498"/>
      <c r="E5" s="27"/>
    </row>
    <row r="6" spans="1:8" ht="31.5" customHeight="1" x14ac:dyDescent="0.25">
      <c r="A6" s="4">
        <v>1</v>
      </c>
      <c r="B6" s="473" t="s">
        <v>255</v>
      </c>
      <c r="C6" s="473"/>
      <c r="D6" s="473"/>
      <c r="E6" s="27"/>
    </row>
    <row r="7" spans="1:8" ht="30.75" customHeight="1" thickBot="1" x14ac:dyDescent="0.3">
      <c r="A7" s="15">
        <v>2</v>
      </c>
      <c r="B7" s="494" t="s">
        <v>363</v>
      </c>
      <c r="C7" s="494"/>
      <c r="D7" s="494"/>
      <c r="E7" s="28"/>
    </row>
    <row r="8" spans="1:8" ht="27" customHeight="1" x14ac:dyDescent="0.25">
      <c r="C8" s="3"/>
      <c r="D8" s="8"/>
    </row>
    <row r="9" spans="1:8" ht="18" customHeight="1" thickBot="1" x14ac:dyDescent="0.3">
      <c r="B9" s="493" t="s">
        <v>364</v>
      </c>
      <c r="C9" s="493"/>
      <c r="D9" s="493"/>
    </row>
    <row r="10" spans="1:8" ht="25.5" customHeight="1" x14ac:dyDescent="0.25">
      <c r="B10" s="77" t="s">
        <v>81</v>
      </c>
      <c r="C10" s="40" t="s">
        <v>82</v>
      </c>
      <c r="D10" s="81" t="s">
        <v>257</v>
      </c>
      <c r="E10" s="78"/>
      <c r="F10" s="491" t="s">
        <v>84</v>
      </c>
      <c r="G10" s="492"/>
      <c r="H10" s="492"/>
    </row>
    <row r="11" spans="1:8" ht="23.25" customHeight="1" x14ac:dyDescent="0.25">
      <c r="B11" s="206" t="s">
        <v>365</v>
      </c>
      <c r="C11" s="207"/>
      <c r="D11" s="285"/>
      <c r="E11" s="79"/>
      <c r="F11" s="173" t="s">
        <v>86</v>
      </c>
      <c r="G11" s="286" t="s">
        <v>87</v>
      </c>
      <c r="H11" s="286" t="s">
        <v>88</v>
      </c>
    </row>
    <row r="12" spans="1:8" ht="33" customHeight="1" x14ac:dyDescent="0.25">
      <c r="B12" s="287" t="s">
        <v>366</v>
      </c>
      <c r="C12" s="147"/>
      <c r="D12" s="288" t="s">
        <v>367</v>
      </c>
      <c r="E12" s="79"/>
      <c r="F12" s="221"/>
      <c r="G12" s="289"/>
      <c r="H12" s="289"/>
    </row>
    <row r="13" spans="1:8" ht="33" customHeight="1" x14ac:dyDescent="0.25">
      <c r="B13" s="287" t="s">
        <v>368</v>
      </c>
      <c r="C13" s="147"/>
      <c r="D13" s="288" t="s">
        <v>369</v>
      </c>
      <c r="E13" s="79"/>
      <c r="F13" s="221"/>
      <c r="G13" s="289"/>
      <c r="H13" s="289"/>
    </row>
    <row r="14" spans="1:8" ht="13.8" x14ac:dyDescent="0.25">
      <c r="B14" s="212" t="s">
        <v>370</v>
      </c>
      <c r="C14" s="213"/>
      <c r="D14" s="290"/>
      <c r="E14" s="79"/>
      <c r="F14" s="213"/>
      <c r="G14" s="290"/>
      <c r="H14" s="290"/>
    </row>
    <row r="15" spans="1:8" ht="33" customHeight="1" x14ac:dyDescent="0.25">
      <c r="B15" s="220" t="s">
        <v>371</v>
      </c>
      <c r="C15" s="221"/>
      <c r="D15" s="291" t="s">
        <v>92</v>
      </c>
      <c r="E15" s="79"/>
      <c r="F15" s="221"/>
      <c r="G15" s="289"/>
      <c r="H15" s="289"/>
    </row>
    <row r="16" spans="1:8" ht="33" customHeight="1" x14ac:dyDescent="0.25">
      <c r="B16" s="220" t="s">
        <v>372</v>
      </c>
      <c r="C16" s="221"/>
      <c r="D16" s="291" t="s">
        <v>92</v>
      </c>
      <c r="E16" s="79"/>
      <c r="F16" s="221"/>
      <c r="G16" s="289"/>
      <c r="H16" s="289"/>
    </row>
    <row r="17" spans="2:8" ht="13.8" x14ac:dyDescent="0.25">
      <c r="B17" s="212" t="s">
        <v>373</v>
      </c>
      <c r="C17" s="213"/>
      <c r="D17" s="290"/>
      <c r="E17" s="79"/>
      <c r="F17" s="213"/>
      <c r="G17" s="290"/>
      <c r="H17" s="290"/>
    </row>
    <row r="18" spans="2:8" ht="33" customHeight="1" x14ac:dyDescent="0.25">
      <c r="B18" s="220" t="s">
        <v>374</v>
      </c>
      <c r="C18" s="221"/>
      <c r="D18" s="291" t="s">
        <v>92</v>
      </c>
      <c r="E18" s="79"/>
      <c r="F18" s="221"/>
      <c r="G18" s="289"/>
      <c r="H18" s="289"/>
    </row>
    <row r="19" spans="2:8" ht="33" customHeight="1" thickBot="1" x14ac:dyDescent="0.3">
      <c r="B19" s="75" t="s">
        <v>375</v>
      </c>
      <c r="C19" s="76"/>
      <c r="D19" s="82" t="s">
        <v>92</v>
      </c>
      <c r="E19" s="80"/>
      <c r="F19" s="76"/>
      <c r="G19" s="74"/>
      <c r="H19" s="74"/>
    </row>
    <row r="20" spans="2:8" ht="13.8" x14ac:dyDescent="0.25">
      <c r="B20" s="16"/>
      <c r="D20" s="51"/>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zoomScale="70" zoomScaleNormal="70" workbookViewId="0">
      <selection activeCell="E35" sqref="E35"/>
    </sheetView>
  </sheetViews>
  <sheetFormatPr defaultColWidth="9.109375" defaultRowHeight="13.2" x14ac:dyDescent="0.25"/>
  <cols>
    <col min="1" max="1" width="2.44140625" style="2" customWidth="1"/>
    <col min="2" max="2" width="79.33203125" style="3" customWidth="1"/>
    <col min="3" max="3" width="50.44140625" style="2" customWidth="1"/>
    <col min="4" max="4" width="0.33203125" style="2" customWidth="1"/>
    <col min="5" max="5" width="11" style="9" customWidth="1"/>
    <col min="6" max="6" width="16.109375" style="49" hidden="1" customWidth="1"/>
    <col min="7" max="10" width="9.109375" style="49" hidden="1" customWidth="1"/>
    <col min="11" max="11" width="5.6640625" style="49" hidden="1" customWidth="1"/>
    <col min="12" max="12" width="7.6640625" style="49" hidden="1" customWidth="1"/>
    <col min="13" max="13" width="11.44140625" style="49" hidden="1" customWidth="1"/>
    <col min="14" max="14" width="2.44140625" style="2" hidden="1" customWidth="1"/>
    <col min="15" max="15" width="33.33203125" style="24" customWidth="1"/>
    <col min="16" max="17" width="26.33203125" style="24" customWidth="1"/>
    <col min="18" max="26" width="9.109375" style="24"/>
    <col min="27" max="16384" width="9.109375" style="2"/>
  </cols>
  <sheetData>
    <row r="1" spans="1:26" x14ac:dyDescent="0.25">
      <c r="O1" s="2"/>
      <c r="P1" s="2"/>
    </row>
    <row r="2" spans="1:26" ht="17.399999999999999" x14ac:dyDescent="0.25">
      <c r="B2" s="460" t="s">
        <v>76</v>
      </c>
      <c r="C2" s="460"/>
      <c r="D2" s="460"/>
      <c r="E2" s="460"/>
      <c r="O2" s="2"/>
      <c r="P2" s="2"/>
    </row>
    <row r="3" spans="1:26" ht="18" thickBot="1" x14ac:dyDescent="0.3">
      <c r="B3" s="460" t="s">
        <v>361</v>
      </c>
      <c r="C3" s="495"/>
      <c r="D3" s="495"/>
      <c r="E3" s="495"/>
      <c r="O3" s="2"/>
      <c r="P3" s="2"/>
    </row>
    <row r="4" spans="1:26" ht="17.399999999999999" x14ac:dyDescent="0.25">
      <c r="A4" s="496" t="s">
        <v>78</v>
      </c>
      <c r="B4" s="497"/>
      <c r="C4" s="497"/>
      <c r="D4" s="497"/>
      <c r="E4" s="501"/>
      <c r="F4" s="52"/>
      <c r="O4" s="2"/>
      <c r="P4" s="2"/>
    </row>
    <row r="5" spans="1:26" ht="23.25" customHeight="1" x14ac:dyDescent="0.25">
      <c r="A5" s="14"/>
      <c r="B5" s="498" t="s">
        <v>362</v>
      </c>
      <c r="C5" s="498"/>
      <c r="D5" s="498"/>
      <c r="E5" s="502"/>
      <c r="F5" s="53"/>
      <c r="O5" s="2"/>
      <c r="P5" s="2"/>
    </row>
    <row r="6" spans="1:26" ht="31.5" customHeight="1" x14ac:dyDescent="0.25">
      <c r="A6" s="4">
        <v>1</v>
      </c>
      <c r="B6" s="473" t="s">
        <v>255</v>
      </c>
      <c r="C6" s="473"/>
      <c r="D6" s="473"/>
      <c r="E6" s="474"/>
      <c r="F6" s="53"/>
      <c r="O6" s="2"/>
      <c r="P6" s="2"/>
    </row>
    <row r="7" spans="1:26" ht="30.75" customHeight="1" thickBot="1" x14ac:dyDescent="0.3">
      <c r="A7" s="15">
        <v>2</v>
      </c>
      <c r="B7" s="494" t="s">
        <v>363</v>
      </c>
      <c r="C7" s="494"/>
      <c r="D7" s="494"/>
      <c r="E7" s="504"/>
      <c r="F7" s="54"/>
      <c r="O7" s="2"/>
      <c r="P7" s="2"/>
    </row>
    <row r="8" spans="1:26" ht="27" customHeight="1" x14ac:dyDescent="0.25">
      <c r="C8" s="3"/>
      <c r="D8" s="3"/>
      <c r="E8" s="8"/>
      <c r="O8" s="2"/>
      <c r="P8" s="2"/>
    </row>
    <row r="9" spans="1:26" ht="18" thickBot="1" x14ac:dyDescent="0.3">
      <c r="B9" s="493" t="s">
        <v>376</v>
      </c>
      <c r="C9" s="493"/>
      <c r="D9" s="493"/>
      <c r="E9" s="493"/>
      <c r="O9" s="2"/>
      <c r="P9" s="2"/>
    </row>
    <row r="10" spans="1:26" s="17" customFormat="1" ht="15.75" customHeight="1" x14ac:dyDescent="0.25">
      <c r="B10" s="19" t="s">
        <v>81</v>
      </c>
      <c r="C10" s="20" t="s">
        <v>82</v>
      </c>
      <c r="D10" s="20" t="s">
        <v>377</v>
      </c>
      <c r="E10" s="21" t="s">
        <v>257</v>
      </c>
      <c r="F10" s="55"/>
      <c r="G10" s="55"/>
      <c r="H10" s="55"/>
      <c r="I10" s="55"/>
      <c r="J10" s="55"/>
      <c r="K10" s="55"/>
      <c r="L10" s="55"/>
      <c r="M10" s="55"/>
      <c r="O10" s="500" t="s">
        <v>84</v>
      </c>
      <c r="P10" s="492"/>
      <c r="Q10" s="492"/>
      <c r="R10" s="29"/>
      <c r="S10" s="29"/>
      <c r="T10" s="29"/>
      <c r="U10" s="29"/>
      <c r="V10" s="29"/>
      <c r="W10" s="29"/>
      <c r="X10" s="29"/>
      <c r="Y10" s="29"/>
      <c r="Z10" s="29"/>
    </row>
    <row r="11" spans="1:26" s="17" customFormat="1" ht="17.25" customHeight="1" x14ac:dyDescent="0.25">
      <c r="B11" s="292" t="s">
        <v>378</v>
      </c>
      <c r="C11" s="293"/>
      <c r="D11" s="293"/>
      <c r="E11" s="294"/>
      <c r="F11" s="55"/>
      <c r="G11" s="55"/>
      <c r="H11" s="55"/>
      <c r="I11" s="55"/>
      <c r="J11" s="55"/>
      <c r="K11" s="55"/>
      <c r="L11" s="55"/>
      <c r="M11" s="55"/>
      <c r="O11" s="503" t="s">
        <v>86</v>
      </c>
      <c r="P11" s="499" t="s">
        <v>87</v>
      </c>
      <c r="Q11" s="499" t="s">
        <v>88</v>
      </c>
      <c r="R11" s="29"/>
      <c r="S11" s="29"/>
      <c r="T11" s="29"/>
      <c r="U11" s="29"/>
      <c r="V11" s="29"/>
      <c r="W11" s="29"/>
      <c r="X11" s="29"/>
      <c r="Y11" s="29"/>
      <c r="Z11" s="29"/>
    </row>
    <row r="12" spans="1:26" s="17" customFormat="1" ht="13.8" x14ac:dyDescent="0.25">
      <c r="B12" s="172" t="s">
        <v>379</v>
      </c>
      <c r="C12" s="198"/>
      <c r="D12" s="198"/>
      <c r="E12" s="295" t="str">
        <f>IF(OR(E13="Yes",E27="Yes"),"Yes","")</f>
        <v>Yes</v>
      </c>
      <c r="F12" s="55"/>
      <c r="G12" s="55"/>
      <c r="H12" s="55"/>
      <c r="I12" s="55"/>
      <c r="J12" s="55"/>
      <c r="K12" s="55"/>
      <c r="L12" s="55"/>
      <c r="M12" s="55"/>
      <c r="O12" s="503"/>
      <c r="P12" s="499"/>
      <c r="Q12" s="499"/>
      <c r="R12" s="29"/>
      <c r="S12" s="29"/>
      <c r="T12" s="29"/>
      <c r="U12" s="29"/>
      <c r="V12" s="29"/>
      <c r="W12" s="29"/>
      <c r="X12" s="29"/>
      <c r="Y12" s="29"/>
      <c r="Z12" s="29"/>
    </row>
    <row r="13" spans="1:26" s="17" customFormat="1" ht="13.8" x14ac:dyDescent="0.25">
      <c r="B13" s="296" t="s">
        <v>380</v>
      </c>
      <c r="C13" s="178"/>
      <c r="D13" s="178"/>
      <c r="E13" s="297" t="str">
        <f>IF(OR(E14="Yes",E20="Yes"),"Yes","")</f>
        <v>Yes</v>
      </c>
      <c r="F13" s="55"/>
      <c r="G13" s="55"/>
      <c r="H13" s="55"/>
      <c r="I13" s="55"/>
      <c r="J13" s="55"/>
      <c r="K13" s="55"/>
      <c r="L13" s="55"/>
      <c r="M13" s="55"/>
      <c r="O13" s="298"/>
      <c r="P13" s="297"/>
      <c r="Q13" s="297"/>
      <c r="R13" s="29"/>
      <c r="S13" s="29"/>
      <c r="T13" s="29"/>
      <c r="U13" s="29"/>
      <c r="V13" s="29"/>
      <c r="W13" s="29"/>
      <c r="X13" s="29"/>
      <c r="Y13" s="29"/>
      <c r="Z13" s="29"/>
    </row>
    <row r="14" spans="1:26" s="17" customFormat="1" ht="13.8" x14ac:dyDescent="0.25">
      <c r="B14" s="183" t="s">
        <v>381</v>
      </c>
      <c r="C14" s="187"/>
      <c r="D14" s="187"/>
      <c r="E14" s="299" t="str">
        <f>IF(OR(E15="Yes",E16="Yes",E17="Yes",E18="Yes",E19="Yes"),"Yes","")</f>
        <v>Yes</v>
      </c>
      <c r="F14" s="55" t="str">
        <f t="shared" ref="F14:F24" si="0">IF(E14="Yes",B14,"")</f>
        <v xml:space="preserve">     Financial Management</v>
      </c>
      <c r="G14" s="55">
        <f>LEN(F14)</f>
        <v>25</v>
      </c>
      <c r="H14" s="55" t="str">
        <f>RIGHT(F14,(G14-5))</f>
        <v>Financial Management</v>
      </c>
      <c r="I14" s="55" t="str">
        <f>IF(E14="Yes",CONCATENATE(H14,": "),"")</f>
        <v xml:space="preserve">Financial Management: </v>
      </c>
      <c r="J14" s="55" t="str">
        <f>CONCATENATE(I14,I15,I16,I17,I18,I19)</f>
        <v xml:space="preserve">Financial Management: Budget, Treasury, Accounting and Reporting, External Control, Internal Audit, </v>
      </c>
      <c r="K14" s="55">
        <f>LEN(J14)</f>
        <v>100</v>
      </c>
      <c r="L14" s="55" t="str">
        <f>LEFT(J14,(K14-2))</f>
        <v>Financial Management: Budget, Treasury, Accounting and Reporting, External Control, Internal Audit</v>
      </c>
      <c r="M14" s="55" t="str">
        <f>IF(K14=0,"",CONCATENATE(L14,"."))</f>
        <v>Financial Management: Budget, Treasury, Accounting and Reporting, External Control, Internal Audit.</v>
      </c>
      <c r="N14" s="17" t="str">
        <f>CONCATENATE(M14,CHAR(10),CHAR(10),M20)</f>
        <v>Financial Management: Budget, Treasury, Accounting and Reporting, External Control, Internal Audit.
Procurement: nformation System, parison, ontracting Individual Consultant, ational Public Bidding.</v>
      </c>
      <c r="O14" s="183"/>
      <c r="P14" s="300"/>
      <c r="Q14" s="300"/>
      <c r="R14" s="29"/>
      <c r="S14" s="29"/>
      <c r="T14" s="29"/>
      <c r="U14" s="29"/>
      <c r="V14" s="29"/>
      <c r="W14" s="29"/>
      <c r="X14" s="29"/>
      <c r="Y14" s="29"/>
      <c r="Z14" s="29"/>
    </row>
    <row r="15" spans="1:26" s="17" customFormat="1" ht="13.8" x14ac:dyDescent="0.25">
      <c r="B15" s="220" t="s">
        <v>382</v>
      </c>
      <c r="C15" s="150"/>
      <c r="D15" s="301"/>
      <c r="E15" s="149" t="s">
        <v>92</v>
      </c>
      <c r="F15" s="55" t="str">
        <f t="shared" si="0"/>
        <v xml:space="preserve">         Budget</v>
      </c>
      <c r="G15" s="55">
        <f t="shared" ref="G15:G33" si="1">LEN(F15)</f>
        <v>15</v>
      </c>
      <c r="H15" s="55" t="str">
        <f>RIGHT(F15,(G15-9))</f>
        <v>Budget</v>
      </c>
      <c r="I15" s="55" t="str">
        <f>IF(E15="Yes",CONCATENATE(H15,", "),"")</f>
        <v xml:space="preserve">Budget, </v>
      </c>
      <c r="J15" s="55"/>
      <c r="K15" s="55"/>
      <c r="L15" s="55"/>
      <c r="M15" s="55"/>
      <c r="O15" s="302"/>
      <c r="P15" s="303"/>
      <c r="Q15" s="303"/>
      <c r="R15" s="29"/>
      <c r="S15" s="29"/>
      <c r="T15" s="29"/>
      <c r="U15" s="29"/>
      <c r="V15" s="29"/>
      <c r="W15" s="29"/>
      <c r="X15" s="29"/>
      <c r="Y15" s="29"/>
      <c r="Z15" s="29"/>
    </row>
    <row r="16" spans="1:26" s="17" customFormat="1" ht="13.8" x14ac:dyDescent="0.25">
      <c r="B16" s="220" t="s">
        <v>383</v>
      </c>
      <c r="C16" s="150"/>
      <c r="D16" s="301"/>
      <c r="E16" s="149" t="s">
        <v>92</v>
      </c>
      <c r="F16" s="55" t="str">
        <f t="shared" si="0"/>
        <v xml:space="preserve">         Treasury</v>
      </c>
      <c r="G16" s="55">
        <f t="shared" si="1"/>
        <v>17</v>
      </c>
      <c r="H16" s="55" t="str">
        <f>RIGHT(F16,(G16-9))</f>
        <v>Treasury</v>
      </c>
      <c r="I16" s="55" t="str">
        <f t="shared" ref="I16:I23" si="2">IF(E16="Yes",CONCATENATE(H16,", "),"")</f>
        <v xml:space="preserve">Treasury, </v>
      </c>
      <c r="J16" s="55"/>
      <c r="K16" s="55"/>
      <c r="L16" s="55"/>
      <c r="M16" s="55"/>
      <c r="O16" s="302"/>
      <c r="P16" s="303"/>
      <c r="Q16" s="303"/>
      <c r="R16" s="29"/>
      <c r="S16" s="29"/>
      <c r="T16" s="29"/>
      <c r="U16" s="29"/>
      <c r="V16" s="29"/>
      <c r="W16" s="29"/>
      <c r="X16" s="29"/>
      <c r="Y16" s="29"/>
      <c r="Z16" s="29"/>
    </row>
    <row r="17" spans="2:26" s="17" customFormat="1" ht="13.8" x14ac:dyDescent="0.25">
      <c r="B17" s="220" t="s">
        <v>384</v>
      </c>
      <c r="C17" s="150"/>
      <c r="D17" s="301"/>
      <c r="E17" s="149" t="s">
        <v>92</v>
      </c>
      <c r="F17" s="55" t="str">
        <f t="shared" si="0"/>
        <v xml:space="preserve">         Accounting and Reporting</v>
      </c>
      <c r="G17" s="55">
        <f t="shared" si="1"/>
        <v>33</v>
      </c>
      <c r="H17" s="55" t="str">
        <f>RIGHT(F17,(G17-9))</f>
        <v>Accounting and Reporting</v>
      </c>
      <c r="I17" s="55" t="str">
        <f t="shared" si="2"/>
        <v xml:space="preserve">Accounting and Reporting, </v>
      </c>
      <c r="J17" s="55"/>
      <c r="K17" s="55"/>
      <c r="L17" s="55"/>
      <c r="M17" s="55"/>
      <c r="O17" s="302"/>
      <c r="P17" s="303"/>
      <c r="Q17" s="303"/>
      <c r="R17" s="29"/>
      <c r="S17" s="29"/>
      <c r="T17" s="29"/>
      <c r="U17" s="29"/>
      <c r="V17" s="29"/>
      <c r="W17" s="29"/>
      <c r="X17" s="29"/>
      <c r="Y17" s="29"/>
      <c r="Z17" s="29"/>
    </row>
    <row r="18" spans="2:26" s="17" customFormat="1" ht="13.8" x14ac:dyDescent="0.25">
      <c r="B18" s="220" t="s">
        <v>385</v>
      </c>
      <c r="C18" s="150"/>
      <c r="D18" s="301"/>
      <c r="E18" s="149" t="s">
        <v>92</v>
      </c>
      <c r="F18" s="55" t="str">
        <f t="shared" si="0"/>
        <v xml:space="preserve">         External Control</v>
      </c>
      <c r="G18" s="55">
        <f t="shared" si="1"/>
        <v>25</v>
      </c>
      <c r="H18" s="55" t="str">
        <f>RIGHT(F18,(G18-9))</f>
        <v>External Control</v>
      </c>
      <c r="I18" s="55" t="str">
        <f t="shared" si="2"/>
        <v xml:space="preserve">External Control, </v>
      </c>
      <c r="J18" s="55"/>
      <c r="K18" s="55"/>
      <c r="L18" s="55"/>
      <c r="M18" s="55"/>
      <c r="O18" s="302"/>
      <c r="P18" s="303"/>
      <c r="Q18" s="303"/>
      <c r="R18" s="29"/>
      <c r="S18" s="29"/>
      <c r="T18" s="29"/>
      <c r="U18" s="29"/>
      <c r="V18" s="29"/>
      <c r="W18" s="29"/>
      <c r="X18" s="29"/>
      <c r="Y18" s="29"/>
      <c r="Z18" s="29"/>
    </row>
    <row r="19" spans="2:26" s="17" customFormat="1" ht="13.8" x14ac:dyDescent="0.25">
      <c r="B19" s="220" t="s">
        <v>386</v>
      </c>
      <c r="C19" s="150"/>
      <c r="D19" s="301"/>
      <c r="E19" s="149" t="s">
        <v>92</v>
      </c>
      <c r="F19" s="55" t="str">
        <f t="shared" si="0"/>
        <v xml:space="preserve">         Internal Audit</v>
      </c>
      <c r="G19" s="55">
        <f t="shared" si="1"/>
        <v>23</v>
      </c>
      <c r="H19" s="55" t="str">
        <f>RIGHT(F19,(G19-9))</f>
        <v>Internal Audit</v>
      </c>
      <c r="I19" s="55" t="str">
        <f t="shared" si="2"/>
        <v xml:space="preserve">Internal Audit, </v>
      </c>
      <c r="J19" s="55"/>
      <c r="K19" s="55"/>
      <c r="L19" s="55"/>
      <c r="M19" s="55"/>
      <c r="O19" s="302"/>
      <c r="P19" s="303"/>
      <c r="Q19" s="303"/>
      <c r="R19" s="29"/>
      <c r="S19" s="29"/>
      <c r="T19" s="29"/>
      <c r="U19" s="29"/>
      <c r="V19" s="29"/>
      <c r="W19" s="29"/>
      <c r="X19" s="29"/>
      <c r="Y19" s="29"/>
      <c r="Z19" s="29"/>
    </row>
    <row r="20" spans="2:26" s="17" customFormat="1" ht="13.8" x14ac:dyDescent="0.25">
      <c r="B20" s="183" t="s">
        <v>387</v>
      </c>
      <c r="C20" s="187"/>
      <c r="D20" s="187"/>
      <c r="E20" s="304" t="str">
        <f>IF(OR(E21="Yes",E22="Yes",E23="Yes",E24="Yes"),"Yes","")</f>
        <v>Yes</v>
      </c>
      <c r="F20" s="55" t="str">
        <f t="shared" si="0"/>
        <v xml:space="preserve">     Procurement</v>
      </c>
      <c r="G20" s="55">
        <f>LEN(F20)</f>
        <v>16</v>
      </c>
      <c r="H20" s="55" t="str">
        <f>RIGHT(F20,(G20-5))</f>
        <v>Procurement</v>
      </c>
      <c r="I20" s="55" t="str">
        <f>IF(E20="Yes",CONCATENATE(H20,": "),"")</f>
        <v xml:space="preserve">Procurement: </v>
      </c>
      <c r="J20" s="55" t="str">
        <f>CONCATENATE(I20,I21,I22,I23,I24)</f>
        <v xml:space="preserve">Procurement: nformation System, parison, ontracting Individual Consultant, ational Public Bidding, </v>
      </c>
      <c r="K20" s="55">
        <f>LEN(J20)</f>
        <v>99</v>
      </c>
      <c r="L20" s="55" t="str">
        <f>LEFT(J20,(K20-2))</f>
        <v>Procurement: nformation System, parison, ontracting Individual Consultant, ational Public Bidding</v>
      </c>
      <c r="M20" s="55" t="str">
        <f>IF(K20=0,"",CONCATENATE(L20,"."))</f>
        <v>Procurement: nformation System, parison, ontracting Individual Consultant, ational Public Bidding.</v>
      </c>
      <c r="O20" s="183"/>
      <c r="P20" s="300"/>
      <c r="Q20" s="300"/>
      <c r="R20" s="29"/>
      <c r="S20" s="29"/>
      <c r="T20" s="29"/>
      <c r="U20" s="29"/>
      <c r="V20" s="29"/>
      <c r="W20" s="29"/>
      <c r="X20" s="29"/>
      <c r="Y20" s="29"/>
      <c r="Z20" s="29"/>
    </row>
    <row r="21" spans="2:26" s="17" customFormat="1" ht="13.8" x14ac:dyDescent="0.25">
      <c r="B21" s="220" t="s">
        <v>388</v>
      </c>
      <c r="C21" s="150"/>
      <c r="D21" s="301"/>
      <c r="E21" s="149" t="s">
        <v>92</v>
      </c>
      <c r="F21" s="55" t="str">
        <f t="shared" si="0"/>
        <v xml:space="preserve">        Information System</v>
      </c>
      <c r="G21" s="55">
        <f t="shared" si="1"/>
        <v>26</v>
      </c>
      <c r="H21" s="55" t="str">
        <f>RIGHT(F21,(G21-9))</f>
        <v>nformation System</v>
      </c>
      <c r="I21" s="55" t="str">
        <f t="shared" si="2"/>
        <v xml:space="preserve">nformation System, </v>
      </c>
      <c r="J21" s="55"/>
      <c r="K21" s="55"/>
      <c r="L21" s="55"/>
      <c r="M21" s="55"/>
      <c r="O21" s="302"/>
      <c r="P21" s="303"/>
      <c r="Q21" s="303"/>
      <c r="R21" s="29"/>
      <c r="S21" s="29"/>
      <c r="T21" s="29"/>
      <c r="U21" s="29"/>
      <c r="V21" s="29"/>
      <c r="W21" s="29"/>
      <c r="X21" s="29"/>
      <c r="Y21" s="29"/>
      <c r="Z21" s="29"/>
    </row>
    <row r="22" spans="2:26" s="17" customFormat="1" ht="13.8" x14ac:dyDescent="0.25">
      <c r="B22" s="305" t="s">
        <v>389</v>
      </c>
      <c r="C22" s="150"/>
      <c r="D22" s="301"/>
      <c r="E22" s="149" t="s">
        <v>92</v>
      </c>
      <c r="F22" s="55" t="str">
        <f t="shared" si="0"/>
        <v>Price Comparison</v>
      </c>
      <c r="G22" s="55">
        <f t="shared" si="1"/>
        <v>16</v>
      </c>
      <c r="H22" s="55" t="str">
        <f>RIGHT(F22,(G22-9))</f>
        <v>parison</v>
      </c>
      <c r="I22" s="55" t="str">
        <f t="shared" si="2"/>
        <v xml:space="preserve">parison, </v>
      </c>
      <c r="J22" s="55"/>
      <c r="K22" s="55"/>
      <c r="L22" s="55"/>
      <c r="M22" s="55"/>
      <c r="O22" s="302"/>
      <c r="P22" s="303"/>
      <c r="Q22" s="303"/>
      <c r="R22" s="29"/>
      <c r="S22" s="29"/>
      <c r="T22" s="29"/>
      <c r="U22" s="29"/>
      <c r="V22" s="29"/>
      <c r="W22" s="29"/>
      <c r="X22" s="29"/>
      <c r="Y22" s="29"/>
      <c r="Z22" s="29"/>
    </row>
    <row r="23" spans="2:26" s="17" customFormat="1" ht="13.8" x14ac:dyDescent="0.25">
      <c r="B23" s="220" t="s">
        <v>390</v>
      </c>
      <c r="C23" s="150"/>
      <c r="D23" s="301"/>
      <c r="E23" s="149" t="s">
        <v>92</v>
      </c>
      <c r="F23" s="55" t="str">
        <f t="shared" si="0"/>
        <v xml:space="preserve">        Contracting Individual Consultant</v>
      </c>
      <c r="G23" s="55">
        <f t="shared" si="1"/>
        <v>41</v>
      </c>
      <c r="H23" s="55" t="str">
        <f>RIGHT(F23,(G23-9))</f>
        <v>ontracting Individual Consultant</v>
      </c>
      <c r="I23" s="55" t="str">
        <f t="shared" si="2"/>
        <v xml:space="preserve">ontracting Individual Consultant, </v>
      </c>
      <c r="J23" s="55"/>
      <c r="K23" s="55"/>
      <c r="L23" s="55"/>
      <c r="M23" s="55"/>
      <c r="O23" s="302"/>
      <c r="P23" s="303"/>
      <c r="Q23" s="303"/>
      <c r="R23" s="29"/>
      <c r="S23" s="29"/>
      <c r="T23" s="29"/>
      <c r="U23" s="29"/>
      <c r="V23" s="29"/>
      <c r="W23" s="29"/>
      <c r="X23" s="29"/>
      <c r="Y23" s="29"/>
      <c r="Z23" s="29"/>
    </row>
    <row r="24" spans="2:26" s="17" customFormat="1" ht="13.8" x14ac:dyDescent="0.25">
      <c r="B24" s="220" t="s">
        <v>391</v>
      </c>
      <c r="C24" s="301"/>
      <c r="D24" s="301"/>
      <c r="E24" s="306" t="str">
        <f>IF(OR(E25="Yes",E26="Yes"),"Yes","")</f>
        <v>Yes</v>
      </c>
      <c r="F24" s="55" t="str">
        <f t="shared" si="0"/>
        <v xml:space="preserve">        National Public Bidding</v>
      </c>
      <c r="G24" s="55">
        <f t="shared" si="1"/>
        <v>31</v>
      </c>
      <c r="H24" s="55" t="str">
        <f>RIGHT(F24,(G24-9))</f>
        <v>ational Public Bidding</v>
      </c>
      <c r="I24" s="55" t="str">
        <f t="shared" ref="I24:I33" si="3">IF(E24="Yes",CONCATENATE(H24,", "),"")</f>
        <v xml:space="preserve">ational Public Bidding, </v>
      </c>
      <c r="J24" s="55"/>
      <c r="K24" s="55"/>
      <c r="L24" s="55"/>
      <c r="M24" s="55"/>
      <c r="O24" s="302"/>
      <c r="P24" s="303"/>
      <c r="Q24" s="303"/>
      <c r="R24" s="29"/>
      <c r="S24" s="29"/>
      <c r="T24" s="29"/>
      <c r="U24" s="29"/>
      <c r="V24" s="29"/>
      <c r="W24" s="29"/>
      <c r="X24" s="29"/>
      <c r="Y24" s="29"/>
      <c r="Z24" s="29"/>
    </row>
    <row r="25" spans="2:26" s="17" customFormat="1" ht="13.8" x14ac:dyDescent="0.25">
      <c r="B25" s="220" t="s">
        <v>392</v>
      </c>
      <c r="C25" s="150"/>
      <c r="D25" s="301"/>
      <c r="E25" s="149" t="s">
        <v>92</v>
      </c>
      <c r="F25" s="55"/>
      <c r="G25" s="55"/>
      <c r="H25" s="55"/>
      <c r="I25" s="55"/>
      <c r="J25" s="55"/>
      <c r="K25" s="55"/>
      <c r="L25" s="55"/>
      <c r="M25" s="55"/>
      <c r="O25" s="302"/>
      <c r="P25" s="303"/>
      <c r="Q25" s="303"/>
      <c r="R25" s="29"/>
      <c r="S25" s="29"/>
      <c r="T25" s="29"/>
      <c r="U25" s="29"/>
      <c r="V25" s="29"/>
      <c r="W25" s="29"/>
      <c r="X25" s="29"/>
      <c r="Y25" s="29"/>
      <c r="Z25" s="29"/>
    </row>
    <row r="26" spans="2:26" s="17" customFormat="1" ht="13.8" x14ac:dyDescent="0.25">
      <c r="B26" s="220" t="s">
        <v>393</v>
      </c>
      <c r="C26" s="150"/>
      <c r="D26" s="301"/>
      <c r="E26" s="149" t="s">
        <v>92</v>
      </c>
      <c r="F26" s="55"/>
      <c r="G26" s="55"/>
      <c r="H26" s="55"/>
      <c r="I26" s="55"/>
      <c r="J26" s="55"/>
      <c r="K26" s="55"/>
      <c r="L26" s="55"/>
      <c r="M26" s="55"/>
      <c r="O26" s="302"/>
      <c r="P26" s="303"/>
      <c r="Q26" s="303"/>
      <c r="R26" s="29"/>
      <c r="S26" s="29"/>
      <c r="T26" s="29"/>
      <c r="U26" s="29"/>
      <c r="V26" s="29"/>
      <c r="W26" s="29"/>
      <c r="X26" s="29"/>
      <c r="Y26" s="29"/>
      <c r="Z26" s="29"/>
    </row>
    <row r="27" spans="2:26" s="17" customFormat="1" ht="13.8" x14ac:dyDescent="0.25">
      <c r="B27" s="296" t="s">
        <v>394</v>
      </c>
      <c r="C27" s="178"/>
      <c r="D27" s="178"/>
      <c r="E27" s="307" t="str">
        <f>IF(OR(E28="Yes",E30="Yes",E32="Yes",E33="Yes"),"Yes","")</f>
        <v>Yes</v>
      </c>
      <c r="F27" s="55"/>
      <c r="G27" s="55"/>
      <c r="H27" s="55"/>
      <c r="I27" s="55"/>
      <c r="J27" s="55"/>
      <c r="K27" s="55"/>
      <c r="L27" s="55"/>
      <c r="M27" s="55"/>
      <c r="O27" s="298"/>
      <c r="P27" s="297"/>
      <c r="Q27" s="297"/>
      <c r="R27" s="29"/>
      <c r="S27" s="29"/>
      <c r="T27" s="29"/>
      <c r="U27" s="29"/>
      <c r="V27" s="29"/>
      <c r="W27" s="29"/>
      <c r="X27" s="29"/>
      <c r="Y27" s="29"/>
      <c r="Z27" s="29"/>
    </row>
    <row r="28" spans="2:26" s="17" customFormat="1" ht="13.8" x14ac:dyDescent="0.25">
      <c r="B28" s="183" t="s">
        <v>395</v>
      </c>
      <c r="C28" s="187"/>
      <c r="D28" s="187"/>
      <c r="E28" s="304" t="str">
        <f>IF(E29="Yes","Yes","")</f>
        <v>Yes</v>
      </c>
      <c r="F28" s="55" t="str">
        <f>IF(E28="Yes",B28,"")</f>
        <v xml:space="preserve">     Strategic Planning National System</v>
      </c>
      <c r="G28" s="55">
        <f t="shared" si="1"/>
        <v>39</v>
      </c>
      <c r="H28" s="55" t="str">
        <f>RIGHT(F28,(G28-5))</f>
        <v>Strategic Planning National System</v>
      </c>
      <c r="I28" s="55" t="str">
        <f t="shared" si="3"/>
        <v xml:space="preserve">Strategic Planning National System, </v>
      </c>
      <c r="J28" s="55" t="str">
        <f>CONCATENATE(I28,I30,I32,I33)</f>
        <v xml:space="preserve">Strategic Planning National System, Monitoring and Evaluation National System, </v>
      </c>
      <c r="K28" s="55">
        <f>LEN(J28)</f>
        <v>79</v>
      </c>
      <c r="L28" s="55" t="str">
        <f>LEFT(J28,(K28-2))</f>
        <v>Strategic Planning National System, Monitoring and Evaluation National System</v>
      </c>
      <c r="M28" s="55" t="str">
        <f>IF(K28=0,"",CONCATENATE(L28,"."))</f>
        <v>Strategic Planning National System, Monitoring and Evaluation National System.</v>
      </c>
      <c r="O28" s="183"/>
      <c r="P28" s="300"/>
      <c r="Q28" s="300"/>
      <c r="R28" s="29"/>
      <c r="S28" s="29"/>
      <c r="T28" s="29"/>
      <c r="U28" s="29"/>
      <c r="V28" s="29"/>
      <c r="W28" s="29"/>
      <c r="X28" s="29"/>
      <c r="Y28" s="29"/>
      <c r="Z28" s="29"/>
    </row>
    <row r="29" spans="2:26" s="17" customFormat="1" ht="13.8" x14ac:dyDescent="0.25">
      <c r="B29" s="220" t="s">
        <v>396</v>
      </c>
      <c r="C29" s="242"/>
      <c r="D29" s="301"/>
      <c r="E29" s="149" t="s">
        <v>92</v>
      </c>
      <c r="F29" s="55"/>
      <c r="G29" s="55"/>
      <c r="H29" s="55"/>
      <c r="I29" s="55"/>
      <c r="J29" s="55"/>
      <c r="K29" s="55"/>
      <c r="L29" s="55"/>
      <c r="M29" s="55"/>
      <c r="O29" s="302"/>
      <c r="P29" s="303"/>
      <c r="Q29" s="303"/>
      <c r="R29" s="29"/>
      <c r="S29" s="29"/>
      <c r="T29" s="29"/>
      <c r="U29" s="29"/>
      <c r="V29" s="29"/>
      <c r="W29" s="29"/>
      <c r="X29" s="29"/>
      <c r="Y29" s="29"/>
      <c r="Z29" s="29"/>
    </row>
    <row r="30" spans="2:26" s="17" customFormat="1" ht="13.8" x14ac:dyDescent="0.25">
      <c r="B30" s="183" t="s">
        <v>397</v>
      </c>
      <c r="C30" s="187"/>
      <c r="D30" s="187"/>
      <c r="E30" s="304" t="str">
        <f>IF(E31="Yes","Yes","")</f>
        <v>Yes</v>
      </c>
      <c r="F30" s="55" t="str">
        <f>IF(E30="Yes",B30,"")</f>
        <v xml:space="preserve">     Monitoring and Evaluation National System</v>
      </c>
      <c r="G30" s="55">
        <f t="shared" si="1"/>
        <v>46</v>
      </c>
      <c r="H30" s="55" t="str">
        <f>RIGHT(F30,(G30-5))</f>
        <v>Monitoring and Evaluation National System</v>
      </c>
      <c r="I30" s="55" t="str">
        <f t="shared" si="3"/>
        <v xml:space="preserve">Monitoring and Evaluation National System, </v>
      </c>
      <c r="J30" s="55"/>
      <c r="K30" s="55"/>
      <c r="L30" s="55"/>
      <c r="M30" s="55"/>
      <c r="O30" s="183"/>
      <c r="P30" s="300"/>
      <c r="Q30" s="300"/>
      <c r="R30" s="29"/>
      <c r="S30" s="29"/>
      <c r="T30" s="29"/>
      <c r="U30" s="29"/>
      <c r="V30" s="29"/>
      <c r="W30" s="29"/>
      <c r="X30" s="29"/>
      <c r="Y30" s="29"/>
      <c r="Z30" s="29"/>
    </row>
    <row r="31" spans="2:26" s="17" customFormat="1" ht="13.8" x14ac:dyDescent="0.25">
      <c r="B31" s="220" t="s">
        <v>396</v>
      </c>
      <c r="C31" s="242"/>
      <c r="D31" s="301"/>
      <c r="E31" s="149" t="s">
        <v>92</v>
      </c>
      <c r="F31" s="55"/>
      <c r="G31" s="55"/>
      <c r="H31" s="55"/>
      <c r="I31" s="55"/>
      <c r="J31" s="55"/>
      <c r="K31" s="55"/>
      <c r="L31" s="55"/>
      <c r="M31" s="55"/>
      <c r="O31" s="302"/>
      <c r="P31" s="303"/>
      <c r="Q31" s="303"/>
      <c r="R31" s="29"/>
      <c r="S31" s="29"/>
      <c r="T31" s="29"/>
      <c r="U31" s="29"/>
      <c r="V31" s="29"/>
      <c r="W31" s="29"/>
      <c r="X31" s="29"/>
      <c r="Y31" s="29"/>
      <c r="Z31" s="29"/>
    </row>
    <row r="32" spans="2:26" s="17" customFormat="1" ht="13.8" x14ac:dyDescent="0.25">
      <c r="B32" s="183" t="s">
        <v>398</v>
      </c>
      <c r="C32" s="187"/>
      <c r="D32" s="187"/>
      <c r="E32" s="308"/>
      <c r="F32" s="55" t="str">
        <f>IF(E32="Yes",B32,"")</f>
        <v/>
      </c>
      <c r="G32" s="55">
        <f t="shared" si="1"/>
        <v>0</v>
      </c>
      <c r="H32" s="55" t="e">
        <f>RIGHT(F32,(G32-5))</f>
        <v>#VALUE!</v>
      </c>
      <c r="I32" s="55" t="str">
        <f t="shared" si="3"/>
        <v/>
      </c>
      <c r="J32" s="55"/>
      <c r="K32" s="55"/>
      <c r="L32" s="55"/>
      <c r="M32" s="55"/>
      <c r="O32" s="183"/>
      <c r="P32" s="300"/>
      <c r="Q32" s="300"/>
      <c r="R32" s="29"/>
      <c r="S32" s="29"/>
      <c r="T32" s="29"/>
      <c r="U32" s="29"/>
      <c r="V32" s="29"/>
      <c r="W32" s="29"/>
      <c r="X32" s="29"/>
      <c r="Y32" s="29"/>
      <c r="Z32" s="29"/>
    </row>
    <row r="33" spans="2:26" s="17" customFormat="1" ht="13.8" x14ac:dyDescent="0.25">
      <c r="B33" s="183" t="s">
        <v>399</v>
      </c>
      <c r="C33" s="187"/>
      <c r="D33" s="187"/>
      <c r="E33" s="308"/>
      <c r="F33" s="55" t="str">
        <f>IF(E33="Yes",B33,"")</f>
        <v/>
      </c>
      <c r="G33" s="55">
        <f t="shared" si="1"/>
        <v>0</v>
      </c>
      <c r="H33" s="55" t="e">
        <f>RIGHT(F33,(G33-5))</f>
        <v>#VALUE!</v>
      </c>
      <c r="I33" s="55" t="str">
        <f t="shared" si="3"/>
        <v/>
      </c>
      <c r="J33" s="55"/>
      <c r="K33" s="55"/>
      <c r="L33" s="55"/>
      <c r="M33" s="55"/>
      <c r="O33" s="183"/>
      <c r="P33" s="300"/>
      <c r="Q33" s="300"/>
      <c r="R33" s="29"/>
      <c r="S33" s="29"/>
      <c r="T33" s="29"/>
      <c r="U33" s="29"/>
      <c r="V33" s="29"/>
      <c r="W33" s="29"/>
      <c r="X33" s="29"/>
      <c r="Y33" s="29"/>
      <c r="Z33" s="29"/>
    </row>
    <row r="34" spans="2:26" s="17" customFormat="1" ht="34.5" customHeight="1" x14ac:dyDescent="0.25">
      <c r="B34" s="172" t="s">
        <v>34</v>
      </c>
      <c r="C34" s="198"/>
      <c r="D34" s="198"/>
      <c r="E34" s="198"/>
      <c r="F34" s="55"/>
      <c r="G34" s="55"/>
      <c r="H34" s="55"/>
      <c r="I34" s="55"/>
      <c r="J34" s="55"/>
      <c r="K34" s="55"/>
      <c r="L34" s="55"/>
      <c r="M34" s="55"/>
      <c r="O34" s="172"/>
      <c r="P34" s="309"/>
      <c r="Q34" s="309"/>
      <c r="R34" s="29"/>
      <c r="S34" s="29"/>
      <c r="T34" s="29"/>
      <c r="U34" s="29"/>
      <c r="V34" s="29"/>
      <c r="W34" s="29"/>
      <c r="X34" s="29"/>
      <c r="Y34" s="29"/>
      <c r="Z34" s="29"/>
    </row>
    <row r="35" spans="2:26" s="17" customFormat="1" ht="57" customHeight="1" x14ac:dyDescent="0.25">
      <c r="B35" s="310" t="s">
        <v>35</v>
      </c>
      <c r="C35" s="242"/>
      <c r="D35" s="242" t="s">
        <v>400</v>
      </c>
      <c r="E35" s="149" t="s">
        <v>92</v>
      </c>
      <c r="F35" s="55"/>
      <c r="G35" s="55"/>
      <c r="H35" s="55"/>
      <c r="I35" s="55"/>
      <c r="J35" s="55"/>
      <c r="K35" s="55"/>
      <c r="L35" s="55"/>
      <c r="M35" s="55"/>
      <c r="O35" s="302"/>
      <c r="P35" s="303"/>
      <c r="Q35" s="303"/>
      <c r="R35" s="29"/>
      <c r="S35" s="29"/>
      <c r="T35" s="29"/>
      <c r="U35" s="29"/>
      <c r="V35" s="29"/>
      <c r="W35" s="29"/>
      <c r="X35" s="29"/>
      <c r="Y35" s="29"/>
      <c r="Z35" s="29"/>
    </row>
    <row r="36" spans="2:26" s="17" customFormat="1" ht="13.8" x14ac:dyDescent="0.25">
      <c r="B36" s="16"/>
      <c r="E36" s="18"/>
      <c r="F36" s="55"/>
      <c r="G36" s="55"/>
      <c r="H36" s="55"/>
      <c r="I36" s="55"/>
      <c r="J36" s="55"/>
      <c r="K36" s="55"/>
      <c r="L36" s="55">
        <f>3*0.25</f>
        <v>0.75</v>
      </c>
      <c r="M36" s="55"/>
      <c r="O36" s="29"/>
      <c r="P36" s="29"/>
      <c r="Q36" s="29"/>
      <c r="R36" s="29"/>
      <c r="S36" s="29"/>
      <c r="T36" s="29"/>
      <c r="U36" s="29"/>
      <c r="V36" s="29"/>
      <c r="W36" s="29"/>
      <c r="X36" s="29"/>
      <c r="Y36" s="29"/>
      <c r="Z36" s="29"/>
    </row>
    <row r="37" spans="2:26" x14ac:dyDescent="0.25">
      <c r="L37" s="49">
        <f>3*0.15</f>
        <v>0.44999999999999996</v>
      </c>
    </row>
    <row r="39" spans="2:26" x14ac:dyDescent="0.25">
      <c r="L39" s="49">
        <f>SUM(L36:L38)</f>
        <v>1.2</v>
      </c>
    </row>
    <row r="41" spans="2:26" x14ac:dyDescent="0.25">
      <c r="L41" s="49">
        <f>1*0.25</f>
        <v>0.25</v>
      </c>
    </row>
    <row r="42" spans="2:26" x14ac:dyDescent="0.25">
      <c r="L42" s="49">
        <f>1*0.15</f>
        <v>0.15</v>
      </c>
    </row>
  </sheetData>
  <sheetProtection algorithmName="SHA-512" hashValue="4qLndDfTmlQqsCC/xuUXjiWA2hMYMn/tlz1jXqi3n4cNLZiQvx6LERiYpYqc+wqyR819qZOLQDOEUffJGxTsGg==" saltValue="xNLmugqOY7kyppGJOcyLeg=="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ez-Operations" ma:contentTypeID="0x010100ACF722E9F6B0B149B0CD8BE2560A667200C14BC5FFB7C2D843AEAF09DB55620254" ma:contentTypeVersion="1193" ma:contentTypeDescription="The base project type from which other project content types inherit their information." ma:contentTypeScope="" ma:versionID="07bac06eae8471feb424267f1c0e6af8">
  <xsd:schema xmlns:xsd="http://www.w3.org/2001/XMLSchema" xmlns:xs="http://www.w3.org/2001/XMLSchema" xmlns:p="http://schemas.microsoft.com/office/2006/metadata/properties" xmlns:ns2="cdc7663a-08f0-4737-9e8c-148ce897a09c" targetNamespace="http://schemas.microsoft.com/office/2006/metadata/properties" ma:root="true" ma:fieldsID="fa229b6ca78206be2fbd254e968f6e7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UR-L1146"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ct:contentTypeSchema xmlns:ct="http://schemas.microsoft.com/office/2006/metadata/contentType" xmlns:ma="http://schemas.microsoft.com/office/2006/metadata/properties/metaAttributes" ct:_="" ma:_="" ma:contentTypeName="ez-Operations" ma:contentTypeID="0x010100ACF722E9F6B0B149B0CD8BE2560A667200C14BC5FFB7C2D843AEAF09DB55620254" ma:contentTypeVersion="472" ma:contentTypeDescription="The base project type from which other project content types inherit their information." ma:contentTypeScope="" ma:versionID="4d4d9361073961756a3991bcf92ab34b">
  <xsd:schema xmlns:xsd="http://www.w3.org/2001/XMLSchema" xmlns:xs="http://www.w3.org/2001/XMLSchema" xmlns:p="http://schemas.microsoft.com/office/2006/metadata/properties" xmlns:ns2="cdc7663a-08f0-4737-9e8c-148ce897a09c" targetNamespace="http://schemas.microsoft.com/office/2006/metadata/properties" ma:root="true" ma:fieldsID="e9be08f6d3c6b375066bd73dfc72f96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UR-L1146"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CSD/HUD</Division_x0020_or_x0020_Unit>
    <IDBDocs_x0020_Number xmlns="cdc7663a-08f0-4737-9e8c-148ce897a09c">38562678</IDBDocs_x0020_Number>
    <Document_x0020_Author xmlns="cdc7663a-08f0-4737-9e8c-148ce897a09c">Soulier Faure, Martin Nicolas</Document_x0020_Author>
    <TaxCatchAll xmlns="cdc7663a-08f0-4737-9e8c-148ce897a09c">
      <Value>27</Value>
      <Value>26</Value>
      <Value>32</Value>
      <Value>30</Value>
      <Value>1</Value>
    </TaxCatchAll>
    <Fiscal_x0020_Year_x0020_IDB xmlns="cdc7663a-08f0-4737-9e8c-148ce897a09c">2018</Fiscal_x0020_Year_x0020_IDB>
    <Migration_x0020_Info xmlns="cdc7663a-08f0-4737-9e8c-148ce897a09c">&lt;Data&gt;&lt;APPLICATION&gt;MS EXCEL&lt;/APPLICATION&gt;&lt;STAGE_CODE&gt;RESMTX&lt;/STAGE_CODE&gt;&lt;USER_STAGE&gt;Results Matrix&lt;/USER_STAGE&gt;&lt;PD_OBJ_TYPE&gt;0&lt;/PD_OBJ_TYPE&gt;&lt;MAKERECORD&gt;Y&lt;/MAKERECORD&gt;&lt;/Data&gt;</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Uruguay</TermName>
          <TermId xmlns="http://schemas.microsoft.com/office/infopath/2007/PartnerControls">5d9b6fdd-d595-4446-a0eb-c14b465f6d0e</TermId>
        </TermInfo>
      </Terms>
    </ic46d7e087fd4a108fb86518ca413cc6>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NEIGHBORHOOD UPGRADING</TermName>
          <TermId xmlns="http://schemas.microsoft.com/office/infopath/2007/PartnerControls">19ed260b-3ea3-46e6-aa79-3ae0d12b56bc</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Operation_x0020_Type xmlns="cdc7663a-08f0-4737-9e8c-148ce897a09c">Loan Operation</Operation_x0020_Type>
    <Package_x0020_Code xmlns="cdc7663a-08f0-4737-9e8c-148ce897a09c" xsi:nil="true"/>
    <To_x003a_ xmlns="cdc7663a-08f0-4737-9e8c-148ce897a09c" xsi:nil="true"/>
    <Project_x0020_Number xmlns="cdc7663a-08f0-4737-9e8c-148ce897a09c">UR-L1146;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URBAN DEVELOPMENT AND HOUSING</TermName>
          <TermId xmlns="http://schemas.microsoft.com/office/infopath/2007/PartnerControls">d14615ee-683d-4ec6-a5cf-ae743c6c4ac1</TermId>
        </TermInfo>
      </Terms>
    </nddeef1749674d76abdbe4b239a70bc6>
    <Record_x0020_Number xmlns="cdc7663a-08f0-4737-9e8c-148ce897a09c">R0002542992</Record_x0020_Number>
    <_dlc_DocId xmlns="cdc7663a-08f0-4737-9e8c-148ce897a09c">EZSHARE-1465277957-3</_dlc_DocId>
    <_dlc_DocIdUrl xmlns="cdc7663a-08f0-4737-9e8c-148ce897a09c">
      <Url>https://idbg.sharepoint.com/teams/EZ-UR-LON/UR-L1146/_layouts/15/DocIdRedir.aspx?ID=EZSHARE-1465277957-3</Url>
      <Description>EZSHARE-1465277957-3</Description>
    </_dlc_DocIdUrl>
  </documentManagement>
</p:properties>
</file>

<file path=customXml/item6.xml><?xml version="1.0" encoding="utf-8"?>
<?mso-contentType ?>
<SharedContentType xmlns="Microsoft.SharePoint.Taxonomy.ContentTypeSync" SourceId="ae61f9b1-e23d-4f49-b3d7-56b991556c4b" ContentTypeId="0x010100ACF722E9F6B0B149B0CD8BE2560A6672" PreviousValue="false"/>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2.xml><?xml version="1.0" encoding="utf-8"?>
<ds:datastoreItem xmlns:ds="http://schemas.openxmlformats.org/officeDocument/2006/customXml" ds:itemID="{04A121CF-B77C-4C0A-AE01-2283F852ABAC}"/>
</file>

<file path=customXml/itemProps3.xml><?xml version="1.0" encoding="utf-8"?>
<ds:datastoreItem xmlns:ds="http://schemas.openxmlformats.org/officeDocument/2006/customXml" ds:itemID="{DDB4D738-7F31-4C17-AC76-7CC86D2BC3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5.xml><?xml version="1.0" encoding="utf-8"?>
<ds:datastoreItem xmlns:ds="http://schemas.openxmlformats.org/officeDocument/2006/customXml" ds:itemID="{8688207F-6955-481B-BA9D-A509C06E6BA1}">
  <ds:schemaRefs>
    <ds:schemaRef ds:uri="http://purl.org/dc/terms/"/>
    <ds:schemaRef ds:uri="http://www.w3.org/XML/1998/namespace"/>
    <ds:schemaRef ds:uri="http://purl.org/dc/dcmitype/"/>
    <ds:schemaRef ds:uri="http://schemas.microsoft.com/office/2006/documentManagement/types"/>
    <ds:schemaRef ds:uri="http://purl.org/dc/elements/1.1/"/>
    <ds:schemaRef ds:uri="http://schemas.openxmlformats.org/package/2006/metadata/core-properties"/>
    <ds:schemaRef ds:uri="cdc7663a-08f0-4737-9e8c-148ce897a09c"/>
    <ds:schemaRef ds:uri="http://schemas.microsoft.com/office/2006/metadata/properties"/>
    <ds:schemaRef ds:uri="http://schemas.microsoft.com/office/infopath/2007/PartnerControls"/>
  </ds:schemaRefs>
</ds:datastoreItem>
</file>

<file path=customXml/itemProps6.xml><?xml version="1.0" encoding="utf-8"?>
<ds:datastoreItem xmlns:ds="http://schemas.openxmlformats.org/officeDocument/2006/customXml" ds:itemID="{844AE6E6-BD75-409A-8A1F-DBA730150D2D}">
  <ds:schemaRefs>
    <ds:schemaRef ds:uri="Microsoft.SharePoint.Taxonomy.ContentTypeSync"/>
  </ds:schemaRefs>
</ds:datastoreItem>
</file>

<file path=customXml/itemProps7.xml><?xml version="1.0" encoding="utf-8"?>
<ds:datastoreItem xmlns:ds="http://schemas.openxmlformats.org/officeDocument/2006/customXml" ds:itemID="{307C5118-A491-4A67-807A-13D84211ED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subject/>
  <dc:creator>Carola Alvarez</dc:creator>
  <cp:keywords/>
  <dc:description/>
  <cp:lastModifiedBy>Chacon, Carolina</cp:lastModifiedBy>
  <cp:revision/>
  <cp:lastPrinted>2018-09-25T22:17:14Z</cp:lastPrinted>
  <dcterms:created xsi:type="dcterms:W3CDTF">2009-01-21T14:19:32Z</dcterms:created>
  <dcterms:modified xsi:type="dcterms:W3CDTF">2018-09-25T22:42:51Z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0x010100ACF722E9F6B0B149B0CD8BE2560A667200C14BC5FFB7C2D843AEAF09DB55620254</vt:lpwstr>
  </property>
  <property fmtid="{D5CDD505-2E9C-101B-9397-08002B2CF9AE}" pid="6" name="TaxKeywordTaxHTField">
    <vt:lpwstr/>
  </property>
  <property fmtid="{D5CDD505-2E9C-101B-9397-08002B2CF9AE}" pid="7" name="Country">
    <vt:lpwstr>32;#Uruguay|5d9b6fdd-d595-4446-a0eb-c14b465f6d0e</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ub-Sector">
    <vt:lpwstr>26;#NEIGHBORHOOD UPGRADING|19ed260b-3ea3-46e6-aa79-3ae0d12b56bc</vt:lpwstr>
  </property>
  <property fmtid="{D5CDD505-2E9C-101B-9397-08002B2CF9AE}" pid="24" name="Series Operations IDB">
    <vt:lpwstr/>
  </property>
  <property fmtid="{D5CDD505-2E9C-101B-9397-08002B2CF9AE}" pid="25" name="Fund IDB">
    <vt:lpwstr>30;#ORC|c028a4b2-ad8b-4cf4-9cac-a2ae6a778e23</vt:lpwstr>
  </property>
  <property fmtid="{D5CDD505-2E9C-101B-9397-08002B2CF9AE}" pid="26" name="_dlc_DocIdItemGuid">
    <vt:lpwstr>a0eee417-dc1e-410a-ac1a-75b5e17fdc0f</vt:lpwstr>
  </property>
  <property fmtid="{D5CDD505-2E9C-101B-9397-08002B2CF9AE}" pid="27" name="Publishing House">
    <vt:lpwstr/>
  </property>
  <property fmtid="{D5CDD505-2E9C-101B-9397-08002B2CF9AE}" pid="28" name="Sector IDB">
    <vt:lpwstr>27;#URBAN DEVELOPMENT AND HOUSING|d14615ee-683d-4ec6-a5cf-ae743c6c4ac1</vt:lpwstr>
  </property>
  <property fmtid="{D5CDD505-2E9C-101B-9397-08002B2CF9AE}" pid="29" name="KP Topics">
    <vt:lpwstr/>
  </property>
  <property fmtid="{D5CDD505-2E9C-101B-9397-08002B2CF9AE}" pid="30" name="Function Operations IDB">
    <vt:lpwstr>1;#Project Preparation, Planning and Design|29ca0c72-1fc4-435f-a09c-28585cb5eac9</vt:lpwstr>
  </property>
  <property fmtid="{D5CDD505-2E9C-101B-9397-08002B2CF9AE}" pid="31" name="Publication Type">
    <vt:lpwstr/>
  </property>
</Properties>
</file>