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AR\Desktop\BR-G1004\"/>
    </mc:Choice>
  </mc:AlternateContent>
  <bookViews>
    <workbookView xWindow="0" yWindow="0" windowWidth="28800" windowHeight="12432" firstSheet="2" activeTab="3" xr2:uid="{00000000-000D-0000-FFFF-FFFF00000000}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_xlnm._FilterDatabase" localSheetId="3" hidden="1">'Detalhe Plano de Aquisções'!$A$14:$Z$14</definedName>
  </definedNames>
  <calcPr calcId="171027" iterateDelta="1E-4" concurrentCalc="0"/>
</workbook>
</file>

<file path=xl/calcChain.xml><?xml version="1.0" encoding="utf-8"?>
<calcChain xmlns="http://schemas.openxmlformats.org/spreadsheetml/2006/main">
  <c r="F117" i="1" l="1"/>
  <c r="F122" i="1"/>
  <c r="B152" i="1"/>
  <c r="G31" i="1"/>
  <c r="G105" i="1"/>
  <c r="G106" i="1"/>
  <c r="B153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128" i="1"/>
  <c r="G129" i="1"/>
  <c r="B146" i="1"/>
  <c r="G21" i="1"/>
  <c r="G93" i="1"/>
  <c r="G94" i="1"/>
  <c r="G95" i="1"/>
  <c r="G96" i="1"/>
  <c r="G97" i="1"/>
  <c r="G98" i="1"/>
  <c r="G99" i="1"/>
  <c r="F115" i="1"/>
  <c r="F116" i="1"/>
  <c r="F118" i="1"/>
  <c r="F119" i="1"/>
  <c r="F120" i="1"/>
  <c r="B148" i="1"/>
  <c r="G22" i="1"/>
  <c r="G23" i="1"/>
  <c r="G30" i="1"/>
  <c r="F112" i="1"/>
  <c r="F113" i="1"/>
  <c r="G130" i="1"/>
  <c r="G131" i="1"/>
  <c r="G132" i="1"/>
  <c r="B149" i="1"/>
  <c r="B147" i="1"/>
  <c r="G100" i="1"/>
  <c r="G101" i="1"/>
  <c r="G102" i="1"/>
  <c r="G103" i="1"/>
  <c r="B150" i="1"/>
  <c r="G24" i="1"/>
  <c r="G104" i="1"/>
  <c r="F114" i="1"/>
  <c r="F121" i="1"/>
  <c r="B151" i="1"/>
  <c r="B154" i="1"/>
  <c r="G107" i="1"/>
  <c r="G32" i="1"/>
  <c r="M106" i="1"/>
  <c r="M105" i="1"/>
  <c r="G25" i="1"/>
  <c r="F123" i="1"/>
  <c r="G133" i="1"/>
  <c r="M113" i="1"/>
  <c r="M114" i="1"/>
  <c r="M115" i="1"/>
  <c r="M116" i="1"/>
  <c r="M117" i="1"/>
  <c r="M118" i="1"/>
  <c r="M119" i="1"/>
  <c r="M120" i="1"/>
  <c r="M121" i="1"/>
  <c r="M122" i="1"/>
  <c r="M112" i="1"/>
  <c r="M129" i="1"/>
  <c r="M128" i="1"/>
  <c r="M132" i="1"/>
  <c r="M131" i="1"/>
  <c r="M130" i="1"/>
  <c r="M94" i="1"/>
  <c r="M95" i="1"/>
  <c r="M96" i="1"/>
  <c r="M97" i="1"/>
  <c r="M98" i="1"/>
  <c r="M99" i="1"/>
  <c r="M100" i="1"/>
  <c r="M101" i="1"/>
  <c r="M102" i="1"/>
  <c r="M103" i="1"/>
  <c r="M104" i="1"/>
  <c r="M93" i="1"/>
  <c r="M91" i="1"/>
  <c r="M90" i="1"/>
  <c r="M88" i="1"/>
  <c r="M87" i="1"/>
  <c r="M85" i="1"/>
  <c r="M84" i="1"/>
  <c r="M82" i="1"/>
  <c r="M81" i="1"/>
  <c r="M79" i="1"/>
  <c r="M78" i="1"/>
  <c r="M76" i="1"/>
  <c r="M75" i="1"/>
  <c r="M73" i="1"/>
  <c r="M72" i="1"/>
  <c r="M92" i="1"/>
  <c r="M89" i="1"/>
  <c r="M86" i="1"/>
  <c r="M83" i="1"/>
  <c r="M80" i="1"/>
  <c r="M77" i="1"/>
  <c r="M74" i="1"/>
  <c r="M69" i="1"/>
  <c r="M70" i="1"/>
  <c r="M71" i="1"/>
  <c r="M68" i="1"/>
  <c r="M66" i="1"/>
  <c r="M67" i="1"/>
  <c r="M65" i="1"/>
  <c r="M62" i="1"/>
  <c r="M63" i="1"/>
  <c r="M64" i="1"/>
  <c r="M61" i="1"/>
  <c r="M60" i="1"/>
  <c r="M59" i="1"/>
  <c r="M58" i="1"/>
  <c r="M57" i="1"/>
  <c r="M56" i="1"/>
  <c r="M48" i="1"/>
  <c r="M47" i="1"/>
  <c r="M49" i="1"/>
  <c r="M50" i="1"/>
  <c r="M51" i="1"/>
  <c r="M52" i="1"/>
  <c r="M53" i="1"/>
  <c r="M54" i="1"/>
  <c r="M55" i="1"/>
  <c r="M46" i="1"/>
  <c r="M44" i="1"/>
  <c r="M43" i="1"/>
  <c r="M45" i="1"/>
  <c r="M42" i="1"/>
  <c r="M41" i="1"/>
  <c r="M38" i="1"/>
  <c r="M39" i="1"/>
  <c r="M40" i="1"/>
  <c r="M37" i="1"/>
  <c r="M21" i="1"/>
  <c r="M22" i="1"/>
  <c r="M23" i="1"/>
  <c r="M24" i="1"/>
  <c r="M30" i="1"/>
  <c r="G143" i="1"/>
  <c r="G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Livia Lima</author>
  </authors>
  <commentList>
    <comment ref="C37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Livia Lima:</t>
        </r>
        <r>
          <rPr>
            <sz val="9"/>
            <color indexed="81"/>
            <rFont val="Segoe UI"/>
            <family val="2"/>
          </rPr>
          <t xml:space="preserve">
Inserir atividades de acordo com as necessidades em função da etapa de criação/ampliação em que a proposta se encontra. Aqui estão ilustrados alguns exemplos</t>
        </r>
      </text>
    </comment>
  </commentList>
</comments>
</file>

<file path=xl/sharedStrings.xml><?xml version="1.0" encoding="utf-8"?>
<sst xmlns="http://schemas.openxmlformats.org/spreadsheetml/2006/main" count="741" uniqueCount="235">
  <si>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</si>
  <si>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</si>
  <si>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</si>
  <si>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</si>
  <si>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</si>
  <si>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</si>
  <si>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</si>
  <si>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</si>
  <si>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</si>
  <si>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</si>
  <si>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</si>
  <si>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</si>
  <si>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</si>
  <si>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</si>
  <si>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</si>
  <si>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</si>
  <si>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</si>
  <si>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</si>
  <si>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</si>
  <si>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</si>
  <si>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</si>
  <si>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</si>
  <si>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</si>
  <si>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</si>
  <si>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</si>
  <si>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</si>
  <si>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</si>
  <si>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</si>
  <si>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</si>
  <si>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</si>
  <si>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</si>
  <si>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</si>
  <si>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</si>
  <si>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</si>
  <si>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</si>
  <si>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</si>
  <si>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</si>
  <si>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</si>
  <si>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</si>
  <si>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</si>
  <si>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</si>
  <si>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</si>
  <si>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</si>
  <si>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</si>
  <si>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</si>
  <si>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</si>
  <si>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</si>
  <si>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</si>
  <si>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</si>
  <si>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</si>
  <si>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</si>
  <si>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</si>
  <si>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</si>
  <si>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</si>
  <si>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</si>
  <si>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</si>
  <si>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</si>
  <si>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</si>
  <si>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</si>
  <si>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</si>
  <si>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</si>
  <si>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</si>
  <si>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</si>
  <si>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</si>
  <si>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</si>
  <si>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</si>
  <si>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</si>
  <si>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</si>
  <si>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</si>
  <si>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</si>
  <si>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</si>
  <si>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</si>
  <si>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</si>
  <si>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</si>
  <si>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</si>
  <si>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</si>
  <si>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</si>
  <si>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</si>
  <si>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</si>
  <si>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</si>
  <si>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</si>
  <si>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</si>
  <si>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</si>
  <si>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</si>
  <si>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</si>
  <si>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</si>
  <si>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</si>
  <si>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</si>
  <si>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</si>
  <si>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</si>
  <si>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</si>
  <si>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</si>
  <si>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INFORMAÇÃO PARA PREENCHIMENTO INICIAL DO PLANO DE AQUISIÇÕES (EM CURSO E/OU ÚLTIMO APRESENTADO)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</si>
  <si>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</si>
  <si>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</si>
  <si>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</si>
  <si>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</si>
  <si>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</si>
  <si>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</si>
  <si>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</si>
  <si>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</si>
  <si>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</si>
  <si>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</si>
  <si>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</si>
  <si>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</si>
  <si>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</si>
  <si>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</si>
  <si>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</si>
  <si>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</si>
  <si>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</si>
  <si>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</si>
  <si>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</si>
  <si>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</si>
  <si>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</si>
  <si>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</si>
  <si>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</si>
  <si>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</si>
  <si>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</si>
  <si>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</si>
  <si>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</si>
  <si>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</si>
  <si>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</si>
  <si>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</si>
  <si>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</si>
  <si>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</si>
  <si>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</si>
  <si>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</si>
  <si>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</si>
  <si>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Estudo de Avaliação Ecológica Rápida e revisão bibliográfica (consultoria pessoa jurídica) - REBIO do Ibirapuitã</t>
  </si>
  <si>
    <t>Relatórios de oficinas com listas de presença e documentação fotográfica, contendo o relato das propostas e discussões realizadas (consultoria pessoa jurídica) - REBIO do Ibirapuitã</t>
  </si>
  <si>
    <t>Contratação de consultoria (PJ) – para realização de levantamento fundiário - Monumento Natural Cerro do Jarau</t>
  </si>
  <si>
    <t>Contratação de consultoria – pessoa juridica – para realização de trabalho de comunicação social sobre a sobre a proposta - Monumento Natural Cerro do Jarau</t>
  </si>
  <si>
    <t>componente 3</t>
  </si>
  <si>
    <t>componente 4</t>
  </si>
  <si>
    <t>componente 1</t>
  </si>
  <si>
    <t>Caracterização socioeconômica da área da proposta - MONA Cavernas de Martins</t>
  </si>
  <si>
    <t>Projeto de Educação Ambiental (sensibilização/orientação) quanto ao processo de criação da UC - APA Carnaúbas</t>
  </si>
  <si>
    <t>Projeto de Educação Ambiental (sensibilização/orientação) quanto ao processo de criação da UC - MONA Cavernas de Martins</t>
  </si>
  <si>
    <t>Mobilização e sistematização das informações - Serra da Matinha</t>
  </si>
  <si>
    <t>Caracterização biológica da proposta - Serra da Matinha</t>
  </si>
  <si>
    <t>Caracterização do Uso do Soo - Serra da Matinha</t>
  </si>
  <si>
    <t>Avaliação socioeconômica - Serra da Matinha</t>
  </si>
  <si>
    <r>
      <t>Contratação de consultoria – pessoa jurídica – para realização de levantamento socioeconômico do Cerro do Jarau</t>
    </r>
    <r>
      <rPr>
        <i/>
        <sz val="10"/>
        <color theme="1"/>
        <rFont val="Times New Roman"/>
        <family val="1"/>
      </rPr>
      <t xml:space="preserve"> e </t>
    </r>
    <r>
      <rPr>
        <i/>
        <sz val="10"/>
        <color rgb="FF000000"/>
        <rFont val="Times New Roman"/>
        <family val="1"/>
      </rPr>
      <t>realização de processo participativo de consulta pública de discussão com a sociedade a fim de consolidar proposta de criação da UC - Monumento Natural Cerro do Jarau</t>
    </r>
  </si>
  <si>
    <t>Consulta pública - Serra da Matinha</t>
  </si>
  <si>
    <t>Mobilização e sistematização das informações - Serra do Almirante</t>
  </si>
  <si>
    <t>Caracterização biológica da proposta - Serra do Almirante</t>
  </si>
  <si>
    <t>Caracterização do Uso do Soo - Serra do Almirante</t>
  </si>
  <si>
    <t>Avaliação socioeconômica - Serra do Almirante</t>
  </si>
  <si>
    <t>Consulta pública - Serra do Almirante</t>
  </si>
  <si>
    <t>Estudos para criação - APA Estadual Serras da Caatinga</t>
  </si>
  <si>
    <t>Estudos para criação - Parque Estadual Furna dos Ossos</t>
  </si>
  <si>
    <t>Atualização do diagnótico socioeconomico - Serra da Taborda e Morro do Pilão</t>
  </si>
  <si>
    <t>Caracterização biológica da proposta - Mata Seca norte de MG</t>
  </si>
  <si>
    <t>Caracterização do Uso do Solo - Mata Seca norte de MG</t>
  </si>
  <si>
    <t>Avaliação socioeconômica - Mata Seca norte de MG</t>
  </si>
  <si>
    <t>Caracterização biológica da proposta - Mosaico de Porto Murtinho</t>
  </si>
  <si>
    <t>Caracterização do Uso do Solo - Mosaico de Porto Murtinho</t>
  </si>
  <si>
    <t>Avaliação socioeconômica - Mosaico de Porto Murtinho</t>
  </si>
  <si>
    <t>Caracterização do Uso do Solo - Estação Ecológica de Taiamã (ampliação)</t>
  </si>
  <si>
    <t>Avaliação socioeconômica- Estação Ecológica de Taiamã (ampliação)</t>
  </si>
  <si>
    <t>Consulta pública- Estação Ecológica de Taiamã (ampliação)</t>
  </si>
  <si>
    <t>Caracterização do Uso do Solo - Salinas Pantaneiras</t>
  </si>
  <si>
    <t>Avaliação socioeconômica - Salinas Pantaneiras</t>
  </si>
  <si>
    <t>Consulta pública - Salinas Pantaneiras</t>
  </si>
  <si>
    <t>Caracterização do Uso do Solo - Pantanal Matogrossense</t>
  </si>
  <si>
    <t>Avaliação socioeconômica - Pantanal Matogrossense</t>
  </si>
  <si>
    <t>Consulta pública - Pantanal Matogrossense</t>
  </si>
  <si>
    <t>Caracterização do Uso do Solo - Pau Ferro I e II</t>
  </si>
  <si>
    <t>Avaliação socioeconômica - Pau Ferro I e II</t>
  </si>
  <si>
    <t>Consulta pública - Pau Ferro I e II</t>
  </si>
  <si>
    <t>Caracterização do Uso do Solo - Butiazais de Tapes</t>
  </si>
  <si>
    <t>Avaliação socioeconômica - Butiazais de Tapes</t>
  </si>
  <si>
    <t>Consulta pública - Butiazais de Tapes</t>
  </si>
  <si>
    <t>Caracterização do Uso do Solo - Guarita / Palmas</t>
  </si>
  <si>
    <t>Avaliação socioeconômica - Guarita / Palmas</t>
  </si>
  <si>
    <t>Consulta pública - Guarita / Palmas</t>
  </si>
  <si>
    <t>Caracterização do Uso do Solo - Soldadinho do Araripe</t>
  </si>
  <si>
    <t>Avaliação socioeconômica - Soldadinho do Araripe</t>
  </si>
  <si>
    <t>Consulta pública - Soldadinho do Araripe</t>
  </si>
  <si>
    <t>Caracterização do Uso do Solo - Serra do Teixeira</t>
  </si>
  <si>
    <t>Avaliação socioeconômica - Serra do Teixeira</t>
  </si>
  <si>
    <t>Consulta pública - Serra do Teixeira</t>
  </si>
  <si>
    <t>subcomponente 2.1</t>
  </si>
  <si>
    <t>Equipamentos para Ucs</t>
  </si>
  <si>
    <t>subcomponente 2.2</t>
  </si>
  <si>
    <t>Contratação de 1 assessor técnico para atividades  de educação ambiental e gestão participativa nas 3 UC's .</t>
  </si>
  <si>
    <t xml:space="preserve">Curso de formação de manejadores do fogo, teórico e prático, 15 dias, 30 pessoas em uma das UCs do projeto. 1 Consultor sênior – Austrália ou USA </t>
  </si>
  <si>
    <t>Equipamento para manejo de fogo</t>
  </si>
  <si>
    <t>Veículos para manejo de fogo</t>
  </si>
  <si>
    <t>Elaboração de Plano de Proteção para 3 Ucs</t>
  </si>
  <si>
    <t>Contratação de 20 horas de sobrevoo de helicóptero  em cada mês, nos  3 meses críticos do ano</t>
  </si>
  <si>
    <t>Oficina participativa para revisão do Protocolo de Manejo do Fogo</t>
  </si>
  <si>
    <t>Elaboração de Árvores de decisão para planejamento da recuperação da Caatinga, Pampa, Pantanal e Cerrado</t>
  </si>
  <si>
    <t>Elaboração de Protocolos de monitoramento da recuperação para Caatinga, Pampa, Pantanal e Cerrado</t>
  </si>
  <si>
    <t>Elaboração de Mapas de áreas prioritárias para recuperação na Caatinga, Pampa e Pantanal</t>
  </si>
  <si>
    <t>Elaboração de Planos de Restauração para pelo menos 4 UCs selecionadas                (2 Caatinga, 1 Pampa e 1 Pantanal) e Relatórios de implementação e monitoramento da restauração nas UCs selecionadas</t>
  </si>
  <si>
    <t>Consultorias para trabalho de campo e realização de estudos e oficinas em todas as etapas do componente</t>
  </si>
  <si>
    <t>Consultorias para trabalho de campo e realização de estudos e oficinas em todas as etapas do componente.</t>
  </si>
  <si>
    <t>Equipamento de campo e bens para a etapa de implementação de ações estratégicas dos PANs tanto já elaborados quanto dos novos planos territoriais</t>
  </si>
  <si>
    <t>Sem previsão para o período</t>
  </si>
  <si>
    <r>
      <t xml:space="preserve">Atualização Nº: </t>
    </r>
    <r>
      <rPr>
        <b/>
        <sz val="12"/>
        <color rgb="FFFF0000"/>
        <rFont val="Calibri"/>
        <family val="2"/>
        <scheme val="minor"/>
      </rPr>
      <t>1</t>
    </r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</si>
  <si>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MMA/Funbio</t>
    </r>
  </si>
  <si>
    <r>
      <t xml:space="preserve">Programa </t>
    </r>
    <r>
      <rPr>
        <b/>
        <sz val="12"/>
        <color rgb="FFFF0000"/>
        <rFont val="Calibri"/>
        <family val="2"/>
        <scheme val="minor"/>
      </rPr>
      <t>Conservation Effectiveness, Restoration and Sustainable Management in the Caatinga, Pampa and Pantanal - GEF Terrestre</t>
    </r>
  </si>
  <si>
    <r>
      <t xml:space="preserve">Contrato de Empréstimo: </t>
    </r>
    <r>
      <rPr>
        <b/>
        <sz val="12"/>
        <color rgb="FFFF0000"/>
        <rFont val="Calibri"/>
        <family val="2"/>
        <scheme val="minor"/>
      </rPr>
      <t>Projeto GEF Full-Sized BR-G1004 (em fase de aprovação)</t>
    </r>
  </si>
  <si>
    <t>Consultoria para aplicação do SAMGe</t>
  </si>
  <si>
    <t>Consultor coordenador para articulação socio-institucional, monitoramento de processos participativos e gestão da informação</t>
  </si>
  <si>
    <t>Consultoria para assessoria em gestão da operacionalização do componente, durante os 5 anos do Projeto</t>
  </si>
  <si>
    <t>Assessor técnico para coordenação das atividades do Projeto, durante os 5 anos do Projeto</t>
  </si>
  <si>
    <t>Assessoria para comunicação do Projeto, durante os 5 anos do Projeto</t>
  </si>
  <si>
    <t>Consultor para assessoria científica, pelo período de 5 anos, para intermediar as relações com os pesquisadores, auxiliar as atividades de campo,organizar e compilar os resultados e redigir os relatorios de pesquisa.</t>
  </si>
  <si>
    <t>Assessor técnico para gestão de atividades do Projeto, durante os 5 anos do Projeto</t>
  </si>
  <si>
    <t>Subcomponente 2.1</t>
  </si>
  <si>
    <t xml:space="preserve"> Plano de Manejo</t>
  </si>
  <si>
    <t>Plano de Manejo</t>
  </si>
  <si>
    <t>COMPONENTE 1</t>
  </si>
  <si>
    <t>COMPONENTE 2</t>
  </si>
  <si>
    <t>COMPONENTE 3</t>
  </si>
  <si>
    <t>COMPONENTE 4</t>
  </si>
  <si>
    <t>COMPONENTE 5</t>
  </si>
  <si>
    <t>Subcomponente 2.2</t>
  </si>
  <si>
    <t>Mobilização e sistematização das informações - Corixo Grande do Rio Paraguai</t>
  </si>
  <si>
    <t>Caracterização biológica da proposta MT - Corixo Grande do Rio Paraguai</t>
  </si>
  <si>
    <t>Caracterização do Uso do Solo da proposta MT - Corixo Grande do Rio Paraguai</t>
  </si>
  <si>
    <t>Avaliação socioeconômica da proposta MT - Corixo Grande do Rio Paraguai</t>
  </si>
  <si>
    <t>Consulta/Audiência pública - MONA Cavernas de Martins</t>
  </si>
  <si>
    <t>Plano de sustentabilidade financeira - MONA Cavernas de Martins</t>
  </si>
  <si>
    <t>Consulta Pública - Mosaico de Porto Murtinho</t>
  </si>
  <si>
    <t>TOTAIS POR COMPONENTE</t>
  </si>
  <si>
    <t>External Audits 2017</t>
  </si>
  <si>
    <t>External Audits 2018</t>
  </si>
  <si>
    <t>Assessor técnicos para gestão de atividades do Projeto, durante os 5 anos do Projeto</t>
  </si>
  <si>
    <t>Moderador - Initial evaluation workshops</t>
  </si>
  <si>
    <t>Project Management - Monitoring/Evaluations/Audits</t>
  </si>
  <si>
    <r>
      <t xml:space="preserve">Atualizado em: </t>
    </r>
    <r>
      <rPr>
        <b/>
        <sz val="12"/>
        <color rgb="FFFF0000"/>
        <rFont val="Calibri"/>
        <family val="2"/>
        <scheme val="minor"/>
      </rPr>
      <t>13/06/2016</t>
    </r>
  </si>
  <si>
    <t>Pregão eletronico / e-licitacoes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</si>
</sst>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;[Red]\-&quot;R$&quot;\ #,##0.00"/>
    <numFmt numFmtId="165" formatCode="[$USD]\ #,##0.00"/>
    <numFmt numFmtId="166" formatCode="_-[$$-409]* #,##0.00_ ;_-[$$-409]* \-#,##0.00\ ;_-[$$-409]* &quot;-&quot;??_ ;_-@_ "/>
    <numFmt numFmtId="167" formatCode="&quot; R$ &quot;#,##0.00\ ;&quot; R$ (&quot;#,##0.00\);&quot; R$ -&quot;#\ ;@\ "/>
  </numFmts>
  <fonts count="5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1"/>
      <name val="Calibri"/>
      <family val="2"/>
      <charset val="1"/>
    </font>
    <font>
      <b/>
      <sz val="14"/>
      <color theme="1"/>
      <name val="Arial"/>
      <family val="2"/>
    </font>
    <font>
      <b/>
      <sz val="11"/>
      <color theme="3"/>
      <name val="Calibri"/>
      <family val="2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</font>
    <font>
      <b/>
      <sz val="11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45" fillId="0" borderId="0"/>
    <xf numFmtId="167" fontId="1" fillId="0" borderId="0" applyFill="0" applyBorder="0" applyAlignment="0" applyProtection="0"/>
  </cellStyleXfs>
  <cellXfs count="206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4" fillId="0" borderId="10" xfId="0" applyFont="1" applyBorder="1"/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justify" vertical="center"/>
    </xf>
    <xf numFmtId="0" fontId="24" fillId="27" borderId="37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5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3" fillId="0" borderId="0" xfId="0" applyFont="1"/>
    <xf numFmtId="0" fontId="41" fillId="27" borderId="36" xfId="0" applyFont="1" applyFill="1" applyBorder="1" applyAlignment="1">
      <alignment horizontal="center" vertical="center"/>
    </xf>
    <xf numFmtId="0" fontId="43" fillId="0" borderId="13" xfId="0" applyFont="1" applyBorder="1" applyAlignment="1">
      <alignment horizontal="left" vertical="center" wrapText="1"/>
    </xf>
    <xf numFmtId="0" fontId="43" fillId="0" borderId="38" xfId="0" applyFont="1" applyBorder="1" applyAlignment="1">
      <alignment horizontal="left" vertical="center" wrapText="1"/>
    </xf>
    <xf numFmtId="0" fontId="43" fillId="0" borderId="22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43" fillId="0" borderId="0" xfId="0" applyFont="1" applyFill="1"/>
    <xf numFmtId="0" fontId="43" fillId="0" borderId="39" xfId="0" applyFont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41" fillId="0" borderId="0" xfId="0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66" fontId="33" fillId="0" borderId="10" xfId="1" applyNumberFormat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right" vertical="center" wrapText="1"/>
    </xf>
    <xf numFmtId="4" fontId="26" fillId="0" borderId="10" xfId="1" applyNumberFormat="1" applyFont="1" applyFill="1" applyBorder="1" applyAlignment="1">
      <alignment horizontal="right" vertical="center" wrapText="1"/>
    </xf>
    <xf numFmtId="0" fontId="22" fillId="0" borderId="27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21" xfId="38" applyFont="1" applyFill="1" applyBorder="1" applyAlignment="1">
      <alignment vertical="center" wrapText="1"/>
    </xf>
    <xf numFmtId="166" fontId="33" fillId="28" borderId="10" xfId="1" applyNumberFormat="1" applyFont="1" applyFill="1" applyBorder="1" applyAlignment="1">
      <alignment horizontal="center" vertical="center" wrapText="1"/>
    </xf>
    <xf numFmtId="4" fontId="48" fillId="0" borderId="10" xfId="0" applyNumberFormat="1" applyFont="1" applyBorder="1" applyAlignment="1">
      <alignment vertical="center" wrapText="1"/>
    </xf>
    <xf numFmtId="0" fontId="33" fillId="0" borderId="20" xfId="1" applyFont="1" applyFill="1" applyBorder="1" applyAlignment="1">
      <alignment horizontal="right" vertical="center" wrapText="1"/>
    </xf>
    <xf numFmtId="166" fontId="33" fillId="0" borderId="20" xfId="1" applyNumberFormat="1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0" xfId="0" applyBorder="1"/>
    <xf numFmtId="4" fontId="24" fillId="24" borderId="10" xfId="38" applyNumberFormat="1" applyFont="1" applyFill="1" applyBorder="1" applyAlignment="1">
      <alignment horizontal="center" vertical="center" wrapText="1"/>
    </xf>
    <xf numFmtId="0" fontId="0" fillId="0" borderId="25" xfId="0" applyFill="1" applyBorder="1"/>
    <xf numFmtId="4" fontId="33" fillId="0" borderId="10" xfId="1" applyNumberFormat="1" applyFont="1" applyFill="1" applyBorder="1" applyAlignment="1">
      <alignment horizontal="right" vertical="center" wrapText="1"/>
    </xf>
    <xf numFmtId="0" fontId="49" fillId="0" borderId="0" xfId="0" applyFont="1" applyAlignment="1">
      <alignment horizontal="center" vertical="center"/>
    </xf>
    <xf numFmtId="164" fontId="50" fillId="0" borderId="0" xfId="0" applyNumberFormat="1" applyFont="1" applyFill="1" applyAlignment="1">
      <alignment horizontal="center"/>
    </xf>
    <xf numFmtId="0" fontId="0" fillId="0" borderId="20" xfId="0" applyBorder="1"/>
    <xf numFmtId="164" fontId="50" fillId="0" borderId="10" xfId="0" applyNumberFormat="1" applyFont="1" applyFill="1" applyBorder="1" applyAlignment="1">
      <alignment horizontal="center"/>
    </xf>
    <xf numFmtId="0" fontId="24" fillId="24" borderId="25" xfId="38" applyFont="1" applyFill="1" applyBorder="1" applyAlignment="1">
      <alignment vertical="center"/>
    </xf>
    <xf numFmtId="0" fontId="24" fillId="24" borderId="40" xfId="38" applyFont="1" applyFill="1" applyBorder="1" applyAlignment="1">
      <alignment vertical="center"/>
    </xf>
    <xf numFmtId="0" fontId="24" fillId="24" borderId="26" xfId="38" applyFont="1" applyFill="1" applyBorder="1" applyAlignment="1">
      <alignment vertical="center"/>
    </xf>
    <xf numFmtId="0" fontId="22" fillId="0" borderId="10" xfId="38" applyNumberFormat="1" applyFont="1" applyFill="1" applyBorder="1" applyAlignment="1">
      <alignment vertical="center" wrapText="1"/>
    </xf>
    <xf numFmtId="0" fontId="22" fillId="0" borderId="20" xfId="38" applyNumberFormat="1" applyFont="1" applyFill="1" applyBorder="1" applyAlignment="1">
      <alignment vertical="center" wrapText="1"/>
    </xf>
    <xf numFmtId="2" fontId="0" fillId="0" borderId="10" xfId="0" applyNumberFormat="1" applyBorder="1"/>
    <xf numFmtId="166" fontId="0" fillId="0" borderId="0" xfId="0" applyNumberFormat="1"/>
    <xf numFmtId="0" fontId="31" fillId="0" borderId="0" xfId="38" applyFont="1" applyFill="1" applyBorder="1" applyAlignment="1">
      <alignment horizontal="right" vertical="center" wrapText="1"/>
    </xf>
    <xf numFmtId="4" fontId="51" fillId="0" borderId="0" xfId="0" applyNumberFormat="1" applyFont="1"/>
    <xf numFmtId="4" fontId="31" fillId="0" borderId="0" xfId="38" applyNumberFormat="1" applyFont="1" applyFill="1" applyBorder="1" applyAlignment="1">
      <alignment vertical="center" wrapText="1"/>
    </xf>
    <xf numFmtId="166" fontId="52" fillId="28" borderId="0" xfId="1" applyNumberFormat="1" applyFont="1" applyFill="1" applyBorder="1" applyAlignment="1">
      <alignment horizontal="center" vertical="center" wrapText="1"/>
    </xf>
    <xf numFmtId="17" fontId="22" fillId="0" borderId="10" xfId="38" applyNumberFormat="1" applyFont="1" applyFill="1" applyBorder="1" applyAlignment="1">
      <alignment vertical="center" wrapText="1"/>
    </xf>
    <xf numFmtId="17" fontId="22" fillId="0" borderId="12" xfId="38" applyNumberFormat="1" applyFont="1" applyFill="1" applyBorder="1" applyAlignment="1">
      <alignment vertical="center" wrapText="1"/>
    </xf>
    <xf numFmtId="0" fontId="22" fillId="0" borderId="35" xfId="38" applyFont="1" applyFill="1" applyBorder="1" applyAlignment="1">
      <alignment vertical="center" wrapText="1"/>
    </xf>
    <xf numFmtId="10" fontId="22" fillId="0" borderId="35" xfId="38" applyNumberFormat="1" applyFont="1" applyFill="1" applyBorder="1" applyAlignment="1">
      <alignment vertical="center" wrapText="1"/>
    </xf>
    <xf numFmtId="4" fontId="0" fillId="0" borderId="10" xfId="0" applyNumberFormat="1" applyBorder="1"/>
    <xf numFmtId="10" fontId="0" fillId="0" borderId="10" xfId="0" applyNumberFormat="1" applyBorder="1"/>
    <xf numFmtId="17" fontId="22" fillId="0" borderId="35" xfId="38" applyNumberFormat="1" applyFont="1" applyFill="1" applyBorder="1" applyAlignment="1">
      <alignment vertical="center" wrapText="1"/>
    </xf>
    <xf numFmtId="17" fontId="0" fillId="0" borderId="10" xfId="0" applyNumberFormat="1" applyBorder="1"/>
    <xf numFmtId="17" fontId="22" fillId="0" borderId="20" xfId="38" applyNumberFormat="1" applyFont="1" applyFill="1" applyBorder="1" applyAlignment="1">
      <alignment vertical="center" wrapText="1"/>
    </xf>
    <xf numFmtId="0" fontId="51" fillId="0" borderId="10" xfId="0" applyFont="1" applyBorder="1"/>
    <xf numFmtId="166" fontId="0" fillId="0" borderId="10" xfId="0" applyNumberFormat="1" applyBorder="1"/>
    <xf numFmtId="0" fontId="51" fillId="0" borderId="10" xfId="0" applyFont="1" applyBorder="1" applyAlignment="1">
      <alignment horizontal="center"/>
    </xf>
    <xf numFmtId="166" fontId="53" fillId="0" borderId="10" xfId="0" applyNumberFormat="1" applyFont="1" applyBorder="1"/>
    <xf numFmtId="0" fontId="22" fillId="0" borderId="37" xfId="38" applyFont="1" applyFill="1" applyBorder="1" applyAlignment="1">
      <alignment vertical="center" wrapText="1"/>
    </xf>
    <xf numFmtId="0" fontId="22" fillId="0" borderId="41" xfId="38" applyFont="1" applyFill="1" applyBorder="1" applyAlignment="1">
      <alignment vertical="center" wrapText="1"/>
    </xf>
    <xf numFmtId="10" fontId="22" fillId="0" borderId="41" xfId="38" applyNumberFormat="1" applyFont="1" applyFill="1" applyBorder="1" applyAlignment="1">
      <alignment vertical="center" wrapText="1"/>
    </xf>
    <xf numFmtId="17" fontId="22" fillId="0" borderId="41" xfId="38" applyNumberFormat="1" applyFont="1" applyFill="1" applyBorder="1" applyAlignment="1">
      <alignment vertical="center" wrapText="1"/>
    </xf>
    <xf numFmtId="0" fontId="22" fillId="0" borderId="42" xfId="38" applyFont="1" applyFill="1" applyBorder="1" applyAlignment="1">
      <alignment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42" fillId="26" borderId="0" xfId="0" applyFont="1" applyFill="1" applyAlignment="1">
      <alignment horizontal="left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center" vertical="center" wrapText="1"/>
    </xf>
    <xf numFmtId="0" fontId="41" fillId="27" borderId="37" xfId="0" applyFont="1" applyFill="1" applyBorder="1" applyAlignment="1">
      <alignment horizontal="center" vertical="center"/>
    </xf>
    <xf numFmtId="0" fontId="41" fillId="27" borderId="28" xfId="0" applyFont="1" applyFill="1" applyBorder="1" applyAlignment="1">
      <alignment horizontal="center" vertical="center"/>
    </xf>
    <xf numFmtId="0" fontId="41" fillId="27" borderId="29" xfId="0" applyFont="1" applyFill="1" applyBorder="1" applyAlignment="1">
      <alignment horizontal="center" vertical="center"/>
    </xf>
    <xf numFmtId="0" fontId="41" fillId="27" borderId="37" xfId="0" applyFont="1" applyFill="1" applyBorder="1" applyAlignment="1">
      <alignment horizontal="left" vertical="center" wrapText="1"/>
    </xf>
    <xf numFmtId="0" fontId="41" fillId="27" borderId="28" xfId="0" applyFont="1" applyFill="1" applyBorder="1" applyAlignment="1">
      <alignment horizontal="left" vertical="center" wrapText="1"/>
    </xf>
    <xf numFmtId="0" fontId="41" fillId="27" borderId="29" xfId="0" applyFont="1" applyFill="1" applyBorder="1" applyAlignment="1">
      <alignment horizontal="left" vertical="center" wrapText="1"/>
    </xf>
    <xf numFmtId="0" fontId="41" fillId="27" borderId="20" xfId="0" applyFont="1" applyFill="1" applyBorder="1" applyAlignment="1">
      <alignment horizontal="center" vertical="center"/>
    </xf>
    <xf numFmtId="0" fontId="41" fillId="27" borderId="19" xfId="0" applyFont="1" applyFill="1" applyBorder="1" applyAlignment="1">
      <alignment horizontal="center" vertical="center"/>
    </xf>
    <xf numFmtId="0" fontId="41" fillId="27" borderId="35" xfId="0" applyFont="1" applyFill="1" applyBorder="1" applyAlignment="1">
      <alignment horizontal="center" vertical="center"/>
    </xf>
    <xf numFmtId="0" fontId="31" fillId="0" borderId="35" xfId="1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5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5" xfId="0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3" fillId="24" borderId="31" xfId="38" applyFont="1" applyFill="1" applyBorder="1" applyAlignment="1">
      <alignment horizontal="left" vertical="center" wrapText="1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10" fontId="24" fillId="24" borderId="35" xfId="38" applyNumberFormat="1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5" fillId="0" borderId="34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51" fillId="0" borderId="10" xfId="0" applyFont="1" applyBorder="1" applyAlignment="1">
      <alignment horizontal="center"/>
    </xf>
  </cellXfs>
  <cellStyles count="46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Moeda 2" xfId="45" xr:uid="{00000000-0005-0000-0000-000023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Texto Explicativo 2" xfId="44" xr:uid="{00000000-0005-0000-0000-00002A000000}"/>
    <cellStyle name="Title 2" xfId="41" xr:uid="{00000000-0005-0000-0000-00002B000000}"/>
    <cellStyle name="Total 2" xfId="42" xr:uid="{00000000-0005-0000-0000-00002C000000}"/>
    <cellStyle name="Warning Text 2" xfId="43" xr:uid="{00000000-0005-0000-0000-00002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B29" sqref="B29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25"/>
      <c r="C1" s="25"/>
      <c r="D1" s="25"/>
    </row>
    <row r="2" spans="2:4" x14ac:dyDescent="0.3">
      <c r="B2" s="26" t="s">
        <v>38</v>
      </c>
      <c r="C2" s="27" t="s">
        <v>26</v>
      </c>
      <c r="D2" s="28" t="s">
        <v>27</v>
      </c>
    </row>
    <row r="3" spans="2:4" x14ac:dyDescent="0.3">
      <c r="B3" s="144"/>
      <c r="C3" s="29"/>
      <c r="D3" s="30"/>
    </row>
    <row r="4" spans="2:4" x14ac:dyDescent="0.3">
      <c r="B4" s="145"/>
      <c r="C4" s="29"/>
      <c r="D4" s="30"/>
    </row>
    <row r="5" spans="2:4" x14ac:dyDescent="0.3">
      <c r="B5" s="145"/>
      <c r="C5" s="29"/>
      <c r="D5" s="30"/>
    </row>
    <row r="6" spans="2:4" x14ac:dyDescent="0.3">
      <c r="B6" s="145"/>
      <c r="C6" s="29"/>
      <c r="D6" s="30"/>
    </row>
    <row r="7" spans="2:4" x14ac:dyDescent="0.3">
      <c r="B7" s="145"/>
      <c r="C7" s="29"/>
      <c r="D7" s="30"/>
    </row>
    <row r="8" spans="2:4" x14ac:dyDescent="0.3">
      <c r="B8" s="145"/>
      <c r="C8" s="29"/>
      <c r="D8" s="30"/>
    </row>
    <row r="9" spans="2:4" ht="15" thickBot="1" x14ac:dyDescent="0.35">
      <c r="B9" s="146"/>
      <c r="C9" s="31"/>
      <c r="D9" s="32"/>
    </row>
    <row r="11" spans="2:4" ht="49.5" customHeight="1" x14ac:dyDescent="0.3">
      <c r="B11" s="149" t="s">
        <v>28</v>
      </c>
      <c r="C11" s="149"/>
      <c r="D11" s="25"/>
    </row>
    <row r="12" spans="2:4" ht="15" thickBot="1" x14ac:dyDescent="0.35">
      <c r="B12" s="25"/>
      <c r="C12" s="25"/>
      <c r="D12" s="25"/>
    </row>
    <row r="13" spans="2:4" x14ac:dyDescent="0.3">
      <c r="B13" s="33" t="s">
        <v>29</v>
      </c>
      <c r="C13" s="34" t="s">
        <v>30</v>
      </c>
      <c r="D13" s="35"/>
    </row>
    <row r="14" spans="2:4" x14ac:dyDescent="0.3">
      <c r="B14" s="147" t="s">
        <v>31</v>
      </c>
      <c r="C14" s="30" t="s">
        <v>32</v>
      </c>
      <c r="D14" s="35"/>
    </row>
    <row r="15" spans="2:4" x14ac:dyDescent="0.3">
      <c r="B15" s="147"/>
      <c r="C15" s="30" t="s">
        <v>33</v>
      </c>
      <c r="D15" s="25"/>
    </row>
    <row r="16" spans="2:4" x14ac:dyDescent="0.3">
      <c r="B16" s="147"/>
      <c r="C16" s="30" t="s">
        <v>34</v>
      </c>
      <c r="D16" s="25"/>
    </row>
    <row r="17" spans="2:3" x14ac:dyDescent="0.3">
      <c r="B17" s="147"/>
      <c r="C17" s="30" t="s">
        <v>35</v>
      </c>
    </row>
    <row r="18" spans="2:3" ht="15" thickBot="1" x14ac:dyDescent="0.35">
      <c r="B18" s="148"/>
      <c r="C18" s="32" t="s">
        <v>36</v>
      </c>
    </row>
    <row r="20" spans="2:3" ht="54" customHeight="1" x14ac:dyDescent="0.3">
      <c r="B20" s="150" t="s">
        <v>37</v>
      </c>
      <c r="C20" s="150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A16" sqref="A16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15" thickBot="1" x14ac:dyDescent="0.35">
      <c r="A1" s="155" t="s">
        <v>4</v>
      </c>
      <c r="B1" s="155"/>
      <c r="C1" s="155"/>
    </row>
    <row r="2" spans="1:3" ht="15.6" x14ac:dyDescent="0.3">
      <c r="A2" s="151" t="s">
        <v>5</v>
      </c>
      <c r="B2" s="152"/>
      <c r="C2" s="153"/>
    </row>
    <row r="3" spans="1:3" ht="15.6" x14ac:dyDescent="0.3">
      <c r="A3" s="12" t="s">
        <v>6</v>
      </c>
      <c r="B3" s="13" t="s">
        <v>7</v>
      </c>
      <c r="C3" s="14" t="s">
        <v>8</v>
      </c>
    </row>
    <row r="4" spans="1:3" ht="15" thickBot="1" x14ac:dyDescent="0.35">
      <c r="A4" s="15" t="s">
        <v>9</v>
      </c>
      <c r="B4" s="16"/>
      <c r="C4" s="17"/>
    </row>
    <row r="5" spans="1:3" ht="15" thickBot="1" x14ac:dyDescent="0.35">
      <c r="A5" s="154"/>
      <c r="B5" s="154"/>
      <c r="C5" s="154"/>
    </row>
    <row r="6" spans="1:3" ht="15.6" x14ac:dyDescent="0.3">
      <c r="A6" s="151" t="s">
        <v>10</v>
      </c>
      <c r="B6" s="152"/>
      <c r="C6" s="153"/>
    </row>
    <row r="7" spans="1:3" ht="15" thickBot="1" x14ac:dyDescent="0.35">
      <c r="A7" s="15" t="s">
        <v>11</v>
      </c>
      <c r="B7" s="156"/>
      <c r="C7" s="157"/>
    </row>
    <row r="8" spans="1:3" ht="15" thickBot="1" x14ac:dyDescent="0.35">
      <c r="A8" s="154"/>
      <c r="B8" s="154"/>
      <c r="C8" s="154"/>
    </row>
    <row r="9" spans="1:3" ht="15.6" x14ac:dyDescent="0.3">
      <c r="A9" s="151" t="s">
        <v>12</v>
      </c>
      <c r="B9" s="152"/>
      <c r="C9" s="153"/>
    </row>
    <row r="10" spans="1:3" ht="31.2" x14ac:dyDescent="0.3">
      <c r="A10" s="12" t="s">
        <v>13</v>
      </c>
      <c r="B10" s="13" t="s">
        <v>14</v>
      </c>
      <c r="C10" s="14" t="s">
        <v>15</v>
      </c>
    </row>
    <row r="11" spans="1:3" x14ac:dyDescent="0.3">
      <c r="A11" s="18" t="s">
        <v>16</v>
      </c>
      <c r="B11" s="19">
        <v>0</v>
      </c>
      <c r="C11" s="20">
        <v>0</v>
      </c>
    </row>
    <row r="12" spans="1:3" x14ac:dyDescent="0.3">
      <c r="A12" s="18" t="s">
        <v>17</v>
      </c>
      <c r="B12" s="19">
        <v>0</v>
      </c>
      <c r="C12" s="20">
        <v>0</v>
      </c>
    </row>
    <row r="13" spans="1:3" x14ac:dyDescent="0.3">
      <c r="A13" s="18" t="s">
        <v>18</v>
      </c>
      <c r="B13" s="19">
        <v>0</v>
      </c>
      <c r="C13" s="20">
        <v>0</v>
      </c>
    </row>
    <row r="14" spans="1:3" x14ac:dyDescent="0.3">
      <c r="A14" s="18" t="s">
        <v>19</v>
      </c>
      <c r="B14" s="19">
        <v>0</v>
      </c>
      <c r="C14" s="20">
        <v>0</v>
      </c>
    </row>
    <row r="15" spans="1:3" x14ac:dyDescent="0.3">
      <c r="A15" s="18" t="s">
        <v>20</v>
      </c>
      <c r="B15" s="19">
        <v>0</v>
      </c>
      <c r="C15" s="20">
        <v>0</v>
      </c>
    </row>
    <row r="16" spans="1:3" x14ac:dyDescent="0.3">
      <c r="A16" s="18" t="s">
        <v>21</v>
      </c>
      <c r="B16" s="19">
        <v>0</v>
      </c>
      <c r="C16" s="20">
        <v>0</v>
      </c>
    </row>
    <row r="17" spans="1:3" x14ac:dyDescent="0.3">
      <c r="A17" s="21" t="s">
        <v>22</v>
      </c>
      <c r="B17" s="19">
        <v>0</v>
      </c>
      <c r="C17" s="20">
        <v>0</v>
      </c>
    </row>
    <row r="18" spans="1:3" x14ac:dyDescent="0.3">
      <c r="A18" s="18" t="s">
        <v>23</v>
      </c>
      <c r="B18" s="19">
        <v>0</v>
      </c>
      <c r="C18" s="20">
        <v>0</v>
      </c>
    </row>
    <row r="19" spans="1:3" x14ac:dyDescent="0.3">
      <c r="A19" s="21" t="s">
        <v>24</v>
      </c>
      <c r="B19" s="19">
        <v>0</v>
      </c>
      <c r="C19" s="20">
        <v>0</v>
      </c>
    </row>
    <row r="20" spans="1:3" ht="16.2" thickBot="1" x14ac:dyDescent="0.35">
      <c r="A20" s="22" t="s">
        <v>25</v>
      </c>
      <c r="B20" s="23">
        <v>0</v>
      </c>
      <c r="C20" s="24">
        <v>0</v>
      </c>
    </row>
    <row r="21" spans="1:3" ht="15" thickBot="1" x14ac:dyDescent="0.35"/>
    <row r="22" spans="1:3" ht="15.6" x14ac:dyDescent="0.3">
      <c r="A22" s="151" t="s">
        <v>39</v>
      </c>
      <c r="B22" s="152"/>
      <c r="C22" s="153"/>
    </row>
    <row r="23" spans="1:3" ht="31.2" x14ac:dyDescent="0.3">
      <c r="A23" s="36" t="s">
        <v>40</v>
      </c>
      <c r="B23" s="37" t="s">
        <v>14</v>
      </c>
      <c r="C23" s="38" t="s">
        <v>15</v>
      </c>
    </row>
    <row r="24" spans="1:3" x14ac:dyDescent="0.3">
      <c r="A24" s="41" t="s">
        <v>41</v>
      </c>
      <c r="B24" s="39">
        <v>0</v>
      </c>
      <c r="C24" s="40">
        <v>0</v>
      </c>
    </row>
    <row r="25" spans="1:3" x14ac:dyDescent="0.3">
      <c r="A25" s="41" t="s">
        <v>42</v>
      </c>
      <c r="B25" s="39">
        <v>0</v>
      </c>
      <c r="C25" s="40">
        <v>0</v>
      </c>
    </row>
    <row r="26" spans="1:3" x14ac:dyDescent="0.3">
      <c r="A26" s="41" t="s">
        <v>42</v>
      </c>
      <c r="B26" s="39">
        <v>0</v>
      </c>
      <c r="C26" s="40">
        <v>0</v>
      </c>
    </row>
    <row r="27" spans="1:3" x14ac:dyDescent="0.3">
      <c r="A27" s="41" t="s">
        <v>43</v>
      </c>
      <c r="B27" s="39">
        <v>0</v>
      </c>
      <c r="C27" s="40">
        <v>0</v>
      </c>
    </row>
    <row r="28" spans="1:3" x14ac:dyDescent="0.3">
      <c r="A28" s="41" t="s">
        <v>44</v>
      </c>
      <c r="B28" s="39">
        <v>0</v>
      </c>
      <c r="C28" s="40">
        <v>0</v>
      </c>
    </row>
    <row r="29" spans="1:3" x14ac:dyDescent="0.3">
      <c r="A29" s="41" t="s">
        <v>45</v>
      </c>
      <c r="B29" s="39">
        <v>0</v>
      </c>
      <c r="C29" s="40">
        <v>0</v>
      </c>
    </row>
    <row r="30" spans="1:3" ht="16.2" thickBot="1" x14ac:dyDescent="0.35">
      <c r="A30" s="42" t="s">
        <v>25</v>
      </c>
      <c r="B30" s="43">
        <v>0</v>
      </c>
      <c r="C30" s="44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1"/>
  <sheetViews>
    <sheetView topLeftCell="A19" zoomScale="85" zoomScaleNormal="85" workbookViewId="0">
      <selection activeCell="B13" sqref="B13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5" customFormat="1" x14ac:dyDescent="0.3"/>
    <row r="2" spans="1:3" s="5" customFormat="1" x14ac:dyDescent="0.3"/>
    <row r="3" spans="1:3" s="5" customFormat="1" x14ac:dyDescent="0.3"/>
    <row r="4" spans="1:3" s="5" customFormat="1" ht="67.5" customHeight="1" x14ac:dyDescent="0.3">
      <c r="A4" s="158" t="s">
        <v>127</v>
      </c>
      <c r="B4" s="158"/>
      <c r="C4" s="158"/>
    </row>
    <row r="5" spans="1:3" s="5" customFormat="1" x14ac:dyDescent="0.3"/>
    <row r="6" spans="1:3" s="5" customFormat="1" ht="15" thickBot="1" x14ac:dyDescent="0.35"/>
    <row r="7" spans="1:3" ht="15" thickBot="1" x14ac:dyDescent="0.35">
      <c r="A7" s="82"/>
      <c r="B7" s="83" t="s">
        <v>122</v>
      </c>
      <c r="C7" s="82"/>
    </row>
    <row r="8" spans="1:3" ht="41.4" x14ac:dyDescent="0.3">
      <c r="A8" s="71" t="s">
        <v>109</v>
      </c>
      <c r="B8" s="84" t="s">
        <v>112</v>
      </c>
      <c r="C8" s="82"/>
    </row>
    <row r="9" spans="1:3" ht="27.6" x14ac:dyDescent="0.3">
      <c r="A9" s="72" t="s">
        <v>110</v>
      </c>
      <c r="B9" s="85" t="s">
        <v>111</v>
      </c>
      <c r="C9" s="82"/>
    </row>
    <row r="10" spans="1:3" s="5" customFormat="1" x14ac:dyDescent="0.3">
      <c r="A10" s="81"/>
      <c r="B10" s="86"/>
      <c r="C10" s="82"/>
    </row>
    <row r="11" spans="1:3" s="5" customFormat="1" ht="15" thickBot="1" x14ac:dyDescent="0.35">
      <c r="A11" s="80"/>
      <c r="B11" s="87"/>
      <c r="C11" s="82"/>
    </row>
    <row r="12" spans="1:3" s="78" customFormat="1" ht="15" thickBot="1" x14ac:dyDescent="0.35">
      <c r="A12" s="82"/>
      <c r="B12" s="83" t="s">
        <v>124</v>
      </c>
      <c r="C12" s="88"/>
    </row>
    <row r="13" spans="1:3" ht="27.6" x14ac:dyDescent="0.3">
      <c r="A13" s="79" t="s">
        <v>113</v>
      </c>
      <c r="B13" s="89" t="s">
        <v>126</v>
      </c>
      <c r="C13" s="82"/>
    </row>
    <row r="14" spans="1:3" ht="15" thickBot="1" x14ac:dyDescent="0.35">
      <c r="A14" s="73" t="s">
        <v>50</v>
      </c>
      <c r="B14" s="90" t="s">
        <v>125</v>
      </c>
      <c r="C14" s="82"/>
    </row>
    <row r="15" spans="1:3" ht="15" thickBot="1" x14ac:dyDescent="0.35">
      <c r="A15" s="82"/>
      <c r="B15" s="82"/>
      <c r="C15" s="82"/>
    </row>
    <row r="16" spans="1:3" ht="15" thickBot="1" x14ac:dyDescent="0.35">
      <c r="A16" s="82"/>
      <c r="B16" s="83" t="s">
        <v>120</v>
      </c>
      <c r="C16" s="82"/>
    </row>
    <row r="17" spans="1:3" x14ac:dyDescent="0.3">
      <c r="A17" s="162" t="s">
        <v>102</v>
      </c>
      <c r="B17" s="74" t="s">
        <v>48</v>
      </c>
      <c r="C17" s="82"/>
    </row>
    <row r="18" spans="1:3" ht="15.75" customHeight="1" x14ac:dyDescent="0.3">
      <c r="A18" s="163"/>
      <c r="B18" s="75" t="s">
        <v>46</v>
      </c>
      <c r="C18" s="82"/>
    </row>
    <row r="19" spans="1:3" ht="15" thickBot="1" x14ac:dyDescent="0.35">
      <c r="A19" s="164"/>
      <c r="B19" s="91" t="s">
        <v>47</v>
      </c>
      <c r="C19" s="82"/>
    </row>
    <row r="20" spans="1:3" ht="15" thickBot="1" x14ac:dyDescent="0.35">
      <c r="A20" s="82"/>
      <c r="B20" s="82"/>
      <c r="C20" s="82"/>
    </row>
    <row r="21" spans="1:3" ht="15" thickBot="1" x14ac:dyDescent="0.35">
      <c r="A21" s="92"/>
      <c r="B21" s="83" t="s">
        <v>120</v>
      </c>
      <c r="C21" s="82"/>
    </row>
    <row r="22" spans="1:3" x14ac:dyDescent="0.3">
      <c r="A22" s="165" t="s">
        <v>101</v>
      </c>
      <c r="B22" s="74" t="s">
        <v>1</v>
      </c>
      <c r="C22" s="82"/>
    </row>
    <row r="23" spans="1:3" x14ac:dyDescent="0.3">
      <c r="A23" s="166"/>
      <c r="B23" s="75" t="s">
        <v>61</v>
      </c>
      <c r="C23" s="82"/>
    </row>
    <row r="24" spans="1:3" x14ac:dyDescent="0.3">
      <c r="A24" s="166"/>
      <c r="B24" s="75" t="s">
        <v>57</v>
      </c>
      <c r="C24" s="82"/>
    </row>
    <row r="25" spans="1:3" x14ac:dyDescent="0.3">
      <c r="A25" s="166"/>
      <c r="B25" s="75" t="s">
        <v>56</v>
      </c>
      <c r="C25" s="82"/>
    </row>
    <row r="26" spans="1:3" s="5" customFormat="1" x14ac:dyDescent="0.3">
      <c r="A26" s="166"/>
      <c r="B26" s="75" t="s">
        <v>59</v>
      </c>
      <c r="C26" s="82"/>
    </row>
    <row r="27" spans="1:3" s="5" customFormat="1" x14ac:dyDescent="0.3">
      <c r="A27" s="166"/>
      <c r="B27" s="75" t="s">
        <v>2</v>
      </c>
      <c r="C27" s="82"/>
    </row>
    <row r="28" spans="1:3" ht="15" customHeight="1" x14ac:dyDescent="0.3">
      <c r="A28" s="166"/>
      <c r="B28" s="75" t="s">
        <v>106</v>
      </c>
      <c r="C28" s="82"/>
    </row>
    <row r="29" spans="1:3" ht="15" thickBot="1" x14ac:dyDescent="0.35">
      <c r="A29" s="167"/>
      <c r="B29" s="76" t="s">
        <v>3</v>
      </c>
      <c r="C29" s="82"/>
    </row>
    <row r="30" spans="1:3" ht="15" thickBot="1" x14ac:dyDescent="0.35">
      <c r="A30" s="82"/>
      <c r="B30" s="82"/>
      <c r="C30" s="82"/>
    </row>
    <row r="31" spans="1:3" ht="15" thickBot="1" x14ac:dyDescent="0.35">
      <c r="A31" s="82"/>
      <c r="B31" s="83" t="s">
        <v>121</v>
      </c>
      <c r="C31" s="83" t="s">
        <v>120</v>
      </c>
    </row>
    <row r="32" spans="1:3" x14ac:dyDescent="0.3">
      <c r="A32" s="168" t="s">
        <v>103</v>
      </c>
      <c r="B32" s="154" t="s">
        <v>123</v>
      </c>
      <c r="C32" s="77" t="s">
        <v>94</v>
      </c>
    </row>
    <row r="33" spans="1:3" x14ac:dyDescent="0.3">
      <c r="A33" s="169"/>
      <c r="B33" s="154"/>
      <c r="C33" s="65" t="s">
        <v>95</v>
      </c>
    </row>
    <row r="34" spans="1:3" x14ac:dyDescent="0.3">
      <c r="A34" s="169"/>
      <c r="B34" s="154"/>
      <c r="C34" s="65" t="s">
        <v>96</v>
      </c>
    </row>
    <row r="35" spans="1:3" x14ac:dyDescent="0.3">
      <c r="A35" s="169"/>
      <c r="B35" s="154"/>
      <c r="C35" s="65" t="s">
        <v>58</v>
      </c>
    </row>
    <row r="36" spans="1:3" x14ac:dyDescent="0.3">
      <c r="A36" s="169"/>
      <c r="B36" s="154"/>
      <c r="C36" s="65" t="s">
        <v>48</v>
      </c>
    </row>
    <row r="37" spans="1:3" x14ac:dyDescent="0.3">
      <c r="A37" s="169"/>
      <c r="B37" s="154"/>
      <c r="C37" s="65" t="s">
        <v>98</v>
      </c>
    </row>
    <row r="38" spans="1:3" x14ac:dyDescent="0.3">
      <c r="A38" s="169"/>
      <c r="B38" s="171"/>
      <c r="C38" s="65" t="s">
        <v>97</v>
      </c>
    </row>
    <row r="39" spans="1:3" x14ac:dyDescent="0.3">
      <c r="A39" s="169"/>
      <c r="B39" s="159" t="s">
        <v>104</v>
      </c>
      <c r="C39" s="65" t="s">
        <v>91</v>
      </c>
    </row>
    <row r="40" spans="1:3" x14ac:dyDescent="0.3">
      <c r="A40" s="169"/>
      <c r="B40" s="160"/>
      <c r="C40" s="65" t="s">
        <v>53</v>
      </c>
    </row>
    <row r="41" spans="1:3" x14ac:dyDescent="0.3">
      <c r="A41" s="169"/>
      <c r="B41" s="160"/>
      <c r="C41" s="65" t="s">
        <v>60</v>
      </c>
    </row>
    <row r="42" spans="1:3" x14ac:dyDescent="0.3">
      <c r="A42" s="169"/>
      <c r="B42" s="160"/>
      <c r="C42" s="65" t="s">
        <v>58</v>
      </c>
    </row>
    <row r="43" spans="1:3" x14ac:dyDescent="0.3">
      <c r="A43" s="169"/>
      <c r="B43" s="160"/>
      <c r="C43" s="65" t="s">
        <v>48</v>
      </c>
    </row>
    <row r="44" spans="1:3" x14ac:dyDescent="0.3">
      <c r="A44" s="169"/>
      <c r="B44" s="160"/>
      <c r="C44" s="65" t="s">
        <v>54</v>
      </c>
    </row>
    <row r="45" spans="1:3" x14ac:dyDescent="0.3">
      <c r="A45" s="169"/>
      <c r="B45" s="160"/>
      <c r="C45" s="65" t="s">
        <v>63</v>
      </c>
    </row>
    <row r="46" spans="1:3" x14ac:dyDescent="0.3">
      <c r="A46" s="169"/>
      <c r="B46" s="160"/>
      <c r="C46" s="65" t="s">
        <v>62</v>
      </c>
    </row>
    <row r="47" spans="1:3" x14ac:dyDescent="0.3">
      <c r="A47" s="169"/>
      <c r="B47" s="160"/>
      <c r="C47" s="65" t="s">
        <v>55</v>
      </c>
    </row>
    <row r="48" spans="1:3" x14ac:dyDescent="0.3">
      <c r="A48" s="169"/>
      <c r="B48" s="161"/>
      <c r="C48" s="65" t="s">
        <v>93</v>
      </c>
    </row>
    <row r="49" spans="1:3" x14ac:dyDescent="0.3">
      <c r="A49" s="169"/>
      <c r="B49" s="159" t="s">
        <v>105</v>
      </c>
      <c r="C49" s="65" t="s">
        <v>99</v>
      </c>
    </row>
    <row r="50" spans="1:3" x14ac:dyDescent="0.3">
      <c r="A50" s="169"/>
      <c r="B50" s="160"/>
      <c r="C50" s="65" t="s">
        <v>58</v>
      </c>
    </row>
    <row r="51" spans="1:3" x14ac:dyDescent="0.3">
      <c r="A51" s="170"/>
      <c r="B51" s="161"/>
      <c r="C51" s="65" t="s">
        <v>48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89"/>
  <sheetViews>
    <sheetView tabSelected="1" zoomScale="90" zoomScaleNormal="90" workbookViewId="0">
      <selection activeCell="C151" sqref="C151"/>
    </sheetView>
  </sheetViews>
  <sheetFormatPr defaultRowHeight="14.4" x14ac:dyDescent="0.3"/>
  <cols>
    <col min="1" max="1" width="37.44140625" customWidth="1"/>
    <col min="2" max="2" width="22.6640625" bestFit="1" customWidth="1"/>
    <col min="3" max="3" width="50" bestFit="1" customWidth="1"/>
    <col min="4" max="4" width="36.6640625" customWidth="1"/>
    <col min="5" max="5" width="20" customWidth="1"/>
    <col min="6" max="6" width="18.88671875" customWidth="1"/>
    <col min="7" max="7" width="15.6640625" style="47" customWidth="1"/>
    <col min="8" max="8" width="15.6640625" style="50" customWidth="1"/>
    <col min="9" max="9" width="18" style="50" customWidth="1"/>
    <col min="10" max="10" width="20.6640625" customWidth="1"/>
    <col min="11" max="11" width="19.5546875" customWidth="1"/>
    <col min="12" max="12" width="15.5546875" customWidth="1"/>
    <col min="13" max="13" width="15" customWidth="1"/>
    <col min="14" max="14" width="29.109375" customWidth="1"/>
    <col min="15" max="16" width="18.88671875" style="5" customWidth="1"/>
  </cols>
  <sheetData>
    <row r="1" spans="1:19" s="5" customFormat="1" x14ac:dyDescent="0.3">
      <c r="A1" s="67"/>
      <c r="G1" s="47"/>
      <c r="H1" s="50"/>
      <c r="I1" s="50"/>
    </row>
    <row r="2" spans="1:19" s="5" customFormat="1" ht="17.399999999999999" x14ac:dyDescent="0.3">
      <c r="A2" s="70" t="s">
        <v>117</v>
      </c>
      <c r="C2" s="111"/>
      <c r="G2" s="47"/>
      <c r="H2" s="50"/>
      <c r="I2" s="50"/>
    </row>
    <row r="3" spans="1:19" s="5" customFormat="1" ht="17.399999999999999" x14ac:dyDescent="0.3">
      <c r="A3" s="69" t="s">
        <v>202</v>
      </c>
      <c r="C3" s="111"/>
      <c r="G3" s="47"/>
      <c r="H3" s="50"/>
      <c r="I3" s="50"/>
    </row>
    <row r="4" spans="1:19" s="5" customFormat="1" ht="17.399999999999999" x14ac:dyDescent="0.3">
      <c r="A4" s="69" t="s">
        <v>203</v>
      </c>
      <c r="C4" s="111"/>
      <c r="G4" s="47"/>
      <c r="H4" s="50"/>
      <c r="I4" s="50"/>
    </row>
    <row r="5" spans="1:19" s="5" customFormat="1" ht="15.6" x14ac:dyDescent="0.3">
      <c r="A5" s="69" t="s">
        <v>118</v>
      </c>
      <c r="G5" s="47"/>
      <c r="H5" s="50"/>
      <c r="I5" s="50"/>
    </row>
    <row r="6" spans="1:19" s="5" customFormat="1" ht="15.6" x14ac:dyDescent="0.3">
      <c r="A6" s="68"/>
      <c r="E6" s="121"/>
      <c r="G6" s="47"/>
      <c r="H6" s="50"/>
      <c r="I6" s="50"/>
    </row>
    <row r="7" spans="1:19" s="5" customFormat="1" ht="15.6" x14ac:dyDescent="0.3">
      <c r="A7" s="69" t="s">
        <v>233</v>
      </c>
      <c r="G7" s="47"/>
      <c r="H7" s="50"/>
      <c r="I7" s="50"/>
    </row>
    <row r="8" spans="1:19" s="5" customFormat="1" ht="15.6" x14ac:dyDescent="0.3">
      <c r="A8" s="69" t="s">
        <v>200</v>
      </c>
      <c r="E8" s="121"/>
      <c r="G8" s="47"/>
      <c r="H8" s="50"/>
      <c r="I8" s="50"/>
    </row>
    <row r="9" spans="1:19" s="5" customFormat="1" ht="15.6" x14ac:dyDescent="0.3">
      <c r="A9" s="69" t="s">
        <v>201</v>
      </c>
      <c r="G9" s="47"/>
      <c r="H9" s="50"/>
      <c r="I9" s="50"/>
    </row>
    <row r="10" spans="1:19" s="5" customFormat="1" x14ac:dyDescent="0.3">
      <c r="G10" s="47"/>
      <c r="H10" s="50"/>
      <c r="I10" s="50"/>
    </row>
    <row r="11" spans="1:19" ht="15.75" customHeight="1" x14ac:dyDescent="0.3">
      <c r="A11" s="203" t="s">
        <v>92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1"/>
      <c r="R11" s="1"/>
      <c r="S11" s="1"/>
    </row>
    <row r="12" spans="1:19" ht="15.6" x14ac:dyDescent="0.3">
      <c r="A12" s="184" t="s">
        <v>0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"/>
      <c r="R12" s="1"/>
      <c r="S12" s="1"/>
    </row>
    <row r="13" spans="1:19" x14ac:dyDescent="0.3">
      <c r="A13" s="201" t="s">
        <v>49</v>
      </c>
      <c r="B13" s="187" t="s">
        <v>50</v>
      </c>
      <c r="C13" s="187" t="s">
        <v>51</v>
      </c>
      <c r="D13" s="187" t="s">
        <v>52</v>
      </c>
      <c r="E13" s="187" t="s">
        <v>64</v>
      </c>
      <c r="F13" s="187" t="s">
        <v>66</v>
      </c>
      <c r="G13" s="198" t="s">
        <v>67</v>
      </c>
      <c r="H13" s="198"/>
      <c r="I13" s="198"/>
      <c r="J13" s="187" t="s">
        <v>71</v>
      </c>
      <c r="K13" s="187" t="s">
        <v>72</v>
      </c>
      <c r="L13" s="187" t="s">
        <v>73</v>
      </c>
      <c r="M13" s="187"/>
      <c r="N13" s="195" t="s">
        <v>107</v>
      </c>
      <c r="O13" s="187" t="s">
        <v>100</v>
      </c>
      <c r="P13" s="187" t="s">
        <v>101</v>
      </c>
      <c r="Q13" s="1"/>
      <c r="R13" s="1"/>
      <c r="S13" s="1"/>
    </row>
    <row r="14" spans="1:19" ht="54.75" customHeight="1" thickBot="1" x14ac:dyDescent="0.35">
      <c r="A14" s="202"/>
      <c r="B14" s="188"/>
      <c r="C14" s="188"/>
      <c r="D14" s="188"/>
      <c r="E14" s="188"/>
      <c r="F14" s="188"/>
      <c r="G14" s="56" t="s">
        <v>69</v>
      </c>
      <c r="H14" s="57" t="s">
        <v>68</v>
      </c>
      <c r="I14" s="57" t="s">
        <v>70</v>
      </c>
      <c r="J14" s="188"/>
      <c r="K14" s="188"/>
      <c r="L14" s="58" t="s">
        <v>74</v>
      </c>
      <c r="M14" s="58" t="s">
        <v>75</v>
      </c>
      <c r="N14" s="190"/>
      <c r="O14" s="188"/>
      <c r="P14" s="188"/>
      <c r="Q14" s="1"/>
      <c r="R14" s="1"/>
      <c r="S14" s="1"/>
    </row>
    <row r="15" spans="1:19" x14ac:dyDescent="0.3">
      <c r="A15" s="59"/>
      <c r="B15" s="107"/>
      <c r="C15" s="96" t="s">
        <v>199</v>
      </c>
      <c r="D15" s="60"/>
      <c r="E15" s="60"/>
      <c r="F15" s="60"/>
      <c r="G15" s="61"/>
      <c r="H15" s="62"/>
      <c r="I15" s="62"/>
      <c r="J15" s="60"/>
      <c r="K15" s="60"/>
      <c r="L15" s="60"/>
      <c r="M15" s="60"/>
      <c r="N15" s="60"/>
      <c r="O15" s="60"/>
      <c r="P15" s="63"/>
      <c r="Q15" s="1"/>
      <c r="R15" s="1"/>
      <c r="S15" s="1"/>
    </row>
    <row r="16" spans="1:19" s="5" customFormat="1" x14ac:dyDescent="0.3">
      <c r="A16" s="51"/>
      <c r="B16" s="51"/>
      <c r="C16" s="51"/>
      <c r="D16" s="51"/>
      <c r="E16" s="51"/>
      <c r="F16" s="122" t="s">
        <v>25</v>
      </c>
      <c r="G16" s="52">
        <f>SUM(G15:G15)</f>
        <v>0</v>
      </c>
      <c r="H16" s="53"/>
      <c r="I16" s="53"/>
      <c r="J16" s="51"/>
      <c r="K16" s="51"/>
      <c r="L16" s="51"/>
      <c r="M16" s="51"/>
      <c r="N16" s="51"/>
      <c r="O16" s="51"/>
      <c r="P16" s="51"/>
      <c r="Q16" s="2"/>
      <c r="R16" s="2"/>
      <c r="S16" s="2"/>
    </row>
    <row r="18" spans="1:19" ht="15.6" x14ac:dyDescent="0.3">
      <c r="A18" s="184" t="s">
        <v>76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2"/>
      <c r="R18" s="2"/>
      <c r="S18" s="2"/>
    </row>
    <row r="19" spans="1:19" ht="15" customHeight="1" x14ac:dyDescent="0.3">
      <c r="A19" s="201" t="s">
        <v>77</v>
      </c>
      <c r="B19" s="187" t="s">
        <v>50</v>
      </c>
      <c r="C19" s="187" t="s">
        <v>51</v>
      </c>
      <c r="D19" s="187" t="s">
        <v>65</v>
      </c>
      <c r="E19" s="187" t="s">
        <v>64</v>
      </c>
      <c r="F19" s="187" t="s">
        <v>66</v>
      </c>
      <c r="G19" s="198" t="s">
        <v>67</v>
      </c>
      <c r="H19" s="198"/>
      <c r="I19" s="198"/>
      <c r="J19" s="187" t="s">
        <v>71</v>
      </c>
      <c r="K19" s="187" t="s">
        <v>72</v>
      </c>
      <c r="L19" s="187" t="s">
        <v>73</v>
      </c>
      <c r="M19" s="187"/>
      <c r="N19" s="195" t="s">
        <v>107</v>
      </c>
      <c r="O19" s="187" t="s">
        <v>100</v>
      </c>
      <c r="P19" s="187" t="s">
        <v>101</v>
      </c>
      <c r="Q19" s="2"/>
      <c r="R19" s="2"/>
      <c r="S19" s="2"/>
    </row>
    <row r="20" spans="1:19" ht="51.75" customHeight="1" thickBot="1" x14ac:dyDescent="0.35">
      <c r="A20" s="202"/>
      <c r="B20" s="188"/>
      <c r="C20" s="188"/>
      <c r="D20" s="188"/>
      <c r="E20" s="188"/>
      <c r="F20" s="188"/>
      <c r="G20" s="56" t="s">
        <v>69</v>
      </c>
      <c r="H20" s="57" t="s">
        <v>68</v>
      </c>
      <c r="I20" s="57" t="s">
        <v>70</v>
      </c>
      <c r="J20" s="188"/>
      <c r="K20" s="188"/>
      <c r="L20" s="58" t="s">
        <v>74</v>
      </c>
      <c r="M20" s="58" t="s">
        <v>75</v>
      </c>
      <c r="N20" s="190"/>
      <c r="O20" s="188"/>
      <c r="P20" s="188"/>
      <c r="Q20" s="2"/>
      <c r="R20" s="2"/>
      <c r="S20" s="2"/>
    </row>
    <row r="21" spans="1:19" ht="15" thickBot="1" x14ac:dyDescent="0.35">
      <c r="A21" s="59"/>
      <c r="B21" s="107">
        <v>2.1</v>
      </c>
      <c r="C21" s="96" t="s">
        <v>183</v>
      </c>
      <c r="D21" s="60" t="s">
        <v>48</v>
      </c>
      <c r="E21" s="60"/>
      <c r="F21" s="60"/>
      <c r="G21" s="95">
        <f>3000000/3.6</f>
        <v>833333.33333333326</v>
      </c>
      <c r="H21" s="48">
        <v>1</v>
      </c>
      <c r="I21" s="62"/>
      <c r="J21" s="60" t="s">
        <v>182</v>
      </c>
      <c r="K21" s="60" t="s">
        <v>48</v>
      </c>
      <c r="L21" s="126">
        <v>42767</v>
      </c>
      <c r="M21" s="126">
        <f>L21+61</f>
        <v>42828</v>
      </c>
      <c r="N21" s="60" t="s">
        <v>234</v>
      </c>
      <c r="O21" s="60"/>
      <c r="P21" s="63" t="s">
        <v>1</v>
      </c>
      <c r="Q21" s="2"/>
      <c r="R21" s="2"/>
      <c r="S21" s="2"/>
    </row>
    <row r="22" spans="1:19" ht="15" thickBot="1" x14ac:dyDescent="0.35">
      <c r="A22" s="59"/>
      <c r="B22" s="107">
        <v>2.2000000000000002</v>
      </c>
      <c r="C22" s="96" t="s">
        <v>187</v>
      </c>
      <c r="D22" s="7" t="s">
        <v>60</v>
      </c>
      <c r="E22" s="7"/>
      <c r="F22" s="7"/>
      <c r="G22" s="95">
        <f>350000/3.6</f>
        <v>97222.222222222219</v>
      </c>
      <c r="H22" s="48">
        <v>1</v>
      </c>
      <c r="I22" s="48"/>
      <c r="J22" s="60" t="s">
        <v>184</v>
      </c>
      <c r="K22" s="7" t="s">
        <v>46</v>
      </c>
      <c r="L22" s="126">
        <v>42767</v>
      </c>
      <c r="M22" s="126">
        <f>L22+61</f>
        <v>42828</v>
      </c>
      <c r="N22" s="7"/>
      <c r="O22" s="7"/>
      <c r="P22" s="63" t="s">
        <v>1</v>
      </c>
      <c r="Q22" s="2"/>
      <c r="R22" s="2"/>
      <c r="S22" s="2"/>
    </row>
    <row r="23" spans="1:19" ht="15" thickBot="1" x14ac:dyDescent="0.35">
      <c r="A23" s="59"/>
      <c r="B23" s="107">
        <v>2.2999999999999998</v>
      </c>
      <c r="C23" s="96" t="s">
        <v>188</v>
      </c>
      <c r="D23" s="7" t="s">
        <v>60</v>
      </c>
      <c r="E23" s="7"/>
      <c r="F23" s="7"/>
      <c r="G23" s="95">
        <f>1880000/3.6</f>
        <v>522222.22222222219</v>
      </c>
      <c r="H23" s="48">
        <v>1</v>
      </c>
      <c r="I23" s="48"/>
      <c r="J23" s="60" t="s">
        <v>184</v>
      </c>
      <c r="K23" s="7" t="s">
        <v>46</v>
      </c>
      <c r="L23" s="126">
        <v>42767</v>
      </c>
      <c r="M23" s="126">
        <f>L23+121</f>
        <v>42888</v>
      </c>
      <c r="N23" s="7"/>
      <c r="O23" s="7"/>
      <c r="P23" s="63" t="s">
        <v>1</v>
      </c>
      <c r="Q23" s="2"/>
      <c r="R23" s="2"/>
      <c r="S23" s="2"/>
    </row>
    <row r="24" spans="1:19" s="5" customFormat="1" ht="40.5" customHeight="1" x14ac:dyDescent="0.3">
      <c r="A24" s="59"/>
      <c r="B24" s="107">
        <v>2.4</v>
      </c>
      <c r="C24" s="96" t="s">
        <v>198</v>
      </c>
      <c r="D24" s="7" t="s">
        <v>60</v>
      </c>
      <c r="E24" s="7"/>
      <c r="F24" s="7"/>
      <c r="G24" s="95">
        <f>2842106.4/3.6</f>
        <v>789474</v>
      </c>
      <c r="H24" s="48">
        <v>1</v>
      </c>
      <c r="I24" s="48"/>
      <c r="J24" s="7" t="s">
        <v>35</v>
      </c>
      <c r="K24" s="7" t="s">
        <v>46</v>
      </c>
      <c r="L24" s="126">
        <v>42767</v>
      </c>
      <c r="M24" s="126">
        <f>L24+61</f>
        <v>42828</v>
      </c>
      <c r="N24" s="7"/>
      <c r="O24" s="7"/>
      <c r="P24" s="63" t="s">
        <v>1</v>
      </c>
      <c r="Q24" s="2"/>
      <c r="R24" s="2"/>
      <c r="S24" s="2"/>
    </row>
    <row r="25" spans="1:19" s="5" customFormat="1" x14ac:dyDescent="0.3">
      <c r="A25" s="51"/>
      <c r="B25" s="51"/>
      <c r="C25" s="51"/>
      <c r="D25" s="51"/>
      <c r="E25" s="51"/>
      <c r="F25" s="122" t="s">
        <v>25</v>
      </c>
      <c r="G25" s="123">
        <f>SUM(G21:G24)</f>
        <v>2242251.777777778</v>
      </c>
      <c r="H25" s="53"/>
      <c r="I25" s="53"/>
      <c r="J25" s="51"/>
      <c r="K25" s="51"/>
      <c r="L25" s="51"/>
      <c r="M25" s="51"/>
      <c r="N25" s="51"/>
      <c r="O25" s="51"/>
      <c r="P25" s="51"/>
      <c r="Q25" s="2"/>
      <c r="R25" s="2"/>
      <c r="S25" s="2"/>
    </row>
    <row r="27" spans="1:19" ht="15.75" customHeight="1" x14ac:dyDescent="0.3">
      <c r="A27" s="184" t="s">
        <v>78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3"/>
      <c r="R27" s="3"/>
      <c r="S27" s="3"/>
    </row>
    <row r="28" spans="1:19" ht="15" customHeight="1" x14ac:dyDescent="0.3">
      <c r="A28" s="201" t="s">
        <v>77</v>
      </c>
      <c r="B28" s="187" t="s">
        <v>50</v>
      </c>
      <c r="C28" s="187" t="s">
        <v>51</v>
      </c>
      <c r="D28" s="187" t="s">
        <v>65</v>
      </c>
      <c r="E28" s="187" t="s">
        <v>64</v>
      </c>
      <c r="F28" s="187" t="s">
        <v>66</v>
      </c>
      <c r="G28" s="198" t="s">
        <v>67</v>
      </c>
      <c r="H28" s="198"/>
      <c r="I28" s="198"/>
      <c r="J28" s="187" t="s">
        <v>71</v>
      </c>
      <c r="K28" s="187" t="s">
        <v>72</v>
      </c>
      <c r="L28" s="187" t="s">
        <v>73</v>
      </c>
      <c r="M28" s="187"/>
      <c r="N28" s="195" t="s">
        <v>107</v>
      </c>
      <c r="O28" s="187" t="s">
        <v>100</v>
      </c>
      <c r="P28" s="187" t="s">
        <v>101</v>
      </c>
      <c r="Q28" s="3"/>
      <c r="R28" s="3"/>
      <c r="S28" s="3"/>
    </row>
    <row r="29" spans="1:19" ht="36.75" customHeight="1" thickBot="1" x14ac:dyDescent="0.35">
      <c r="A29" s="202"/>
      <c r="B29" s="188"/>
      <c r="C29" s="188"/>
      <c r="D29" s="188"/>
      <c r="E29" s="188"/>
      <c r="F29" s="188"/>
      <c r="G29" s="56" t="s">
        <v>69</v>
      </c>
      <c r="H29" s="57" t="s">
        <v>68</v>
      </c>
      <c r="I29" s="57" t="s">
        <v>70</v>
      </c>
      <c r="J29" s="188"/>
      <c r="K29" s="188"/>
      <c r="L29" s="58" t="s">
        <v>114</v>
      </c>
      <c r="M29" s="58" t="s">
        <v>75</v>
      </c>
      <c r="N29" s="190"/>
      <c r="O29" s="188"/>
      <c r="P29" s="188"/>
      <c r="Q29" s="3"/>
      <c r="R29" s="3"/>
      <c r="S29" s="3"/>
    </row>
    <row r="30" spans="1:19" ht="27.6" x14ac:dyDescent="0.3">
      <c r="A30" s="139"/>
      <c r="B30" s="113">
        <v>3.1</v>
      </c>
      <c r="C30" s="96" t="s">
        <v>190</v>
      </c>
      <c r="D30" s="7" t="s">
        <v>60</v>
      </c>
      <c r="E30" s="7"/>
      <c r="F30" s="7"/>
      <c r="G30" s="95">
        <f>1000000/3.6</f>
        <v>277777.77777777775</v>
      </c>
      <c r="H30" s="48">
        <v>1</v>
      </c>
      <c r="I30" s="141"/>
      <c r="J30" s="140" t="s">
        <v>184</v>
      </c>
      <c r="K30" s="140" t="s">
        <v>46</v>
      </c>
      <c r="L30" s="142">
        <v>42795</v>
      </c>
      <c r="M30" s="142">
        <f>L30+31</f>
        <v>42826</v>
      </c>
      <c r="N30" s="140"/>
      <c r="O30" s="140"/>
      <c r="P30" s="143" t="s">
        <v>1</v>
      </c>
      <c r="Q30" s="3"/>
      <c r="R30" s="3"/>
      <c r="S30" s="3"/>
    </row>
    <row r="31" spans="1:19" s="107" customFormat="1" ht="41.4" x14ac:dyDescent="0.3">
      <c r="A31" s="7"/>
      <c r="B31" s="107">
        <v>3.2</v>
      </c>
      <c r="C31" s="96" t="s">
        <v>231</v>
      </c>
      <c r="D31" s="7" t="s">
        <v>60</v>
      </c>
      <c r="E31" s="7"/>
      <c r="F31" s="7"/>
      <c r="G31" s="95">
        <f>12000/3.6</f>
        <v>3333.333333333333</v>
      </c>
      <c r="H31" s="48">
        <v>1</v>
      </c>
      <c r="I31" s="48"/>
      <c r="J31" s="7" t="s">
        <v>232</v>
      </c>
      <c r="K31" s="7"/>
      <c r="L31" s="126"/>
      <c r="M31" s="126"/>
      <c r="N31" s="7"/>
      <c r="O31" s="7"/>
      <c r="P31" s="7"/>
    </row>
    <row r="32" spans="1:19" s="5" customFormat="1" x14ac:dyDescent="0.3">
      <c r="A32" s="51"/>
      <c r="B32" s="51"/>
      <c r="C32" s="51"/>
      <c r="D32" s="51"/>
      <c r="E32" s="51"/>
      <c r="F32" s="122" t="s">
        <v>25</v>
      </c>
      <c r="G32" s="124">
        <f>SUM(G30:G31)</f>
        <v>281111.11111111107</v>
      </c>
      <c r="H32" s="53"/>
      <c r="I32" s="53"/>
      <c r="J32" s="51"/>
      <c r="K32" s="51"/>
      <c r="L32" s="51"/>
      <c r="M32" s="51"/>
      <c r="N32" s="51"/>
      <c r="O32" s="51"/>
      <c r="P32" s="51"/>
    </row>
    <row r="34" spans="1:16" s="107" customFormat="1" ht="15.75" customHeight="1" x14ac:dyDescent="0.3">
      <c r="A34" s="186" t="s">
        <v>79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</row>
    <row r="35" spans="1:16" s="107" customFormat="1" ht="15" customHeight="1" x14ac:dyDescent="0.3">
      <c r="A35" s="187" t="s">
        <v>77</v>
      </c>
      <c r="B35" s="187" t="s">
        <v>50</v>
      </c>
      <c r="C35" s="187" t="s">
        <v>51</v>
      </c>
      <c r="D35" s="187" t="s">
        <v>65</v>
      </c>
      <c r="E35" s="186"/>
      <c r="F35" s="186"/>
      <c r="G35" s="198" t="s">
        <v>67</v>
      </c>
      <c r="H35" s="198"/>
      <c r="I35" s="198"/>
      <c r="J35" s="187" t="s">
        <v>71</v>
      </c>
      <c r="K35" s="187" t="s">
        <v>72</v>
      </c>
      <c r="L35" s="187" t="s">
        <v>73</v>
      </c>
      <c r="M35" s="187"/>
      <c r="N35" s="187" t="s">
        <v>107</v>
      </c>
      <c r="O35" s="187" t="s">
        <v>100</v>
      </c>
      <c r="P35" s="187" t="s">
        <v>101</v>
      </c>
    </row>
    <row r="36" spans="1:16" s="107" customFormat="1" ht="36" customHeight="1" x14ac:dyDescent="0.3">
      <c r="A36" s="187"/>
      <c r="B36" s="187"/>
      <c r="C36" s="187"/>
      <c r="D36" s="187"/>
      <c r="E36" s="187" t="s">
        <v>80</v>
      </c>
      <c r="F36" s="187"/>
      <c r="G36" s="93" t="s">
        <v>69</v>
      </c>
      <c r="H36" s="108" t="s">
        <v>68</v>
      </c>
      <c r="I36" s="94" t="s">
        <v>70</v>
      </c>
      <c r="J36" s="187"/>
      <c r="K36" s="187"/>
      <c r="L36" s="93" t="s">
        <v>115</v>
      </c>
      <c r="M36" s="93" t="s">
        <v>75</v>
      </c>
      <c r="N36" s="187"/>
      <c r="O36" s="187"/>
      <c r="P36" s="187"/>
    </row>
    <row r="37" spans="1:16" ht="27.6" x14ac:dyDescent="0.3">
      <c r="B37" s="107">
        <v>4.0999999999999996</v>
      </c>
      <c r="C37" s="96" t="s">
        <v>220</v>
      </c>
      <c r="D37" s="7" t="s">
        <v>96</v>
      </c>
      <c r="E37" s="107"/>
      <c r="F37" s="107"/>
      <c r="G37" s="130">
        <f>40000/3.6</f>
        <v>11111.111111111111</v>
      </c>
      <c r="H37" s="48">
        <v>1</v>
      </c>
      <c r="I37" s="131"/>
      <c r="J37" s="48" t="s">
        <v>134</v>
      </c>
      <c r="K37" s="7" t="s">
        <v>46</v>
      </c>
      <c r="L37" s="133">
        <v>42767</v>
      </c>
      <c r="M37" s="133">
        <f>L37+31</f>
        <v>42798</v>
      </c>
      <c r="N37" s="107"/>
      <c r="O37" s="107"/>
      <c r="P37" s="107"/>
    </row>
    <row r="38" spans="1:16" s="107" customFormat="1" ht="27.6" x14ac:dyDescent="0.3">
      <c r="B38" s="107">
        <v>4.2</v>
      </c>
      <c r="C38" s="96" t="s">
        <v>221</v>
      </c>
      <c r="D38" s="7" t="s">
        <v>96</v>
      </c>
      <c r="E38" s="128"/>
      <c r="F38" s="128"/>
      <c r="G38" s="47">
        <f>300000/3.6</f>
        <v>83333.333333333328</v>
      </c>
      <c r="H38" s="48">
        <v>1</v>
      </c>
      <c r="I38" s="129"/>
      <c r="J38" s="48" t="s">
        <v>134</v>
      </c>
      <c r="K38" s="7" t="s">
        <v>46</v>
      </c>
      <c r="L38" s="132">
        <v>42826</v>
      </c>
      <c r="M38" s="133">
        <f t="shared" ref="M38:M40" si="0">L38+31</f>
        <v>42857</v>
      </c>
      <c r="N38" s="7"/>
      <c r="O38" s="7"/>
      <c r="P38" s="128"/>
    </row>
    <row r="39" spans="1:16" s="107" customFormat="1" ht="27.6" x14ac:dyDescent="0.3">
      <c r="B39" s="107">
        <v>4.3</v>
      </c>
      <c r="C39" s="96" t="s">
        <v>222</v>
      </c>
      <c r="D39" s="7" t="s">
        <v>96</v>
      </c>
      <c r="E39" s="7"/>
      <c r="F39" s="7"/>
      <c r="G39" s="47">
        <f>80000/3.6</f>
        <v>22222.222222222223</v>
      </c>
      <c r="H39" s="48">
        <v>1</v>
      </c>
      <c r="I39" s="48"/>
      <c r="J39" s="48" t="s">
        <v>134</v>
      </c>
      <c r="K39" s="7" t="s">
        <v>46</v>
      </c>
      <c r="L39" s="126">
        <v>42826</v>
      </c>
      <c r="M39" s="133">
        <f t="shared" si="0"/>
        <v>42857</v>
      </c>
      <c r="N39" s="7"/>
      <c r="O39" s="7"/>
      <c r="P39" s="7"/>
    </row>
    <row r="40" spans="1:16" s="107" customFormat="1" ht="27.6" x14ac:dyDescent="0.3">
      <c r="B40" s="107">
        <v>4.4000000000000004</v>
      </c>
      <c r="C40" s="96" t="s">
        <v>223</v>
      </c>
      <c r="D40" s="7" t="s">
        <v>96</v>
      </c>
      <c r="E40" s="7"/>
      <c r="F40" s="7"/>
      <c r="G40" s="47">
        <f>80000/3.6</f>
        <v>22222.222222222223</v>
      </c>
      <c r="H40" s="48">
        <v>1</v>
      </c>
      <c r="I40" s="48"/>
      <c r="J40" s="48" t="s">
        <v>134</v>
      </c>
      <c r="K40" s="7" t="s">
        <v>46</v>
      </c>
      <c r="L40" s="126">
        <v>42979</v>
      </c>
      <c r="M40" s="133">
        <f t="shared" si="0"/>
        <v>43010</v>
      </c>
      <c r="N40" s="7"/>
      <c r="O40" s="7"/>
      <c r="P40" s="7"/>
    </row>
    <row r="41" spans="1:16" s="107" customFormat="1" ht="27.6" x14ac:dyDescent="0.3">
      <c r="B41" s="107">
        <v>4.5</v>
      </c>
      <c r="C41" s="96" t="s">
        <v>128</v>
      </c>
      <c r="D41" s="7" t="s">
        <v>96</v>
      </c>
      <c r="E41" s="7"/>
      <c r="F41" s="7"/>
      <c r="G41" s="95">
        <f>70000/3.6</f>
        <v>19444.444444444445</v>
      </c>
      <c r="H41" s="48">
        <v>1</v>
      </c>
      <c r="I41" s="48"/>
      <c r="J41" s="48" t="s">
        <v>134</v>
      </c>
      <c r="K41" s="7" t="s">
        <v>46</v>
      </c>
      <c r="L41" s="126">
        <v>42917</v>
      </c>
      <c r="M41" s="126">
        <f>L41+91</f>
        <v>43008</v>
      </c>
      <c r="N41" s="7"/>
      <c r="O41" s="7"/>
      <c r="P41" s="7" t="s">
        <v>1</v>
      </c>
    </row>
    <row r="42" spans="1:16" s="107" customFormat="1" ht="55.2" x14ac:dyDescent="0.3">
      <c r="B42" s="107">
        <v>4.5999999999999996</v>
      </c>
      <c r="C42" s="96" t="s">
        <v>129</v>
      </c>
      <c r="D42" s="7" t="s">
        <v>96</v>
      </c>
      <c r="E42" s="7"/>
      <c r="F42" s="7"/>
      <c r="G42" s="95">
        <f>50000/3.6</f>
        <v>13888.888888888889</v>
      </c>
      <c r="H42" s="48">
        <v>1</v>
      </c>
      <c r="I42" s="48"/>
      <c r="J42" s="48" t="s">
        <v>134</v>
      </c>
      <c r="K42" s="7" t="s">
        <v>46</v>
      </c>
      <c r="L42" s="126">
        <v>43101</v>
      </c>
      <c r="M42" s="126">
        <f>L42+91</f>
        <v>43192</v>
      </c>
      <c r="N42" s="7"/>
      <c r="O42" s="7"/>
      <c r="P42" s="7" t="s">
        <v>1</v>
      </c>
    </row>
    <row r="43" spans="1:16" s="107" customFormat="1" ht="81" x14ac:dyDescent="0.3">
      <c r="B43" s="107">
        <v>4.7</v>
      </c>
      <c r="C43" s="96" t="s">
        <v>142</v>
      </c>
      <c r="D43" s="7" t="s">
        <v>96</v>
      </c>
      <c r="E43" s="7"/>
      <c r="F43" s="7"/>
      <c r="G43" s="95">
        <f>230000/3.6</f>
        <v>63888.888888888891</v>
      </c>
      <c r="H43" s="48">
        <v>1</v>
      </c>
      <c r="I43" s="48"/>
      <c r="J43" s="48" t="s">
        <v>134</v>
      </c>
      <c r="K43" s="7" t="s">
        <v>46</v>
      </c>
      <c r="L43" s="126">
        <v>42917</v>
      </c>
      <c r="M43" s="126">
        <f>L43+181</f>
        <v>43098</v>
      </c>
      <c r="N43" s="7"/>
      <c r="O43" s="7"/>
      <c r="P43" s="7" t="s">
        <v>1</v>
      </c>
    </row>
    <row r="44" spans="1:16" s="107" customFormat="1" ht="41.4" x14ac:dyDescent="0.3">
      <c r="B44" s="107">
        <v>4.8</v>
      </c>
      <c r="C44" s="96" t="s">
        <v>130</v>
      </c>
      <c r="D44" s="7" t="s">
        <v>96</v>
      </c>
      <c r="E44" s="7"/>
      <c r="F44" s="7"/>
      <c r="G44" s="95">
        <f>500000/3.6</f>
        <v>138888.88888888888</v>
      </c>
      <c r="H44" s="48">
        <v>1</v>
      </c>
      <c r="I44" s="48"/>
      <c r="J44" s="48" t="s">
        <v>134</v>
      </c>
      <c r="K44" s="7" t="s">
        <v>46</v>
      </c>
      <c r="L44" s="126">
        <v>42917</v>
      </c>
      <c r="M44" s="126">
        <f>L44+181</f>
        <v>43098</v>
      </c>
      <c r="N44" s="7"/>
      <c r="O44" s="7"/>
      <c r="P44" s="7" t="s">
        <v>1</v>
      </c>
    </row>
    <row r="45" spans="1:16" s="107" customFormat="1" ht="41.4" x14ac:dyDescent="0.3">
      <c r="B45" s="107">
        <v>4.9000000000000004</v>
      </c>
      <c r="C45" s="96" t="s">
        <v>131</v>
      </c>
      <c r="D45" s="7" t="s">
        <v>96</v>
      </c>
      <c r="E45" s="7"/>
      <c r="F45" s="7"/>
      <c r="G45" s="95">
        <f>18000/3.6</f>
        <v>5000</v>
      </c>
      <c r="H45" s="48">
        <v>1</v>
      </c>
      <c r="I45" s="48"/>
      <c r="J45" s="48" t="s">
        <v>134</v>
      </c>
      <c r="K45" s="7" t="s">
        <v>46</v>
      </c>
      <c r="L45" s="126">
        <v>42917</v>
      </c>
      <c r="M45" s="126">
        <f>L45+91</f>
        <v>43008</v>
      </c>
      <c r="N45" s="7"/>
      <c r="O45" s="7"/>
      <c r="P45" s="7" t="s">
        <v>1</v>
      </c>
    </row>
    <row r="46" spans="1:16" s="107" customFormat="1" ht="27.6" x14ac:dyDescent="0.3">
      <c r="B46" s="120">
        <v>4.0999999999999996</v>
      </c>
      <c r="C46" s="96" t="s">
        <v>135</v>
      </c>
      <c r="D46" s="7" t="s">
        <v>96</v>
      </c>
      <c r="E46" s="7"/>
      <c r="F46" s="97"/>
      <c r="G46" s="95">
        <f>10000/3.6</f>
        <v>2777.7777777777778</v>
      </c>
      <c r="H46" s="48">
        <v>1</v>
      </c>
      <c r="I46" s="48"/>
      <c r="J46" s="48" t="s">
        <v>134</v>
      </c>
      <c r="K46" s="7" t="s">
        <v>46</v>
      </c>
      <c r="L46" s="126">
        <v>42767</v>
      </c>
      <c r="M46" s="126">
        <f>L46+181</f>
        <v>42948</v>
      </c>
      <c r="N46" s="7"/>
      <c r="O46" s="7"/>
      <c r="P46" s="7" t="s">
        <v>1</v>
      </c>
    </row>
    <row r="47" spans="1:16" s="107" customFormat="1" ht="27.6" x14ac:dyDescent="0.3">
      <c r="B47" s="120">
        <v>4.1100000000000003</v>
      </c>
      <c r="C47" s="96" t="s">
        <v>224</v>
      </c>
      <c r="D47" s="7" t="s">
        <v>96</v>
      </c>
      <c r="E47" s="7"/>
      <c r="F47" s="97"/>
      <c r="G47" s="95">
        <f>8000/3.6</f>
        <v>2222.2222222222222</v>
      </c>
      <c r="H47" s="48">
        <v>1</v>
      </c>
      <c r="I47" s="48"/>
      <c r="J47" s="48" t="s">
        <v>134</v>
      </c>
      <c r="K47" s="7" t="s">
        <v>46</v>
      </c>
      <c r="L47" s="126">
        <v>42917</v>
      </c>
      <c r="M47" s="126">
        <f>L47+181</f>
        <v>43098</v>
      </c>
      <c r="N47" s="7"/>
      <c r="O47" s="7"/>
      <c r="P47" s="7"/>
    </row>
    <row r="48" spans="1:16" s="107" customFormat="1" ht="27.6" x14ac:dyDescent="0.3">
      <c r="B48" s="120">
        <v>4.12</v>
      </c>
      <c r="C48" s="96" t="s">
        <v>225</v>
      </c>
      <c r="D48" s="7" t="s">
        <v>96</v>
      </c>
      <c r="E48" s="7"/>
      <c r="F48" s="97"/>
      <c r="G48" s="95">
        <f>20000/3.6</f>
        <v>5555.5555555555557</v>
      </c>
      <c r="H48" s="48">
        <v>1</v>
      </c>
      <c r="I48" s="48"/>
      <c r="J48" s="48" t="s">
        <v>134</v>
      </c>
      <c r="K48" s="7" t="s">
        <v>46</v>
      </c>
      <c r="L48" s="126">
        <v>43132</v>
      </c>
      <c r="M48" s="126">
        <f>L48+181</f>
        <v>43313</v>
      </c>
      <c r="N48" s="7"/>
      <c r="O48" s="7"/>
      <c r="P48" s="7"/>
    </row>
    <row r="49" spans="1:16" s="107" customFormat="1" ht="27.6" x14ac:dyDescent="0.3">
      <c r="B49" s="120">
        <v>4.13</v>
      </c>
      <c r="C49" s="96" t="s">
        <v>138</v>
      </c>
      <c r="D49" s="7" t="s">
        <v>96</v>
      </c>
      <c r="E49" s="7"/>
      <c r="F49" s="97"/>
      <c r="G49" s="95">
        <f>150000/3.6</f>
        <v>41666.666666666664</v>
      </c>
      <c r="H49" s="48">
        <v>1</v>
      </c>
      <c r="I49" s="48"/>
      <c r="J49" s="48" t="s">
        <v>134</v>
      </c>
      <c r="K49" s="7" t="s">
        <v>46</v>
      </c>
      <c r="L49" s="126">
        <v>42767</v>
      </c>
      <c r="M49" s="126">
        <f t="shared" ref="M49:M55" si="1">L49+181</f>
        <v>42948</v>
      </c>
      <c r="N49" s="7"/>
      <c r="O49" s="7"/>
      <c r="P49" s="7" t="s">
        <v>1</v>
      </c>
    </row>
    <row r="50" spans="1:16" s="107" customFormat="1" ht="27.6" x14ac:dyDescent="0.3">
      <c r="B50" s="120">
        <v>4.1399999999999997</v>
      </c>
      <c r="C50" s="96" t="s">
        <v>139</v>
      </c>
      <c r="D50" s="7" t="s">
        <v>96</v>
      </c>
      <c r="E50" s="7"/>
      <c r="F50" s="97"/>
      <c r="G50" s="95">
        <f>150000/3.6</f>
        <v>41666.666666666664</v>
      </c>
      <c r="H50" s="48">
        <v>1</v>
      </c>
      <c r="I50" s="48"/>
      <c r="J50" s="48" t="s">
        <v>134</v>
      </c>
      <c r="K50" s="7" t="s">
        <v>46</v>
      </c>
      <c r="L50" s="126">
        <v>42795</v>
      </c>
      <c r="M50" s="126">
        <f t="shared" si="1"/>
        <v>42976</v>
      </c>
      <c r="N50" s="7"/>
      <c r="O50" s="7"/>
      <c r="P50" s="7" t="s">
        <v>1</v>
      </c>
    </row>
    <row r="51" spans="1:16" s="107" customFormat="1" ht="27.6" x14ac:dyDescent="0.3">
      <c r="B51" s="120">
        <v>4.1500000000000004</v>
      </c>
      <c r="C51" s="96" t="s">
        <v>140</v>
      </c>
      <c r="D51" s="7" t="s">
        <v>96</v>
      </c>
      <c r="E51" s="7"/>
      <c r="F51" s="97"/>
      <c r="G51" s="95">
        <f>60000/3.6</f>
        <v>16666.666666666668</v>
      </c>
      <c r="H51" s="48">
        <v>1</v>
      </c>
      <c r="I51" s="48"/>
      <c r="J51" s="48" t="s">
        <v>134</v>
      </c>
      <c r="K51" s="7" t="s">
        <v>46</v>
      </c>
      <c r="L51" s="126">
        <v>42767</v>
      </c>
      <c r="M51" s="126">
        <f t="shared" si="1"/>
        <v>42948</v>
      </c>
      <c r="N51" s="7"/>
      <c r="O51" s="7"/>
      <c r="P51" s="7" t="s">
        <v>1</v>
      </c>
    </row>
    <row r="52" spans="1:16" s="107" customFormat="1" ht="27.6" x14ac:dyDescent="0.3">
      <c r="B52" s="120">
        <v>4.16</v>
      </c>
      <c r="C52" s="96" t="s">
        <v>141</v>
      </c>
      <c r="D52" s="7" t="s">
        <v>96</v>
      </c>
      <c r="E52" s="7"/>
      <c r="F52" s="97"/>
      <c r="G52" s="95">
        <f>60000/3.6</f>
        <v>16666.666666666668</v>
      </c>
      <c r="H52" s="48">
        <v>1</v>
      </c>
      <c r="I52" s="48"/>
      <c r="J52" s="48" t="s">
        <v>134</v>
      </c>
      <c r="K52" s="7" t="s">
        <v>46</v>
      </c>
      <c r="L52" s="126">
        <v>42826</v>
      </c>
      <c r="M52" s="126">
        <f t="shared" si="1"/>
        <v>43007</v>
      </c>
      <c r="N52" s="7"/>
      <c r="O52" s="7"/>
      <c r="P52" s="7" t="s">
        <v>1</v>
      </c>
    </row>
    <row r="53" spans="1:16" s="107" customFormat="1" ht="27.6" x14ac:dyDescent="0.3">
      <c r="B53" s="120">
        <v>4.17</v>
      </c>
      <c r="C53" s="96" t="s">
        <v>143</v>
      </c>
      <c r="D53" s="7" t="s">
        <v>96</v>
      </c>
      <c r="E53" s="7"/>
      <c r="F53" s="7"/>
      <c r="G53" s="95">
        <f>80000/3.6</f>
        <v>22222.222222222223</v>
      </c>
      <c r="H53" s="48">
        <v>1</v>
      </c>
      <c r="I53" s="48"/>
      <c r="J53" s="48" t="s">
        <v>134</v>
      </c>
      <c r="K53" s="7" t="s">
        <v>46</v>
      </c>
      <c r="L53" s="126">
        <v>43040</v>
      </c>
      <c r="M53" s="126">
        <f t="shared" si="1"/>
        <v>43221</v>
      </c>
      <c r="N53" s="7"/>
      <c r="O53" s="7"/>
      <c r="P53" s="7" t="s">
        <v>1</v>
      </c>
    </row>
    <row r="54" spans="1:16" s="107" customFormat="1" ht="27.6" x14ac:dyDescent="0.3">
      <c r="B54" s="120">
        <v>4.1800000000000104</v>
      </c>
      <c r="C54" s="96" t="s">
        <v>144</v>
      </c>
      <c r="D54" s="7" t="s">
        <v>96</v>
      </c>
      <c r="E54" s="7"/>
      <c r="F54" s="97"/>
      <c r="G54" s="95">
        <f>150000/3.6</f>
        <v>41666.666666666664</v>
      </c>
      <c r="H54" s="48">
        <v>1</v>
      </c>
      <c r="I54" s="48"/>
      <c r="J54" s="48" t="s">
        <v>134</v>
      </c>
      <c r="K54" s="7" t="s">
        <v>46</v>
      </c>
      <c r="L54" s="126">
        <v>42795</v>
      </c>
      <c r="M54" s="126">
        <f t="shared" si="1"/>
        <v>42976</v>
      </c>
      <c r="N54" s="7"/>
      <c r="O54" s="7"/>
      <c r="P54" s="7" t="s">
        <v>1</v>
      </c>
    </row>
    <row r="55" spans="1:16" s="107" customFormat="1" ht="27.6" x14ac:dyDescent="0.3">
      <c r="B55" s="120">
        <v>4.1900000000000102</v>
      </c>
      <c r="C55" s="96" t="s">
        <v>145</v>
      </c>
      <c r="D55" s="7" t="s">
        <v>96</v>
      </c>
      <c r="E55" s="7"/>
      <c r="F55" s="97"/>
      <c r="G55" s="95">
        <f>150000/3.6</f>
        <v>41666.666666666664</v>
      </c>
      <c r="H55" s="48">
        <v>1</v>
      </c>
      <c r="I55" s="48"/>
      <c r="J55" s="48" t="s">
        <v>134</v>
      </c>
      <c r="K55" s="7" t="s">
        <v>46</v>
      </c>
      <c r="L55" s="126">
        <v>42767</v>
      </c>
      <c r="M55" s="126">
        <f t="shared" si="1"/>
        <v>42948</v>
      </c>
      <c r="N55" s="7"/>
      <c r="O55" s="7"/>
      <c r="P55" s="7" t="s">
        <v>1</v>
      </c>
    </row>
    <row r="56" spans="1:16" s="107" customFormat="1" ht="27.6" x14ac:dyDescent="0.3">
      <c r="B56" s="120">
        <v>4.2000000000000099</v>
      </c>
      <c r="C56" s="96" t="s">
        <v>146</v>
      </c>
      <c r="D56" s="7" t="s">
        <v>96</v>
      </c>
      <c r="E56" s="7"/>
      <c r="F56" s="97"/>
      <c r="G56" s="95">
        <f>60000/3.6</f>
        <v>16666.666666666668</v>
      </c>
      <c r="H56" s="48">
        <v>1</v>
      </c>
      <c r="I56" s="48"/>
      <c r="J56" s="48" t="s">
        <v>134</v>
      </c>
      <c r="K56" s="7" t="s">
        <v>46</v>
      </c>
      <c r="L56" s="126">
        <v>42795</v>
      </c>
      <c r="M56" s="126">
        <f>L56+91</f>
        <v>42886</v>
      </c>
      <c r="N56" s="7"/>
      <c r="O56" s="7"/>
      <c r="P56" s="7" t="s">
        <v>1</v>
      </c>
    </row>
    <row r="57" spans="1:16" s="107" customFormat="1" ht="27.6" x14ac:dyDescent="0.3">
      <c r="B57" s="120">
        <v>4.2100000000000097</v>
      </c>
      <c r="C57" s="96" t="s">
        <v>147</v>
      </c>
      <c r="D57" s="7" t="s">
        <v>96</v>
      </c>
      <c r="E57" s="7"/>
      <c r="F57" s="97"/>
      <c r="G57" s="95">
        <f>60000/3.6</f>
        <v>16666.666666666668</v>
      </c>
      <c r="H57" s="48">
        <v>1</v>
      </c>
      <c r="I57" s="48"/>
      <c r="J57" s="48" t="s">
        <v>134</v>
      </c>
      <c r="K57" s="7" t="s">
        <v>46</v>
      </c>
      <c r="L57" s="126">
        <v>42826</v>
      </c>
      <c r="M57" s="126">
        <f>L57+91</f>
        <v>42917</v>
      </c>
      <c r="N57" s="7"/>
      <c r="O57" s="7"/>
      <c r="P57" s="7" t="s">
        <v>1</v>
      </c>
    </row>
    <row r="58" spans="1:16" s="107" customFormat="1" ht="27.6" x14ac:dyDescent="0.3">
      <c r="B58" s="120">
        <v>4.2200000000000104</v>
      </c>
      <c r="C58" s="96" t="s">
        <v>148</v>
      </c>
      <c r="D58" s="7" t="s">
        <v>96</v>
      </c>
      <c r="E58" s="7"/>
      <c r="F58" s="7"/>
      <c r="G58" s="95">
        <f>80000/3.6</f>
        <v>22222.222222222223</v>
      </c>
      <c r="H58" s="48">
        <v>1</v>
      </c>
      <c r="I58" s="48"/>
      <c r="J58" s="48" t="s">
        <v>134</v>
      </c>
      <c r="K58" s="7" t="s">
        <v>46</v>
      </c>
      <c r="L58" s="126">
        <v>43040</v>
      </c>
      <c r="M58" s="126">
        <f t="shared" ref="M58:M60" si="2">L58+181</f>
        <v>43221</v>
      </c>
      <c r="N58" s="7"/>
      <c r="O58" s="7"/>
      <c r="P58" s="7" t="s">
        <v>1</v>
      </c>
    </row>
    <row r="59" spans="1:16" s="107" customFormat="1" ht="27.6" x14ac:dyDescent="0.3">
      <c r="B59" s="120">
        <v>4.2300000000000102</v>
      </c>
      <c r="C59" s="96" t="s">
        <v>149</v>
      </c>
      <c r="D59" s="7" t="s">
        <v>96</v>
      </c>
      <c r="E59" s="7"/>
      <c r="F59" s="7"/>
      <c r="G59" s="95">
        <f>650000/3.6</f>
        <v>180555.55555555556</v>
      </c>
      <c r="H59" s="48">
        <v>1</v>
      </c>
      <c r="I59" s="48"/>
      <c r="J59" s="48" t="s">
        <v>134</v>
      </c>
      <c r="K59" s="7" t="s">
        <v>46</v>
      </c>
      <c r="L59" s="126">
        <v>42767</v>
      </c>
      <c r="M59" s="126">
        <f t="shared" si="2"/>
        <v>42948</v>
      </c>
      <c r="N59" s="7"/>
      <c r="O59" s="7"/>
      <c r="P59" s="7" t="s">
        <v>1</v>
      </c>
    </row>
    <row r="60" spans="1:16" s="107" customFormat="1" ht="27.6" x14ac:dyDescent="0.3">
      <c r="B60" s="120">
        <v>4.24000000000001</v>
      </c>
      <c r="C60" s="96" t="s">
        <v>150</v>
      </c>
      <c r="D60" s="7" t="s">
        <v>96</v>
      </c>
      <c r="E60" s="7"/>
      <c r="F60" s="7"/>
      <c r="G60" s="95">
        <f>650000/3.6</f>
        <v>180555.55555555556</v>
      </c>
      <c r="H60" s="48">
        <v>1</v>
      </c>
      <c r="I60" s="48"/>
      <c r="J60" s="48" t="s">
        <v>134</v>
      </c>
      <c r="K60" s="7" t="s">
        <v>46</v>
      </c>
      <c r="L60" s="126">
        <v>42767</v>
      </c>
      <c r="M60" s="126">
        <f t="shared" si="2"/>
        <v>42948</v>
      </c>
      <c r="N60" s="7"/>
      <c r="O60" s="7"/>
      <c r="P60" s="7" t="s">
        <v>1</v>
      </c>
    </row>
    <row r="61" spans="1:16" s="107" customFormat="1" ht="27.6" x14ac:dyDescent="0.3">
      <c r="B61" s="120">
        <v>4.2500000000000098</v>
      </c>
      <c r="C61" s="96" t="s">
        <v>151</v>
      </c>
      <c r="D61" s="7" t="s">
        <v>96</v>
      </c>
      <c r="E61" s="7"/>
      <c r="F61" s="7"/>
      <c r="G61" s="95">
        <f>15000/3.6</f>
        <v>4166.666666666667</v>
      </c>
      <c r="H61" s="48">
        <v>1</v>
      </c>
      <c r="I61" s="48"/>
      <c r="J61" s="48" t="s">
        <v>134</v>
      </c>
      <c r="K61" s="7" t="s">
        <v>46</v>
      </c>
      <c r="L61" s="126">
        <v>43009</v>
      </c>
      <c r="M61" s="126">
        <f>L61+91</f>
        <v>43100</v>
      </c>
      <c r="N61" s="7"/>
      <c r="O61" s="7"/>
      <c r="P61" s="7" t="s">
        <v>1</v>
      </c>
    </row>
    <row r="62" spans="1:16" s="107" customFormat="1" ht="27.6" x14ac:dyDescent="0.3">
      <c r="B62" s="120">
        <v>4.2600000000000096</v>
      </c>
      <c r="C62" s="96" t="s">
        <v>152</v>
      </c>
      <c r="D62" s="7" t="s">
        <v>96</v>
      </c>
      <c r="E62" s="7"/>
      <c r="F62" s="7"/>
      <c r="G62" s="95">
        <f>30000/3.6</f>
        <v>8333.3333333333339</v>
      </c>
      <c r="H62" s="48">
        <v>1</v>
      </c>
      <c r="I62" s="48"/>
      <c r="J62" s="48" t="s">
        <v>134</v>
      </c>
      <c r="K62" s="7" t="s">
        <v>46</v>
      </c>
      <c r="L62" s="126">
        <v>43160</v>
      </c>
      <c r="M62" s="126">
        <f t="shared" ref="M62:M64" si="3">L62+91</f>
        <v>43251</v>
      </c>
      <c r="N62" s="7"/>
      <c r="O62" s="7"/>
      <c r="P62" s="7" t="s">
        <v>1</v>
      </c>
    </row>
    <row r="63" spans="1:16" s="107" customFormat="1" ht="27.6" x14ac:dyDescent="0.3">
      <c r="B63" s="120">
        <v>4.2700000000000102</v>
      </c>
      <c r="C63" s="96" t="s">
        <v>153</v>
      </c>
      <c r="D63" s="7" t="s">
        <v>96</v>
      </c>
      <c r="E63" s="7"/>
      <c r="F63" s="7"/>
      <c r="G63" s="95">
        <f t="shared" ref="G63:G64" si="4">30000/3.6</f>
        <v>8333.3333333333339</v>
      </c>
      <c r="H63" s="48">
        <v>1</v>
      </c>
      <c r="I63" s="48"/>
      <c r="J63" s="48" t="s">
        <v>134</v>
      </c>
      <c r="K63" s="7" t="s">
        <v>46</v>
      </c>
      <c r="L63" s="126">
        <v>43160</v>
      </c>
      <c r="M63" s="126">
        <f t="shared" si="3"/>
        <v>43251</v>
      </c>
      <c r="N63" s="7"/>
      <c r="O63" s="7"/>
      <c r="P63" s="7" t="s">
        <v>1</v>
      </c>
    </row>
    <row r="64" spans="1:16" s="107" customFormat="1" ht="27.6" x14ac:dyDescent="0.3">
      <c r="A64" s="7"/>
      <c r="B64" s="120">
        <v>4.28000000000001</v>
      </c>
      <c r="C64" s="96" t="s">
        <v>154</v>
      </c>
      <c r="D64" s="7" t="s">
        <v>96</v>
      </c>
      <c r="E64" s="7"/>
      <c r="G64" s="95">
        <f t="shared" si="4"/>
        <v>8333.3333333333339</v>
      </c>
      <c r="H64" s="48">
        <v>1</v>
      </c>
      <c r="I64" s="48"/>
      <c r="J64" s="48" t="s">
        <v>134</v>
      </c>
      <c r="K64" s="7" t="s">
        <v>46</v>
      </c>
      <c r="L64" s="126">
        <v>43160</v>
      </c>
      <c r="M64" s="126">
        <f t="shared" si="3"/>
        <v>43251</v>
      </c>
      <c r="N64" s="7"/>
      <c r="O64" s="7"/>
      <c r="P64" s="7" t="s">
        <v>1</v>
      </c>
    </row>
    <row r="65" spans="1:16" s="107" customFormat="1" ht="27.6" x14ac:dyDescent="0.3">
      <c r="A65" s="7"/>
      <c r="B65" s="120">
        <v>4.2900000000000098</v>
      </c>
      <c r="C65" s="96" t="s">
        <v>155</v>
      </c>
      <c r="D65" s="7" t="s">
        <v>96</v>
      </c>
      <c r="E65" s="7"/>
      <c r="F65" s="110"/>
      <c r="G65" s="95">
        <f>250000/3.6</f>
        <v>69444.444444444438</v>
      </c>
      <c r="H65" s="48">
        <v>1</v>
      </c>
      <c r="I65" s="48"/>
      <c r="J65" s="48" t="s">
        <v>134</v>
      </c>
      <c r="K65" s="7" t="s">
        <v>46</v>
      </c>
      <c r="L65" s="126">
        <v>42948</v>
      </c>
      <c r="M65" s="126">
        <f>L65+181</f>
        <v>43129</v>
      </c>
      <c r="N65" s="7"/>
      <c r="O65" s="7"/>
      <c r="P65" s="7" t="s">
        <v>1</v>
      </c>
    </row>
    <row r="66" spans="1:16" s="107" customFormat="1" ht="27.6" x14ac:dyDescent="0.3">
      <c r="A66" s="7"/>
      <c r="B66" s="120">
        <v>4.3000000000000096</v>
      </c>
      <c r="C66" s="96" t="s">
        <v>156</v>
      </c>
      <c r="D66" s="7" t="s">
        <v>96</v>
      </c>
      <c r="E66" s="7"/>
      <c r="F66" s="110"/>
      <c r="G66" s="95">
        <f>150000/3.6</f>
        <v>41666.666666666664</v>
      </c>
      <c r="H66" s="48">
        <v>1</v>
      </c>
      <c r="I66" s="48"/>
      <c r="J66" s="48" t="s">
        <v>134</v>
      </c>
      <c r="K66" s="7" t="s">
        <v>46</v>
      </c>
      <c r="L66" s="126">
        <v>42767</v>
      </c>
      <c r="M66" s="126">
        <f t="shared" ref="M66:M67" si="5">L66+181</f>
        <v>42948</v>
      </c>
      <c r="N66" s="7"/>
      <c r="O66" s="7"/>
      <c r="P66" s="7" t="s">
        <v>1</v>
      </c>
    </row>
    <row r="67" spans="1:16" s="107" customFormat="1" ht="27.6" x14ac:dyDescent="0.3">
      <c r="A67" s="7"/>
      <c r="B67" s="120">
        <v>4.3100000000000103</v>
      </c>
      <c r="C67" s="96" t="s">
        <v>157</v>
      </c>
      <c r="D67" s="7" t="s">
        <v>96</v>
      </c>
      <c r="E67" s="7"/>
      <c r="F67" s="110"/>
      <c r="G67" s="95">
        <f>50000/3.6</f>
        <v>13888.888888888889</v>
      </c>
      <c r="H67" s="48">
        <v>1</v>
      </c>
      <c r="I67" s="48"/>
      <c r="J67" s="48" t="s">
        <v>134</v>
      </c>
      <c r="K67" s="7" t="s">
        <v>46</v>
      </c>
      <c r="L67" s="126">
        <v>42767</v>
      </c>
      <c r="M67" s="126">
        <f t="shared" si="5"/>
        <v>42948</v>
      </c>
      <c r="N67" s="7"/>
      <c r="O67" s="7"/>
      <c r="P67" s="7" t="s">
        <v>1</v>
      </c>
    </row>
    <row r="68" spans="1:16" s="107" customFormat="1" ht="27.6" x14ac:dyDescent="0.3">
      <c r="A68" s="7"/>
      <c r="B68" s="120">
        <v>4.3200000000000101</v>
      </c>
      <c r="C68" s="96" t="s">
        <v>226</v>
      </c>
      <c r="D68" s="7" t="s">
        <v>96</v>
      </c>
      <c r="E68" s="7"/>
      <c r="F68" s="110"/>
      <c r="G68" s="95">
        <f>180000/3.6</f>
        <v>50000</v>
      </c>
      <c r="H68" s="48">
        <v>1</v>
      </c>
      <c r="I68" s="48"/>
      <c r="J68" s="48" t="s">
        <v>134</v>
      </c>
      <c r="K68" s="7" t="s">
        <v>46</v>
      </c>
      <c r="L68" s="126">
        <v>43101</v>
      </c>
      <c r="M68" s="126">
        <f>L68+91</f>
        <v>43192</v>
      </c>
      <c r="N68" s="7"/>
      <c r="O68" s="7"/>
      <c r="P68" s="7"/>
    </row>
    <row r="69" spans="1:16" s="107" customFormat="1" ht="27.6" x14ac:dyDescent="0.3">
      <c r="A69" s="7"/>
      <c r="B69" s="120">
        <v>4.3300000000000196</v>
      </c>
      <c r="C69" s="96" t="s">
        <v>158</v>
      </c>
      <c r="D69" s="7" t="s">
        <v>96</v>
      </c>
      <c r="E69" s="7"/>
      <c r="F69" s="7"/>
      <c r="G69" s="95">
        <f>80000/3.6</f>
        <v>22222.222222222223</v>
      </c>
      <c r="H69" s="48">
        <v>1</v>
      </c>
      <c r="I69" s="48"/>
      <c r="J69" s="48" t="s">
        <v>134</v>
      </c>
      <c r="K69" s="7" t="s">
        <v>46</v>
      </c>
      <c r="L69" s="126">
        <v>42856</v>
      </c>
      <c r="M69" s="126">
        <f t="shared" ref="M69:M71" si="6">L69+91</f>
        <v>42947</v>
      </c>
      <c r="N69" s="7"/>
      <c r="O69" s="7"/>
      <c r="P69" s="7" t="s">
        <v>1</v>
      </c>
    </row>
    <row r="70" spans="1:16" s="107" customFormat="1" ht="27.6" x14ac:dyDescent="0.3">
      <c r="A70" s="7"/>
      <c r="B70" s="120">
        <v>4.3400000000000203</v>
      </c>
      <c r="C70" s="96" t="s">
        <v>159</v>
      </c>
      <c r="D70" s="7" t="s">
        <v>96</v>
      </c>
      <c r="E70" s="7"/>
      <c r="F70" s="7"/>
      <c r="G70" s="95">
        <f>80000/3.6</f>
        <v>22222.222222222223</v>
      </c>
      <c r="H70" s="48">
        <v>1</v>
      </c>
      <c r="I70" s="48"/>
      <c r="J70" s="48" t="s">
        <v>134</v>
      </c>
      <c r="K70" s="7" t="s">
        <v>46</v>
      </c>
      <c r="L70" s="126">
        <v>42856</v>
      </c>
      <c r="M70" s="126">
        <f t="shared" si="6"/>
        <v>42947</v>
      </c>
      <c r="N70" s="7"/>
      <c r="O70" s="7"/>
      <c r="P70" s="7" t="s">
        <v>1</v>
      </c>
    </row>
    <row r="71" spans="1:16" s="107" customFormat="1" ht="27.6" x14ac:dyDescent="0.3">
      <c r="A71" s="7"/>
      <c r="B71" s="120">
        <v>4.3500000000000201</v>
      </c>
      <c r="C71" s="96" t="s">
        <v>160</v>
      </c>
      <c r="D71" s="7" t="s">
        <v>96</v>
      </c>
      <c r="E71" s="7"/>
      <c r="F71" s="7"/>
      <c r="G71" s="95">
        <f>30000/3.6</f>
        <v>8333.3333333333339</v>
      </c>
      <c r="H71" s="48">
        <v>1</v>
      </c>
      <c r="I71" s="48"/>
      <c r="J71" s="48" t="s">
        <v>134</v>
      </c>
      <c r="K71" s="7" t="s">
        <v>46</v>
      </c>
      <c r="L71" s="126">
        <v>43101</v>
      </c>
      <c r="M71" s="126">
        <f t="shared" si="6"/>
        <v>43192</v>
      </c>
      <c r="N71" s="7"/>
      <c r="O71" s="7"/>
      <c r="P71" s="7" t="s">
        <v>1</v>
      </c>
    </row>
    <row r="72" spans="1:16" s="107" customFormat="1" ht="27.6" x14ac:dyDescent="0.3">
      <c r="A72" s="7"/>
      <c r="B72" s="120">
        <v>4.3600000000000199</v>
      </c>
      <c r="C72" s="96" t="s">
        <v>164</v>
      </c>
      <c r="D72" s="7" t="s">
        <v>96</v>
      </c>
      <c r="E72" s="7"/>
      <c r="F72" s="7"/>
      <c r="G72" s="95">
        <f>80000/3.6</f>
        <v>22222.222222222223</v>
      </c>
      <c r="H72" s="48">
        <v>1</v>
      </c>
      <c r="I72" s="48"/>
      <c r="J72" s="48" t="s">
        <v>134</v>
      </c>
      <c r="K72" s="7" t="s">
        <v>46</v>
      </c>
      <c r="L72" s="126">
        <v>42856</v>
      </c>
      <c r="M72" s="126">
        <f>L72+181</f>
        <v>43037</v>
      </c>
      <c r="N72" s="7"/>
      <c r="O72" s="7"/>
      <c r="P72" s="7" t="s">
        <v>1</v>
      </c>
    </row>
    <row r="73" spans="1:16" s="107" customFormat="1" ht="27.6" x14ac:dyDescent="0.3">
      <c r="A73" s="7"/>
      <c r="B73" s="120">
        <v>4.3700000000000196</v>
      </c>
      <c r="C73" s="96" t="s">
        <v>165</v>
      </c>
      <c r="D73" s="7" t="s">
        <v>96</v>
      </c>
      <c r="E73" s="7"/>
      <c r="F73" s="7"/>
      <c r="G73" s="95">
        <f>80000/3.6</f>
        <v>22222.222222222223</v>
      </c>
      <c r="H73" s="48">
        <v>1</v>
      </c>
      <c r="I73" s="48"/>
      <c r="J73" s="48" t="s">
        <v>134</v>
      </c>
      <c r="K73" s="7" t="s">
        <v>46</v>
      </c>
      <c r="L73" s="126">
        <v>42856</v>
      </c>
      <c r="M73" s="126">
        <f>L73+181</f>
        <v>43037</v>
      </c>
      <c r="N73" s="7"/>
      <c r="O73" s="7"/>
      <c r="P73" s="7" t="s">
        <v>1</v>
      </c>
    </row>
    <row r="74" spans="1:16" s="107" customFormat="1" ht="27.6" x14ac:dyDescent="0.3">
      <c r="A74" s="7"/>
      <c r="B74" s="120">
        <v>4.3800000000000203</v>
      </c>
      <c r="C74" s="96" t="s">
        <v>166</v>
      </c>
      <c r="D74" s="7" t="s">
        <v>96</v>
      </c>
      <c r="E74" s="7"/>
      <c r="F74" s="7"/>
      <c r="G74" s="95">
        <f>30000/3.6</f>
        <v>8333.3333333333339</v>
      </c>
      <c r="H74" s="48">
        <v>1</v>
      </c>
      <c r="I74" s="48"/>
      <c r="J74" s="48" t="s">
        <v>134</v>
      </c>
      <c r="K74" s="7" t="s">
        <v>46</v>
      </c>
      <c r="L74" s="126">
        <v>43101</v>
      </c>
      <c r="M74" s="126">
        <f t="shared" ref="M74" si="7">L74+91</f>
        <v>43192</v>
      </c>
      <c r="N74" s="7"/>
      <c r="O74" s="7"/>
      <c r="P74" s="7" t="s">
        <v>1</v>
      </c>
    </row>
    <row r="75" spans="1:16" s="107" customFormat="1" ht="27.6" x14ac:dyDescent="0.3">
      <c r="A75" s="7"/>
      <c r="B75" s="120">
        <v>4.3900000000000201</v>
      </c>
      <c r="C75" s="96" t="s">
        <v>161</v>
      </c>
      <c r="D75" s="7" t="s">
        <v>96</v>
      </c>
      <c r="E75" s="7"/>
      <c r="F75" s="7"/>
      <c r="G75" s="95">
        <f>80000/3.6</f>
        <v>22222.222222222223</v>
      </c>
      <c r="H75" s="48">
        <v>1</v>
      </c>
      <c r="I75" s="48"/>
      <c r="J75" s="48" t="s">
        <v>134</v>
      </c>
      <c r="K75" s="7" t="s">
        <v>46</v>
      </c>
      <c r="L75" s="126">
        <v>42856</v>
      </c>
      <c r="M75" s="126">
        <f>L75+181</f>
        <v>43037</v>
      </c>
      <c r="N75" s="7"/>
      <c r="O75" s="7"/>
      <c r="P75" s="7" t="s">
        <v>1</v>
      </c>
    </row>
    <row r="76" spans="1:16" s="107" customFormat="1" ht="27.6" x14ac:dyDescent="0.3">
      <c r="A76" s="7"/>
      <c r="B76" s="120">
        <v>4.4000000000000199</v>
      </c>
      <c r="C76" s="96" t="s">
        <v>162</v>
      </c>
      <c r="D76" s="7" t="s">
        <v>96</v>
      </c>
      <c r="E76" s="7"/>
      <c r="F76" s="7"/>
      <c r="G76" s="95">
        <f>80000/3.6</f>
        <v>22222.222222222223</v>
      </c>
      <c r="H76" s="48">
        <v>1</v>
      </c>
      <c r="I76" s="48"/>
      <c r="J76" s="48" t="s">
        <v>134</v>
      </c>
      <c r="K76" s="7" t="s">
        <v>46</v>
      </c>
      <c r="L76" s="126">
        <v>42856</v>
      </c>
      <c r="M76" s="126">
        <f>L76+181</f>
        <v>43037</v>
      </c>
      <c r="N76" s="7"/>
      <c r="O76" s="7"/>
      <c r="P76" s="7" t="s">
        <v>1</v>
      </c>
    </row>
    <row r="77" spans="1:16" s="107" customFormat="1" ht="27.6" x14ac:dyDescent="0.3">
      <c r="A77" s="7"/>
      <c r="B77" s="120">
        <v>4.4100000000000197</v>
      </c>
      <c r="C77" s="96" t="s">
        <v>163</v>
      </c>
      <c r="D77" s="7" t="s">
        <v>96</v>
      </c>
      <c r="E77" s="7"/>
      <c r="F77" s="7"/>
      <c r="G77" s="95">
        <f>30000/3.6</f>
        <v>8333.3333333333339</v>
      </c>
      <c r="H77" s="48">
        <v>1</v>
      </c>
      <c r="I77" s="48"/>
      <c r="J77" s="48" t="s">
        <v>134</v>
      </c>
      <c r="K77" s="7" t="s">
        <v>46</v>
      </c>
      <c r="L77" s="126">
        <v>43101</v>
      </c>
      <c r="M77" s="126">
        <f t="shared" ref="M77" si="8">L77+91</f>
        <v>43192</v>
      </c>
      <c r="N77" s="7"/>
      <c r="O77" s="7"/>
      <c r="P77" s="7" t="s">
        <v>1</v>
      </c>
    </row>
    <row r="78" spans="1:16" s="107" customFormat="1" ht="27.6" x14ac:dyDescent="0.3">
      <c r="A78" s="7"/>
      <c r="B78" s="120">
        <v>4.4200000000000204</v>
      </c>
      <c r="C78" s="96" t="s">
        <v>167</v>
      </c>
      <c r="D78" s="7" t="s">
        <v>96</v>
      </c>
      <c r="E78" s="7"/>
      <c r="F78" s="7"/>
      <c r="G78" s="95">
        <f>80000/3.6</f>
        <v>22222.222222222223</v>
      </c>
      <c r="H78" s="48">
        <v>1</v>
      </c>
      <c r="I78" s="48"/>
      <c r="J78" s="48" t="s">
        <v>134</v>
      </c>
      <c r="K78" s="7" t="s">
        <v>46</v>
      </c>
      <c r="L78" s="126">
        <v>42856</v>
      </c>
      <c r="M78" s="126">
        <f>L78+181</f>
        <v>43037</v>
      </c>
      <c r="N78" s="7"/>
      <c r="O78" s="7"/>
      <c r="P78" s="7" t="s">
        <v>1</v>
      </c>
    </row>
    <row r="79" spans="1:16" s="107" customFormat="1" ht="27.6" x14ac:dyDescent="0.3">
      <c r="A79" s="7"/>
      <c r="B79" s="120">
        <v>4.4300000000000201</v>
      </c>
      <c r="C79" s="96" t="s">
        <v>168</v>
      </c>
      <c r="D79" s="7" t="s">
        <v>96</v>
      </c>
      <c r="E79" s="7"/>
      <c r="F79" s="7"/>
      <c r="G79" s="95">
        <f>80000/3.6</f>
        <v>22222.222222222223</v>
      </c>
      <c r="H79" s="48">
        <v>1</v>
      </c>
      <c r="I79" s="48"/>
      <c r="J79" s="48" t="s">
        <v>134</v>
      </c>
      <c r="K79" s="7" t="s">
        <v>46</v>
      </c>
      <c r="L79" s="126">
        <v>42856</v>
      </c>
      <c r="M79" s="126">
        <f>L79+181</f>
        <v>43037</v>
      </c>
      <c r="N79" s="7"/>
      <c r="O79" s="7"/>
      <c r="P79" s="7" t="s">
        <v>1</v>
      </c>
    </row>
    <row r="80" spans="1:16" s="107" customFormat="1" ht="27.6" x14ac:dyDescent="0.3">
      <c r="A80" s="7"/>
      <c r="B80" s="120">
        <v>4.4400000000000199</v>
      </c>
      <c r="C80" s="96" t="s">
        <v>169</v>
      </c>
      <c r="D80" s="7" t="s">
        <v>96</v>
      </c>
      <c r="E80" s="7"/>
      <c r="F80" s="7"/>
      <c r="G80" s="95">
        <f>30000/3.6</f>
        <v>8333.3333333333339</v>
      </c>
      <c r="H80" s="48">
        <v>1</v>
      </c>
      <c r="I80" s="48"/>
      <c r="J80" s="48" t="s">
        <v>134</v>
      </c>
      <c r="K80" s="7" t="s">
        <v>46</v>
      </c>
      <c r="L80" s="126">
        <v>43101</v>
      </c>
      <c r="M80" s="126">
        <f t="shared" ref="M80" si="9">L80+91</f>
        <v>43192</v>
      </c>
      <c r="N80" s="7"/>
      <c r="O80" s="7"/>
      <c r="P80" s="7" t="s">
        <v>1</v>
      </c>
    </row>
    <row r="81" spans="1:16" s="107" customFormat="1" ht="27.6" x14ac:dyDescent="0.3">
      <c r="A81" s="7"/>
      <c r="B81" s="120">
        <v>4.4500000000000197</v>
      </c>
      <c r="C81" s="96" t="s">
        <v>170</v>
      </c>
      <c r="D81" s="7" t="s">
        <v>96</v>
      </c>
      <c r="E81" s="7"/>
      <c r="F81" s="7"/>
      <c r="G81" s="95">
        <f>80000/3.6</f>
        <v>22222.222222222223</v>
      </c>
      <c r="H81" s="48">
        <v>1</v>
      </c>
      <c r="I81" s="48"/>
      <c r="J81" s="48" t="s">
        <v>134</v>
      </c>
      <c r="K81" s="7" t="s">
        <v>46</v>
      </c>
      <c r="L81" s="126">
        <v>43191</v>
      </c>
      <c r="M81" s="126">
        <f>L81+181</f>
        <v>43372</v>
      </c>
      <c r="N81" s="7"/>
      <c r="O81" s="7"/>
      <c r="P81" s="7" t="s">
        <v>1</v>
      </c>
    </row>
    <row r="82" spans="1:16" s="107" customFormat="1" ht="27.6" x14ac:dyDescent="0.3">
      <c r="A82" s="7"/>
      <c r="B82" s="120">
        <v>4.4600000000000204</v>
      </c>
      <c r="C82" s="96" t="s">
        <v>171</v>
      </c>
      <c r="D82" s="7" t="s">
        <v>96</v>
      </c>
      <c r="E82" s="7"/>
      <c r="F82" s="7"/>
      <c r="G82" s="95">
        <f>80000/3.6</f>
        <v>22222.222222222223</v>
      </c>
      <c r="H82" s="48">
        <v>1</v>
      </c>
      <c r="I82" s="48"/>
      <c r="J82" s="48" t="s">
        <v>134</v>
      </c>
      <c r="K82" s="7" t="s">
        <v>46</v>
      </c>
      <c r="L82" s="126">
        <v>43191</v>
      </c>
      <c r="M82" s="126">
        <f>L82+181</f>
        <v>43372</v>
      </c>
      <c r="N82" s="7"/>
      <c r="O82" s="7"/>
      <c r="P82" s="7" t="s">
        <v>1</v>
      </c>
    </row>
    <row r="83" spans="1:16" s="107" customFormat="1" ht="27.6" x14ac:dyDescent="0.3">
      <c r="A83" s="7"/>
      <c r="B83" s="120">
        <v>4.4700000000000202</v>
      </c>
      <c r="C83" s="96" t="s">
        <v>172</v>
      </c>
      <c r="D83" s="7" t="s">
        <v>96</v>
      </c>
      <c r="E83" s="7"/>
      <c r="F83" s="7"/>
      <c r="G83" s="95">
        <f>30000/3.6</f>
        <v>8333.3333333333339</v>
      </c>
      <c r="H83" s="48">
        <v>1</v>
      </c>
      <c r="I83" s="48"/>
      <c r="J83" s="48" t="s">
        <v>134</v>
      </c>
      <c r="K83" s="7" t="s">
        <v>46</v>
      </c>
      <c r="L83" s="126">
        <v>43374</v>
      </c>
      <c r="M83" s="126">
        <f t="shared" ref="M83" si="10">L83+91</f>
        <v>43465</v>
      </c>
      <c r="N83" s="7"/>
      <c r="O83" s="7"/>
      <c r="P83" s="7" t="s">
        <v>1</v>
      </c>
    </row>
    <row r="84" spans="1:16" s="107" customFormat="1" ht="27.6" x14ac:dyDescent="0.3">
      <c r="A84" s="7"/>
      <c r="B84" s="120">
        <v>4.4800000000000297</v>
      </c>
      <c r="C84" s="96" t="s">
        <v>173</v>
      </c>
      <c r="D84" s="7" t="s">
        <v>96</v>
      </c>
      <c r="E84" s="7"/>
      <c r="F84" s="7"/>
      <c r="G84" s="95">
        <f>80000/3.6</f>
        <v>22222.222222222223</v>
      </c>
      <c r="H84" s="48">
        <v>1</v>
      </c>
      <c r="I84" s="48"/>
      <c r="J84" s="48" t="s">
        <v>134</v>
      </c>
      <c r="K84" s="7" t="s">
        <v>46</v>
      </c>
      <c r="L84" s="126">
        <v>43191</v>
      </c>
      <c r="M84" s="126">
        <f>L84+181</f>
        <v>43372</v>
      </c>
      <c r="N84" s="7"/>
      <c r="O84" s="7"/>
      <c r="P84" s="7" t="s">
        <v>1</v>
      </c>
    </row>
    <row r="85" spans="1:16" s="107" customFormat="1" ht="27.6" x14ac:dyDescent="0.3">
      <c r="A85" s="7"/>
      <c r="B85" s="120">
        <v>4.4900000000000304</v>
      </c>
      <c r="C85" s="96" t="s">
        <v>174</v>
      </c>
      <c r="D85" s="7" t="s">
        <v>96</v>
      </c>
      <c r="E85" s="7"/>
      <c r="F85" s="7"/>
      <c r="G85" s="95">
        <f>80000/3.6</f>
        <v>22222.222222222223</v>
      </c>
      <c r="H85" s="48">
        <v>1</v>
      </c>
      <c r="I85" s="48"/>
      <c r="J85" s="48" t="s">
        <v>134</v>
      </c>
      <c r="K85" s="7" t="s">
        <v>46</v>
      </c>
      <c r="L85" s="126">
        <v>43191</v>
      </c>
      <c r="M85" s="126">
        <f>L85+181</f>
        <v>43372</v>
      </c>
      <c r="N85" s="7"/>
      <c r="O85" s="7"/>
      <c r="P85" s="7" t="s">
        <v>1</v>
      </c>
    </row>
    <row r="86" spans="1:16" s="107" customFormat="1" ht="27.6" x14ac:dyDescent="0.3">
      <c r="A86" s="7"/>
      <c r="B86" s="120">
        <v>4.5000000000000302</v>
      </c>
      <c r="C86" s="96" t="s">
        <v>175</v>
      </c>
      <c r="D86" s="7" t="s">
        <v>96</v>
      </c>
      <c r="E86" s="7"/>
      <c r="F86" s="7"/>
      <c r="G86" s="95">
        <f>30000/3.6</f>
        <v>8333.3333333333339</v>
      </c>
      <c r="H86" s="48">
        <v>1</v>
      </c>
      <c r="I86" s="48"/>
      <c r="J86" s="48" t="s">
        <v>134</v>
      </c>
      <c r="K86" s="7" t="s">
        <v>46</v>
      </c>
      <c r="L86" s="126">
        <v>43374</v>
      </c>
      <c r="M86" s="126">
        <f t="shared" ref="M86" si="11">L86+91</f>
        <v>43465</v>
      </c>
      <c r="N86" s="7"/>
      <c r="O86" s="7"/>
      <c r="P86" s="7" t="s">
        <v>1</v>
      </c>
    </row>
    <row r="87" spans="1:16" s="107" customFormat="1" ht="27.6" x14ac:dyDescent="0.3">
      <c r="A87" s="7"/>
      <c r="B87" s="120">
        <v>4.51000000000003</v>
      </c>
      <c r="C87" s="96" t="s">
        <v>176</v>
      </c>
      <c r="D87" s="7" t="s">
        <v>96</v>
      </c>
      <c r="E87" s="7"/>
      <c r="F87" s="7"/>
      <c r="G87" s="95">
        <f>80000/3.6</f>
        <v>22222.222222222223</v>
      </c>
      <c r="H87" s="48">
        <v>1</v>
      </c>
      <c r="I87" s="48"/>
      <c r="J87" s="48" t="s">
        <v>134</v>
      </c>
      <c r="K87" s="7" t="s">
        <v>46</v>
      </c>
      <c r="L87" s="126">
        <v>42887</v>
      </c>
      <c r="M87" s="126">
        <f>L87+181</f>
        <v>43068</v>
      </c>
      <c r="N87" s="7"/>
      <c r="O87" s="7"/>
      <c r="P87" s="7" t="s">
        <v>1</v>
      </c>
    </row>
    <row r="88" spans="1:16" s="107" customFormat="1" ht="27.6" x14ac:dyDescent="0.3">
      <c r="A88" s="7"/>
      <c r="B88" s="120">
        <v>4.5200000000000298</v>
      </c>
      <c r="C88" s="96" t="s">
        <v>177</v>
      </c>
      <c r="D88" s="7" t="s">
        <v>96</v>
      </c>
      <c r="E88" s="7"/>
      <c r="F88" s="7"/>
      <c r="G88" s="95">
        <f>80000/3.6</f>
        <v>22222.222222222223</v>
      </c>
      <c r="H88" s="48">
        <v>1</v>
      </c>
      <c r="I88" s="48"/>
      <c r="J88" s="48" t="s">
        <v>134</v>
      </c>
      <c r="K88" s="7" t="s">
        <v>46</v>
      </c>
      <c r="L88" s="126">
        <v>42887</v>
      </c>
      <c r="M88" s="126">
        <f>L88+181</f>
        <v>43068</v>
      </c>
      <c r="N88" s="7"/>
      <c r="O88" s="7"/>
      <c r="P88" s="7" t="s">
        <v>1</v>
      </c>
    </row>
    <row r="89" spans="1:16" s="107" customFormat="1" ht="27.6" x14ac:dyDescent="0.3">
      <c r="A89" s="7"/>
      <c r="B89" s="120">
        <v>4.5300000000000296</v>
      </c>
      <c r="C89" s="96" t="s">
        <v>178</v>
      </c>
      <c r="D89" s="7" t="s">
        <v>96</v>
      </c>
      <c r="E89" s="7"/>
      <c r="F89" s="7"/>
      <c r="G89" s="95">
        <f>30000/3.6</f>
        <v>8333.3333333333339</v>
      </c>
      <c r="H89" s="48">
        <v>1</v>
      </c>
      <c r="I89" s="48"/>
      <c r="J89" s="48" t="s">
        <v>134</v>
      </c>
      <c r="K89" s="7" t="s">
        <v>46</v>
      </c>
      <c r="L89" s="126">
        <v>43191</v>
      </c>
      <c r="M89" s="126">
        <f t="shared" ref="M89" si="12">L89+91</f>
        <v>43282</v>
      </c>
      <c r="N89" s="7"/>
      <c r="O89" s="7"/>
      <c r="P89" s="7" t="s">
        <v>1</v>
      </c>
    </row>
    <row r="90" spans="1:16" s="107" customFormat="1" ht="27.6" x14ac:dyDescent="0.3">
      <c r="A90" s="7"/>
      <c r="B90" s="120">
        <v>4.5400000000000302</v>
      </c>
      <c r="C90" s="96" t="s">
        <v>179</v>
      </c>
      <c r="D90" s="7" t="s">
        <v>96</v>
      </c>
      <c r="E90" s="7"/>
      <c r="F90" s="7"/>
      <c r="G90" s="95">
        <f>80000/3.6</f>
        <v>22222.222222222223</v>
      </c>
      <c r="H90" s="48">
        <v>1</v>
      </c>
      <c r="I90" s="48"/>
      <c r="J90" s="48" t="s">
        <v>134</v>
      </c>
      <c r="K90" s="7" t="s">
        <v>46</v>
      </c>
      <c r="L90" s="126">
        <v>42887</v>
      </c>
      <c r="M90" s="126">
        <f>L90+181</f>
        <v>43068</v>
      </c>
      <c r="N90" s="7"/>
      <c r="O90" s="7"/>
      <c r="P90" s="7" t="s">
        <v>1</v>
      </c>
    </row>
    <row r="91" spans="1:16" s="107" customFormat="1" ht="27.6" x14ac:dyDescent="0.3">
      <c r="A91" s="7"/>
      <c r="B91" s="120">
        <v>4.55000000000003</v>
      </c>
      <c r="C91" s="96" t="s">
        <v>180</v>
      </c>
      <c r="D91" s="7" t="s">
        <v>96</v>
      </c>
      <c r="E91" s="7"/>
      <c r="F91" s="7"/>
      <c r="G91" s="95">
        <f>80000/3.6</f>
        <v>22222.222222222223</v>
      </c>
      <c r="H91" s="48">
        <v>1</v>
      </c>
      <c r="I91" s="48"/>
      <c r="J91" s="48" t="s">
        <v>134</v>
      </c>
      <c r="K91" s="7" t="s">
        <v>46</v>
      </c>
      <c r="L91" s="126">
        <v>42887</v>
      </c>
      <c r="M91" s="126">
        <f>L91+181</f>
        <v>43068</v>
      </c>
      <c r="N91" s="7"/>
      <c r="O91" s="7"/>
      <c r="P91" s="7" t="s">
        <v>1</v>
      </c>
    </row>
    <row r="92" spans="1:16" s="107" customFormat="1" ht="27.6" x14ac:dyDescent="0.3">
      <c r="A92" s="7"/>
      <c r="B92" s="120">
        <v>4.5600000000000298</v>
      </c>
      <c r="C92" s="96" t="s">
        <v>181</v>
      </c>
      <c r="D92" s="7" t="s">
        <v>96</v>
      </c>
      <c r="E92" s="7"/>
      <c r="F92" s="7"/>
      <c r="G92" s="95">
        <f>30000/3.6</f>
        <v>8333.3333333333339</v>
      </c>
      <c r="H92" s="48">
        <v>1</v>
      </c>
      <c r="I92" s="48"/>
      <c r="J92" s="48" t="s">
        <v>134</v>
      </c>
      <c r="K92" s="7" t="s">
        <v>46</v>
      </c>
      <c r="L92" s="126">
        <v>43191</v>
      </c>
      <c r="M92" s="126">
        <f t="shared" ref="M92" si="13">L92+91</f>
        <v>43282</v>
      </c>
      <c r="N92" s="7"/>
      <c r="O92" s="7"/>
      <c r="P92" s="7" t="s">
        <v>1</v>
      </c>
    </row>
    <row r="93" spans="1:16" s="107" customFormat="1" ht="27.6" x14ac:dyDescent="0.3">
      <c r="A93" s="7"/>
      <c r="B93" s="120">
        <v>4.5700000000000296</v>
      </c>
      <c r="C93" s="96" t="s">
        <v>212</v>
      </c>
      <c r="D93" s="7" t="s">
        <v>96</v>
      </c>
      <c r="E93" s="7"/>
      <c r="F93" s="7"/>
      <c r="G93" s="95">
        <f>(680000)/3.6</f>
        <v>188888.88888888888</v>
      </c>
      <c r="H93" s="48">
        <v>1</v>
      </c>
      <c r="I93" s="48"/>
      <c r="J93" s="48" t="s">
        <v>182</v>
      </c>
      <c r="K93" s="7" t="s">
        <v>46</v>
      </c>
      <c r="L93" s="126">
        <v>42826</v>
      </c>
      <c r="M93" s="126">
        <f>L93+181</f>
        <v>43007</v>
      </c>
      <c r="N93" s="7"/>
      <c r="O93" s="7"/>
      <c r="P93" s="7" t="s">
        <v>1</v>
      </c>
    </row>
    <row r="94" spans="1:16" s="107" customFormat="1" ht="27.6" x14ac:dyDescent="0.3">
      <c r="A94" s="7"/>
      <c r="B94" s="120">
        <v>4.5800000000000303</v>
      </c>
      <c r="C94" s="96" t="s">
        <v>212</v>
      </c>
      <c r="D94" s="7" t="s">
        <v>96</v>
      </c>
      <c r="E94" s="7"/>
      <c r="F94" s="7"/>
      <c r="G94" s="95">
        <f t="shared" ref="G94:G99" si="14">(680000)/3.6</f>
        <v>188888.88888888888</v>
      </c>
      <c r="H94" s="48">
        <v>1</v>
      </c>
      <c r="I94" s="48"/>
      <c r="J94" s="48" t="s">
        <v>182</v>
      </c>
      <c r="K94" s="7" t="s">
        <v>46</v>
      </c>
      <c r="L94" s="126">
        <v>42826</v>
      </c>
      <c r="M94" s="126">
        <f t="shared" ref="M94:M104" si="15">L94+181</f>
        <v>43007</v>
      </c>
      <c r="N94" s="7"/>
      <c r="O94" s="7"/>
      <c r="P94" s="7" t="s">
        <v>1</v>
      </c>
    </row>
    <row r="95" spans="1:16" s="107" customFormat="1" ht="27.6" x14ac:dyDescent="0.3">
      <c r="A95" s="7"/>
      <c r="B95" s="120">
        <v>4.5900000000000301</v>
      </c>
      <c r="C95" s="96" t="s">
        <v>212</v>
      </c>
      <c r="D95" s="7" t="s">
        <v>96</v>
      </c>
      <c r="E95" s="7"/>
      <c r="F95" s="7"/>
      <c r="G95" s="95">
        <f t="shared" si="14"/>
        <v>188888.88888888888</v>
      </c>
      <c r="H95" s="48">
        <v>1</v>
      </c>
      <c r="I95" s="48"/>
      <c r="J95" s="48" t="s">
        <v>182</v>
      </c>
      <c r="K95" s="7" t="s">
        <v>46</v>
      </c>
      <c r="L95" s="126">
        <v>42826</v>
      </c>
      <c r="M95" s="126">
        <f t="shared" si="15"/>
        <v>43007</v>
      </c>
      <c r="N95" s="7"/>
      <c r="O95" s="7"/>
      <c r="P95" s="7" t="s">
        <v>1</v>
      </c>
    </row>
    <row r="96" spans="1:16" s="107" customFormat="1" ht="27.6" x14ac:dyDescent="0.3">
      <c r="A96" s="7"/>
      <c r="B96" s="120">
        <v>4.6000000000000298</v>
      </c>
      <c r="C96" s="96" t="s">
        <v>213</v>
      </c>
      <c r="D96" s="7" t="s">
        <v>96</v>
      </c>
      <c r="E96" s="7"/>
      <c r="F96" s="7"/>
      <c r="G96" s="95">
        <f t="shared" si="14"/>
        <v>188888.88888888888</v>
      </c>
      <c r="H96" s="48">
        <v>1</v>
      </c>
      <c r="I96" s="48"/>
      <c r="J96" s="48" t="s">
        <v>182</v>
      </c>
      <c r="K96" s="7" t="s">
        <v>46</v>
      </c>
      <c r="L96" s="126">
        <v>43009</v>
      </c>
      <c r="M96" s="126">
        <f t="shared" si="15"/>
        <v>43190</v>
      </c>
      <c r="N96" s="7"/>
      <c r="O96" s="7"/>
      <c r="P96" s="7" t="s">
        <v>1</v>
      </c>
    </row>
    <row r="97" spans="1:16" s="107" customFormat="1" ht="27.6" x14ac:dyDescent="0.3">
      <c r="A97" s="7"/>
      <c r="B97" s="120">
        <v>4.6100000000000296</v>
      </c>
      <c r="C97" s="96" t="s">
        <v>212</v>
      </c>
      <c r="D97" s="7" t="s">
        <v>96</v>
      </c>
      <c r="E97" s="7"/>
      <c r="F97" s="7"/>
      <c r="G97" s="95">
        <f t="shared" si="14"/>
        <v>188888.88888888888</v>
      </c>
      <c r="H97" s="48">
        <v>1</v>
      </c>
      <c r="I97" s="48"/>
      <c r="J97" s="48" t="s">
        <v>182</v>
      </c>
      <c r="K97" s="7" t="s">
        <v>46</v>
      </c>
      <c r="L97" s="126">
        <v>43009</v>
      </c>
      <c r="M97" s="126">
        <f t="shared" si="15"/>
        <v>43190</v>
      </c>
      <c r="N97" s="7"/>
      <c r="O97" s="7"/>
      <c r="P97" s="7" t="s">
        <v>1</v>
      </c>
    </row>
    <row r="98" spans="1:16" s="107" customFormat="1" ht="27.6" x14ac:dyDescent="0.3">
      <c r="A98" s="7"/>
      <c r="B98" s="120">
        <v>4.6200000000000303</v>
      </c>
      <c r="C98" s="96" t="s">
        <v>212</v>
      </c>
      <c r="D98" s="7" t="s">
        <v>96</v>
      </c>
      <c r="E98" s="7"/>
      <c r="F98" s="7"/>
      <c r="G98" s="95">
        <f t="shared" si="14"/>
        <v>188888.88888888888</v>
      </c>
      <c r="H98" s="48">
        <v>1</v>
      </c>
      <c r="I98" s="48"/>
      <c r="J98" s="48" t="s">
        <v>182</v>
      </c>
      <c r="K98" s="7" t="s">
        <v>46</v>
      </c>
      <c r="L98" s="126">
        <v>43009</v>
      </c>
      <c r="M98" s="126">
        <f t="shared" si="15"/>
        <v>43190</v>
      </c>
      <c r="N98" s="7"/>
      <c r="O98" s="7"/>
      <c r="P98" s="7" t="s">
        <v>1</v>
      </c>
    </row>
    <row r="99" spans="1:16" s="107" customFormat="1" ht="27.6" x14ac:dyDescent="0.3">
      <c r="A99" s="7"/>
      <c r="B99" s="120">
        <v>4.6300000000000399</v>
      </c>
      <c r="C99" s="96" t="s">
        <v>212</v>
      </c>
      <c r="D99" s="7" t="s">
        <v>96</v>
      </c>
      <c r="E99" s="7"/>
      <c r="F99" s="7"/>
      <c r="G99" s="95">
        <f t="shared" si="14"/>
        <v>188888.88888888888</v>
      </c>
      <c r="H99" s="48">
        <v>1</v>
      </c>
      <c r="I99" s="48"/>
      <c r="J99" s="48" t="s">
        <v>182</v>
      </c>
      <c r="K99" s="7" t="s">
        <v>46</v>
      </c>
      <c r="L99" s="126">
        <v>43040</v>
      </c>
      <c r="M99" s="126">
        <f t="shared" si="15"/>
        <v>43221</v>
      </c>
      <c r="N99" s="7"/>
      <c r="O99" s="7"/>
      <c r="P99" s="7" t="s">
        <v>1</v>
      </c>
    </row>
    <row r="100" spans="1:16" s="107" customFormat="1" ht="27.6" x14ac:dyDescent="0.3">
      <c r="A100" s="7"/>
      <c r="B100" s="120">
        <v>4.6400000000000396</v>
      </c>
      <c r="C100" s="96" t="s">
        <v>192</v>
      </c>
      <c r="D100" s="7" t="s">
        <v>96</v>
      </c>
      <c r="E100" s="7"/>
      <c r="F100" s="103"/>
      <c r="G100" s="95">
        <f>400000/3.6</f>
        <v>111111.11111111111</v>
      </c>
      <c r="H100" s="48">
        <v>1</v>
      </c>
      <c r="I100" s="48"/>
      <c r="J100" s="48" t="s">
        <v>132</v>
      </c>
      <c r="K100" s="7" t="s">
        <v>46</v>
      </c>
      <c r="L100" s="126">
        <v>42795</v>
      </c>
      <c r="M100" s="126">
        <f t="shared" si="15"/>
        <v>42976</v>
      </c>
      <c r="N100" s="7"/>
      <c r="O100" s="7"/>
      <c r="P100" s="7" t="s">
        <v>1</v>
      </c>
    </row>
    <row r="101" spans="1:16" s="107" customFormat="1" ht="27.6" x14ac:dyDescent="0.3">
      <c r="A101" s="7"/>
      <c r="B101" s="120">
        <v>4.6500000000000403</v>
      </c>
      <c r="C101" s="96" t="s">
        <v>193</v>
      </c>
      <c r="D101" s="7" t="s">
        <v>96</v>
      </c>
      <c r="E101" s="7"/>
      <c r="F101" s="103"/>
      <c r="G101" s="95">
        <f t="shared" ref="G101" si="16">400000/3.6</f>
        <v>111111.11111111111</v>
      </c>
      <c r="H101" s="48">
        <v>1</v>
      </c>
      <c r="I101" s="48"/>
      <c r="J101" s="48" t="s">
        <v>132</v>
      </c>
      <c r="K101" s="7" t="s">
        <v>46</v>
      </c>
      <c r="L101" s="126">
        <v>42795</v>
      </c>
      <c r="M101" s="126">
        <f t="shared" si="15"/>
        <v>42976</v>
      </c>
      <c r="N101" s="7"/>
      <c r="O101" s="7"/>
      <c r="P101" s="7" t="s">
        <v>1</v>
      </c>
    </row>
    <row r="102" spans="1:16" s="107" customFormat="1" ht="27.6" x14ac:dyDescent="0.3">
      <c r="A102" s="7"/>
      <c r="B102" s="120">
        <v>4.6600000000000401</v>
      </c>
      <c r="C102" s="96" t="s">
        <v>194</v>
      </c>
      <c r="D102" s="7" t="s">
        <v>94</v>
      </c>
      <c r="E102" s="7"/>
      <c r="F102" s="103"/>
      <c r="G102" s="95">
        <f>1800000/3.6</f>
        <v>500000</v>
      </c>
      <c r="H102" s="48">
        <v>1</v>
      </c>
      <c r="I102" s="48"/>
      <c r="J102" s="48" t="s">
        <v>132</v>
      </c>
      <c r="K102" s="7" t="s">
        <v>46</v>
      </c>
      <c r="L102" s="126">
        <v>42795</v>
      </c>
      <c r="M102" s="126">
        <f t="shared" si="15"/>
        <v>42976</v>
      </c>
      <c r="N102" s="7"/>
      <c r="O102" s="7"/>
      <c r="P102" s="7" t="s">
        <v>1</v>
      </c>
    </row>
    <row r="103" spans="1:16" s="107" customFormat="1" ht="55.2" x14ac:dyDescent="0.3">
      <c r="A103" s="7"/>
      <c r="B103" s="120">
        <v>4.6700000000000399</v>
      </c>
      <c r="C103" s="96" t="s">
        <v>195</v>
      </c>
      <c r="D103" s="7" t="s">
        <v>94</v>
      </c>
      <c r="E103" s="7"/>
      <c r="F103" s="103"/>
      <c r="G103" s="95">
        <f>19810000/3.6</f>
        <v>5502777.777777778</v>
      </c>
      <c r="H103" s="48">
        <v>1</v>
      </c>
      <c r="I103" s="48"/>
      <c r="J103" s="48" t="s">
        <v>132</v>
      </c>
      <c r="K103" s="7" t="s">
        <v>46</v>
      </c>
      <c r="L103" s="126">
        <v>42795</v>
      </c>
      <c r="M103" s="126">
        <f t="shared" si="15"/>
        <v>42976</v>
      </c>
      <c r="N103" s="7"/>
      <c r="O103" s="7"/>
      <c r="P103" s="7" t="s">
        <v>1</v>
      </c>
    </row>
    <row r="104" spans="1:16" s="107" customFormat="1" ht="27.6" x14ac:dyDescent="0.3">
      <c r="A104" s="7"/>
      <c r="B104" s="120">
        <v>4.6800000000000397</v>
      </c>
      <c r="C104" s="96" t="s">
        <v>196</v>
      </c>
      <c r="D104" s="7" t="s">
        <v>94</v>
      </c>
      <c r="E104" s="7"/>
      <c r="F104" s="7"/>
      <c r="G104" s="95">
        <f>1643684.4/3.6</f>
        <v>456578.99999999994</v>
      </c>
      <c r="H104" s="48">
        <v>1</v>
      </c>
      <c r="I104" s="48"/>
      <c r="J104" s="48" t="s">
        <v>133</v>
      </c>
      <c r="K104" s="7" t="s">
        <v>46</v>
      </c>
      <c r="L104" s="126">
        <v>42856</v>
      </c>
      <c r="M104" s="126">
        <f t="shared" si="15"/>
        <v>43037</v>
      </c>
      <c r="N104" s="7"/>
      <c r="O104" s="7"/>
      <c r="P104" s="7" t="s">
        <v>1</v>
      </c>
    </row>
    <row r="105" spans="1:16" s="107" customFormat="1" ht="41.4" x14ac:dyDescent="0.3">
      <c r="A105" s="7"/>
      <c r="B105" s="120">
        <v>4.6900000000000004</v>
      </c>
      <c r="C105" s="96" t="s">
        <v>228</v>
      </c>
      <c r="D105" s="7" t="s">
        <v>94</v>
      </c>
      <c r="E105" s="7"/>
      <c r="F105" s="7"/>
      <c r="G105" s="95">
        <f>120000/3.6</f>
        <v>33333.333333333336</v>
      </c>
      <c r="H105" s="48">
        <v>1</v>
      </c>
      <c r="I105" s="48"/>
      <c r="J105" s="48" t="s">
        <v>232</v>
      </c>
      <c r="K105" s="7" t="s">
        <v>47</v>
      </c>
      <c r="L105" s="126">
        <v>42767</v>
      </c>
      <c r="M105" s="126">
        <f>L105+91</f>
        <v>42858</v>
      </c>
      <c r="N105" s="7"/>
      <c r="O105" s="7"/>
      <c r="P105" s="7" t="s">
        <v>1</v>
      </c>
    </row>
    <row r="106" spans="1:16" s="107" customFormat="1" ht="42" customHeight="1" x14ac:dyDescent="0.3">
      <c r="A106" s="7"/>
      <c r="B106" s="120">
        <v>4.7</v>
      </c>
      <c r="C106" s="96" t="s">
        <v>229</v>
      </c>
      <c r="D106" s="7" t="s">
        <v>94</v>
      </c>
      <c r="E106" s="7"/>
      <c r="F106" s="7"/>
      <c r="G106" s="95">
        <f>120000/3.6</f>
        <v>33333.333333333336</v>
      </c>
      <c r="H106" s="48">
        <v>1</v>
      </c>
      <c r="I106" s="48"/>
      <c r="J106" s="48" t="s">
        <v>232</v>
      </c>
      <c r="K106" s="7" t="s">
        <v>47</v>
      </c>
      <c r="L106" s="126">
        <v>43132</v>
      </c>
      <c r="M106" s="126">
        <f>L106+91</f>
        <v>43223</v>
      </c>
      <c r="N106" s="7"/>
      <c r="O106" s="7"/>
      <c r="P106" s="7" t="s">
        <v>1</v>
      </c>
    </row>
    <row r="107" spans="1:16" x14ac:dyDescent="0.3">
      <c r="F107" s="122" t="s">
        <v>25</v>
      </c>
      <c r="G107" s="123">
        <f>SUM(G37:G106)</f>
        <v>9726301.2222222239</v>
      </c>
    </row>
    <row r="108" spans="1:16" s="5" customFormat="1" x14ac:dyDescent="0.3">
      <c r="F108" s="51"/>
      <c r="G108" s="51"/>
      <c r="H108" s="50"/>
      <c r="I108" s="50"/>
    </row>
    <row r="109" spans="1:16" s="107" customFormat="1" ht="15.75" customHeight="1" x14ac:dyDescent="0.3">
      <c r="A109" s="186" t="s">
        <v>83</v>
      </c>
      <c r="B109" s="186"/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</row>
    <row r="110" spans="1:16" s="107" customFormat="1" ht="15" customHeight="1" x14ac:dyDescent="0.3">
      <c r="A110" s="187" t="s">
        <v>77</v>
      </c>
      <c r="B110" s="187" t="s">
        <v>50</v>
      </c>
      <c r="C110" s="187" t="s">
        <v>51</v>
      </c>
      <c r="D110" s="187" t="s">
        <v>65</v>
      </c>
      <c r="E110" s="187" t="s">
        <v>66</v>
      </c>
      <c r="F110" s="115" t="s">
        <v>67</v>
      </c>
      <c r="G110" s="116"/>
      <c r="H110" s="117"/>
      <c r="I110" s="194" t="s">
        <v>82</v>
      </c>
      <c r="J110" s="188" t="s">
        <v>71</v>
      </c>
      <c r="K110" s="188" t="s">
        <v>72</v>
      </c>
      <c r="L110" s="195" t="s">
        <v>73</v>
      </c>
      <c r="M110" s="200"/>
      <c r="N110" s="188" t="s">
        <v>107</v>
      </c>
      <c r="O110" s="188" t="s">
        <v>100</v>
      </c>
      <c r="P110" s="188" t="s">
        <v>101</v>
      </c>
    </row>
    <row r="111" spans="1:16" s="107" customFormat="1" ht="41.4" x14ac:dyDescent="0.3">
      <c r="A111" s="187"/>
      <c r="B111" s="187"/>
      <c r="C111" s="187"/>
      <c r="D111" s="187"/>
      <c r="E111" s="187"/>
      <c r="F111" s="93" t="s">
        <v>69</v>
      </c>
      <c r="G111" s="108" t="s">
        <v>68</v>
      </c>
      <c r="H111" s="94" t="s">
        <v>70</v>
      </c>
      <c r="I111" s="199"/>
      <c r="J111" s="189"/>
      <c r="K111" s="189"/>
      <c r="L111" s="93" t="s">
        <v>81</v>
      </c>
      <c r="M111" s="93" t="s">
        <v>119</v>
      </c>
      <c r="N111" s="189"/>
      <c r="O111" s="189"/>
      <c r="P111" s="189"/>
    </row>
    <row r="112" spans="1:16" s="107" customFormat="1" ht="55.2" x14ac:dyDescent="0.3">
      <c r="A112" s="7"/>
      <c r="B112" s="107">
        <v>5.0999999999999996</v>
      </c>
      <c r="C112" s="96" t="s">
        <v>209</v>
      </c>
      <c r="D112" s="7" t="s">
        <v>99</v>
      </c>
      <c r="E112" s="7"/>
      <c r="F112" s="102">
        <f>180000/3.6</f>
        <v>50000</v>
      </c>
      <c r="G112" s="48">
        <v>1</v>
      </c>
      <c r="H112" s="48"/>
      <c r="I112" s="118">
        <v>1</v>
      </c>
      <c r="J112" s="7" t="s">
        <v>184</v>
      </c>
      <c r="K112" s="7" t="s">
        <v>46</v>
      </c>
      <c r="L112" s="126">
        <v>42795</v>
      </c>
      <c r="M112" s="126">
        <f>L112+31</f>
        <v>42826</v>
      </c>
      <c r="N112" s="7"/>
      <c r="O112" s="7"/>
      <c r="P112" s="7" t="s">
        <v>1</v>
      </c>
    </row>
    <row r="113" spans="1:24" s="107" customFormat="1" x14ac:dyDescent="0.3">
      <c r="A113" s="7"/>
      <c r="B113" s="107">
        <v>5.2</v>
      </c>
      <c r="C113" s="96" t="s">
        <v>189</v>
      </c>
      <c r="D113" s="7" t="s">
        <v>99</v>
      </c>
      <c r="E113" s="7"/>
      <c r="F113" s="102">
        <f>150000/3.6</f>
        <v>41666.666666666664</v>
      </c>
      <c r="G113" s="48">
        <v>1</v>
      </c>
      <c r="H113" s="48"/>
      <c r="I113" s="118">
        <v>1</v>
      </c>
      <c r="J113" s="7" t="s">
        <v>184</v>
      </c>
      <c r="K113" s="7" t="s">
        <v>46</v>
      </c>
      <c r="L113" s="126">
        <v>42856</v>
      </c>
      <c r="M113" s="126">
        <f t="shared" ref="M113:M122" si="17">L113+31</f>
        <v>42887</v>
      </c>
      <c r="N113" s="7"/>
      <c r="O113" s="7"/>
      <c r="P113" s="7" t="s">
        <v>1</v>
      </c>
    </row>
    <row r="114" spans="1:24" s="107" customFormat="1" ht="27.6" x14ac:dyDescent="0.3">
      <c r="A114" s="7"/>
      <c r="B114" s="107">
        <v>5.3</v>
      </c>
      <c r="C114" s="96" t="s">
        <v>197</v>
      </c>
      <c r="D114" s="7" t="s">
        <v>99</v>
      </c>
      <c r="E114" s="7"/>
      <c r="F114" s="102">
        <f>862106.4/3.6</f>
        <v>239474</v>
      </c>
      <c r="G114" s="48">
        <v>1</v>
      </c>
      <c r="H114" s="48"/>
      <c r="I114" s="118">
        <v>25</v>
      </c>
      <c r="J114" s="7" t="s">
        <v>35</v>
      </c>
      <c r="K114" s="7" t="s">
        <v>46</v>
      </c>
      <c r="L114" s="126">
        <v>42826</v>
      </c>
      <c r="M114" s="126">
        <f t="shared" si="17"/>
        <v>42857</v>
      </c>
      <c r="N114" s="7"/>
      <c r="O114" s="7"/>
      <c r="P114" s="7" t="s">
        <v>1</v>
      </c>
    </row>
    <row r="115" spans="1:24" s="107" customFormat="1" x14ac:dyDescent="0.3">
      <c r="A115" s="7"/>
      <c r="B115" s="107">
        <v>5.4</v>
      </c>
      <c r="C115" s="96" t="s">
        <v>204</v>
      </c>
      <c r="D115" s="7" t="s">
        <v>99</v>
      </c>
      <c r="E115" s="7"/>
      <c r="F115" s="102">
        <f>45000/3.6</f>
        <v>12500</v>
      </c>
      <c r="G115" s="48">
        <v>1</v>
      </c>
      <c r="H115" s="48"/>
      <c r="I115" s="118">
        <v>1</v>
      </c>
      <c r="J115" s="7" t="s">
        <v>182</v>
      </c>
      <c r="K115" s="7" t="s">
        <v>46</v>
      </c>
      <c r="L115" s="126">
        <v>42795</v>
      </c>
      <c r="M115" s="126">
        <f t="shared" si="17"/>
        <v>42826</v>
      </c>
      <c r="N115" s="7"/>
      <c r="O115" s="7"/>
      <c r="P115" s="7" t="s">
        <v>1</v>
      </c>
    </row>
    <row r="116" spans="1:24" s="107" customFormat="1" ht="27.6" x14ac:dyDescent="0.3">
      <c r="A116" s="7"/>
      <c r="B116" s="107">
        <v>5.5</v>
      </c>
      <c r="C116" s="96" t="s">
        <v>206</v>
      </c>
      <c r="D116" s="7" t="s">
        <v>99</v>
      </c>
      <c r="E116" s="7"/>
      <c r="F116" s="102">
        <f>300000/3.6</f>
        <v>83333.333333333328</v>
      </c>
      <c r="G116" s="48">
        <v>1</v>
      </c>
      <c r="H116" s="48"/>
      <c r="I116" s="118">
        <v>1</v>
      </c>
      <c r="J116" s="7" t="s">
        <v>182</v>
      </c>
      <c r="K116" s="7" t="s">
        <v>46</v>
      </c>
      <c r="L116" s="126">
        <v>42767</v>
      </c>
      <c r="M116" s="126">
        <f t="shared" si="17"/>
        <v>42798</v>
      </c>
      <c r="N116" s="7"/>
      <c r="O116" s="7"/>
      <c r="P116" s="7" t="s">
        <v>1</v>
      </c>
    </row>
    <row r="117" spans="1:24" s="107" customFormat="1" ht="41.4" x14ac:dyDescent="0.3">
      <c r="A117" s="7"/>
      <c r="B117" s="107">
        <v>5.6</v>
      </c>
      <c r="C117" s="96" t="s">
        <v>205</v>
      </c>
      <c r="D117" s="7" t="s">
        <v>99</v>
      </c>
      <c r="E117" s="7"/>
      <c r="F117" s="102">
        <f>907500/3.6</f>
        <v>252083.33333333331</v>
      </c>
      <c r="G117" s="48">
        <v>1</v>
      </c>
      <c r="H117" s="48"/>
      <c r="I117" s="118">
        <v>1</v>
      </c>
      <c r="J117" s="7" t="s">
        <v>36</v>
      </c>
      <c r="K117" s="7" t="s">
        <v>46</v>
      </c>
      <c r="L117" s="126">
        <v>42795</v>
      </c>
      <c r="M117" s="126">
        <f t="shared" si="17"/>
        <v>42826</v>
      </c>
      <c r="N117" s="7"/>
      <c r="O117" s="7"/>
      <c r="P117" s="7" t="s">
        <v>1</v>
      </c>
    </row>
    <row r="118" spans="1:24" s="107" customFormat="1" ht="27.6" x14ac:dyDescent="0.3">
      <c r="A118" s="7"/>
      <c r="B118" s="107">
        <v>5.7</v>
      </c>
      <c r="C118" s="96" t="s">
        <v>207</v>
      </c>
      <c r="D118" s="7" t="s">
        <v>99</v>
      </c>
      <c r="E118" s="112"/>
      <c r="F118" s="102">
        <f>1630800.5/3.6</f>
        <v>453000.13888888888</v>
      </c>
      <c r="G118" s="48">
        <v>1</v>
      </c>
      <c r="H118" s="48"/>
      <c r="I118" s="118">
        <v>1</v>
      </c>
      <c r="J118" s="7" t="s">
        <v>211</v>
      </c>
      <c r="K118" s="7" t="s">
        <v>46</v>
      </c>
      <c r="L118" s="126">
        <v>42767</v>
      </c>
      <c r="M118" s="126">
        <f t="shared" si="17"/>
        <v>42798</v>
      </c>
      <c r="N118" s="7"/>
      <c r="O118" s="7"/>
      <c r="P118" s="7" t="s">
        <v>1</v>
      </c>
    </row>
    <row r="119" spans="1:24" s="113" customFormat="1" ht="27.6" x14ac:dyDescent="0.3">
      <c r="A119" s="99"/>
      <c r="B119" s="107">
        <v>5.8</v>
      </c>
      <c r="C119" s="104" t="s">
        <v>210</v>
      </c>
      <c r="D119" s="99" t="s">
        <v>99</v>
      </c>
      <c r="E119" s="112"/>
      <c r="F119" s="102">
        <f>(642267.32)/3.6</f>
        <v>178407.58888888886</v>
      </c>
      <c r="G119" s="48">
        <v>1</v>
      </c>
      <c r="H119" s="100"/>
      <c r="I119" s="119">
        <v>1</v>
      </c>
      <c r="J119" s="99" t="s">
        <v>211</v>
      </c>
      <c r="K119" s="99" t="s">
        <v>46</v>
      </c>
      <c r="L119" s="126">
        <v>42767</v>
      </c>
      <c r="M119" s="126">
        <f t="shared" si="17"/>
        <v>42798</v>
      </c>
      <c r="N119" s="99"/>
      <c r="O119" s="99"/>
      <c r="P119" s="7" t="s">
        <v>1</v>
      </c>
    </row>
    <row r="120" spans="1:24" s="113" customFormat="1" ht="27.6" x14ac:dyDescent="0.3">
      <c r="A120" s="99"/>
      <c r="B120" s="107">
        <v>5.9</v>
      </c>
      <c r="C120" s="104" t="s">
        <v>230</v>
      </c>
      <c r="D120" s="99" t="s">
        <v>99</v>
      </c>
      <c r="E120" s="112"/>
      <c r="F120" s="102">
        <f>(642267.32)/3.6</f>
        <v>178407.58888888886</v>
      </c>
      <c r="G120" s="48">
        <v>1</v>
      </c>
      <c r="H120" s="100"/>
      <c r="I120" s="119">
        <v>1</v>
      </c>
      <c r="J120" s="99" t="s">
        <v>211</v>
      </c>
      <c r="K120" s="99" t="s">
        <v>46</v>
      </c>
      <c r="L120" s="126">
        <v>42767</v>
      </c>
      <c r="M120" s="126">
        <f t="shared" si="17"/>
        <v>42798</v>
      </c>
      <c r="N120" s="99"/>
      <c r="O120" s="99"/>
      <c r="P120" s="7" t="s">
        <v>1</v>
      </c>
    </row>
    <row r="121" spans="1:24" s="113" customFormat="1" ht="27.6" x14ac:dyDescent="0.3">
      <c r="A121" s="99"/>
      <c r="B121" s="120">
        <v>5.0999999999999996</v>
      </c>
      <c r="C121" s="104" t="s">
        <v>210</v>
      </c>
      <c r="D121" s="99" t="s">
        <v>99</v>
      </c>
      <c r="E121" s="112"/>
      <c r="F121" s="102">
        <f>642267.32/3.6</f>
        <v>178407.58888888886</v>
      </c>
      <c r="G121" s="48">
        <v>1</v>
      </c>
      <c r="H121" s="100"/>
      <c r="I121" s="119">
        <v>1</v>
      </c>
      <c r="J121" s="99" t="s">
        <v>35</v>
      </c>
      <c r="K121" s="99" t="s">
        <v>46</v>
      </c>
      <c r="L121" s="126">
        <v>42767</v>
      </c>
      <c r="M121" s="126">
        <f t="shared" si="17"/>
        <v>42798</v>
      </c>
      <c r="N121" s="99"/>
      <c r="O121" s="99"/>
      <c r="P121" s="7" t="s">
        <v>1</v>
      </c>
    </row>
    <row r="122" spans="1:24" s="107" customFormat="1" ht="27.6" x14ac:dyDescent="0.3">
      <c r="A122" s="7"/>
      <c r="B122" s="120">
        <v>5.1100000000000003</v>
      </c>
      <c r="C122" s="96" t="s">
        <v>208</v>
      </c>
      <c r="D122" s="7" t="s">
        <v>99</v>
      </c>
      <c r="E122" s="114"/>
      <c r="F122" s="102">
        <f>551861.21/3.6</f>
        <v>153294.78055555554</v>
      </c>
      <c r="G122" s="48">
        <v>1</v>
      </c>
      <c r="H122" s="48"/>
      <c r="I122" s="118">
        <v>1</v>
      </c>
      <c r="J122" s="7" t="s">
        <v>36</v>
      </c>
      <c r="K122" s="7" t="s">
        <v>46</v>
      </c>
      <c r="L122" s="126">
        <v>42767</v>
      </c>
      <c r="M122" s="126">
        <f t="shared" si="17"/>
        <v>42798</v>
      </c>
      <c r="N122" s="7"/>
      <c r="O122" s="7"/>
      <c r="P122" s="7" t="s">
        <v>1</v>
      </c>
    </row>
    <row r="123" spans="1:24" s="5" customFormat="1" x14ac:dyDescent="0.3">
      <c r="A123" s="51"/>
      <c r="B123" s="51"/>
      <c r="C123" s="51"/>
      <c r="D123" s="51"/>
      <c r="E123" s="122" t="s">
        <v>25</v>
      </c>
      <c r="F123" s="125">
        <f>SUM(F112:F122)</f>
        <v>1820575.0194444444</v>
      </c>
      <c r="H123" s="53"/>
      <c r="I123" s="53"/>
      <c r="J123" s="51"/>
      <c r="K123" s="51"/>
      <c r="L123" s="51"/>
      <c r="M123" s="51"/>
      <c r="N123" s="51"/>
      <c r="O123" s="51"/>
      <c r="P123" s="51"/>
    </row>
    <row r="125" spans="1:24" ht="15.75" customHeight="1" x14ac:dyDescent="0.3">
      <c r="A125" s="184" t="s">
        <v>84</v>
      </c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4"/>
      <c r="R125" s="4"/>
      <c r="S125" s="4"/>
      <c r="T125" s="4"/>
      <c r="U125" s="4"/>
      <c r="V125" s="4"/>
      <c r="W125" s="4"/>
      <c r="X125" s="4"/>
    </row>
    <row r="126" spans="1:24" ht="15" customHeight="1" x14ac:dyDescent="0.3">
      <c r="A126" s="201" t="s">
        <v>77</v>
      </c>
      <c r="B126" s="187" t="s">
        <v>50</v>
      </c>
      <c r="C126" s="187" t="s">
        <v>51</v>
      </c>
      <c r="D126" s="187" t="s">
        <v>65</v>
      </c>
      <c r="E126" s="186"/>
      <c r="F126" s="186"/>
      <c r="G126" s="198" t="s">
        <v>67</v>
      </c>
      <c r="H126" s="198"/>
      <c r="I126" s="198"/>
      <c r="J126" s="187" t="s">
        <v>71</v>
      </c>
      <c r="K126" s="187" t="s">
        <v>72</v>
      </c>
      <c r="L126" s="187" t="s">
        <v>73</v>
      </c>
      <c r="M126" s="187"/>
      <c r="N126" s="195" t="s">
        <v>107</v>
      </c>
      <c r="O126" s="187" t="s">
        <v>100</v>
      </c>
      <c r="P126" s="187" t="s">
        <v>101</v>
      </c>
      <c r="Q126" s="4"/>
      <c r="R126" s="4"/>
      <c r="S126" s="4"/>
      <c r="T126" s="4"/>
      <c r="U126" s="4"/>
      <c r="V126" s="4"/>
      <c r="W126" s="4"/>
      <c r="X126" s="4"/>
    </row>
    <row r="127" spans="1:24" ht="36" customHeight="1" thickBot="1" x14ac:dyDescent="0.35">
      <c r="A127" s="202"/>
      <c r="B127" s="188"/>
      <c r="C127" s="188"/>
      <c r="D127" s="188"/>
      <c r="E127" s="188" t="s">
        <v>66</v>
      </c>
      <c r="F127" s="188"/>
      <c r="G127" s="58" t="s">
        <v>69</v>
      </c>
      <c r="H127" s="56" t="s">
        <v>68</v>
      </c>
      <c r="I127" s="57" t="s">
        <v>70</v>
      </c>
      <c r="J127" s="188"/>
      <c r="K127" s="188"/>
      <c r="L127" s="58" t="s">
        <v>116</v>
      </c>
      <c r="M127" s="58" t="s">
        <v>75</v>
      </c>
      <c r="N127" s="190"/>
      <c r="O127" s="188"/>
      <c r="P127" s="188"/>
      <c r="Q127" s="4"/>
      <c r="R127" s="4"/>
      <c r="S127" s="4"/>
      <c r="T127" s="4"/>
      <c r="U127" s="4"/>
      <c r="V127" s="4"/>
      <c r="W127" s="4"/>
      <c r="X127" s="4"/>
    </row>
    <row r="128" spans="1:24" s="78" customFormat="1" ht="28.2" thickBot="1" x14ac:dyDescent="0.35">
      <c r="A128" s="59"/>
      <c r="B128" s="106">
        <v>6.1</v>
      </c>
      <c r="C128" s="96" t="s">
        <v>136</v>
      </c>
      <c r="D128" s="60" t="s">
        <v>99</v>
      </c>
      <c r="E128" s="64"/>
      <c r="F128" s="106"/>
      <c r="G128" s="95">
        <f>10000/3.6</f>
        <v>2777.7777777777778</v>
      </c>
      <c r="H128" s="48">
        <v>1</v>
      </c>
      <c r="I128" s="62"/>
      <c r="J128" s="7" t="s">
        <v>134</v>
      </c>
      <c r="K128" s="60" t="s">
        <v>46</v>
      </c>
      <c r="L128" s="127">
        <v>42767</v>
      </c>
      <c r="M128" s="127">
        <f>L128+31</f>
        <v>42798</v>
      </c>
      <c r="N128" s="64"/>
      <c r="O128" s="60"/>
      <c r="P128" s="63" t="s">
        <v>1</v>
      </c>
    </row>
    <row r="129" spans="1:26" s="78" customFormat="1" ht="42" thickBot="1" x14ac:dyDescent="0.35">
      <c r="A129" s="6"/>
      <c r="B129" s="106">
        <v>6.2</v>
      </c>
      <c r="C129" s="96" t="s">
        <v>137</v>
      </c>
      <c r="D129" s="7" t="s">
        <v>99</v>
      </c>
      <c r="E129" s="54"/>
      <c r="F129" s="106"/>
      <c r="G129" s="95">
        <f>10000/3.6</f>
        <v>2777.7777777777778</v>
      </c>
      <c r="H129" s="48">
        <v>1</v>
      </c>
      <c r="I129" s="48"/>
      <c r="J129" s="7" t="s">
        <v>134</v>
      </c>
      <c r="K129" s="7" t="s">
        <v>46</v>
      </c>
      <c r="L129" s="126">
        <v>42767</v>
      </c>
      <c r="M129" s="127">
        <f>L129+31</f>
        <v>42798</v>
      </c>
      <c r="N129" s="54"/>
      <c r="O129" s="7"/>
      <c r="P129" s="63" t="s">
        <v>1</v>
      </c>
    </row>
    <row r="130" spans="1:26" s="78" customFormat="1" ht="28.2" thickBot="1" x14ac:dyDescent="0.35">
      <c r="A130" s="98"/>
      <c r="B130" s="106">
        <v>6.3</v>
      </c>
      <c r="C130" s="104" t="s">
        <v>185</v>
      </c>
      <c r="D130" s="7" t="s">
        <v>99</v>
      </c>
      <c r="E130" s="101"/>
      <c r="F130" s="106"/>
      <c r="G130" s="105">
        <f>180000/3.6</f>
        <v>50000</v>
      </c>
      <c r="H130" s="48">
        <v>1</v>
      </c>
      <c r="I130" s="100"/>
      <c r="J130" s="100" t="s">
        <v>184</v>
      </c>
      <c r="K130" s="99" t="s">
        <v>46</v>
      </c>
      <c r="L130" s="134">
        <v>42917</v>
      </c>
      <c r="M130" s="134">
        <f>L130+91</f>
        <v>43008</v>
      </c>
      <c r="N130" s="101"/>
      <c r="O130" s="99"/>
      <c r="P130" s="63" t="s">
        <v>1</v>
      </c>
    </row>
    <row r="131" spans="1:26" s="78" customFormat="1" ht="42" thickBot="1" x14ac:dyDescent="0.35">
      <c r="A131" s="7"/>
      <c r="B131" s="106">
        <v>6.4</v>
      </c>
      <c r="C131" s="96" t="s">
        <v>186</v>
      </c>
      <c r="D131" s="7" t="s">
        <v>96</v>
      </c>
      <c r="E131" s="54"/>
      <c r="F131" s="106"/>
      <c r="G131" s="95">
        <f>50000/3.6</f>
        <v>13888.888888888889</v>
      </c>
      <c r="H131" s="48">
        <v>1</v>
      </c>
      <c r="I131" s="48"/>
      <c r="J131" s="48" t="s">
        <v>184</v>
      </c>
      <c r="K131" s="7" t="s">
        <v>46</v>
      </c>
      <c r="L131" s="126">
        <v>42948</v>
      </c>
      <c r="M131" s="134">
        <f>L131+91</f>
        <v>43039</v>
      </c>
      <c r="N131" s="7"/>
      <c r="O131" s="7"/>
      <c r="P131" s="63" t="s">
        <v>1</v>
      </c>
    </row>
    <row r="132" spans="1:26" s="78" customFormat="1" ht="27.6" x14ac:dyDescent="0.3">
      <c r="A132" s="7"/>
      <c r="B132" s="106">
        <v>6.5</v>
      </c>
      <c r="C132" s="96" t="s">
        <v>191</v>
      </c>
      <c r="D132" s="7" t="s">
        <v>60</v>
      </c>
      <c r="E132" s="109"/>
      <c r="F132" s="106"/>
      <c r="G132" s="95">
        <f>40000/3.6</f>
        <v>11111.111111111111</v>
      </c>
      <c r="H132" s="48">
        <v>1</v>
      </c>
      <c r="I132" s="106"/>
      <c r="J132" s="48" t="s">
        <v>184</v>
      </c>
      <c r="K132" s="7" t="s">
        <v>46</v>
      </c>
      <c r="L132" s="126">
        <v>42979</v>
      </c>
      <c r="M132" s="126">
        <f>L132+31</f>
        <v>43010</v>
      </c>
      <c r="N132" s="7"/>
      <c r="O132" s="7"/>
      <c r="P132" s="63" t="s">
        <v>1</v>
      </c>
    </row>
    <row r="133" spans="1:26" s="5" customFormat="1" x14ac:dyDescent="0.3">
      <c r="E133" s="51"/>
      <c r="F133" s="122" t="s">
        <v>25</v>
      </c>
      <c r="G133" s="121">
        <f>SUM(G128:G132)</f>
        <v>80555.555555555547</v>
      </c>
      <c r="H133" s="52"/>
      <c r="I133" s="53"/>
      <c r="J133" s="53"/>
      <c r="K133" s="51"/>
      <c r="L133" s="51"/>
      <c r="M133" s="51"/>
      <c r="N133" s="51"/>
      <c r="O133" s="51"/>
      <c r="P133" s="51"/>
    </row>
    <row r="134" spans="1:26" s="5" customFormat="1" x14ac:dyDescent="0.3">
      <c r="E134" s="51"/>
      <c r="F134" s="51"/>
      <c r="G134" s="51"/>
      <c r="H134" s="52"/>
      <c r="I134" s="53"/>
      <c r="J134" s="53"/>
      <c r="K134" s="51"/>
      <c r="L134" s="51"/>
      <c r="M134" s="51"/>
      <c r="N134" s="51"/>
      <c r="O134" s="51"/>
      <c r="P134" s="51"/>
    </row>
    <row r="135" spans="1:26" ht="15.75" customHeight="1" x14ac:dyDescent="0.3">
      <c r="A135" s="184" t="s">
        <v>85</v>
      </c>
      <c r="B135" s="185"/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" customHeight="1" x14ac:dyDescent="0.3">
      <c r="A136" s="201" t="s">
        <v>77</v>
      </c>
      <c r="B136" s="187" t="s">
        <v>86</v>
      </c>
      <c r="C136" s="187" t="s">
        <v>51</v>
      </c>
      <c r="D136" s="187"/>
      <c r="E136" s="187" t="s">
        <v>66</v>
      </c>
      <c r="F136" s="187"/>
      <c r="G136" s="198" t="s">
        <v>67</v>
      </c>
      <c r="H136" s="198"/>
      <c r="I136" s="198"/>
      <c r="J136" s="187" t="s">
        <v>71</v>
      </c>
      <c r="K136" s="193" t="s">
        <v>87</v>
      </c>
      <c r="L136" s="187" t="s">
        <v>73</v>
      </c>
      <c r="M136" s="187"/>
      <c r="N136" s="190" t="s">
        <v>90</v>
      </c>
      <c r="O136" s="187" t="s">
        <v>100</v>
      </c>
      <c r="P136" s="187" t="s">
        <v>101</v>
      </c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69.599999999999994" thickBot="1" x14ac:dyDescent="0.35">
      <c r="A137" s="202"/>
      <c r="B137" s="188"/>
      <c r="C137" s="188"/>
      <c r="D137" s="188"/>
      <c r="E137" s="188"/>
      <c r="F137" s="188"/>
      <c r="G137" s="58" t="s">
        <v>69</v>
      </c>
      <c r="H137" s="58" t="s">
        <v>68</v>
      </c>
      <c r="I137" s="56" t="s">
        <v>70</v>
      </c>
      <c r="J137" s="188"/>
      <c r="K137" s="194"/>
      <c r="L137" s="58" t="s">
        <v>88</v>
      </c>
      <c r="M137" s="58" t="s">
        <v>89</v>
      </c>
      <c r="N137" s="191"/>
      <c r="O137" s="188"/>
      <c r="P137" s="188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3">
      <c r="A138" s="59"/>
      <c r="B138" s="60"/>
      <c r="C138" s="192"/>
      <c r="D138" s="192"/>
      <c r="E138" s="192"/>
      <c r="F138" s="192"/>
      <c r="G138" s="60"/>
      <c r="H138" s="60"/>
      <c r="I138" s="61"/>
      <c r="J138" s="62"/>
      <c r="K138" s="62"/>
      <c r="L138" s="60"/>
      <c r="M138" s="60"/>
      <c r="N138" s="64"/>
      <c r="O138" s="60"/>
      <c r="P138" s="63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3">
      <c r="A139" s="6"/>
      <c r="B139" s="7"/>
      <c r="C139" s="196"/>
      <c r="D139" s="196"/>
      <c r="E139" s="196"/>
      <c r="F139" s="196"/>
      <c r="G139" s="7"/>
      <c r="H139" s="7"/>
      <c r="I139" s="45"/>
      <c r="J139" s="48"/>
      <c r="K139" s="48"/>
      <c r="L139" s="7"/>
      <c r="M139" s="7"/>
      <c r="N139" s="54"/>
      <c r="O139" s="7"/>
      <c r="P139" s="8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3">
      <c r="A140" s="6"/>
      <c r="B140" s="7"/>
      <c r="C140" s="196"/>
      <c r="D140" s="196"/>
      <c r="E140" s="196"/>
      <c r="F140" s="196"/>
      <c r="G140" s="7"/>
      <c r="H140" s="7"/>
      <c r="I140" s="45"/>
      <c r="J140" s="48"/>
      <c r="K140" s="48"/>
      <c r="L140" s="7"/>
      <c r="M140" s="7"/>
      <c r="N140" s="54"/>
      <c r="O140" s="7"/>
      <c r="P140" s="8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3">
      <c r="A141" s="6"/>
      <c r="B141" s="7"/>
      <c r="C141" s="196"/>
      <c r="D141" s="196"/>
      <c r="E141" s="196"/>
      <c r="F141" s="196"/>
      <c r="G141" s="7"/>
      <c r="H141" s="7"/>
      <c r="I141" s="45"/>
      <c r="J141" s="48"/>
      <c r="K141" s="48"/>
      <c r="L141" s="7"/>
      <c r="M141" s="7"/>
      <c r="N141" s="54"/>
      <c r="O141" s="7"/>
      <c r="P141" s="8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" thickBot="1" x14ac:dyDescent="0.35">
      <c r="A142" s="9"/>
      <c r="B142" s="10"/>
      <c r="C142" s="197"/>
      <c r="D142" s="197"/>
      <c r="E142" s="197"/>
      <c r="F142" s="197"/>
      <c r="G142" s="10"/>
      <c r="H142" s="10"/>
      <c r="I142" s="46"/>
      <c r="J142" s="49"/>
      <c r="K142" s="49"/>
      <c r="L142" s="10"/>
      <c r="M142" s="10"/>
      <c r="N142" s="55"/>
      <c r="O142" s="10"/>
      <c r="P142" s="11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 x14ac:dyDescent="0.3">
      <c r="F143" s="122" t="s">
        <v>25</v>
      </c>
      <c r="G143" s="47">
        <f>SUM(G138:G142)</f>
        <v>0</v>
      </c>
    </row>
    <row r="145" spans="1:9" x14ac:dyDescent="0.3">
      <c r="A145" s="205" t="s">
        <v>227</v>
      </c>
      <c r="B145" s="205"/>
    </row>
    <row r="146" spans="1:9" s="5" customFormat="1" x14ac:dyDescent="0.3">
      <c r="A146" s="135" t="s">
        <v>214</v>
      </c>
      <c r="B146" s="136">
        <f>SUM(G37:G92,G128:G129)</f>
        <v>1661388.8888888885</v>
      </c>
      <c r="G146" s="47"/>
      <c r="H146" s="50"/>
      <c r="I146" s="50"/>
    </row>
    <row r="147" spans="1:9" s="5" customFormat="1" x14ac:dyDescent="0.3">
      <c r="A147" s="135" t="s">
        <v>215</v>
      </c>
      <c r="B147" s="136">
        <f>SUM(B148:B149)</f>
        <v>4125093.0944444444</v>
      </c>
      <c r="G147" s="47"/>
      <c r="H147" s="50"/>
      <c r="I147" s="50"/>
    </row>
    <row r="148" spans="1:9" s="5" customFormat="1" x14ac:dyDescent="0.3">
      <c r="A148" s="137" t="s">
        <v>211</v>
      </c>
      <c r="B148" s="136">
        <f>SUM(G21,G93:G99,F115:F116,F118:F120)</f>
        <v>3061204.2055555559</v>
      </c>
      <c r="G148" s="47"/>
      <c r="H148" s="50"/>
      <c r="I148" s="50"/>
    </row>
    <row r="149" spans="1:9" s="5" customFormat="1" x14ac:dyDescent="0.3">
      <c r="A149" s="137" t="s">
        <v>219</v>
      </c>
      <c r="B149" s="136">
        <f>SUM(G22:G23,G30,F112:F113,G130:G132)</f>
        <v>1063888.8888888888</v>
      </c>
      <c r="G149" s="47"/>
      <c r="H149" s="50"/>
      <c r="I149" s="50"/>
    </row>
    <row r="150" spans="1:9" s="5" customFormat="1" x14ac:dyDescent="0.3">
      <c r="A150" s="135" t="s">
        <v>216</v>
      </c>
      <c r="B150" s="136">
        <f>SUM(G100:G103)</f>
        <v>6225000</v>
      </c>
      <c r="G150" s="47"/>
      <c r="H150" s="50"/>
      <c r="I150" s="50"/>
    </row>
    <row r="151" spans="1:9" s="5" customFormat="1" x14ac:dyDescent="0.3">
      <c r="A151" s="135" t="s">
        <v>217</v>
      </c>
      <c r="B151" s="136">
        <f>SUM(G24,G104,F114,F121)</f>
        <v>1663934.5888888889</v>
      </c>
      <c r="G151" s="47"/>
      <c r="H151" s="50"/>
      <c r="I151" s="50"/>
    </row>
    <row r="152" spans="1:9" s="5" customFormat="1" x14ac:dyDescent="0.3">
      <c r="A152" s="135" t="s">
        <v>218</v>
      </c>
      <c r="B152" s="136">
        <f>SUM(F117,F122)</f>
        <v>405378.11388888885</v>
      </c>
      <c r="G152" s="47"/>
      <c r="H152" s="50"/>
      <c r="I152" s="50"/>
    </row>
    <row r="153" spans="1:9" s="5" customFormat="1" ht="27.6" x14ac:dyDescent="0.3">
      <c r="A153" s="7" t="s">
        <v>232</v>
      </c>
      <c r="B153" s="136">
        <f>SUM(G31,G105,G106)</f>
        <v>70000</v>
      </c>
      <c r="C153" s="51"/>
      <c r="G153" s="47"/>
      <c r="H153" s="50"/>
      <c r="I153" s="50"/>
    </row>
    <row r="154" spans="1:9" s="5" customFormat="1" x14ac:dyDescent="0.3">
      <c r="A154" s="107"/>
      <c r="B154" s="138">
        <f>SUM(B146:B147,B150:B153)</f>
        <v>14150794.686111111</v>
      </c>
      <c r="G154" s="47"/>
      <c r="H154" s="50"/>
      <c r="I154" s="50"/>
    </row>
    <row r="155" spans="1:9" s="5" customFormat="1" x14ac:dyDescent="0.3">
      <c r="G155" s="47"/>
      <c r="H155" s="50"/>
      <c r="I155" s="50"/>
    </row>
    <row r="156" spans="1:9" s="5" customFormat="1" x14ac:dyDescent="0.3">
      <c r="G156" s="47"/>
      <c r="H156" s="50"/>
      <c r="I156" s="50"/>
    </row>
    <row r="157" spans="1:9" ht="23.25" customHeight="1" x14ac:dyDescent="0.3">
      <c r="A157" s="172" t="s">
        <v>102</v>
      </c>
      <c r="B157" s="65" t="s">
        <v>48</v>
      </c>
    </row>
    <row r="158" spans="1:9" x14ac:dyDescent="0.3">
      <c r="A158" s="173"/>
      <c r="B158" s="65" t="s">
        <v>46</v>
      </c>
    </row>
    <row r="159" spans="1:9" x14ac:dyDescent="0.3">
      <c r="A159" s="174"/>
      <c r="B159" s="66" t="s">
        <v>47</v>
      </c>
    </row>
    <row r="161" spans="1:3" x14ac:dyDescent="0.3">
      <c r="A161" s="175" t="s">
        <v>101</v>
      </c>
      <c r="B161" s="65" t="s">
        <v>1</v>
      </c>
    </row>
    <row r="162" spans="1:3" x14ac:dyDescent="0.3">
      <c r="A162" s="176"/>
      <c r="B162" s="65" t="s">
        <v>61</v>
      </c>
    </row>
    <row r="163" spans="1:3" x14ac:dyDescent="0.3">
      <c r="A163" s="176"/>
      <c r="B163" s="65" t="s">
        <v>57</v>
      </c>
    </row>
    <row r="164" spans="1:3" x14ac:dyDescent="0.3">
      <c r="A164" s="176"/>
      <c r="B164" s="65" t="s">
        <v>56</v>
      </c>
    </row>
    <row r="165" spans="1:3" ht="27.6" x14ac:dyDescent="0.3">
      <c r="A165" s="176"/>
      <c r="B165" s="65" t="s">
        <v>59</v>
      </c>
    </row>
    <row r="166" spans="1:3" x14ac:dyDescent="0.3">
      <c r="A166" s="176"/>
      <c r="B166" s="65" t="s">
        <v>2</v>
      </c>
    </row>
    <row r="167" spans="1:3" x14ac:dyDescent="0.3">
      <c r="A167" s="176"/>
      <c r="B167" s="65" t="s">
        <v>106</v>
      </c>
    </row>
    <row r="168" spans="1:3" x14ac:dyDescent="0.3">
      <c r="A168" s="177"/>
      <c r="B168" s="65" t="s">
        <v>3</v>
      </c>
    </row>
    <row r="170" spans="1:3" x14ac:dyDescent="0.3">
      <c r="A170" s="183" t="s">
        <v>103</v>
      </c>
      <c r="B170" s="178" t="s">
        <v>108</v>
      </c>
      <c r="C170" s="65" t="s">
        <v>94</v>
      </c>
    </row>
    <row r="171" spans="1:3" x14ac:dyDescent="0.3">
      <c r="A171" s="183"/>
      <c r="B171" s="178"/>
      <c r="C171" s="65" t="s">
        <v>95</v>
      </c>
    </row>
    <row r="172" spans="1:3" x14ac:dyDescent="0.3">
      <c r="A172" s="183"/>
      <c r="B172" s="178"/>
      <c r="C172" s="65" t="s">
        <v>96</v>
      </c>
    </row>
    <row r="173" spans="1:3" x14ac:dyDescent="0.3">
      <c r="A173" s="183"/>
      <c r="B173" s="178"/>
      <c r="C173" s="65" t="s">
        <v>58</v>
      </c>
    </row>
    <row r="174" spans="1:3" x14ac:dyDescent="0.3">
      <c r="A174" s="183"/>
      <c r="B174" s="178"/>
      <c r="C174" s="65" t="s">
        <v>48</v>
      </c>
    </row>
    <row r="175" spans="1:3" x14ac:dyDescent="0.3">
      <c r="A175" s="183"/>
      <c r="B175" s="178"/>
      <c r="C175" s="65" t="s">
        <v>98</v>
      </c>
    </row>
    <row r="176" spans="1:3" x14ac:dyDescent="0.3">
      <c r="A176" s="183"/>
      <c r="B176" s="178"/>
      <c r="C176" s="65" t="s">
        <v>97</v>
      </c>
    </row>
    <row r="177" spans="1:3" x14ac:dyDescent="0.3">
      <c r="A177" s="183"/>
      <c r="B177" s="179" t="s">
        <v>104</v>
      </c>
      <c r="C177" s="65" t="s">
        <v>91</v>
      </c>
    </row>
    <row r="178" spans="1:3" x14ac:dyDescent="0.3">
      <c r="A178" s="183"/>
      <c r="B178" s="179"/>
      <c r="C178" s="65" t="s">
        <v>53</v>
      </c>
    </row>
    <row r="179" spans="1:3" x14ac:dyDescent="0.3">
      <c r="A179" s="183"/>
      <c r="B179" s="179"/>
      <c r="C179" s="65" t="s">
        <v>60</v>
      </c>
    </row>
    <row r="180" spans="1:3" x14ac:dyDescent="0.3">
      <c r="A180" s="183"/>
      <c r="B180" s="179"/>
      <c r="C180" s="65" t="s">
        <v>58</v>
      </c>
    </row>
    <row r="181" spans="1:3" x14ac:dyDescent="0.3">
      <c r="A181" s="183"/>
      <c r="B181" s="179"/>
      <c r="C181" s="65" t="s">
        <v>48</v>
      </c>
    </row>
    <row r="182" spans="1:3" x14ac:dyDescent="0.3">
      <c r="A182" s="183"/>
      <c r="B182" s="179"/>
      <c r="C182" s="65" t="s">
        <v>54</v>
      </c>
    </row>
    <row r="183" spans="1:3" x14ac:dyDescent="0.3">
      <c r="A183" s="183"/>
      <c r="B183" s="179"/>
      <c r="C183" s="65" t="s">
        <v>63</v>
      </c>
    </row>
    <row r="184" spans="1:3" x14ac:dyDescent="0.3">
      <c r="A184" s="183"/>
      <c r="B184" s="179"/>
      <c r="C184" s="65" t="s">
        <v>62</v>
      </c>
    </row>
    <row r="185" spans="1:3" x14ac:dyDescent="0.3">
      <c r="A185" s="183"/>
      <c r="B185" s="179"/>
      <c r="C185" s="65" t="s">
        <v>55</v>
      </c>
    </row>
    <row r="186" spans="1:3" x14ac:dyDescent="0.3">
      <c r="A186" s="183"/>
      <c r="B186" s="179"/>
      <c r="C186" s="65" t="s">
        <v>93</v>
      </c>
    </row>
    <row r="187" spans="1:3" ht="30" customHeight="1" x14ac:dyDescent="0.3">
      <c r="A187" s="183"/>
      <c r="B187" s="180" t="s">
        <v>105</v>
      </c>
      <c r="C187" s="65" t="s">
        <v>99</v>
      </c>
    </row>
    <row r="188" spans="1:3" x14ac:dyDescent="0.3">
      <c r="A188" s="183"/>
      <c r="B188" s="181"/>
      <c r="C188" s="65" t="s">
        <v>58</v>
      </c>
    </row>
    <row r="189" spans="1:3" x14ac:dyDescent="0.3">
      <c r="A189" s="183"/>
      <c r="B189" s="182"/>
      <c r="C189" s="65" t="s">
        <v>48</v>
      </c>
    </row>
  </sheetData>
  <autoFilter ref="A14:Z14" xr:uid="{00000000-0009-0000-0000-000003000000}"/>
  <mergeCells count="113">
    <mergeCell ref="B136:B137"/>
    <mergeCell ref="C136:D137"/>
    <mergeCell ref="A13:A14"/>
    <mergeCell ref="B13:B14"/>
    <mergeCell ref="C13:C14"/>
    <mergeCell ref="D13:D14"/>
    <mergeCell ref="E13:E14"/>
    <mergeCell ref="F13:F14"/>
    <mergeCell ref="E127:F127"/>
    <mergeCell ref="E136:F137"/>
    <mergeCell ref="A145:B145"/>
    <mergeCell ref="E110:E111"/>
    <mergeCell ref="L13:M13"/>
    <mergeCell ref="K13:K14"/>
    <mergeCell ref="J13:J14"/>
    <mergeCell ref="N19:N20"/>
    <mergeCell ref="G19:I19"/>
    <mergeCell ref="N28:N29"/>
    <mergeCell ref="A35:A36"/>
    <mergeCell ref="B35:B36"/>
    <mergeCell ref="C35:C36"/>
    <mergeCell ref="D35:D36"/>
    <mergeCell ref="J35:J36"/>
    <mergeCell ref="K35:K36"/>
    <mergeCell ref="D28:D29"/>
    <mergeCell ref="E28:E29"/>
    <mergeCell ref="F28:F29"/>
    <mergeCell ref="A126:A127"/>
    <mergeCell ref="B126:B127"/>
    <mergeCell ref="C126:C127"/>
    <mergeCell ref="D126:D127"/>
    <mergeCell ref="E126:F126"/>
    <mergeCell ref="G126:I126"/>
    <mergeCell ref="A136:A137"/>
    <mergeCell ref="A11:P11"/>
    <mergeCell ref="G13:I13"/>
    <mergeCell ref="L35:M35"/>
    <mergeCell ref="G35:I35"/>
    <mergeCell ref="E35:F35"/>
    <mergeCell ref="L28:M28"/>
    <mergeCell ref="A19:A20"/>
    <mergeCell ref="B19:B20"/>
    <mergeCell ref="C19:C20"/>
    <mergeCell ref="D19:D20"/>
    <mergeCell ref="E19:E20"/>
    <mergeCell ref="F19:F20"/>
    <mergeCell ref="J19:J20"/>
    <mergeCell ref="K19:K20"/>
    <mergeCell ref="L19:M19"/>
    <mergeCell ref="O28:O29"/>
    <mergeCell ref="N13:N14"/>
    <mergeCell ref="J110:J111"/>
    <mergeCell ref="I110:I111"/>
    <mergeCell ref="G28:I28"/>
    <mergeCell ref="K28:K29"/>
    <mergeCell ref="N35:N36"/>
    <mergeCell ref="E36:F36"/>
    <mergeCell ref="A110:A111"/>
    <mergeCell ref="B110:B111"/>
    <mergeCell ref="O110:O111"/>
    <mergeCell ref="L110:M110"/>
    <mergeCell ref="N110:N111"/>
    <mergeCell ref="K110:K111"/>
    <mergeCell ref="C110:C111"/>
    <mergeCell ref="D110:D111"/>
    <mergeCell ref="O35:O36"/>
    <mergeCell ref="J28:J29"/>
    <mergeCell ref="A28:A29"/>
    <mergeCell ref="B28:B29"/>
    <mergeCell ref="C28:C29"/>
    <mergeCell ref="E139:F139"/>
    <mergeCell ref="E140:F140"/>
    <mergeCell ref="E141:F141"/>
    <mergeCell ref="E142:F142"/>
    <mergeCell ref="C139:D139"/>
    <mergeCell ref="C140:D140"/>
    <mergeCell ref="C141:D141"/>
    <mergeCell ref="C142:D142"/>
    <mergeCell ref="G136:I136"/>
    <mergeCell ref="L136:M136"/>
    <mergeCell ref="N136:N137"/>
    <mergeCell ref="E138:F138"/>
    <mergeCell ref="C138:D138"/>
    <mergeCell ref="J136:J137"/>
    <mergeCell ref="K136:K137"/>
    <mergeCell ref="L126:M126"/>
    <mergeCell ref="K126:K127"/>
    <mergeCell ref="N126:N127"/>
    <mergeCell ref="J126:J127"/>
    <mergeCell ref="A157:A159"/>
    <mergeCell ref="A161:A168"/>
    <mergeCell ref="B170:B176"/>
    <mergeCell ref="B177:B186"/>
    <mergeCell ref="B187:B189"/>
    <mergeCell ref="A170:A189"/>
    <mergeCell ref="A12:P12"/>
    <mergeCell ref="A18:P18"/>
    <mergeCell ref="A27:P27"/>
    <mergeCell ref="A34:P34"/>
    <mergeCell ref="A109:P109"/>
    <mergeCell ref="O126:O127"/>
    <mergeCell ref="O136:O137"/>
    <mergeCell ref="P13:P14"/>
    <mergeCell ref="P19:P20"/>
    <mergeCell ref="P28:P29"/>
    <mergeCell ref="P35:P36"/>
    <mergeCell ref="P110:P111"/>
    <mergeCell ref="P126:P127"/>
    <mergeCell ref="P136:P137"/>
    <mergeCell ref="A125:P125"/>
    <mergeCell ref="A135:P135"/>
    <mergeCell ref="O13:O14"/>
    <mergeCell ref="O19:O20"/>
  </mergeCells>
  <dataValidations count="6">
    <dataValidation type="list" allowBlank="1" showInputMessage="1" showErrorMessage="1" sqref="K15:K16 K21:K25 K112:K123 K128:K132 K30:K32 K37:K106" xr:uid="{00000000-0002-0000-0300-000000000000}">
      <formula1>$B$157:$B$159</formula1>
    </dataValidation>
    <dataValidation type="list" allowBlank="1" showInputMessage="1" showErrorMessage="1" sqref="D37:D106 D131" xr:uid="{00000000-0002-0000-0300-000001000000}">
      <formula1>$C$170:$C$176</formula1>
    </dataValidation>
    <dataValidation type="list" allowBlank="1" showInputMessage="1" showErrorMessage="1" sqref="D132 D30:D32 D21:D25 D15:D16" xr:uid="{00000000-0002-0000-0300-000002000000}">
      <formula1>$C$177:$C$186</formula1>
    </dataValidation>
    <dataValidation type="list" allowBlank="1" showInputMessage="1" showErrorMessage="1" sqref="P15:P16 P38:P106 P128:P132 P138:P142 P30:P32 P21:P25 P112:P123" xr:uid="{00000000-0002-0000-0300-000003000000}">
      <formula1>$B$161:$B$168</formula1>
    </dataValidation>
    <dataValidation type="list" allowBlank="1" showInputMessage="1" showErrorMessage="1" sqref="D128:D130 D112:D123" xr:uid="{00000000-0002-0000-0300-000004000000}">
      <formula1>$C$187:$C$189</formula1>
    </dataValidation>
    <dataValidation type="list" allowBlank="1" showInputMessage="1" showErrorMessage="1" sqref="K133:K134" xr:uid="{00000000-0002-0000-0300-000005000000}">
      <formula1>#REF!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45F865ACAA6DA4BB67F4631615921B0" ma:contentTypeVersion="17" ma:contentTypeDescription="The base project type from which other project content types inherit their information." ma:contentTypeScope="" ma:versionID="38c7de843f011ce5e82c94a4622dc63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7CB830D1C521441BB7DBC570D53A977" ma:contentTypeVersion="25" ma:contentTypeDescription="A content type to manage public (operations) IDB documents" ma:contentTypeScope="" ma:versionID="d11388e3a1d05b659289f5086905203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5d20ebd95fe09f2b323e12deac28aa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G100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Restrepo, Lisa Sofia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df999e47-917d-4472-816d-a86e81d36db0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FMM</TermName>
          <TermId xmlns="http://schemas.microsoft.com/office/infopath/2007/PartnerControls">5a0e158a-fa1d-4667-b8cd-3b546c0b06f2</TermId>
        </TermInfo>
      </Terms>
    </g511464f9e53401d84b16fa9b379a574>
    <TaxCatchAll xmlns="cdc7663a-08f0-4737-9e8c-148ce897a09c">
      <Value>48</Value>
      <Value>26</Value>
      <Value>25</Value>
      <Value>2</Value>
      <Value>22</Value>
    </TaxCatchAll>
    <Operation_x0020_Type xmlns="cdc7663a-08f0-4737-9e8c-148ce897a09c">Investment Grants</Operation_x0020_Type>
    <Package_x0020_Code xmlns="cdc7663a-08f0-4737-9e8c-148ce897a09c" xsi:nil="true"/>
    <Identifier xmlns="cdc7663a-08f0-4737-9e8c-148ce897a09c" xsi:nil="true"/>
    <Project_x0020_Number xmlns="cdc7663a-08f0-4737-9e8c-148ce897a09c">BR-G1004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R0001247363</Record_x0020_Number>
    <_dlc_DocId xmlns="cdc7663a-08f0-4737-9e8c-148ce897a09c">EZSHARE-1522162025-9</_dlc_DocId>
    <_dlc_DocIdUrl xmlns="cdc7663a-08f0-4737-9e8c-148ce897a09c">
      <Url>https://idbg.sharepoint.com/teams/EZ-BR-IGR/BR-G1004/_layouts/15/DocIdRedir.aspx?ID=EZSHARE-1522162025-9</Url>
      <Description>EZSHARE-1522162025-9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D46D8674-211C-420B-967D-F89306BF9D7C}"/>
</file>

<file path=customXml/itemProps2.xml><?xml version="1.0" encoding="utf-8"?>
<ds:datastoreItem xmlns:ds="http://schemas.openxmlformats.org/officeDocument/2006/customXml" ds:itemID="{63807BA6-F7B2-4F7E-9FAD-C79AE2CD294A}"/>
</file>

<file path=customXml/itemProps3.xml><?xml version="1.0" encoding="utf-8"?>
<ds:datastoreItem xmlns:ds="http://schemas.openxmlformats.org/officeDocument/2006/customXml" ds:itemID="{34C64709-7927-4295-9E11-BDE4DA791840}"/>
</file>

<file path=customXml/itemProps4.xml><?xml version="1.0" encoding="utf-8"?>
<ds:datastoreItem xmlns:ds="http://schemas.openxmlformats.org/officeDocument/2006/customXml" ds:itemID="{C0457201-36FD-4D01-BE3B-A5412BECD8E0}"/>
</file>

<file path=customXml/itemProps5.xml><?xml version="1.0" encoding="utf-8"?>
<ds:datastoreItem xmlns:ds="http://schemas.openxmlformats.org/officeDocument/2006/customXml" ds:itemID="{D2679B32-4283-4C0D-A1AB-EF3D2FF081BA}"/>
</file>

<file path=customXml/itemProps6.xml><?xml version="1.0" encoding="utf-8"?>
<ds:datastoreItem xmlns:ds="http://schemas.openxmlformats.org/officeDocument/2006/customXml" ds:itemID="{09F893D8-74DD-4711-B8CA-53675C70E5A0}"/>
</file>

<file path=customXml/itemProps7.xml><?xml version="1.0" encoding="utf-8"?>
<ds:datastoreItem xmlns:ds="http://schemas.openxmlformats.org/officeDocument/2006/customXml" ds:itemID="{A57BF49D-44A9-48D3-B2B1-4CAED5AA4C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Instruções</vt:lpstr>
      <vt:lpstr>Detalhe Plano de Aquisções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Restrepo, Lisa Sofia</cp:lastModifiedBy>
  <dcterms:created xsi:type="dcterms:W3CDTF">2011-03-30T14:45:37Z</dcterms:created>
  <dcterms:modified xsi:type="dcterms:W3CDTF">2017-09-08T14:10:39Z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48;#ENVIRONMENT AND NATURAL DISASTERS|df999e47-917d-4472-816d-a86e81d36db0</vt:lpwstr>
  </property>
  <property fmtid="{D5CDD505-2E9C-101B-9397-08002B2CF9AE}" pid="7" name="Fund IDB">
    <vt:lpwstr>25;#FMM|5a0e158a-fa1d-4667-b8cd-3b546c0b06f2</vt:lpwstr>
  </property>
  <property fmtid="{D5CDD505-2E9C-101B-9397-08002B2CF9AE}" pid="8" name="Country">
    <vt:lpwstr>22;#Brazil|7deb27ec-6837-4974-9aa8-6cfbac841ef8</vt:lpwstr>
  </property>
  <property fmtid="{D5CDD505-2E9C-101B-9397-08002B2CF9AE}" pid="9" name="Sector IDB">
    <vt:lpwstr>26;#ENVIRONMENT AND NATURAL DISASTERS|261e2b33-090b-4ab0-8e06-3aa3e7f32d57</vt:lpwstr>
  </property>
  <property fmtid="{D5CDD505-2E9C-101B-9397-08002B2CF9AE}" pid="10" name="Function Operations IDB">
    <vt:lpwstr>2;#Monitoring and Reporting|df3c2aa1-d63e-41aa-b1f5-bb15dee691ca</vt:lpwstr>
  </property>
  <property fmtid="{D5CDD505-2E9C-101B-9397-08002B2CF9AE}" pid="11" name="_dlc_DocIdItemGuid">
    <vt:lpwstr>cf92c659-5a9f-43de-9d3b-34624befc33b</vt:lpwstr>
  </property>
  <property fmtid="{D5CDD505-2E9C-101B-9397-08002B2CF9AE}" pid="12" name="RecordPoint_ActiveItemMoved">
    <vt:lpwstr>/teams/EZ-BR-IGR/BR-G1004/15 LifeCycle Milestones/Draft Area/Required Link - Procurement Plan (PA).xlsx</vt:lpwstr>
  </property>
  <property fmtid="{D5CDD505-2E9C-101B-9397-08002B2CF9AE}" pid="13" name="RecordStorageActiveId">
    <vt:lpwstr>66f84cc6-d96b-4cf2-a8a4-fbc562adac50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0x0101001A458A224826124E8B45B1D613300CFC00E7CB830D1C521441BB7DBC570D53A977</vt:lpwstr>
  </property>
</Properties>
</file>