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OURDESA\Desktop\"/>
    </mc:Choice>
  </mc:AlternateContent>
  <bookViews>
    <workbookView xWindow="0" yWindow="0" windowWidth="22140" windowHeight="9636" tabRatio="952" xr2:uid="{00000000-000D-0000-FFFF-FFFF00000000}"/>
  </bookViews>
  <sheets>
    <sheet name="Resumen" sheetId="13" r:id="rId1"/>
    <sheet name="Componentes" sheetId="11" r:id="rId2"/>
    <sheet name="Seguimiento_ME_Auditoria" sheetId="4" r:id="rId3"/>
    <sheet name="Costos RRHH_UCP" sheetId="10" r:id="rId4"/>
    <sheet name="Costo Gerencia Integral -GIP" sheetId="15" r:id="rId5"/>
    <sheet name="Memoria de calculo" sheetId="17" r:id="rId6"/>
  </sheets>
  <externalReferences>
    <externalReference r:id="rId7"/>
    <externalReference r:id="rId8"/>
  </externalReferences>
  <calcPr calcId="171027"/>
</workbook>
</file>

<file path=xl/calcChain.xml><?xml version="1.0" encoding="utf-8"?>
<calcChain xmlns="http://schemas.openxmlformats.org/spreadsheetml/2006/main">
  <c r="I16" i="11" l="1"/>
  <c r="H16" i="11"/>
  <c r="L16" i="11"/>
  <c r="K43" i="11" l="1"/>
  <c r="K44" i="11"/>
  <c r="H34" i="11"/>
  <c r="I34" i="11" s="1"/>
  <c r="K34" i="11" s="1"/>
  <c r="L34" i="11" s="1"/>
  <c r="G5" i="17"/>
  <c r="G20" i="11" s="1"/>
  <c r="F20" i="11"/>
  <c r="G6" i="17"/>
  <c r="G21" i="11" s="1"/>
  <c r="F21" i="11"/>
  <c r="D8" i="17"/>
  <c r="E8" i="17" s="1"/>
  <c r="F22" i="11"/>
  <c r="D9" i="17"/>
  <c r="E9" i="17" s="1"/>
  <c r="G9" i="17" s="1"/>
  <c r="F23" i="11"/>
  <c r="D10" i="17"/>
  <c r="E10" i="17" s="1"/>
  <c r="F24" i="11"/>
  <c r="G7" i="17"/>
  <c r="G36" i="11" s="1"/>
  <c r="D5" i="17"/>
  <c r="E5" i="17" s="1"/>
  <c r="D6" i="17"/>
  <c r="C6" i="17"/>
  <c r="D7" i="17"/>
  <c r="C7" i="17"/>
  <c r="F25" i="11"/>
  <c r="F35" i="11"/>
  <c r="H35" i="11"/>
  <c r="I35" i="11" s="1"/>
  <c r="K35" i="11" s="1"/>
  <c r="L35" i="11" s="1"/>
  <c r="F36" i="11"/>
  <c r="H10" i="11"/>
  <c r="H12" i="11"/>
  <c r="I12" i="11" s="1"/>
  <c r="K12" i="11" s="1"/>
  <c r="L12" i="11" s="1"/>
  <c r="I9" i="11"/>
  <c r="K9" i="11"/>
  <c r="L9" i="11" s="1"/>
  <c r="I11" i="11"/>
  <c r="K11" i="11" s="1"/>
  <c r="L11" i="11" s="1"/>
  <c r="H14" i="10"/>
  <c r="H15" i="10"/>
  <c r="E8" i="10"/>
  <c r="H8" i="10"/>
  <c r="H12" i="10" s="1"/>
  <c r="E9" i="10"/>
  <c r="H9" i="10"/>
  <c r="I9" i="10" s="1"/>
  <c r="I12" i="10" s="1"/>
  <c r="E10" i="10"/>
  <c r="H10" i="10"/>
  <c r="E11" i="10"/>
  <c r="H11" i="10"/>
  <c r="F5" i="15"/>
  <c r="G5" i="15"/>
  <c r="H5" i="15"/>
  <c r="F6" i="15"/>
  <c r="G6" i="15"/>
  <c r="H6" i="15"/>
  <c r="F7" i="15"/>
  <c r="G7" i="15" s="1"/>
  <c r="H7" i="15" s="1"/>
  <c r="F8" i="15"/>
  <c r="G8" i="15"/>
  <c r="H8" i="15" s="1"/>
  <c r="F9" i="15"/>
  <c r="G9" i="15"/>
  <c r="H9" i="15"/>
  <c r="F10" i="15"/>
  <c r="G10" i="15"/>
  <c r="H10" i="15"/>
  <c r="F11" i="15"/>
  <c r="G11" i="15" s="1"/>
  <c r="H11" i="15" s="1"/>
  <c r="F12" i="15"/>
  <c r="G12" i="15"/>
  <c r="H12" i="15" s="1"/>
  <c r="F13" i="15"/>
  <c r="G13" i="15"/>
  <c r="H13" i="15"/>
  <c r="F14" i="15"/>
  <c r="G14" i="15"/>
  <c r="H14" i="15"/>
  <c r="F15" i="15"/>
  <c r="G15" i="15" s="1"/>
  <c r="H15" i="15" s="1"/>
  <c r="F16" i="15"/>
  <c r="G16" i="15"/>
  <c r="H16" i="15" s="1"/>
  <c r="G18" i="15"/>
  <c r="H18" i="15"/>
  <c r="G19" i="15"/>
  <c r="H19" i="15"/>
  <c r="G20" i="15"/>
  <c r="H20" i="15"/>
  <c r="G21" i="15"/>
  <c r="H21" i="15"/>
  <c r="G22" i="15"/>
  <c r="H22" i="15"/>
  <c r="G23" i="15"/>
  <c r="H23" i="15"/>
  <c r="F24" i="15"/>
  <c r="G24" i="15"/>
  <c r="H24" i="15" s="1"/>
  <c r="F25" i="15"/>
  <c r="G25" i="15"/>
  <c r="H25" i="15"/>
  <c r="G26" i="15"/>
  <c r="H26" i="15"/>
  <c r="G27" i="15"/>
  <c r="H27" i="15"/>
  <c r="G28" i="15"/>
  <c r="E29" i="15"/>
  <c r="E28" i="15"/>
  <c r="H28" i="15"/>
  <c r="G29" i="15"/>
  <c r="H29" i="15"/>
  <c r="G30" i="15"/>
  <c r="H30" i="15"/>
  <c r="K45" i="11"/>
  <c r="K51" i="11"/>
  <c r="L51" i="11" s="1"/>
  <c r="K52" i="11"/>
  <c r="L52" i="11" s="1"/>
  <c r="K53" i="11"/>
  <c r="L53" i="11" s="1"/>
  <c r="K59" i="11"/>
  <c r="L59" i="11" s="1"/>
  <c r="I61" i="11"/>
  <c r="I60" i="11" s="1"/>
  <c r="K60" i="11" s="1"/>
  <c r="K62" i="11"/>
  <c r="I64" i="11"/>
  <c r="I65" i="11"/>
  <c r="K67" i="11"/>
  <c r="L67" i="11" s="1"/>
  <c r="F14" i="4"/>
  <c r="G14" i="4" s="1"/>
  <c r="F15" i="4"/>
  <c r="G15" i="4"/>
  <c r="F16" i="4"/>
  <c r="G16" i="4" s="1"/>
  <c r="L43" i="11"/>
  <c r="L44" i="11"/>
  <c r="L45" i="11"/>
  <c r="L62" i="11"/>
  <c r="D66" i="11"/>
  <c r="I66" i="11" s="1"/>
  <c r="D56" i="11"/>
  <c r="D58" i="11"/>
  <c r="I58" i="11"/>
  <c r="H67" i="11"/>
  <c r="G59" i="11"/>
  <c r="H59" i="11"/>
  <c r="G62" i="11"/>
  <c r="H62" i="11"/>
  <c r="D48" i="11"/>
  <c r="D50" i="11"/>
  <c r="I50" i="11" s="1"/>
  <c r="G53" i="11"/>
  <c r="H53" i="11"/>
  <c r="G52" i="11"/>
  <c r="H52" i="11" s="1"/>
  <c r="G51" i="11"/>
  <c r="H51" i="11"/>
  <c r="G44" i="11"/>
  <c r="H44" i="11" s="1"/>
  <c r="G45" i="11"/>
  <c r="H45" i="11"/>
  <c r="G43" i="11"/>
  <c r="H43" i="11" s="1"/>
  <c r="I14" i="10"/>
  <c r="I15" i="10" s="1"/>
  <c r="I16" i="10" s="1"/>
  <c r="I8" i="10"/>
  <c r="I10" i="10"/>
  <c r="I11" i="10"/>
  <c r="A10" i="13"/>
  <c r="D11" i="17"/>
  <c r="E11" i="17" s="1"/>
  <c r="E18" i="17"/>
  <c r="I18" i="17"/>
  <c r="J18" i="17"/>
  <c r="J16" i="17"/>
  <c r="J15" i="17"/>
  <c r="F7" i="17"/>
  <c r="F6" i="17"/>
  <c r="A7" i="13"/>
  <c r="B27" i="15"/>
  <c r="B26" i="15"/>
  <c r="B25" i="15"/>
  <c r="B24" i="15"/>
  <c r="B23" i="15"/>
  <c r="B22" i="15"/>
  <c r="B21" i="15"/>
  <c r="B20" i="15"/>
  <c r="B19" i="15"/>
  <c r="B12" i="10"/>
  <c r="C16" i="4"/>
  <c r="C15" i="4"/>
  <c r="C14" i="4"/>
  <c r="A9" i="13"/>
  <c r="A8" i="13"/>
  <c r="H17" i="15" l="1"/>
  <c r="H4" i="15"/>
  <c r="K14" i="11" s="1"/>
  <c r="H16" i="10"/>
  <c r="F9" i="4" s="1"/>
  <c r="I63" i="11"/>
  <c r="G63" i="11" s="1"/>
  <c r="H63" i="11" s="1"/>
  <c r="H21" i="11"/>
  <c r="I21" i="11" s="1"/>
  <c r="K21" i="11" s="1"/>
  <c r="L21" i="11" s="1"/>
  <c r="I10" i="11"/>
  <c r="K10" i="11" s="1"/>
  <c r="L10" i="11" s="1"/>
  <c r="H5" i="17"/>
  <c r="E7" i="17"/>
  <c r="I7" i="17" s="1"/>
  <c r="J7" i="17" s="1"/>
  <c r="E6" i="17"/>
  <c r="I6" i="17" s="1"/>
  <c r="J6" i="17" s="1"/>
  <c r="K5" i="17"/>
  <c r="L5" i="17" s="1"/>
  <c r="K7" i="17"/>
  <c r="L7" i="17" s="1"/>
  <c r="H7" i="17"/>
  <c r="K6" i="17"/>
  <c r="L6" i="17" s="1"/>
  <c r="H6" i="17"/>
  <c r="I9" i="17"/>
  <c r="J9" i="17" s="1"/>
  <c r="G17" i="4"/>
  <c r="B11" i="13" s="1"/>
  <c r="C11" i="13" s="1"/>
  <c r="F17" i="4"/>
  <c r="L60" i="11"/>
  <c r="H36" i="11"/>
  <c r="H40" i="11" s="1"/>
  <c r="G60" i="11"/>
  <c r="H60" i="11" s="1"/>
  <c r="I10" i="17"/>
  <c r="J10" i="17" s="1"/>
  <c r="G10" i="17"/>
  <c r="I5" i="17"/>
  <c r="E13" i="17"/>
  <c r="E14" i="17" s="1"/>
  <c r="E15" i="17" s="1"/>
  <c r="E16" i="17" s="1"/>
  <c r="E17" i="17" s="1"/>
  <c r="I8" i="17"/>
  <c r="J8" i="17" s="1"/>
  <c r="G8" i="17"/>
  <c r="H20" i="11"/>
  <c r="G11" i="17"/>
  <c r="I11" i="17"/>
  <c r="J11" i="17" s="1"/>
  <c r="H38" i="11"/>
  <c r="H33" i="11"/>
  <c r="H9" i="17"/>
  <c r="G23" i="11"/>
  <c r="H23" i="11" s="1"/>
  <c r="I23" i="11" s="1"/>
  <c r="K23" i="11" s="1"/>
  <c r="L23" i="11" s="1"/>
  <c r="K9" i="17"/>
  <c r="L9" i="17" s="1"/>
  <c r="H42" i="11" l="1"/>
  <c r="I42" i="11"/>
  <c r="K63" i="11"/>
  <c r="L14" i="11"/>
  <c r="H14" i="11"/>
  <c r="I14" i="11"/>
  <c r="K15" i="11"/>
  <c r="K13" i="11" s="1"/>
  <c r="K8" i="11" s="1"/>
  <c r="H31" i="15"/>
  <c r="F8" i="4"/>
  <c r="F10" i="4" s="1"/>
  <c r="G9" i="4"/>
  <c r="G8" i="4" s="1"/>
  <c r="I36" i="11"/>
  <c r="K36" i="11" s="1"/>
  <c r="I40" i="11"/>
  <c r="H39" i="11"/>
  <c r="H32" i="11" s="1"/>
  <c r="E19" i="17"/>
  <c r="I19" i="17" s="1"/>
  <c r="J19" i="17" s="1"/>
  <c r="E20" i="17"/>
  <c r="K11" i="17"/>
  <c r="L11" i="17" s="1"/>
  <c r="H11" i="17"/>
  <c r="I38" i="11"/>
  <c r="I20" i="11"/>
  <c r="J5" i="17"/>
  <c r="J17" i="17" s="1"/>
  <c r="I17" i="17"/>
  <c r="H10" i="17"/>
  <c r="G24" i="11"/>
  <c r="H24" i="11" s="1"/>
  <c r="I24" i="11" s="1"/>
  <c r="K24" i="11" s="1"/>
  <c r="L24" i="11" s="1"/>
  <c r="K10" i="17"/>
  <c r="L10" i="17" s="1"/>
  <c r="G13" i="17"/>
  <c r="G14" i="17" s="1"/>
  <c r="G15" i="17" s="1"/>
  <c r="G16" i="17" s="1"/>
  <c r="G17" i="17" s="1"/>
  <c r="K8" i="17"/>
  <c r="G22" i="11"/>
  <c r="H8" i="17"/>
  <c r="B12" i="13" l="1"/>
  <c r="C12" i="13" s="1"/>
  <c r="G10" i="4"/>
  <c r="L63" i="11"/>
  <c r="L42" i="11" s="1"/>
  <c r="L41" i="11" s="1"/>
  <c r="K42" i="11"/>
  <c r="I13" i="11"/>
  <c r="I8" i="11" s="1"/>
  <c r="L15" i="11"/>
  <c r="I15" i="11"/>
  <c r="H15" i="11"/>
  <c r="H13" i="11" s="1"/>
  <c r="H8" i="11" s="1"/>
  <c r="L13" i="11"/>
  <c r="L8" i="11" s="1"/>
  <c r="B7" i="13" s="1"/>
  <c r="C7" i="13" s="1"/>
  <c r="H13" i="17"/>
  <c r="H14" i="17" s="1"/>
  <c r="H15" i="17" s="1"/>
  <c r="H16" i="17" s="1"/>
  <c r="H17" i="17" s="1"/>
  <c r="I33" i="11"/>
  <c r="H37" i="11"/>
  <c r="K20" i="11"/>
  <c r="L20" i="11" s="1"/>
  <c r="L8" i="17"/>
  <c r="L17" i="17" s="1"/>
  <c r="K17" i="17"/>
  <c r="H22" i="11"/>
  <c r="G19" i="11"/>
  <c r="G25" i="11" s="1"/>
  <c r="H25" i="11" s="1"/>
  <c r="K33" i="11"/>
  <c r="L36" i="11"/>
  <c r="L33" i="11" s="1"/>
  <c r="I37" i="11"/>
  <c r="K37" i="11" s="1"/>
  <c r="K38" i="11"/>
  <c r="L38" i="11" s="1"/>
  <c r="L37" i="11" s="1"/>
  <c r="E21" i="17"/>
  <c r="I20" i="17"/>
  <c r="K40" i="11"/>
  <c r="I39" i="11"/>
  <c r="K41" i="11" l="1"/>
  <c r="B10" i="13"/>
  <c r="C10" i="13" s="1"/>
  <c r="I32" i="11"/>
  <c r="I25" i="11"/>
  <c r="K25" i="11" s="1"/>
  <c r="L25" i="11" s="1"/>
  <c r="H28" i="11"/>
  <c r="I28" i="11" s="1"/>
  <c r="K28" i="11" s="1"/>
  <c r="L28" i="11" s="1"/>
  <c r="H31" i="11"/>
  <c r="I31" i="11" s="1"/>
  <c r="K31" i="11" s="1"/>
  <c r="L31" i="11" s="1"/>
  <c r="I22" i="11"/>
  <c r="H19" i="11"/>
  <c r="K39" i="11"/>
  <c r="K32" i="11" s="1"/>
  <c r="L40" i="11"/>
  <c r="L39" i="11" s="1"/>
  <c r="L32" i="11" s="1"/>
  <c r="B9" i="13" s="1"/>
  <c r="C9" i="13" s="1"/>
  <c r="I21" i="17"/>
  <c r="K19" i="17" s="1"/>
  <c r="J20" i="17"/>
  <c r="J21" i="17" s="1"/>
  <c r="L19" i="17" s="1"/>
  <c r="H18" i="11" l="1"/>
  <c r="H30" i="11"/>
  <c r="H27" i="11"/>
  <c r="K22" i="11"/>
  <c r="L22" i="11" s="1"/>
  <c r="L19" i="11" s="1"/>
  <c r="L18" i="11" s="1"/>
  <c r="I19" i="11"/>
  <c r="I27" i="11" l="1"/>
  <c r="H26" i="11"/>
  <c r="I30" i="11"/>
  <c r="H29" i="11"/>
  <c r="K19" i="11"/>
  <c r="K18" i="11" s="1"/>
  <c r="I18" i="11"/>
  <c r="H17" i="11" l="1"/>
  <c r="I29" i="11"/>
  <c r="K29" i="11" s="1"/>
  <c r="K30" i="11"/>
  <c r="L30" i="11" s="1"/>
  <c r="L29" i="11" s="1"/>
  <c r="K27" i="11"/>
  <c r="L27" i="11" s="1"/>
  <c r="L26" i="11" s="1"/>
  <c r="I26" i="11"/>
  <c r="K26" i="11" s="1"/>
  <c r="K17" i="11" l="1"/>
  <c r="L17" i="11"/>
  <c r="B8" i="13" s="1"/>
  <c r="B13" i="13" s="1"/>
  <c r="B14" i="13" s="1"/>
  <c r="I17" i="11"/>
  <c r="C8" i="13" l="1"/>
  <c r="C13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</author>
  </authors>
  <commentList>
    <comment ref="F20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30% IAU
30% incertidumbre
</t>
        </r>
      </text>
    </comment>
    <comment ref="F3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8% del valor de obra</t>
        </r>
      </text>
    </comment>
    <comment ref="B67" authorId="0" shapeId="0" xr:uid="{00000000-0006-0000-0100-000003000000}">
      <text>
        <r>
          <rPr>
            <sz val="9"/>
            <color indexed="81"/>
            <rFont val="Tahoma"/>
            <family val="2"/>
          </rPr>
          <t>Incluye: actividades de socialización sobre el pago del servicio, conexión a la red de alcantarillado, educación sanitaria y ambiental.</t>
        </r>
      </text>
    </comment>
  </commentList>
</comments>
</file>

<file path=xl/sharedStrings.xml><?xml version="1.0" encoding="utf-8"?>
<sst xmlns="http://schemas.openxmlformats.org/spreadsheetml/2006/main" count="311" uniqueCount="202">
  <si>
    <t>Unidad</t>
  </si>
  <si>
    <t>N° Unidades</t>
  </si>
  <si>
    <t>Total
(USD)</t>
  </si>
  <si>
    <t>TOTAL</t>
  </si>
  <si>
    <t>BID</t>
  </si>
  <si>
    <t>Suma alzada</t>
  </si>
  <si>
    <t>Meses</t>
  </si>
  <si>
    <t>Duración</t>
  </si>
  <si>
    <t>Salario</t>
  </si>
  <si>
    <t>Años</t>
  </si>
  <si>
    <t>Cantidad</t>
  </si>
  <si>
    <t>ADMINISTRACIÓN</t>
  </si>
  <si>
    <t>Total RRHH</t>
  </si>
  <si>
    <t>Gastos Operativos</t>
  </si>
  <si>
    <t>Auditorias administrativas/financieras</t>
  </si>
  <si>
    <t>US$/año</t>
  </si>
  <si>
    <t>Presupuesto Detallado (US$)</t>
  </si>
  <si>
    <t>COMPONENTES</t>
  </si>
  <si>
    <t>Administración</t>
  </si>
  <si>
    <t>Financiamiento</t>
  </si>
  <si>
    <t>Fuente</t>
  </si>
  <si>
    <t>Evaluación Intermedia del Programa</t>
  </si>
  <si>
    <t>Evaluación Final del Programa (inlcuye Expost)</t>
  </si>
  <si>
    <t>2.1.1</t>
  </si>
  <si>
    <t>Suma Alzada</t>
  </si>
  <si>
    <t>2.2.1</t>
  </si>
  <si>
    <t>2.1.2</t>
  </si>
  <si>
    <t>Total Administración del Proyecto</t>
  </si>
  <si>
    <t>ADMINISTRACION - PROGRAMA CO-L 1232 / BID</t>
  </si>
  <si>
    <t>COMPONENTES / PROGRAMA CO-L 1232 / BID</t>
  </si>
  <si>
    <t>CO-L 1232</t>
  </si>
  <si>
    <t>Programa de Saneamiento para la Ciudad de Mocoa, en el Marco del Plan para la Reconstrucción del Municipio de Mocoa</t>
  </si>
  <si>
    <t>Costo Unitario ($)</t>
  </si>
  <si>
    <t>$</t>
  </si>
  <si>
    <t>Costo Unitario 
($)</t>
  </si>
  <si>
    <t>Costo Unitario
(USD)</t>
  </si>
  <si>
    <t>Pesos/USD=</t>
  </si>
  <si>
    <t>Costo Unitario (USD)</t>
  </si>
  <si>
    <t>TOTAL 
USD</t>
  </si>
  <si>
    <t>USD</t>
  </si>
  <si>
    <t>Supervisión de obras, social y ambiental</t>
  </si>
  <si>
    <t>Supervisión de obras del interceptor principal a la PTAR y emisario de descarga de las aguas al rio MOCOA.</t>
  </si>
  <si>
    <t>Fortalecimiento  de capacidades técnicas e institucionales y el  equipamiento a los Operadores Prestadores de Servicios</t>
  </si>
  <si>
    <t>Colectores</t>
  </si>
  <si>
    <t>Interceptores</t>
  </si>
  <si>
    <t>Emisiarios</t>
  </si>
  <si>
    <t>Estaciones de Bombeo - Obras complementarias</t>
  </si>
  <si>
    <t>Planta de tratamiento sistema y obras</t>
  </si>
  <si>
    <t>% Costo vinculado</t>
  </si>
  <si>
    <t>Plan de Manejo Ambiental</t>
  </si>
  <si>
    <t>Costo Ajustado
($)</t>
  </si>
  <si>
    <t>Costo Ajustado (US$)</t>
  </si>
  <si>
    <t>Muestra</t>
  </si>
  <si>
    <t>Coordinador del Programa</t>
  </si>
  <si>
    <t>Especialista Adquisiciones/Legal</t>
  </si>
  <si>
    <t>Especialista Financiero</t>
  </si>
  <si>
    <t>Ingeniero Civil (viabilizaciones y seguimiento)</t>
  </si>
  <si>
    <t>Especialista Adquisiciones</t>
  </si>
  <si>
    <t>Costos Administrativos UCP</t>
  </si>
  <si>
    <t>Apoyo Tecnico - Administrativo</t>
  </si>
  <si>
    <t>EDT</t>
  </si>
  <si>
    <t>ITEMS</t>
  </si>
  <si>
    <t xml:space="preserve">Cantidad </t>
  </si>
  <si>
    <t>Total (USD)</t>
  </si>
  <si>
    <t>3.1</t>
  </si>
  <si>
    <t>3.1.1</t>
  </si>
  <si>
    <t>3.1.2</t>
  </si>
  <si>
    <t>3.1.3</t>
  </si>
  <si>
    <t>3.1.5</t>
  </si>
  <si>
    <t>3.1.6</t>
  </si>
  <si>
    <t>3.1.7</t>
  </si>
  <si>
    <t>3.1.9</t>
  </si>
  <si>
    <t>Especialista de Planeación y Seguimiento</t>
  </si>
  <si>
    <t>3.1.13</t>
  </si>
  <si>
    <t>3.1.14</t>
  </si>
  <si>
    <t>3.1.15</t>
  </si>
  <si>
    <t>3.1.16</t>
  </si>
  <si>
    <t>3.2</t>
  </si>
  <si>
    <t>3.2.1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</si>
  <si>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</si>
  <si>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</si>
  <si>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</si>
  <si>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</si>
  <si>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</si>
  <si>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</si>
  <si>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</si>
  <si>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</si>
  <si>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</si>
  <si>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</si>
  <si>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Viatico</t>
  </si>
  <si>
    <t>3.2.13</t>
  </si>
  <si>
    <t>Tickest áreos</t>
  </si>
  <si>
    <t>3.2.14</t>
  </si>
  <si>
    <t>Coordinador Componente Saneamiento y PTAR</t>
  </si>
  <si>
    <t>Profesional Contable</t>
  </si>
  <si>
    <t>Profesional Adquisiciones</t>
  </si>
  <si>
    <t>Personal - Gerencia Integral del Programa (GIP)</t>
  </si>
  <si>
    <t>Gastos de Operación y Logistica - Gerencia Integral del Programa (GIP)</t>
  </si>
  <si>
    <t>Costo Unitario
($)</t>
  </si>
  <si>
    <t>Especialista Proyectos de PTAR</t>
  </si>
  <si>
    <t>Recursos Humanos UCP</t>
  </si>
  <si>
    <t>Recursos Humanos  UCP</t>
  </si>
  <si>
    <t>RECURSOS HUMANOS - UCP / PROGRAMA CO-L 1232 / BID</t>
  </si>
  <si>
    <t>Costos de Administración para la Gerencia Integral del Progrrama (GIP)</t>
  </si>
  <si>
    <t>Overhead</t>
  </si>
  <si>
    <t>Especialista Administrativo-Financiero</t>
  </si>
  <si>
    <t>Componente 2 - Inversión redes y colectores (Obras Multiples)</t>
  </si>
  <si>
    <t>2.1.1.1</t>
  </si>
  <si>
    <t>2.1.1.2</t>
  </si>
  <si>
    <t>2.1.1.3</t>
  </si>
  <si>
    <t>Componente 3 -  Sistema de Tratamiento de Agua Residuales (Obras Especificas)</t>
  </si>
  <si>
    <t>Componente 4 - Fortalecimiento de capacidades y educación sanitaria</t>
  </si>
  <si>
    <t>4.1.1</t>
  </si>
  <si>
    <t>4.1.2</t>
  </si>
  <si>
    <t>4.1.3</t>
  </si>
  <si>
    <t>4.1.4</t>
  </si>
  <si>
    <t>4.1.5</t>
  </si>
  <si>
    <t>2.1.1.4</t>
  </si>
  <si>
    <t>IVA</t>
  </si>
  <si>
    <t xml:space="preserve">Auxiliar de ingenieria </t>
  </si>
  <si>
    <t>Residente de ingenieria</t>
  </si>
  <si>
    <t>Software de ingenieria</t>
  </si>
  <si>
    <t>Arendamiento Sede Principal y Sede MOCOA</t>
  </si>
  <si>
    <t xml:space="preserve">Especialista Social / Ambiental </t>
  </si>
  <si>
    <t>Interventoria para la elaboración del diseño del Sistema de Alcantarillado Sanitario y PTAR.</t>
  </si>
  <si>
    <t>Estudios y diseños del Sistema de Alcantarillado Sanitario y PTAR.</t>
  </si>
  <si>
    <t>Elaboración del Plan Maestro del Municipio de MOCOA.</t>
  </si>
  <si>
    <t>Interventoria para la elaboración del Plan Maestro.</t>
  </si>
  <si>
    <t>Adquisición de predios para las obras del proyecto</t>
  </si>
  <si>
    <t>Cunetas - Obras Complementarias</t>
  </si>
  <si>
    <t>Alivios y entregas a cursos de agua - Obras Complementarias</t>
  </si>
  <si>
    <t>Obras - Muestra</t>
  </si>
  <si>
    <t>Otras obras de colectores, interceptores, emisarios, obras complementarias en el Municipio de Mocoa.</t>
  </si>
  <si>
    <t>ESTIMACION COSTOS ESTUDIOS TECNICOS</t>
  </si>
  <si>
    <t>Costo total</t>
  </si>
  <si>
    <t xml:space="preserve">Costo total </t>
  </si>
  <si>
    <t>Miles $ CO</t>
  </si>
  <si>
    <t>con incertidum y AIU</t>
  </si>
  <si>
    <t>en USD</t>
  </si>
  <si>
    <t>Item del proyecto</t>
  </si>
  <si>
    <t>Un</t>
  </si>
  <si>
    <t>Cantidades</t>
  </si>
  <si>
    <t>Vr Unitario</t>
  </si>
  <si>
    <t>Vr Total proyecto $</t>
  </si>
  <si>
    <t>Total</t>
  </si>
  <si>
    <t>$Col</t>
  </si>
  <si>
    <t>ml</t>
  </si>
  <si>
    <t>un</t>
  </si>
  <si>
    <t>km</t>
  </si>
  <si>
    <t>Costo directo nivel conceptual</t>
  </si>
  <si>
    <t>Incremento por incertidumbre</t>
  </si>
  <si>
    <t>Incremento al pasar de ing conceptual a Ing de detalle</t>
  </si>
  <si>
    <t>Costo directo incluido incertidumbre</t>
  </si>
  <si>
    <t>AIU (discriminar)</t>
  </si>
  <si>
    <t>Valor estimado obras</t>
  </si>
  <si>
    <t>Predios infraestructura de proyectos</t>
  </si>
  <si>
    <t>ha</t>
  </si>
  <si>
    <t>Plan de manejo ambiental (detallar)</t>
  </si>
  <si>
    <t>Interventoria de obra</t>
  </si>
  <si>
    <t>Obras mas interventorias+predios</t>
  </si>
  <si>
    <t>Interventoria de obras - muestra</t>
  </si>
  <si>
    <t>Interventoria de otras obras</t>
  </si>
  <si>
    <t>2.2.2</t>
  </si>
  <si>
    <t>Construcción del interceptor principal  a la PTAR y emisario de descarga de las aguas al rio MOCOA - (muestra)</t>
  </si>
  <si>
    <t>Obras Alcantarillado, Gestión Social y Ambiental</t>
  </si>
  <si>
    <t>Obras PTAR, Gestión Social y Ambiental</t>
  </si>
  <si>
    <t xml:space="preserve">Educación ambiental y sanitaria para la población que incluye actividades de socialización sobre el pago del servicios y conexión de a la red de alcantarillado. </t>
  </si>
  <si>
    <t xml:space="preserve">Desarrollar e implementar un Plan de Comunicación </t>
  </si>
  <si>
    <t xml:space="preserve">Fortalecimiento del Municipio de Mocoa en sus competencias y responsabilidades de acuerdo con la Ley de Servicios Públicos. </t>
  </si>
  <si>
    <t>Plan de Manejo Ambiental - Muestra</t>
  </si>
  <si>
    <t>Plan de Manejo Ambiental - PTAR</t>
  </si>
  <si>
    <t>Bienes</t>
  </si>
  <si>
    <t>Equipamiento y otros</t>
  </si>
  <si>
    <t>Total Bienes</t>
  </si>
  <si>
    <t>Total Costos UCP</t>
  </si>
  <si>
    <t>Estudio sobre esquemas de prestación de servicios de AyS en el municipio de Mocoa.</t>
  </si>
  <si>
    <t>Plan de Aseguramiento para la Prestación de los Servicios</t>
  </si>
  <si>
    <t xml:space="preserve">Prestadores del servicio de AyS en el Municipio de Mocoa equipados para la gestión sostenible de los servicios </t>
  </si>
  <si>
    <t>Adquisición de equipo presión-succión</t>
  </si>
  <si>
    <t>Prestadores de servicios de AyS fortalecidas en AOM.</t>
  </si>
  <si>
    <t xml:space="preserve">Actualización del catastro comercial de usuarios de los prestadores de servicio de AyS en el municipio de Mocoa </t>
  </si>
  <si>
    <t xml:space="preserve">Actualización de estudios de costos y tarifas para los prestadores de los servicios de AyS en el Municipio de Mocoa </t>
  </si>
  <si>
    <t>4.1.6</t>
  </si>
  <si>
    <t>4.1.7</t>
  </si>
  <si>
    <t>4.1.8</t>
  </si>
  <si>
    <t>4.1.9</t>
  </si>
  <si>
    <t>4.1.10</t>
  </si>
  <si>
    <t>4.1.11</t>
  </si>
  <si>
    <t>Translado + Viatico (días)</t>
  </si>
  <si>
    <t>Almuerzo (30 personas) + Local</t>
  </si>
  <si>
    <t>Capacitador</t>
  </si>
  <si>
    <t>Representante VASP</t>
  </si>
  <si>
    <t>Desarrollo e implementación de Sistemas de gestión comercial y ERP</t>
  </si>
  <si>
    <t>Feria</t>
  </si>
  <si>
    <t>Talleres en Centro Comunitarias</t>
  </si>
  <si>
    <t>Plan de Manejo Ambiental de otras obras</t>
  </si>
  <si>
    <t>Recursos Humnaos GIP</t>
  </si>
  <si>
    <t>Gerencia Integral del Proyecto (GIP)</t>
  </si>
  <si>
    <t>Seguimiento, Evaluación y Auditoria</t>
  </si>
  <si>
    <t xml:space="preserve">Seguimiento, Evaluación, Auditoria </t>
  </si>
  <si>
    <t xml:space="preserve">Total Seguimiento, Evaluación, Auditoria </t>
  </si>
  <si>
    <t>Componente 1 - Estudios, diseños y gestión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</si>
</sst>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_-* #,##0_-;\-* #,##0_-;_-* &quot;-&quot;??_-;_-@_-"/>
    <numFmt numFmtId="169" formatCode="_-* #,##0.00\ _€_-;\-* #,##0.00\ _€_-;_-* &quot;-&quot;??\ _€_-;_-@_-"/>
    <numFmt numFmtId="170" formatCode="_-&quot;$&quot;\ * #,##0_-;\-&quot;$&quot;\ * #,##0_-;_-&quot;$&quot;\ * &quot;-&quot;??_-;_-@_-"/>
    <numFmt numFmtId="171" formatCode="_(&quot;$&quot;* #,##0_);_(&quot;$&quot;* \(#,##0\);_(&quot;$&quot;* &quot;-&quot;??_);_(@_)"/>
    <numFmt numFmtId="172" formatCode="_-&quot;$&quot;\ * #,##0_-;\-&quot;$&quot;\ * #,##0_-;_-&quot;$&quot;\ * &quot;-&quot;_-;_-@_-"/>
    <numFmt numFmtId="173" formatCode="_-&quot;$&quot;\ * #,##0.0000_-;\-&quot;$&quot;\ * #,##0.0000_-;_-&quot;$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9"/>
      <color theme="1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0" fillId="0" borderId="0"/>
    <xf numFmtId="172" fontId="20" fillId="0" borderId="0" applyFont="0" applyFill="0" applyBorder="0" applyAlignment="0" applyProtection="0"/>
  </cellStyleXfs>
  <cellXfs count="234">
    <xf numFmtId="0" fontId="0" fillId="0" borderId="0" xfId="0"/>
    <xf numFmtId="0" fontId="4" fillId="0" borderId="0" xfId="0" applyFont="1" applyAlignment="1">
      <alignment vertical="center"/>
    </xf>
    <xf numFmtId="43" fontId="4" fillId="0" borderId="2" xfId="2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43" fontId="4" fillId="0" borderId="1" xfId="2" applyNumberFormat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2" xfId="2" applyNumberFormat="1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2" applyFont="1" applyFill="1" applyBorder="1" applyAlignment="1">
      <alignment vertical="center"/>
    </xf>
    <xf numFmtId="0" fontId="3" fillId="0" borderId="0" xfId="0" applyFont="1"/>
    <xf numFmtId="0" fontId="6" fillId="0" borderId="0" xfId="0" applyFont="1"/>
    <xf numFmtId="41" fontId="3" fillId="5" borderId="1" xfId="1" applyFont="1" applyFill="1" applyBorder="1"/>
    <xf numFmtId="0" fontId="3" fillId="5" borderId="0" xfId="0" applyFont="1" applyFill="1"/>
    <xf numFmtId="41" fontId="3" fillId="0" borderId="1" xfId="1" applyFont="1" applyBorder="1"/>
    <xf numFmtId="41" fontId="8" fillId="0" borderId="1" xfId="1" applyFont="1" applyBorder="1"/>
    <xf numFmtId="0" fontId="8" fillId="0" borderId="0" xfId="0" applyFont="1"/>
    <xf numFmtId="41" fontId="3" fillId="0" borderId="0" xfId="0" applyNumberFormat="1" applyFont="1"/>
    <xf numFmtId="49" fontId="8" fillId="0" borderId="1" xfId="0" applyNumberFormat="1" applyFont="1" applyBorder="1" applyAlignment="1">
      <alignment horizontal="center" wrapText="1"/>
    </xf>
    <xf numFmtId="41" fontId="7" fillId="0" borderId="1" xfId="1" applyFont="1" applyBorder="1" applyAlignment="1">
      <alignment wrapText="1"/>
    </xf>
    <xf numFmtId="167" fontId="4" fillId="0" borderId="1" xfId="2" applyNumberFormat="1" applyFont="1" applyBorder="1" applyAlignment="1">
      <alignment vertical="center"/>
    </xf>
    <xf numFmtId="167" fontId="5" fillId="4" borderId="1" xfId="2" applyNumberFormat="1" applyFont="1" applyFill="1" applyBorder="1" applyAlignment="1">
      <alignment vertical="center"/>
    </xf>
    <xf numFmtId="43" fontId="5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0" fillId="0" borderId="0" xfId="0"/>
    <xf numFmtId="164" fontId="9" fillId="0" borderId="0" xfId="0" applyNumberFormat="1" applyFont="1"/>
    <xf numFmtId="164" fontId="9" fillId="0" borderId="0" xfId="4" applyFont="1"/>
    <xf numFmtId="164" fontId="10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2" fillId="0" borderId="0" xfId="0" applyFont="1"/>
    <xf numFmtId="41" fontId="6" fillId="3" borderId="1" xfId="0" applyNumberFormat="1" applyFont="1" applyFill="1" applyBorder="1" applyAlignment="1"/>
    <xf numFmtId="41" fontId="8" fillId="0" borderId="1" xfId="1" applyFont="1" applyBorder="1" applyAlignment="1">
      <alignment wrapText="1"/>
    </xf>
    <xf numFmtId="43" fontId="3" fillId="0" borderId="0" xfId="2" applyFont="1"/>
    <xf numFmtId="167" fontId="13" fillId="9" borderId="0" xfId="2" applyNumberFormat="1" applyFont="1" applyFill="1"/>
    <xf numFmtId="0" fontId="1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1" fontId="11" fillId="0" borderId="1" xfId="1" applyFont="1" applyBorder="1" applyAlignment="1">
      <alignment vertical="center"/>
    </xf>
    <xf numFmtId="168" fontId="11" fillId="0" borderId="1" xfId="1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 indent="1"/>
    </xf>
    <xf numFmtId="41" fontId="11" fillId="5" borderId="1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10" borderId="3" xfId="0" applyFont="1" applyFill="1" applyBorder="1" applyAlignment="1">
      <alignment horizontal="left"/>
    </xf>
    <xf numFmtId="0" fontId="6" fillId="10" borderId="7" xfId="0" applyFont="1" applyFill="1" applyBorder="1" applyAlignment="1">
      <alignment horizontal="left"/>
    </xf>
    <xf numFmtId="0" fontId="6" fillId="10" borderId="2" xfId="0" applyFont="1" applyFill="1" applyBorder="1" applyAlignment="1">
      <alignment horizontal="left"/>
    </xf>
    <xf numFmtId="41" fontId="6" fillId="10" borderId="1" xfId="1" applyFont="1" applyFill="1" applyBorder="1" applyAlignment="1">
      <alignment horizontal="left"/>
    </xf>
    <xf numFmtId="167" fontId="11" fillId="0" borderId="1" xfId="2" applyNumberFormat="1" applyFont="1" applyBorder="1" applyAlignment="1">
      <alignment horizontal="right" vertical="center"/>
    </xf>
    <xf numFmtId="167" fontId="11" fillId="0" borderId="1" xfId="2" applyNumberFormat="1" applyFont="1" applyBorder="1" applyAlignment="1">
      <alignment horizontal="center" vertical="center"/>
    </xf>
    <xf numFmtId="41" fontId="2" fillId="4" borderId="1" xfId="1" applyFont="1" applyFill="1" applyBorder="1" applyAlignment="1">
      <alignment horizontal="left"/>
    </xf>
    <xf numFmtId="41" fontId="2" fillId="4" borderId="1" xfId="1" applyFont="1" applyFill="1" applyBorder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6" fillId="10" borderId="3" xfId="0" applyFont="1" applyFill="1" applyBorder="1" applyAlignment="1">
      <alignment wrapText="1"/>
    </xf>
    <xf numFmtId="0" fontId="6" fillId="10" borderId="7" xfId="0" applyFont="1" applyFill="1" applyBorder="1" applyAlignment="1">
      <alignment wrapText="1"/>
    </xf>
    <xf numFmtId="0" fontId="6" fillId="10" borderId="2" xfId="0" applyFont="1" applyFill="1" applyBorder="1" applyAlignment="1">
      <alignment wrapText="1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2" fillId="4" borderId="0" xfId="0" applyFont="1" applyFill="1"/>
    <xf numFmtId="167" fontId="6" fillId="10" borderId="7" xfId="0" applyNumberFormat="1" applyFont="1" applyFill="1" applyBorder="1" applyAlignment="1">
      <alignment horizontal="left"/>
    </xf>
    <xf numFmtId="167" fontId="6" fillId="4" borderId="1" xfId="2" applyNumberFormat="1" applyFont="1" applyFill="1" applyBorder="1" applyAlignment="1">
      <alignment horizontal="center" vertical="center"/>
    </xf>
    <xf numFmtId="168" fontId="6" fillId="10" borderId="7" xfId="0" applyNumberFormat="1" applyFont="1" applyFill="1" applyBorder="1" applyAlignment="1">
      <alignment horizontal="left"/>
    </xf>
    <xf numFmtId="0" fontId="6" fillId="4" borderId="1" xfId="0" applyFont="1" applyFill="1" applyBorder="1" applyAlignment="1"/>
    <xf numFmtId="49" fontId="12" fillId="0" borderId="3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center"/>
    </xf>
    <xf numFmtId="0" fontId="9" fillId="11" borderId="3" xfId="0" applyFont="1" applyFill="1" applyBorder="1" applyAlignment="1">
      <alignment horizontal="right"/>
    </xf>
    <xf numFmtId="0" fontId="13" fillId="11" borderId="1" xfId="0" applyFont="1" applyFill="1" applyBorder="1" applyAlignment="1">
      <alignment horizontal="left"/>
    </xf>
    <xf numFmtId="0" fontId="10" fillId="11" borderId="7" xfId="0" applyFont="1" applyFill="1" applyBorder="1" applyAlignment="1">
      <alignment horizontal="center"/>
    </xf>
    <xf numFmtId="41" fontId="10" fillId="11" borderId="7" xfId="1" applyFont="1" applyFill="1" applyBorder="1" applyAlignment="1">
      <alignment horizontal="center"/>
    </xf>
    <xf numFmtId="41" fontId="10" fillId="11" borderId="1" xfId="0" applyNumberFormat="1" applyFont="1" applyFill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3" fillId="0" borderId="9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41" fontId="10" fillId="0" borderId="0" xfId="1" applyFont="1" applyBorder="1" applyAlignment="1">
      <alignment horizontal="center"/>
    </xf>
    <xf numFmtId="41" fontId="10" fillId="0" borderId="9" xfId="0" applyNumberFormat="1" applyFont="1" applyBorder="1" applyAlignment="1">
      <alignment horizontal="center"/>
    </xf>
    <xf numFmtId="0" fontId="15" fillId="0" borderId="9" xfId="0" applyFont="1" applyBorder="1" applyAlignment="1">
      <alignment horizontal="left" indent="2"/>
    </xf>
    <xf numFmtId="0" fontId="16" fillId="0" borderId="0" xfId="0" applyFont="1" applyBorder="1" applyAlignment="1">
      <alignment horizontal="center"/>
    </xf>
    <xf numFmtId="41" fontId="16" fillId="0" borderId="0" xfId="1" applyFont="1" applyBorder="1" applyAlignment="1">
      <alignment horizontal="center"/>
    </xf>
    <xf numFmtId="41" fontId="16" fillId="0" borderId="9" xfId="0" applyNumberFormat="1" applyFont="1" applyBorder="1" applyAlignment="1">
      <alignment horizontal="center"/>
    </xf>
    <xf numFmtId="0" fontId="15" fillId="0" borderId="0" xfId="0" applyFont="1"/>
    <xf numFmtId="41" fontId="17" fillId="0" borderId="9" xfId="0" applyNumberFormat="1" applyFont="1" applyBorder="1" applyAlignment="1">
      <alignment horizontal="center"/>
    </xf>
    <xf numFmtId="0" fontId="15" fillId="2" borderId="9" xfId="0" applyFont="1" applyFill="1" applyBorder="1" applyAlignment="1">
      <alignment horizontal="left" indent="2"/>
    </xf>
    <xf numFmtId="0" fontId="13" fillId="2" borderId="9" xfId="0" applyFont="1" applyFill="1" applyBorder="1" applyAlignment="1">
      <alignment horizontal="left" indent="1"/>
    </xf>
    <xf numFmtId="0" fontId="9" fillId="11" borderId="8" xfId="0" applyFont="1" applyFill="1" applyBorder="1" applyAlignment="1">
      <alignment horizontal="right"/>
    </xf>
    <xf numFmtId="0" fontId="13" fillId="11" borderId="9" xfId="0" applyFont="1" applyFill="1" applyBorder="1" applyAlignment="1">
      <alignment horizontal="left"/>
    </xf>
    <xf numFmtId="0" fontId="10" fillId="11" borderId="0" xfId="0" applyFont="1" applyFill="1" applyBorder="1" applyAlignment="1">
      <alignment horizontal="center"/>
    </xf>
    <xf numFmtId="41" fontId="10" fillId="11" borderId="9" xfId="1" applyFont="1" applyFill="1" applyBorder="1" applyAlignment="1">
      <alignment horizontal="center"/>
    </xf>
    <xf numFmtId="0" fontId="0" fillId="0" borderId="9" xfId="0" applyBorder="1" applyAlignment="1">
      <alignment horizontal="left" indent="1"/>
    </xf>
    <xf numFmtId="0" fontId="9" fillId="0" borderId="0" xfId="0" applyFont="1" applyBorder="1" applyAlignment="1">
      <alignment horizontal="center"/>
    </xf>
    <xf numFmtId="41" fontId="9" fillId="0" borderId="0" xfId="1" applyFont="1" applyBorder="1" applyAlignment="1">
      <alignment horizontal="center"/>
    </xf>
    <xf numFmtId="41" fontId="9" fillId="0" borderId="9" xfId="0" applyNumberFormat="1" applyFont="1" applyBorder="1" applyAlignment="1">
      <alignment horizontal="center"/>
    </xf>
    <xf numFmtId="0" fontId="0" fillId="0" borderId="9" xfId="0" applyFont="1" applyBorder="1" applyAlignment="1">
      <alignment horizontal="left" indent="1"/>
    </xf>
    <xf numFmtId="0" fontId="0" fillId="0" borderId="0" xfId="0" applyFont="1"/>
    <xf numFmtId="0" fontId="9" fillId="0" borderId="11" xfId="0" applyFont="1" applyBorder="1" applyAlignment="1">
      <alignment horizontal="right"/>
    </xf>
    <xf numFmtId="41" fontId="9" fillId="4" borderId="0" xfId="1" applyFont="1" applyFill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7" fontId="10" fillId="0" borderId="0" xfId="2" applyNumberFormat="1" applyFont="1" applyBorder="1" applyAlignment="1">
      <alignment horizontal="center"/>
    </xf>
    <xf numFmtId="167" fontId="16" fillId="0" borderId="0" xfId="2" applyNumberFormat="1" applyFont="1" applyBorder="1" applyAlignment="1">
      <alignment horizontal="center"/>
    </xf>
    <xf numFmtId="167" fontId="9" fillId="0" borderId="0" xfId="2" applyNumberFormat="1" applyFont="1" applyBorder="1" applyAlignment="1">
      <alignment horizontal="center"/>
    </xf>
    <xf numFmtId="0" fontId="13" fillId="4" borderId="6" xfId="0" applyFont="1" applyFill="1" applyBorder="1" applyAlignment="1">
      <alignment horizontal="right" indent="1"/>
    </xf>
    <xf numFmtId="0" fontId="10" fillId="4" borderId="10" xfId="0" applyFont="1" applyFill="1" applyBorder="1" applyAlignment="1">
      <alignment horizontal="center"/>
    </xf>
    <xf numFmtId="41" fontId="10" fillId="4" borderId="6" xfId="0" applyNumberFormat="1" applyFont="1" applyFill="1" applyBorder="1" applyAlignment="1">
      <alignment horizontal="center"/>
    </xf>
    <xf numFmtId="41" fontId="2" fillId="2" borderId="1" xfId="0" applyNumberFormat="1" applyFont="1" applyFill="1" applyBorder="1" applyAlignment="1">
      <alignment horizontal="center" vertical="center" wrapText="1"/>
    </xf>
    <xf numFmtId="41" fontId="2" fillId="2" borderId="6" xfId="0" applyNumberFormat="1" applyFont="1" applyFill="1" applyBorder="1" applyAlignment="1">
      <alignment horizontal="center" vertical="center" wrapText="1"/>
    </xf>
    <xf numFmtId="41" fontId="6" fillId="10" borderId="7" xfId="0" applyNumberFormat="1" applyFont="1" applyFill="1" applyBorder="1" applyAlignment="1">
      <alignment wrapText="1"/>
    </xf>
    <xf numFmtId="0" fontId="13" fillId="12" borderId="9" xfId="0" applyFont="1" applyFill="1" applyBorder="1" applyAlignment="1">
      <alignment horizontal="left" indent="1"/>
    </xf>
    <xf numFmtId="0" fontId="12" fillId="5" borderId="0" xfId="0" applyFont="1" applyFill="1" applyAlignment="1">
      <alignment horizontal="right" vertical="center"/>
    </xf>
    <xf numFmtId="49" fontId="12" fillId="5" borderId="1" xfId="0" applyNumberFormat="1" applyFont="1" applyFill="1" applyBorder="1" applyAlignment="1">
      <alignment horizontal="left" vertical="center" wrapText="1" indent="1"/>
    </xf>
    <xf numFmtId="0" fontId="11" fillId="5" borderId="1" xfId="0" applyFont="1" applyFill="1" applyBorder="1" applyAlignment="1">
      <alignment horizontal="center" vertical="center"/>
    </xf>
    <xf numFmtId="167" fontId="11" fillId="5" borderId="1" xfId="2" applyNumberFormat="1" applyFont="1" applyFill="1" applyBorder="1" applyAlignment="1">
      <alignment horizontal="center" vertical="center"/>
    </xf>
    <xf numFmtId="168" fontId="11" fillId="5" borderId="1" xfId="1" applyNumberFormat="1" applyFont="1" applyFill="1" applyBorder="1" applyAlignment="1">
      <alignment vertical="center"/>
    </xf>
    <xf numFmtId="0" fontId="12" fillId="5" borderId="0" xfId="0" applyFont="1" applyFill="1"/>
    <xf numFmtId="167" fontId="3" fillId="0" borderId="0" xfId="2" applyNumberFormat="1" applyFont="1"/>
    <xf numFmtId="167" fontId="11" fillId="5" borderId="2" xfId="2" applyNumberFormat="1" applyFont="1" applyFill="1" applyBorder="1" applyAlignment="1">
      <alignment horizontal="center" vertical="center"/>
    </xf>
    <xf numFmtId="49" fontId="12" fillId="5" borderId="4" xfId="0" applyNumberFormat="1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/>
    </xf>
    <xf numFmtId="167" fontId="11" fillId="5" borderId="4" xfId="2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168" fontId="3" fillId="0" borderId="1" xfId="1" applyNumberFormat="1" applyFont="1" applyBorder="1" applyAlignment="1">
      <alignment vertical="center"/>
    </xf>
    <xf numFmtId="41" fontId="3" fillId="5" borderId="1" xfId="1" applyFont="1" applyFill="1" applyBorder="1" applyAlignment="1">
      <alignment vertical="center"/>
    </xf>
    <xf numFmtId="0" fontId="21" fillId="0" borderId="0" xfId="8" applyFont="1" applyAlignment="1"/>
    <xf numFmtId="0" fontId="20" fillId="0" borderId="0" xfId="8"/>
    <xf numFmtId="0" fontId="13" fillId="0" borderId="1" xfId="8" applyFont="1" applyBorder="1" applyAlignment="1">
      <alignment horizontal="center" vertical="center"/>
    </xf>
    <xf numFmtId="0" fontId="13" fillId="0" borderId="1" xfId="8" applyFont="1" applyBorder="1" applyAlignment="1">
      <alignment vertical="center"/>
    </xf>
    <xf numFmtId="0" fontId="13" fillId="0" borderId="0" xfId="8" applyFont="1" applyBorder="1" applyAlignment="1">
      <alignment horizontal="center" vertical="center" wrapText="1"/>
    </xf>
    <xf numFmtId="9" fontId="20" fillId="0" borderId="0" xfId="8" applyNumberFormat="1"/>
    <xf numFmtId="167" fontId="21" fillId="0" borderId="0" xfId="2" applyNumberFormat="1" applyFont="1"/>
    <xf numFmtId="0" fontId="20" fillId="0" borderId="1" xfId="8" applyBorder="1"/>
    <xf numFmtId="0" fontId="20" fillId="0" borderId="1" xfId="8" applyBorder="1" applyAlignment="1">
      <alignment horizontal="center" vertical="center"/>
    </xf>
    <xf numFmtId="3" fontId="22" fillId="9" borderId="1" xfId="8" applyNumberFormat="1" applyFont="1" applyFill="1" applyBorder="1"/>
    <xf numFmtId="170" fontId="20" fillId="0" borderId="1" xfId="8" applyNumberFormat="1" applyBorder="1"/>
    <xf numFmtId="171" fontId="20" fillId="0" borderId="0" xfId="8" applyNumberFormat="1"/>
    <xf numFmtId="167" fontId="20" fillId="0" borderId="0" xfId="2" applyNumberFormat="1" applyFont="1"/>
    <xf numFmtId="167" fontId="20" fillId="0" borderId="0" xfId="8" applyNumberFormat="1"/>
    <xf numFmtId="3" fontId="20" fillId="0" borderId="1" xfId="8" applyNumberFormat="1" applyBorder="1"/>
    <xf numFmtId="43" fontId="20" fillId="0" borderId="0" xfId="8" applyNumberFormat="1"/>
    <xf numFmtId="171" fontId="20" fillId="0" borderId="0" xfId="8" applyNumberFormat="1" applyBorder="1"/>
    <xf numFmtId="0" fontId="23" fillId="0" borderId="0" xfId="8" applyFont="1"/>
    <xf numFmtId="171" fontId="23" fillId="0" borderId="0" xfId="8" applyNumberFormat="1" applyFont="1"/>
    <xf numFmtId="167" fontId="23" fillId="0" borderId="0" xfId="8" applyNumberFormat="1" applyFont="1"/>
    <xf numFmtId="170" fontId="20" fillId="0" borderId="0" xfId="8" applyNumberFormat="1" applyBorder="1"/>
    <xf numFmtId="0" fontId="13" fillId="0" borderId="0" xfId="8" applyFont="1"/>
    <xf numFmtId="170" fontId="13" fillId="0" borderId="0" xfId="8" applyNumberFormat="1" applyFont="1"/>
    <xf numFmtId="44" fontId="20" fillId="0" borderId="0" xfId="8" applyNumberFormat="1"/>
    <xf numFmtId="0" fontId="21" fillId="0" borderId="0" xfId="8" applyFont="1"/>
    <xf numFmtId="170" fontId="23" fillId="9" borderId="0" xfId="8" applyNumberFormat="1" applyFont="1" applyFill="1"/>
    <xf numFmtId="170" fontId="20" fillId="0" borderId="0" xfId="8" applyNumberFormat="1"/>
    <xf numFmtId="0" fontId="13" fillId="12" borderId="0" xfId="8" applyFont="1" applyFill="1"/>
    <xf numFmtId="0" fontId="20" fillId="12" borderId="0" xfId="8" applyFill="1"/>
    <xf numFmtId="170" fontId="13" fillId="12" borderId="0" xfId="8" applyNumberFormat="1" applyFont="1" applyFill="1"/>
    <xf numFmtId="170" fontId="20" fillId="9" borderId="1" xfId="8" applyNumberFormat="1" applyFill="1" applyBorder="1"/>
    <xf numFmtId="0" fontId="13" fillId="9" borderId="0" xfId="8" applyFont="1" applyFill="1"/>
    <xf numFmtId="9" fontId="13" fillId="0" borderId="0" xfId="8" applyNumberFormat="1" applyFont="1"/>
    <xf numFmtId="9" fontId="20" fillId="0" borderId="0" xfId="3" applyFont="1"/>
    <xf numFmtId="170" fontId="0" fillId="0" borderId="0" xfId="9" applyNumberFormat="1" applyFont="1"/>
    <xf numFmtId="173" fontId="20" fillId="0" borderId="0" xfId="8" applyNumberFormat="1"/>
    <xf numFmtId="49" fontId="8" fillId="0" borderId="1" xfId="0" applyNumberFormat="1" applyFont="1" applyBorder="1" applyAlignment="1">
      <alignment horizontal="left" vertical="center" wrapText="1"/>
    </xf>
    <xf numFmtId="167" fontId="3" fillId="4" borderId="1" xfId="2" applyNumberFormat="1" applyFont="1" applyFill="1" applyBorder="1" applyAlignment="1">
      <alignment horizontal="center" vertical="center"/>
    </xf>
    <xf numFmtId="167" fontId="6" fillId="10" borderId="7" xfId="0" applyNumberFormat="1" applyFont="1" applyFill="1" applyBorder="1" applyAlignment="1">
      <alignment wrapText="1"/>
    </xf>
    <xf numFmtId="0" fontId="6" fillId="4" borderId="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167" fontId="6" fillId="4" borderId="7" xfId="0" applyNumberFormat="1" applyFont="1" applyFill="1" applyBorder="1" applyAlignment="1">
      <alignment vertical="center"/>
    </xf>
    <xf numFmtId="41" fontId="6" fillId="10" borderId="7" xfId="0" applyNumberFormat="1" applyFont="1" applyFill="1" applyBorder="1" applyAlignment="1">
      <alignment horizontal="left"/>
    </xf>
    <xf numFmtId="168" fontId="18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left" wrapText="1" indent="1"/>
    </xf>
    <xf numFmtId="164" fontId="10" fillId="0" borderId="1" xfId="4" applyNumberFormat="1" applyFont="1" applyBorder="1"/>
    <xf numFmtId="164" fontId="24" fillId="0" borderId="1" xfId="4" applyNumberFormat="1" applyFont="1" applyBorder="1"/>
    <xf numFmtId="0" fontId="10" fillId="0" borderId="1" xfId="0" applyFont="1" applyBorder="1" applyAlignment="1">
      <alignment horizontal="left" indent="1"/>
    </xf>
    <xf numFmtId="0" fontId="5" fillId="4" borderId="1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12" fillId="0" borderId="3" xfId="2" applyFont="1" applyBorder="1" applyAlignment="1">
      <alignment horizontal="left" vertical="center" wrapText="1" indent="1"/>
    </xf>
    <xf numFmtId="49" fontId="12" fillId="0" borderId="3" xfId="0" applyNumberFormat="1" applyFont="1" applyBorder="1" applyAlignment="1">
      <alignment horizontal="left" vertical="center" wrapText="1" indent="2"/>
    </xf>
    <xf numFmtId="0" fontId="25" fillId="0" borderId="0" xfId="0" applyFont="1" applyAlignment="1">
      <alignment horizontal="right" vertical="center"/>
    </xf>
    <xf numFmtId="49" fontId="25" fillId="0" borderId="3" xfId="0" applyNumberFormat="1" applyFont="1" applyBorder="1" applyAlignment="1">
      <alignment horizontal="left" vertical="center" wrapText="1" indent="1"/>
    </xf>
    <xf numFmtId="43" fontId="25" fillId="0" borderId="3" xfId="2" applyFont="1" applyBorder="1" applyAlignment="1">
      <alignment horizontal="left" vertical="center" wrapText="1" indent="1"/>
    </xf>
    <xf numFmtId="0" fontId="26" fillId="0" borderId="1" xfId="0" applyFont="1" applyBorder="1" applyAlignment="1">
      <alignment horizontal="center" vertical="center"/>
    </xf>
    <xf numFmtId="167" fontId="26" fillId="0" borderId="1" xfId="2" applyNumberFormat="1" applyFont="1" applyBorder="1" applyAlignment="1">
      <alignment horizontal="right" vertical="center"/>
    </xf>
    <xf numFmtId="41" fontId="26" fillId="5" borderId="1" xfId="1" applyFont="1" applyFill="1" applyBorder="1" applyAlignment="1">
      <alignment vertical="center"/>
    </xf>
    <xf numFmtId="41" fontId="26" fillId="0" borderId="1" xfId="1" applyFont="1" applyBorder="1" applyAlignment="1">
      <alignment vertical="center"/>
    </xf>
    <xf numFmtId="168" fontId="26" fillId="0" borderId="1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167" fontId="12" fillId="0" borderId="3" xfId="2" applyNumberFormat="1" applyFont="1" applyBorder="1" applyAlignment="1">
      <alignment horizontal="left" vertical="center" wrapText="1" indent="1"/>
    </xf>
    <xf numFmtId="43" fontId="5" fillId="8" borderId="1" xfId="2" applyFont="1" applyFill="1" applyBorder="1" applyAlignment="1">
      <alignment horizontal="center" vertical="center"/>
    </xf>
    <xf numFmtId="43" fontId="5" fillId="4" borderId="4" xfId="2" applyFont="1" applyFill="1" applyBorder="1" applyAlignment="1">
      <alignment horizontal="center" vertical="center"/>
    </xf>
    <xf numFmtId="167" fontId="5" fillId="4" borderId="1" xfId="0" applyNumberFormat="1" applyFont="1" applyFill="1" applyBorder="1" applyAlignment="1">
      <alignment vertical="center" wrapText="1"/>
    </xf>
    <xf numFmtId="43" fontId="4" fillId="0" borderId="3" xfId="2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left" vertical="center" wrapText="1" indent="2"/>
    </xf>
    <xf numFmtId="0" fontId="10" fillId="0" borderId="0" xfId="0" applyFont="1" applyAlignment="1">
      <alignment horizontal="center"/>
    </xf>
    <xf numFmtId="0" fontId="6" fillId="4" borderId="1" xfId="0" applyFont="1" applyFill="1" applyBorder="1" applyAlignment="1">
      <alignment horizontal="left" vertical="center"/>
    </xf>
    <xf numFmtId="0" fontId="6" fillId="10" borderId="3" xfId="0" applyFont="1" applyFill="1" applyBorder="1" applyAlignment="1">
      <alignment horizontal="left" wrapText="1"/>
    </xf>
    <xf numFmtId="0" fontId="6" fillId="10" borderId="7" xfId="0" applyFont="1" applyFill="1" applyBorder="1" applyAlignment="1">
      <alignment horizontal="left" wrapText="1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5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7" borderId="0" xfId="0" applyFont="1" applyFill="1" applyAlignment="1">
      <alignment horizontal="center" vertical="center"/>
    </xf>
    <xf numFmtId="43" fontId="5" fillId="8" borderId="1" xfId="2" applyFont="1" applyFill="1" applyBorder="1" applyAlignment="1">
      <alignment horizontal="center" vertical="center"/>
    </xf>
    <xf numFmtId="43" fontId="5" fillId="8" borderId="1" xfId="2" applyFont="1" applyFill="1" applyBorder="1" applyAlignment="1">
      <alignment horizontal="center" vertical="center" wrapText="1"/>
    </xf>
    <xf numFmtId="43" fontId="5" fillId="8" borderId="4" xfId="2" applyFont="1" applyFill="1" applyBorder="1" applyAlignment="1">
      <alignment horizontal="center" vertical="center"/>
    </xf>
    <xf numFmtId="0" fontId="13" fillId="0" borderId="1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 wrapText="1"/>
    </xf>
  </cellXfs>
  <cellStyles count="10">
    <cellStyle name="Comma" xfId="2" builtinId="3"/>
    <cellStyle name="Comma [0]" xfId="1" builtinId="6"/>
    <cellStyle name="Millares [0] 2" xfId="4" xr:uid="{00000000-0005-0000-0000-000002000000}"/>
    <cellStyle name="Millares 2" xfId="5" xr:uid="{00000000-0005-0000-0000-000003000000}"/>
    <cellStyle name="Millares 2 3" xfId="6" xr:uid="{00000000-0005-0000-0000-000004000000}"/>
    <cellStyle name="Millares 3" xfId="7" xr:uid="{00000000-0005-0000-0000-000005000000}"/>
    <cellStyle name="Moneda [0] 2" xfId="9" xr:uid="{00000000-0005-0000-0000-000006000000}"/>
    <cellStyle name="Normal" xfId="0" builtinId="0"/>
    <cellStyle name="Normal 2" xfId="8" xr:uid="{00000000-0005-0000-0000-000008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Backup_160113/PATRICIA/COLOMBIA/Programaci&#243;n%20Financiera/Programaci&#243;n%20Financiera_1509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COLOMBIA_COL1232/Mision%20de%20Analisis/Costos%20Componente%201/Copy%20of%20Escenario%20No%203-DEFINITIVO%20con%20la%20muest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Costos POD"/>
      <sheetName val="Costo Detallado_Comp POD"/>
      <sheetName val="Costo Detallado_Comp"/>
      <sheetName val="Componente 1"/>
      <sheetName val="Costo Detallado_Adm"/>
      <sheetName val="Administración"/>
      <sheetName val="Resumen Desemboslo"/>
      <sheetName val="Resumen Desembolso_POD"/>
      <sheetName val="Desembolso_Comp"/>
      <sheetName val="Desembolso_Comp_POD"/>
      <sheetName val="Desembolso_Adm"/>
    </sheetNames>
    <sheetDataSet>
      <sheetData sheetId="0"/>
      <sheetData sheetId="1"/>
      <sheetData sheetId="2"/>
      <sheetData sheetId="3"/>
      <sheetData sheetId="4"/>
      <sheetData sheetId="5">
        <row r="42">
          <cell r="A42" t="str">
            <v xml:space="preserve">Servicios Públicos </v>
          </cell>
        </row>
        <row r="43">
          <cell r="A43" t="str">
            <v xml:space="preserve">Vigilancia </v>
          </cell>
        </row>
        <row r="44">
          <cell r="A44" t="str">
            <v xml:space="preserve">Aseo y Cafeteria </v>
          </cell>
        </row>
        <row r="45">
          <cell r="A45" t="str">
            <v>Papeleria</v>
          </cell>
        </row>
        <row r="46">
          <cell r="A46" t="str">
            <v>Correspondencia</v>
          </cell>
        </row>
        <row r="47">
          <cell r="A47" t="str">
            <v>Celulares</v>
          </cell>
        </row>
        <row r="48">
          <cell r="A48" t="str">
            <v xml:space="preserve">Alquiler de computadores </v>
          </cell>
        </row>
        <row r="49">
          <cell r="A49" t="str">
            <v xml:space="preserve">Fotocopiadora </v>
          </cell>
        </row>
        <row r="50">
          <cell r="A50" t="str">
            <v xml:space="preserve">Internet 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PTAR"/>
      <sheetName val="PRESUPUESTO TUBERIAS"/>
      <sheetName val="Sheet1"/>
      <sheetName val="PREUSPUESTO EBR"/>
      <sheetName val="PRESUPUESTO OBRAS COMPLEMENTARI"/>
      <sheetName val="RESUMEN COSTOS"/>
    </sheetNames>
    <sheetDataSet>
      <sheetData sheetId="0">
        <row r="542">
          <cell r="F542">
            <v>14750469020.827877</v>
          </cell>
        </row>
      </sheetData>
      <sheetData sheetId="1">
        <row r="23">
          <cell r="N23">
            <v>54469954</v>
          </cell>
          <cell r="O23">
            <v>524650.63338982</v>
          </cell>
        </row>
        <row r="28">
          <cell r="M28">
            <v>5776</v>
          </cell>
          <cell r="N28">
            <v>1284</v>
          </cell>
        </row>
        <row r="49">
          <cell r="N49">
            <v>1063380831.04</v>
          </cell>
          <cell r="O49">
            <v>827952.7705263159</v>
          </cell>
        </row>
        <row r="54">
          <cell r="M54">
            <v>3859</v>
          </cell>
          <cell r="N54">
            <v>2121</v>
          </cell>
        </row>
        <row r="75">
          <cell r="N75">
            <v>2158745233.2600002</v>
          </cell>
          <cell r="O75">
            <v>1018669.4494791396</v>
          </cell>
        </row>
      </sheetData>
      <sheetData sheetId="2"/>
      <sheetData sheetId="3"/>
      <sheetData sheetId="4">
        <row r="12">
          <cell r="H12">
            <v>791568627.75600004</v>
          </cell>
        </row>
        <row r="21">
          <cell r="H21">
            <v>157903725</v>
          </cell>
        </row>
        <row r="33">
          <cell r="H33">
            <v>19689674.812159996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18"/>
  <sheetViews>
    <sheetView tabSelected="1" zoomScaleNormal="100" workbookViewId="0">
      <selection activeCell="A7" sqref="A7"/>
    </sheetView>
  </sheetViews>
  <sheetFormatPr defaultColWidth="11.5546875" defaultRowHeight="14.4" x14ac:dyDescent="0.3"/>
  <cols>
    <col min="1" max="1" width="65.44140625" customWidth="1"/>
    <col min="2" max="2" width="17" customWidth="1"/>
    <col min="3" max="3" width="16.44140625" customWidth="1"/>
  </cols>
  <sheetData>
    <row r="2" spans="1:3" x14ac:dyDescent="0.3">
      <c r="A2" s="210" t="s">
        <v>31</v>
      </c>
      <c r="B2" s="210"/>
      <c r="C2" s="210"/>
    </row>
    <row r="3" spans="1:3" x14ac:dyDescent="0.3">
      <c r="A3" s="210" t="s">
        <v>30</v>
      </c>
      <c r="B3" s="210"/>
      <c r="C3" s="210"/>
    </row>
    <row r="4" spans="1:3" x14ac:dyDescent="0.3">
      <c r="A4" s="210" t="s">
        <v>16</v>
      </c>
      <c r="B4" s="210"/>
      <c r="C4" s="210"/>
    </row>
    <row r="5" spans="1:3" x14ac:dyDescent="0.3">
      <c r="A5" s="32"/>
      <c r="B5" s="32"/>
      <c r="C5" s="32"/>
    </row>
    <row r="6" spans="1:3" x14ac:dyDescent="0.3">
      <c r="A6" s="38" t="s">
        <v>17</v>
      </c>
      <c r="B6" s="38" t="s">
        <v>4</v>
      </c>
      <c r="C6" s="38" t="s">
        <v>3</v>
      </c>
    </row>
    <row r="7" spans="1:3" s="77" customFormat="1" x14ac:dyDescent="0.3">
      <c r="A7" s="187" t="str">
        <f>+Componentes!B8</f>
        <v>Componente 1 - Estudios, diseños y gestión del proyecto</v>
      </c>
      <c r="B7" s="188">
        <f>+Componentes!L8</f>
        <v>4310360.5</v>
      </c>
      <c r="C7" s="188">
        <f t="shared" ref="C7:C9" si="0">+B7</f>
        <v>4310360.5</v>
      </c>
    </row>
    <row r="8" spans="1:3" s="77" customFormat="1" x14ac:dyDescent="0.3">
      <c r="A8" s="187" t="str">
        <f>+Componentes!B17</f>
        <v>Componente 2 - Inversión redes y colectores (Obras Multiples)</v>
      </c>
      <c r="B8" s="188">
        <f>+Componentes!L17</f>
        <v>11700562.574915741</v>
      </c>
      <c r="C8" s="188">
        <f t="shared" si="0"/>
        <v>11700562.574915741</v>
      </c>
    </row>
    <row r="9" spans="1:3" s="77" customFormat="1" ht="27.6" x14ac:dyDescent="0.3">
      <c r="A9" s="187" t="str">
        <f>+Componentes!B32</f>
        <v>Componente 3 -  Sistema de Tratamiento de Agua Residuales (Obras Especificas)</v>
      </c>
      <c r="B9" s="189">
        <f>+Componentes!L32</f>
        <v>11178076.432783138</v>
      </c>
      <c r="C9" s="189">
        <f t="shared" si="0"/>
        <v>11178076.432783138</v>
      </c>
    </row>
    <row r="10" spans="1:3" s="77" customFormat="1" x14ac:dyDescent="0.3">
      <c r="A10" s="187" t="str">
        <f>+Componentes!B41</f>
        <v>Componente 4 - Fortalecimiento de capacidades y educación sanitaria</v>
      </c>
      <c r="B10" s="189">
        <f>+Componentes!K42</f>
        <v>1500000</v>
      </c>
      <c r="C10" s="188">
        <f>+B10</f>
        <v>1500000</v>
      </c>
    </row>
    <row r="11" spans="1:3" s="77" customFormat="1" x14ac:dyDescent="0.3">
      <c r="A11" s="187" t="s">
        <v>198</v>
      </c>
      <c r="B11" s="188">
        <f>+Seguimiento_ME_Auditoria!G17</f>
        <v>400000</v>
      </c>
      <c r="C11" s="188">
        <f>+B11</f>
        <v>400000</v>
      </c>
    </row>
    <row r="12" spans="1:3" s="77" customFormat="1" x14ac:dyDescent="0.3">
      <c r="A12" s="190" t="s">
        <v>18</v>
      </c>
      <c r="B12" s="188">
        <f>+Seguimiento_ME_Auditoria!G10</f>
        <v>911000</v>
      </c>
      <c r="C12" s="188">
        <f>+B12</f>
        <v>911000</v>
      </c>
    </row>
    <row r="13" spans="1:3" x14ac:dyDescent="0.3">
      <c r="A13" s="36" t="s">
        <v>3</v>
      </c>
      <c r="B13" s="35">
        <f t="shared" ref="B13:C13" si="1">+B7+B8+B9+B10+B11+B12</f>
        <v>29999999.507698879</v>
      </c>
      <c r="C13" s="35">
        <f t="shared" si="1"/>
        <v>29999999.507698879</v>
      </c>
    </row>
    <row r="14" spans="1:3" x14ac:dyDescent="0.3">
      <c r="B14" s="45">
        <f>30000000-B13</f>
        <v>0.49230112135410309</v>
      </c>
      <c r="C14" s="33"/>
    </row>
    <row r="15" spans="1:3" x14ac:dyDescent="0.3">
      <c r="A15" s="34"/>
      <c r="B15" s="34"/>
      <c r="C15" s="33"/>
    </row>
    <row r="16" spans="1:3" x14ac:dyDescent="0.3">
      <c r="A16" s="34"/>
      <c r="B16" s="34"/>
      <c r="C16" s="33"/>
    </row>
    <row r="17" spans="1:3" x14ac:dyDescent="0.3">
      <c r="A17" s="34"/>
      <c r="B17" s="34"/>
      <c r="C17" s="33"/>
    </row>
    <row r="18" spans="1:3" x14ac:dyDescent="0.3">
      <c r="A18" s="34"/>
      <c r="B18" s="34"/>
      <c r="C18" s="32"/>
    </row>
  </sheetData>
  <mergeCells count="3"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topLeftCell="B1" zoomScale="110" zoomScaleNormal="110" workbookViewId="0">
      <selection activeCell="B9" sqref="B9"/>
    </sheetView>
  </sheetViews>
  <sheetFormatPr defaultColWidth="11.44140625" defaultRowHeight="10.199999999999999" x14ac:dyDescent="0.2"/>
  <cols>
    <col min="1" max="1" width="4.33203125" style="68" customWidth="1"/>
    <col min="2" max="2" width="33.6640625" style="13" customWidth="1"/>
    <col min="3" max="4" width="8.5546875" style="13" hidden="1" customWidth="1"/>
    <col min="5" max="6" width="12.109375" style="13" hidden="1" customWidth="1"/>
    <col min="7" max="7" width="13.109375" style="13" hidden="1" customWidth="1"/>
    <col min="8" max="8" width="13.109375" style="13" customWidth="1"/>
    <col min="9" max="9" width="11.88671875" style="13" customWidth="1"/>
    <col min="10" max="10" width="5.88671875" style="13" customWidth="1"/>
    <col min="11" max="11" width="12.44140625" style="13" bestFit="1" customWidth="1"/>
    <col min="12" max="12" width="11.6640625" style="13" bestFit="1" customWidth="1"/>
    <col min="13" max="16384" width="11.44140625" style="13"/>
  </cols>
  <sheetData>
    <row r="1" spans="1:12" s="1" customFormat="1" ht="13.8" x14ac:dyDescent="0.3">
      <c r="A1" s="28"/>
      <c r="C1" s="37"/>
      <c r="D1" s="37"/>
      <c r="E1" s="6"/>
      <c r="F1" s="6"/>
      <c r="G1" s="6"/>
      <c r="H1" s="6"/>
      <c r="I1" s="8"/>
      <c r="J1" s="8"/>
      <c r="K1" s="8"/>
      <c r="L1" s="8"/>
    </row>
    <row r="2" spans="1:12" s="1" customFormat="1" ht="13.8" x14ac:dyDescent="0.3">
      <c r="A2" s="28"/>
      <c r="B2" s="216" t="s">
        <v>29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12" s="1" customFormat="1" ht="13.8" x14ac:dyDescent="0.3">
      <c r="A3" s="28"/>
      <c r="C3" s="37"/>
      <c r="D3" s="37"/>
      <c r="E3" s="6"/>
      <c r="F3" s="6"/>
      <c r="G3" s="6"/>
      <c r="H3" s="6"/>
      <c r="I3" s="8"/>
      <c r="J3" s="8"/>
      <c r="K3" s="8"/>
      <c r="L3" s="8"/>
    </row>
    <row r="4" spans="1:12" s="1" customFormat="1" ht="13.8" x14ac:dyDescent="0.3">
      <c r="A4" s="28"/>
      <c r="B4" s="6" t="s">
        <v>36</v>
      </c>
      <c r="C4" s="6"/>
      <c r="D4" s="6"/>
      <c r="E4" s="9">
        <v>3000</v>
      </c>
      <c r="F4" s="63"/>
      <c r="G4" s="64"/>
      <c r="H4" s="64">
        <v>3000</v>
      </c>
      <c r="I4" s="186"/>
      <c r="J4" s="8"/>
      <c r="K4" s="8"/>
      <c r="L4" s="8"/>
    </row>
    <row r="5" spans="1:12" s="1" customFormat="1" ht="13.8" x14ac:dyDescent="0.3">
      <c r="A5" s="28"/>
      <c r="C5" s="37"/>
      <c r="D5" s="37"/>
      <c r="E5" s="6"/>
      <c r="F5" s="6"/>
      <c r="G5" s="6"/>
      <c r="H5" s="6"/>
      <c r="I5" s="8"/>
      <c r="J5" s="8"/>
      <c r="K5" s="8"/>
      <c r="L5" s="8"/>
    </row>
    <row r="6" spans="1:12" ht="11.25" customHeight="1" x14ac:dyDescent="0.2">
      <c r="B6" s="217" t="s">
        <v>11</v>
      </c>
      <c r="C6" s="192"/>
      <c r="D6" s="192"/>
      <c r="E6" s="217" t="s">
        <v>0</v>
      </c>
      <c r="F6" s="218" t="s">
        <v>48</v>
      </c>
      <c r="G6" s="218" t="s">
        <v>32</v>
      </c>
      <c r="H6" s="218" t="s">
        <v>50</v>
      </c>
      <c r="I6" s="217" t="s">
        <v>51</v>
      </c>
      <c r="J6" s="217" t="s">
        <v>1</v>
      </c>
      <c r="K6" s="217" t="s">
        <v>2</v>
      </c>
      <c r="L6" s="69" t="s">
        <v>20</v>
      </c>
    </row>
    <row r="7" spans="1:12" x14ac:dyDescent="0.2">
      <c r="B7" s="217"/>
      <c r="C7" s="192"/>
      <c r="D7" s="192"/>
      <c r="E7" s="217"/>
      <c r="F7" s="219"/>
      <c r="G7" s="219"/>
      <c r="H7" s="219"/>
      <c r="I7" s="217"/>
      <c r="J7" s="217"/>
      <c r="K7" s="217"/>
      <c r="L7" s="27" t="s">
        <v>4</v>
      </c>
    </row>
    <row r="8" spans="1:12" s="14" customFormat="1" x14ac:dyDescent="0.2">
      <c r="A8" s="68">
        <v>1</v>
      </c>
      <c r="B8" s="74" t="s">
        <v>201</v>
      </c>
      <c r="C8" s="74"/>
      <c r="D8" s="74"/>
      <c r="E8" s="74"/>
      <c r="F8" s="74"/>
      <c r="G8" s="74"/>
      <c r="H8" s="61">
        <f>SUM(H9:H13)</f>
        <v>12931081500</v>
      </c>
      <c r="I8" s="61">
        <f>SUM(I9:I13)</f>
        <v>4310360.5</v>
      </c>
      <c r="J8" s="74"/>
      <c r="K8" s="61">
        <f>SUM(K9:K13)</f>
        <v>4310360.5</v>
      </c>
      <c r="L8" s="61">
        <f>SUM(L9:L13)</f>
        <v>4310360.5</v>
      </c>
    </row>
    <row r="9" spans="1:12" s="50" customFormat="1" ht="20.399999999999999" x14ac:dyDescent="0.2">
      <c r="A9" s="46">
        <v>1.1000000000000001</v>
      </c>
      <c r="B9" s="52" t="s">
        <v>125</v>
      </c>
      <c r="C9" s="52"/>
      <c r="D9" s="52"/>
      <c r="E9" s="47" t="s">
        <v>24</v>
      </c>
      <c r="F9" s="47">
        <v>0.06</v>
      </c>
      <c r="G9" s="70"/>
      <c r="H9" s="60">
        <v>2430000000</v>
      </c>
      <c r="I9" s="53">
        <f>+H9/$E$4</f>
        <v>810000</v>
      </c>
      <c r="J9" s="48">
        <v>1</v>
      </c>
      <c r="K9" s="49">
        <f>+J9*I9</f>
        <v>810000</v>
      </c>
      <c r="L9" s="49">
        <f>+K9</f>
        <v>810000</v>
      </c>
    </row>
    <row r="10" spans="1:12" s="41" customFormat="1" ht="20.399999999999999" x14ac:dyDescent="0.2">
      <c r="A10" s="46">
        <v>1.2</v>
      </c>
      <c r="B10" s="52" t="s">
        <v>124</v>
      </c>
      <c r="C10" s="52"/>
      <c r="D10" s="52"/>
      <c r="E10" s="51" t="s">
        <v>24</v>
      </c>
      <c r="F10" s="47">
        <v>0.15</v>
      </c>
      <c r="G10" s="70"/>
      <c r="H10" s="60">
        <f>+H9*F10</f>
        <v>364500000</v>
      </c>
      <c r="I10" s="53">
        <f>+H10/$E$4</f>
        <v>121500</v>
      </c>
      <c r="J10" s="48">
        <v>1</v>
      </c>
      <c r="K10" s="49">
        <f t="shared" ref="K10" si="0">+I10*J10</f>
        <v>121500</v>
      </c>
      <c r="L10" s="49">
        <f>+K10</f>
        <v>121500</v>
      </c>
    </row>
    <row r="11" spans="1:12" s="50" customFormat="1" ht="20.399999999999999" x14ac:dyDescent="0.2">
      <c r="A11" s="46">
        <v>1.3</v>
      </c>
      <c r="B11" s="52" t="s">
        <v>126</v>
      </c>
      <c r="C11" s="52"/>
      <c r="D11" s="52"/>
      <c r="E11" s="47" t="s">
        <v>24</v>
      </c>
      <c r="F11" s="47">
        <v>0.06</v>
      </c>
      <c r="G11" s="70"/>
      <c r="H11" s="60">
        <v>1200000000</v>
      </c>
      <c r="I11" s="53">
        <f>+H11/$E$4</f>
        <v>400000</v>
      </c>
      <c r="J11" s="48">
        <v>1</v>
      </c>
      <c r="K11" s="49">
        <f>+J11*I11</f>
        <v>400000</v>
      </c>
      <c r="L11" s="49">
        <f>+K11</f>
        <v>400000</v>
      </c>
    </row>
    <row r="12" spans="1:12" s="41" customFormat="1" x14ac:dyDescent="0.2">
      <c r="A12" s="46">
        <v>1.4</v>
      </c>
      <c r="B12" s="52" t="s">
        <v>127</v>
      </c>
      <c r="C12" s="52"/>
      <c r="D12" s="52"/>
      <c r="E12" s="51" t="s">
        <v>24</v>
      </c>
      <c r="F12" s="47">
        <v>0.15</v>
      </c>
      <c r="G12" s="70"/>
      <c r="H12" s="60">
        <f>+H11*F12</f>
        <v>180000000</v>
      </c>
      <c r="I12" s="53">
        <f>+H12/$E$4</f>
        <v>60000</v>
      </c>
      <c r="J12" s="48">
        <v>1</v>
      </c>
      <c r="K12" s="49">
        <f t="shared" ref="K12" si="1">+I12*J12</f>
        <v>60000</v>
      </c>
      <c r="L12" s="49">
        <f>+K12</f>
        <v>60000</v>
      </c>
    </row>
    <row r="13" spans="1:12" s="41" customFormat="1" x14ac:dyDescent="0.2">
      <c r="A13" s="46"/>
      <c r="B13" s="52" t="s">
        <v>197</v>
      </c>
      <c r="C13" s="52"/>
      <c r="D13" s="52"/>
      <c r="E13" s="51"/>
      <c r="F13" s="47"/>
      <c r="G13" s="70"/>
      <c r="H13" s="60">
        <f>SUM(H14:H16)</f>
        <v>8756581500</v>
      </c>
      <c r="I13" s="60">
        <f>SUM(I14:I16)</f>
        <v>2918860.5</v>
      </c>
      <c r="J13" s="48"/>
      <c r="K13" s="49">
        <f>SUM(K14:K16)</f>
        <v>2918860.5</v>
      </c>
      <c r="L13" s="49">
        <f>SUM(L14:L16)</f>
        <v>2918860.5</v>
      </c>
    </row>
    <row r="14" spans="1:12" s="41" customFormat="1" x14ac:dyDescent="0.2">
      <c r="A14" s="46"/>
      <c r="B14" s="209" t="s">
        <v>196</v>
      </c>
      <c r="C14" s="52"/>
      <c r="D14" s="52"/>
      <c r="E14" s="51"/>
      <c r="F14" s="47"/>
      <c r="G14" s="70"/>
      <c r="H14" s="60">
        <f>+K14*H4</f>
        <v>5952000000</v>
      </c>
      <c r="I14" s="53">
        <f>+K14</f>
        <v>1984000</v>
      </c>
      <c r="J14" s="48">
        <v>1</v>
      </c>
      <c r="K14" s="49">
        <f>+'Costo Gerencia Integral -GIP'!H4</f>
        <v>1984000</v>
      </c>
      <c r="L14" s="49">
        <f>+K14</f>
        <v>1984000</v>
      </c>
    </row>
    <row r="15" spans="1:12" s="41" customFormat="1" x14ac:dyDescent="0.2">
      <c r="A15" s="46"/>
      <c r="B15" s="209" t="s">
        <v>13</v>
      </c>
      <c r="C15" s="52"/>
      <c r="D15" s="52"/>
      <c r="E15" s="51"/>
      <c r="F15" s="47"/>
      <c r="G15" s="70"/>
      <c r="H15" s="60">
        <f>+K15*H4</f>
        <v>1063912500</v>
      </c>
      <c r="I15" s="53">
        <f>+K15</f>
        <v>354637.5</v>
      </c>
      <c r="J15" s="48">
        <v>1</v>
      </c>
      <c r="K15" s="49">
        <f>+'Costo Gerencia Integral -GIP'!H17</f>
        <v>354637.5</v>
      </c>
      <c r="L15" s="49">
        <f>+K15</f>
        <v>354637.5</v>
      </c>
    </row>
    <row r="16" spans="1:12" s="41" customFormat="1" x14ac:dyDescent="0.2">
      <c r="A16" s="46"/>
      <c r="B16" s="209" t="s">
        <v>104</v>
      </c>
      <c r="C16" s="52"/>
      <c r="D16" s="52"/>
      <c r="E16" s="51"/>
      <c r="F16" s="47"/>
      <c r="G16" s="70"/>
      <c r="H16" s="60">
        <f>+K16*H4</f>
        <v>1740669000</v>
      </c>
      <c r="I16" s="53">
        <f>+K16</f>
        <v>580223</v>
      </c>
      <c r="J16" s="48">
        <v>1</v>
      </c>
      <c r="K16" s="49">
        <v>580223</v>
      </c>
      <c r="L16" s="49">
        <f>+K16</f>
        <v>580223</v>
      </c>
    </row>
    <row r="17" spans="1:12" s="14" customFormat="1" x14ac:dyDescent="0.2">
      <c r="A17" s="68">
        <v>2</v>
      </c>
      <c r="B17" s="74" t="s">
        <v>106</v>
      </c>
      <c r="C17" s="74"/>
      <c r="D17" s="74"/>
      <c r="E17" s="74"/>
      <c r="F17" s="74"/>
      <c r="G17" s="74"/>
      <c r="H17" s="61">
        <f>+H18+H29+H26</f>
        <v>35101687724.747223</v>
      </c>
      <c r="I17" s="61">
        <f>+I18+I29+I26</f>
        <v>11700562.574915741</v>
      </c>
      <c r="J17" s="61"/>
      <c r="K17" s="61">
        <f>+K18+K29+K26</f>
        <v>11700562.574915741</v>
      </c>
      <c r="L17" s="61">
        <f>+L18+L29+L26</f>
        <v>11700562.574915741</v>
      </c>
    </row>
    <row r="18" spans="1:12" s="14" customFormat="1" x14ac:dyDescent="0.2">
      <c r="A18" s="68">
        <v>2.1</v>
      </c>
      <c r="B18" s="55" t="s">
        <v>164</v>
      </c>
      <c r="C18" s="56"/>
      <c r="D18" s="56"/>
      <c r="E18" s="56"/>
      <c r="F18" s="56"/>
      <c r="G18" s="56"/>
      <c r="H18" s="73">
        <f>+H19+H25</f>
        <v>31910625204.315659</v>
      </c>
      <c r="I18" s="73">
        <f>+I19+I25</f>
        <v>10636875.068105219</v>
      </c>
      <c r="J18" s="57"/>
      <c r="K18" s="73">
        <f>+K19+K25</f>
        <v>10636875.068105219</v>
      </c>
      <c r="L18" s="73">
        <f>+L19+L25</f>
        <v>10636875.068105219</v>
      </c>
    </row>
    <row r="19" spans="1:12" s="19" customFormat="1" ht="12.75" customHeight="1" x14ac:dyDescent="0.2">
      <c r="A19" s="39" t="s">
        <v>23</v>
      </c>
      <c r="B19" s="214" t="s">
        <v>131</v>
      </c>
      <c r="C19" s="215"/>
      <c r="D19" s="215"/>
      <c r="E19" s="215"/>
      <c r="F19" s="215"/>
      <c r="G19" s="138">
        <f>+G20+G21+G36+G22+G23+G24</f>
        <v>6336378232.9336004</v>
      </c>
      <c r="H19" s="138">
        <f>+H20+H21+H22+H23+H24</f>
        <v>7060199769.4483852</v>
      </c>
      <c r="I19" s="138">
        <f>+I20+I21+I22+I23+I24</f>
        <v>2353399.9231494614</v>
      </c>
      <c r="J19" s="139"/>
      <c r="K19" s="140">
        <f>+I19</f>
        <v>2353399.9231494614</v>
      </c>
      <c r="L19" s="140">
        <f>SUM(L20:L24)</f>
        <v>2353399.9231494614</v>
      </c>
    </row>
    <row r="20" spans="1:12" s="130" customFormat="1" ht="12.75" customHeight="1" x14ac:dyDescent="0.2">
      <c r="A20" s="125" t="s">
        <v>107</v>
      </c>
      <c r="B20" s="126" t="s">
        <v>43</v>
      </c>
      <c r="C20" s="126"/>
      <c r="D20" s="126"/>
      <c r="E20" s="127" t="s">
        <v>24</v>
      </c>
      <c r="F20" s="127">
        <f>1.3*1.3</f>
        <v>1.6900000000000002</v>
      </c>
      <c r="G20" s="128">
        <f>+'Memoria de calculo'!G5*1000</f>
        <v>544699540</v>
      </c>
      <c r="H20" s="128">
        <f t="shared" ref="H20:H25" si="2">+G20*F20</f>
        <v>920542222.60000014</v>
      </c>
      <c r="I20" s="53">
        <f>+H20/$E$4</f>
        <v>306847.4075333334</v>
      </c>
      <c r="J20" s="53">
        <v>1</v>
      </c>
      <c r="K20" s="129">
        <f t="shared" ref="K20" si="3">+J20*I20</f>
        <v>306847.4075333334</v>
      </c>
      <c r="L20" s="129">
        <f t="shared" ref="L20:L31" si="4">+K20</f>
        <v>306847.4075333334</v>
      </c>
    </row>
    <row r="21" spans="1:12" s="130" customFormat="1" ht="12.75" customHeight="1" x14ac:dyDescent="0.2">
      <c r="A21" s="125" t="s">
        <v>108</v>
      </c>
      <c r="B21" s="126" t="s">
        <v>44</v>
      </c>
      <c r="C21" s="126"/>
      <c r="D21" s="126"/>
      <c r="E21" s="127" t="s">
        <v>24</v>
      </c>
      <c r="F21" s="127">
        <f t="shared" ref="F21:F36" si="5">1.3*1.3</f>
        <v>1.6900000000000002</v>
      </c>
      <c r="G21" s="128">
        <f>+'Memoria de calculo'!G6*1000</f>
        <v>1063380831.0400001</v>
      </c>
      <c r="H21" s="128">
        <f t="shared" si="2"/>
        <v>1797113604.4576004</v>
      </c>
      <c r="I21" s="53">
        <f t="shared" ref="I21:I30" si="6">+H21/$E$4</f>
        <v>599037.86815253343</v>
      </c>
      <c r="J21" s="53">
        <v>1</v>
      </c>
      <c r="K21" s="129">
        <f t="shared" ref="K21" si="7">+J21*I21</f>
        <v>599037.86815253343</v>
      </c>
      <c r="L21" s="129">
        <f t="shared" si="4"/>
        <v>599037.86815253343</v>
      </c>
    </row>
    <row r="22" spans="1:12" s="130" customFormat="1" ht="12.75" customHeight="1" x14ac:dyDescent="0.2">
      <c r="A22" s="125" t="s">
        <v>117</v>
      </c>
      <c r="B22" s="126" t="s">
        <v>46</v>
      </c>
      <c r="C22" s="126"/>
      <c r="D22" s="126"/>
      <c r="E22" s="127" t="s">
        <v>24</v>
      </c>
      <c r="F22" s="127">
        <f t="shared" si="5"/>
        <v>1.6900000000000002</v>
      </c>
      <c r="G22" s="128">
        <f>+'Memoria de calculo'!G8*1000</f>
        <v>1583137255.5120001</v>
      </c>
      <c r="H22" s="128">
        <f t="shared" si="2"/>
        <v>2675501961.8152804</v>
      </c>
      <c r="I22" s="53">
        <f t="shared" si="6"/>
        <v>891833.98727176012</v>
      </c>
      <c r="J22" s="53">
        <v>1</v>
      </c>
      <c r="K22" s="129">
        <f t="shared" ref="K22" si="8">+J22*I22</f>
        <v>891833.98727176012</v>
      </c>
      <c r="L22" s="129">
        <f t="shared" si="4"/>
        <v>891833.98727176012</v>
      </c>
    </row>
    <row r="23" spans="1:12" s="130" customFormat="1" ht="12.75" customHeight="1" x14ac:dyDescent="0.2">
      <c r="A23" s="125" t="s">
        <v>117</v>
      </c>
      <c r="B23" s="133" t="s">
        <v>129</v>
      </c>
      <c r="C23" s="133"/>
      <c r="D23" s="133"/>
      <c r="E23" s="134" t="s">
        <v>24</v>
      </c>
      <c r="F23" s="134">
        <f t="shared" si="5"/>
        <v>1.6900000000000002</v>
      </c>
      <c r="G23" s="135">
        <f>+'Memoria de calculo'!G9*1000</f>
        <v>789518625</v>
      </c>
      <c r="H23" s="128">
        <f t="shared" si="2"/>
        <v>1334286476.2500002</v>
      </c>
      <c r="I23" s="53">
        <f t="shared" ref="I23" si="9">+H23/$E$4</f>
        <v>444762.15875000006</v>
      </c>
      <c r="J23" s="53">
        <v>1</v>
      </c>
      <c r="K23" s="129">
        <f t="shared" ref="K23" si="10">+J23*I23</f>
        <v>444762.15875000006</v>
      </c>
      <c r="L23" s="129">
        <f t="shared" si="4"/>
        <v>444762.15875000006</v>
      </c>
    </row>
    <row r="24" spans="1:12" s="130" customFormat="1" ht="20.399999999999999" x14ac:dyDescent="0.2">
      <c r="A24" s="125" t="s">
        <v>117</v>
      </c>
      <c r="B24" s="126" t="s">
        <v>130</v>
      </c>
      <c r="C24" s="126"/>
      <c r="D24" s="126"/>
      <c r="E24" s="127" t="s">
        <v>24</v>
      </c>
      <c r="F24" s="127">
        <f t="shared" si="5"/>
        <v>1.6900000000000002</v>
      </c>
      <c r="G24" s="128">
        <f>+'Memoria de calculo'!G10*1000</f>
        <v>196896748.12159997</v>
      </c>
      <c r="H24" s="132">
        <f t="shared" si="2"/>
        <v>332755504.325504</v>
      </c>
      <c r="I24" s="53">
        <f t="shared" ref="I24" si="11">+H24/$E$4</f>
        <v>110918.50144183467</v>
      </c>
      <c r="J24" s="53">
        <v>1</v>
      </c>
      <c r="K24" s="129">
        <f t="shared" ref="K24" si="12">+J24*I24</f>
        <v>110918.50144183467</v>
      </c>
      <c r="L24" s="129">
        <f t="shared" si="4"/>
        <v>110918.50144183467</v>
      </c>
    </row>
    <row r="25" spans="1:12" s="19" customFormat="1" ht="33" customHeight="1" x14ac:dyDescent="0.2">
      <c r="A25" s="39" t="s">
        <v>26</v>
      </c>
      <c r="B25" s="136" t="s">
        <v>132</v>
      </c>
      <c r="C25" s="136"/>
      <c r="D25" s="136"/>
      <c r="E25" s="137" t="s">
        <v>24</v>
      </c>
      <c r="F25" s="127">
        <f t="shared" si="5"/>
        <v>1.6900000000000002</v>
      </c>
      <c r="G25" s="138">
        <f>+('Memoria de calculo'!E5+'Memoria de calculo'!E6+'Memoria de calculo'!E7+'Memoria de calculo'!E8+'Memoria de calculo'!E9+'Memoria de calculo'!E10)-Componentes!G19</f>
        <v>14704393748.442173</v>
      </c>
      <c r="H25" s="132">
        <f t="shared" si="2"/>
        <v>24850425434.867275</v>
      </c>
      <c r="I25" s="53">
        <f t="shared" ref="I25" si="13">+H25/$E$4</f>
        <v>8283475.144955758</v>
      </c>
      <c r="J25" s="139">
        <v>1</v>
      </c>
      <c r="K25" s="140">
        <f>+I25</f>
        <v>8283475.144955758</v>
      </c>
      <c r="L25" s="140">
        <f t="shared" si="4"/>
        <v>8283475.144955758</v>
      </c>
    </row>
    <row r="26" spans="1:12" s="14" customFormat="1" x14ac:dyDescent="0.2">
      <c r="A26" s="68">
        <v>2.2000000000000002</v>
      </c>
      <c r="B26" s="55" t="s">
        <v>49</v>
      </c>
      <c r="C26" s="56"/>
      <c r="D26" s="56"/>
      <c r="E26" s="56"/>
      <c r="F26" s="56"/>
      <c r="G26" s="56"/>
      <c r="H26" s="73">
        <f>+H27+H28</f>
        <v>638212504.08631325</v>
      </c>
      <c r="I26" s="73">
        <f>+I27+I28</f>
        <v>212737.50136210441</v>
      </c>
      <c r="J26" s="57"/>
      <c r="K26" s="73">
        <f>+I26</f>
        <v>212737.50136210441</v>
      </c>
      <c r="L26" s="73">
        <f>+L27+L28</f>
        <v>212737.50136210441</v>
      </c>
    </row>
    <row r="27" spans="1:12" s="19" customFormat="1" ht="12.75" customHeight="1" x14ac:dyDescent="0.2">
      <c r="A27" s="39" t="s">
        <v>25</v>
      </c>
      <c r="B27" s="178" t="s">
        <v>169</v>
      </c>
      <c r="C27" s="178"/>
      <c r="D27" s="178"/>
      <c r="E27" s="29" t="s">
        <v>24</v>
      </c>
      <c r="F27" s="29">
        <v>0.02</v>
      </c>
      <c r="G27" s="179"/>
      <c r="H27" s="138">
        <f>+H19*F27</f>
        <v>141203995.38896769</v>
      </c>
      <c r="I27" s="141">
        <f t="shared" ref="I27:I28" si="14">+H27/$E$4</f>
        <v>47067.998462989228</v>
      </c>
      <c r="J27" s="139">
        <v>1</v>
      </c>
      <c r="K27" s="140">
        <f>+J27*I27</f>
        <v>47067.998462989228</v>
      </c>
      <c r="L27" s="140">
        <f t="shared" si="4"/>
        <v>47067.998462989228</v>
      </c>
    </row>
    <row r="28" spans="1:12" s="19" customFormat="1" ht="12.75" customHeight="1" x14ac:dyDescent="0.2">
      <c r="A28" s="39" t="s">
        <v>162</v>
      </c>
      <c r="B28" s="178" t="s">
        <v>195</v>
      </c>
      <c r="C28" s="178"/>
      <c r="D28" s="178"/>
      <c r="E28" s="29" t="s">
        <v>24</v>
      </c>
      <c r="F28" s="29">
        <v>0.02</v>
      </c>
      <c r="G28" s="179"/>
      <c r="H28" s="138">
        <f>+H25*F28</f>
        <v>497008508.6973455</v>
      </c>
      <c r="I28" s="141">
        <f t="shared" si="14"/>
        <v>165669.50289911518</v>
      </c>
      <c r="J28" s="139">
        <v>1</v>
      </c>
      <c r="K28" s="140">
        <f>+J28*I28</f>
        <v>165669.50289911518</v>
      </c>
      <c r="L28" s="140">
        <f t="shared" si="4"/>
        <v>165669.50289911518</v>
      </c>
    </row>
    <row r="29" spans="1:12" s="14" customFormat="1" x14ac:dyDescent="0.2">
      <c r="A29" s="68">
        <v>2.2000000000000002</v>
      </c>
      <c r="B29" s="55" t="s">
        <v>40</v>
      </c>
      <c r="C29" s="56"/>
      <c r="D29" s="56"/>
      <c r="E29" s="56"/>
      <c r="F29" s="56"/>
      <c r="G29" s="56"/>
      <c r="H29" s="73">
        <f>+H30+H31</f>
        <v>2552850016.345253</v>
      </c>
      <c r="I29" s="73">
        <f>+I30+I31</f>
        <v>850950.00544841762</v>
      </c>
      <c r="J29" s="57"/>
      <c r="K29" s="73">
        <f>+I29</f>
        <v>850950.00544841762</v>
      </c>
      <c r="L29" s="73">
        <f>+L30+L31</f>
        <v>850950.00544841762</v>
      </c>
    </row>
    <row r="30" spans="1:12" s="19" customFormat="1" ht="12.75" customHeight="1" x14ac:dyDescent="0.2">
      <c r="A30" s="39" t="s">
        <v>25</v>
      </c>
      <c r="B30" s="178" t="s">
        <v>160</v>
      </c>
      <c r="C30" s="178"/>
      <c r="D30" s="178"/>
      <c r="E30" s="29" t="s">
        <v>24</v>
      </c>
      <c r="F30" s="29">
        <v>0.08</v>
      </c>
      <c r="G30" s="179"/>
      <c r="H30" s="138">
        <f>+H19*F30</f>
        <v>564815981.55587077</v>
      </c>
      <c r="I30" s="141">
        <f t="shared" si="6"/>
        <v>188271.99385195691</v>
      </c>
      <c r="J30" s="139">
        <v>1</v>
      </c>
      <c r="K30" s="140">
        <f>+J30*I30</f>
        <v>188271.99385195691</v>
      </c>
      <c r="L30" s="140">
        <f t="shared" si="4"/>
        <v>188271.99385195691</v>
      </c>
    </row>
    <row r="31" spans="1:12" s="19" customFormat="1" ht="12.75" customHeight="1" x14ac:dyDescent="0.2">
      <c r="A31" s="39" t="s">
        <v>162</v>
      </c>
      <c r="B31" s="178" t="s">
        <v>161</v>
      </c>
      <c r="C31" s="178"/>
      <c r="D31" s="178"/>
      <c r="E31" s="29" t="s">
        <v>24</v>
      </c>
      <c r="F31" s="29">
        <v>0.08</v>
      </c>
      <c r="G31" s="179"/>
      <c r="H31" s="138">
        <f>+H25*F31</f>
        <v>1988034034.789382</v>
      </c>
      <c r="I31" s="141">
        <f t="shared" ref="I31" si="15">+H31/$E$4</f>
        <v>662678.01159646071</v>
      </c>
      <c r="J31" s="139">
        <v>1</v>
      </c>
      <c r="K31" s="140">
        <f>+J31*I31</f>
        <v>662678.01159646071</v>
      </c>
      <c r="L31" s="140">
        <f t="shared" si="4"/>
        <v>662678.01159646071</v>
      </c>
    </row>
    <row r="32" spans="1:12" s="54" customFormat="1" ht="15" customHeight="1" x14ac:dyDescent="0.3">
      <c r="A32" s="46">
        <v>3</v>
      </c>
      <c r="B32" s="181" t="s">
        <v>110</v>
      </c>
      <c r="C32" s="182"/>
      <c r="D32" s="182"/>
      <c r="E32" s="182"/>
      <c r="F32" s="182"/>
      <c r="G32" s="182"/>
      <c r="H32" s="184">
        <f>+H33+H39</f>
        <v>32962697856.561237</v>
      </c>
      <c r="I32" s="184">
        <f>+I33+I39+I37</f>
        <v>11178076.432783138</v>
      </c>
      <c r="J32" s="183"/>
      <c r="K32" s="184">
        <f>+K33+K39+K37</f>
        <v>11178076.432783138</v>
      </c>
      <c r="L32" s="184">
        <f>+L33+L39+L37</f>
        <v>11178076.432783138</v>
      </c>
    </row>
    <row r="33" spans="1:12" s="14" customFormat="1" x14ac:dyDescent="0.2">
      <c r="A33" s="68">
        <v>3.1</v>
      </c>
      <c r="B33" s="65" t="s">
        <v>165</v>
      </c>
      <c r="C33" s="66"/>
      <c r="D33" s="66"/>
      <c r="E33" s="66"/>
      <c r="F33" s="66"/>
      <c r="G33" s="66"/>
      <c r="H33" s="180">
        <f>+H34+H35+H36</f>
        <v>30676572089.408554</v>
      </c>
      <c r="I33" s="180">
        <f>+I34+I35+I36</f>
        <v>10225524.029802853</v>
      </c>
      <c r="J33" s="67"/>
      <c r="K33" s="180">
        <f>+K34+K35+K36</f>
        <v>10225524.029802853</v>
      </c>
      <c r="L33" s="180">
        <f>+L34+L35+L36</f>
        <v>10225524.029802853</v>
      </c>
    </row>
    <row r="34" spans="1:12" s="130" customFormat="1" ht="22.5" customHeight="1" x14ac:dyDescent="0.2">
      <c r="A34" s="125" t="s">
        <v>65</v>
      </c>
      <c r="B34" s="126" t="s">
        <v>128</v>
      </c>
      <c r="C34" s="126"/>
      <c r="D34" s="126"/>
      <c r="E34" s="127" t="s">
        <v>24</v>
      </c>
      <c r="F34" s="127"/>
      <c r="G34" s="128">
        <v>2100000000</v>
      </c>
      <c r="H34" s="132">
        <f>+G34</f>
        <v>2100000000</v>
      </c>
      <c r="I34" s="53">
        <f t="shared" ref="I34:I35" si="16">+H34/$E$4</f>
        <v>700000</v>
      </c>
      <c r="J34" s="53">
        <v>1</v>
      </c>
      <c r="K34" s="129">
        <f t="shared" ref="K34" si="17">+J34*I34</f>
        <v>700000</v>
      </c>
      <c r="L34" s="129">
        <f>+K34</f>
        <v>700000</v>
      </c>
    </row>
    <row r="35" spans="1:12" s="130" customFormat="1" ht="31.5" customHeight="1" x14ac:dyDescent="0.2">
      <c r="A35" s="125" t="s">
        <v>66</v>
      </c>
      <c r="B35" s="126" t="s">
        <v>163</v>
      </c>
      <c r="C35" s="126"/>
      <c r="D35" s="126"/>
      <c r="E35" s="127" t="s">
        <v>24</v>
      </c>
      <c r="F35" s="127">
        <f t="shared" ref="F35" si="18">1.3*1.3</f>
        <v>1.6900000000000002</v>
      </c>
      <c r="G35" s="128">
        <v>14750469020.8279</v>
      </c>
      <c r="H35" s="132">
        <f>+G35*F35</f>
        <v>24928292645.199154</v>
      </c>
      <c r="I35" s="53">
        <f t="shared" si="16"/>
        <v>8309430.8817330515</v>
      </c>
      <c r="J35" s="53">
        <v>1</v>
      </c>
      <c r="K35" s="129">
        <f t="shared" ref="K35" si="19">+J35*I35</f>
        <v>8309430.8817330515</v>
      </c>
      <c r="L35" s="129">
        <f>+K35</f>
        <v>8309430.8817330515</v>
      </c>
    </row>
    <row r="36" spans="1:12" s="130" customFormat="1" ht="12.75" customHeight="1" x14ac:dyDescent="0.2">
      <c r="A36" s="125" t="s">
        <v>109</v>
      </c>
      <c r="B36" s="126" t="s">
        <v>45</v>
      </c>
      <c r="C36" s="126"/>
      <c r="D36" s="126"/>
      <c r="E36" s="127" t="s">
        <v>24</v>
      </c>
      <c r="F36" s="127">
        <f t="shared" si="5"/>
        <v>1.6900000000000002</v>
      </c>
      <c r="G36" s="128">
        <f>+'Memoria de calculo'!G7*1000</f>
        <v>2158745233.2600002</v>
      </c>
      <c r="H36" s="128">
        <f>+G36*F36</f>
        <v>3648279444.2094007</v>
      </c>
      <c r="I36" s="53">
        <f>+H36/$E$4</f>
        <v>1216093.1480698001</v>
      </c>
      <c r="J36" s="53">
        <v>1</v>
      </c>
      <c r="K36" s="129">
        <f t="shared" ref="K36" si="20">+J36*I36</f>
        <v>1216093.1480698001</v>
      </c>
      <c r="L36" s="129">
        <f>+K36</f>
        <v>1216093.1480698001</v>
      </c>
    </row>
    <row r="37" spans="1:12" s="14" customFormat="1" x14ac:dyDescent="0.2">
      <c r="A37" s="68">
        <v>2.2000000000000002</v>
      </c>
      <c r="B37" s="55" t="s">
        <v>49</v>
      </c>
      <c r="C37" s="56"/>
      <c r="D37" s="56"/>
      <c r="E37" s="56"/>
      <c r="F37" s="56"/>
      <c r="G37" s="56"/>
      <c r="H37" s="73">
        <f>+H38+H39</f>
        <v>2857657208.940855</v>
      </c>
      <c r="I37" s="73">
        <f>+I38</f>
        <v>190510.48059605702</v>
      </c>
      <c r="J37" s="57"/>
      <c r="K37" s="73">
        <f>+I37</f>
        <v>190510.48059605702</v>
      </c>
      <c r="L37" s="73">
        <f>+L38</f>
        <v>190510.48059605702</v>
      </c>
    </row>
    <row r="38" spans="1:12" s="19" customFormat="1" ht="12.75" customHeight="1" x14ac:dyDescent="0.2">
      <c r="A38" s="39" t="s">
        <v>25</v>
      </c>
      <c r="B38" s="178" t="s">
        <v>170</v>
      </c>
      <c r="C38" s="178"/>
      <c r="D38" s="178"/>
      <c r="E38" s="29" t="s">
        <v>24</v>
      </c>
      <c r="F38" s="29">
        <v>0.02</v>
      </c>
      <c r="G38" s="179"/>
      <c r="H38" s="138">
        <f>(H35+H36)*F38</f>
        <v>571531441.78817105</v>
      </c>
      <c r="I38" s="141">
        <f t="shared" ref="I38" si="21">+H38/$E$4</f>
        <v>190510.48059605702</v>
      </c>
      <c r="J38" s="139">
        <v>1</v>
      </c>
      <c r="K38" s="140">
        <f>+J38*I38</f>
        <v>190510.48059605702</v>
      </c>
      <c r="L38" s="140">
        <f>+K38</f>
        <v>190510.48059605702</v>
      </c>
    </row>
    <row r="39" spans="1:12" s="14" customFormat="1" x14ac:dyDescent="0.2">
      <c r="A39" s="68">
        <v>3.2</v>
      </c>
      <c r="B39" s="55" t="s">
        <v>40</v>
      </c>
      <c r="C39" s="56"/>
      <c r="D39" s="56"/>
      <c r="E39" s="56"/>
      <c r="F39" s="56"/>
      <c r="G39" s="56"/>
      <c r="H39" s="71">
        <f>+H40</f>
        <v>2286125767.1526842</v>
      </c>
      <c r="I39" s="185">
        <f>+I40</f>
        <v>762041.92238422809</v>
      </c>
      <c r="J39" s="57"/>
      <c r="K39" s="58">
        <f t="shared" ref="K39:L39" si="22">SUM(K40:K40)</f>
        <v>762041.92238422809</v>
      </c>
      <c r="L39" s="58">
        <f t="shared" si="22"/>
        <v>762041.92238422809</v>
      </c>
    </row>
    <row r="40" spans="1:12" s="41" customFormat="1" ht="30.6" x14ac:dyDescent="0.2">
      <c r="A40" s="39" t="s">
        <v>78</v>
      </c>
      <c r="B40" s="52" t="s">
        <v>41</v>
      </c>
      <c r="C40" s="52"/>
      <c r="D40" s="52"/>
      <c r="E40" s="47" t="s">
        <v>24</v>
      </c>
      <c r="F40" s="47">
        <v>0.08</v>
      </c>
      <c r="G40" s="72"/>
      <c r="H40" s="59">
        <f>+(H35+H36)*F40</f>
        <v>2286125767.1526842</v>
      </c>
      <c r="I40" s="53">
        <f>+H40/$E$4</f>
        <v>762041.92238422809</v>
      </c>
      <c r="J40" s="48">
        <v>1</v>
      </c>
      <c r="K40" s="49">
        <f t="shared" ref="K40" si="23">+J40*I40</f>
        <v>762041.92238422809</v>
      </c>
      <c r="L40" s="49">
        <f>+K40</f>
        <v>762041.92238422809</v>
      </c>
    </row>
    <row r="41" spans="1:12" s="54" customFormat="1" ht="15" customHeight="1" x14ac:dyDescent="0.3">
      <c r="A41" s="46">
        <v>4</v>
      </c>
      <c r="B41" s="211" t="s">
        <v>111</v>
      </c>
      <c r="C41" s="211"/>
      <c r="D41" s="211"/>
      <c r="E41" s="211"/>
      <c r="F41" s="211"/>
      <c r="G41" s="211"/>
      <c r="H41" s="211"/>
      <c r="I41" s="211"/>
      <c r="J41" s="211"/>
      <c r="K41" s="62">
        <f>+K42</f>
        <v>1500000</v>
      </c>
      <c r="L41" s="62">
        <f t="shared" ref="L41" si="24">+L42</f>
        <v>1500000</v>
      </c>
    </row>
    <row r="42" spans="1:12" s="14" customFormat="1" ht="11.25" customHeight="1" x14ac:dyDescent="0.2">
      <c r="A42" s="68">
        <v>4.0999999999999996</v>
      </c>
      <c r="B42" s="212" t="s">
        <v>42</v>
      </c>
      <c r="C42" s="213"/>
      <c r="D42" s="213"/>
      <c r="E42" s="213"/>
      <c r="F42" s="213"/>
      <c r="G42" s="213"/>
      <c r="H42" s="123">
        <f>SUM(H43:H67)</f>
        <v>4650000000</v>
      </c>
      <c r="I42" s="123">
        <f>+I43+I44+I45+I52+I51+I53+I59+I60+I62+I63+I67</f>
        <v>1500000</v>
      </c>
      <c r="J42" s="67"/>
      <c r="K42" s="123">
        <f>SUM(K43:K67)</f>
        <v>1500000</v>
      </c>
      <c r="L42" s="123">
        <f>SUM(L43:L67)</f>
        <v>1500000</v>
      </c>
    </row>
    <row r="43" spans="1:12" s="40" customFormat="1" ht="26.25" customHeight="1" x14ac:dyDescent="0.3">
      <c r="A43" s="39" t="s">
        <v>112</v>
      </c>
      <c r="B43" s="52" t="s">
        <v>175</v>
      </c>
      <c r="C43" s="52"/>
      <c r="D43" s="52"/>
      <c r="E43" s="29" t="s">
        <v>24</v>
      </c>
      <c r="F43" s="29"/>
      <c r="G43" s="59">
        <f>+I43*E4</f>
        <v>150000000</v>
      </c>
      <c r="H43" s="59">
        <f t="shared" ref="H43:H67" si="25">+G43</f>
        <v>150000000</v>
      </c>
      <c r="I43" s="53">
        <v>50000</v>
      </c>
      <c r="J43" s="48">
        <v>1</v>
      </c>
      <c r="K43" s="49">
        <f t="shared" ref="K43:K45" si="26">+J43*I43</f>
        <v>50000</v>
      </c>
      <c r="L43" s="49">
        <f t="shared" ref="L43:L67" si="27">+K43</f>
        <v>50000</v>
      </c>
    </row>
    <row r="44" spans="1:12" s="40" customFormat="1" ht="20.399999999999999" x14ac:dyDescent="0.3">
      <c r="A44" s="39" t="s">
        <v>113</v>
      </c>
      <c r="B44" s="75" t="s">
        <v>176</v>
      </c>
      <c r="C44" s="75"/>
      <c r="D44" s="75"/>
      <c r="E44" s="29" t="s">
        <v>24</v>
      </c>
      <c r="F44" s="29"/>
      <c r="G44" s="59">
        <f>+I44*$E$4</f>
        <v>240000000</v>
      </c>
      <c r="H44" s="59">
        <f>+G44</f>
        <v>240000000</v>
      </c>
      <c r="I44" s="53">
        <v>80000</v>
      </c>
      <c r="J44" s="48">
        <v>1</v>
      </c>
      <c r="K44" s="49">
        <f>+J44*I44</f>
        <v>80000</v>
      </c>
      <c r="L44" s="49">
        <f>+K44</f>
        <v>80000</v>
      </c>
    </row>
    <row r="45" spans="1:12" s="40" customFormat="1" ht="30.6" x14ac:dyDescent="0.3">
      <c r="A45" s="39" t="s">
        <v>114</v>
      </c>
      <c r="B45" s="52" t="s">
        <v>168</v>
      </c>
      <c r="C45" s="52"/>
      <c r="D45" s="52"/>
      <c r="E45" s="29" t="s">
        <v>24</v>
      </c>
      <c r="F45" s="29"/>
      <c r="G45" s="59">
        <f t="shared" ref="G45:G63" si="28">+I45*$E$4</f>
        <v>90000000</v>
      </c>
      <c r="H45" s="59">
        <f t="shared" si="25"/>
        <v>90000000</v>
      </c>
      <c r="I45" s="53">
        <v>30000</v>
      </c>
      <c r="J45" s="48">
        <v>1</v>
      </c>
      <c r="K45" s="49">
        <f t="shared" si="26"/>
        <v>30000</v>
      </c>
      <c r="L45" s="49">
        <f t="shared" si="27"/>
        <v>30000</v>
      </c>
    </row>
    <row r="46" spans="1:12" s="50" customFormat="1" hidden="1" x14ac:dyDescent="0.3">
      <c r="A46" s="46"/>
      <c r="B46" s="194" t="s">
        <v>190</v>
      </c>
      <c r="C46" s="75"/>
      <c r="D46" s="193">
        <v>2000</v>
      </c>
      <c r="E46" s="47"/>
      <c r="F46" s="47"/>
      <c r="G46" s="59"/>
      <c r="H46" s="59"/>
      <c r="I46" s="53"/>
      <c r="J46" s="48"/>
      <c r="K46" s="49"/>
      <c r="L46" s="49"/>
    </row>
    <row r="47" spans="1:12" s="50" customFormat="1" hidden="1" x14ac:dyDescent="0.3">
      <c r="A47" s="46"/>
      <c r="B47" s="194" t="s">
        <v>191</v>
      </c>
      <c r="C47" s="75"/>
      <c r="D47" s="193">
        <v>0</v>
      </c>
      <c r="E47" s="47"/>
      <c r="F47" s="47"/>
      <c r="G47" s="59"/>
      <c r="H47" s="59"/>
      <c r="I47" s="53"/>
      <c r="J47" s="48"/>
      <c r="K47" s="49"/>
      <c r="L47" s="49"/>
    </row>
    <row r="48" spans="1:12" s="50" customFormat="1" hidden="1" x14ac:dyDescent="0.3">
      <c r="A48" s="46"/>
      <c r="B48" s="194" t="s">
        <v>188</v>
      </c>
      <c r="C48" s="75"/>
      <c r="D48" s="193">
        <f>1200*2</f>
        <v>2400</v>
      </c>
      <c r="E48" s="47"/>
      <c r="F48" s="47"/>
      <c r="G48" s="59"/>
      <c r="H48" s="59"/>
      <c r="I48" s="53"/>
      <c r="J48" s="48"/>
      <c r="K48" s="49"/>
      <c r="L48" s="49"/>
    </row>
    <row r="49" spans="1:12" s="50" customFormat="1" hidden="1" x14ac:dyDescent="0.3">
      <c r="A49" s="46"/>
      <c r="B49" s="194" t="s">
        <v>189</v>
      </c>
      <c r="C49" s="75"/>
      <c r="D49" s="193">
        <v>1000</v>
      </c>
      <c r="E49" s="47"/>
      <c r="F49" s="47"/>
      <c r="G49" s="59"/>
      <c r="H49" s="59"/>
      <c r="I49" s="53"/>
      <c r="J49" s="48"/>
      <c r="K49" s="49"/>
      <c r="L49" s="49"/>
    </row>
    <row r="50" spans="1:12" s="203" customFormat="1" hidden="1" x14ac:dyDescent="0.3">
      <c r="A50" s="195"/>
      <c r="B50" s="196"/>
      <c r="C50" s="196"/>
      <c r="D50" s="197">
        <f>SUM(D46:D49)</f>
        <v>5400</v>
      </c>
      <c r="E50" s="198">
        <v>5</v>
      </c>
      <c r="F50" s="198"/>
      <c r="G50" s="199"/>
      <c r="H50" s="199"/>
      <c r="I50" s="200">
        <f>+E50*D50</f>
        <v>27000</v>
      </c>
      <c r="J50" s="201"/>
      <c r="K50" s="202"/>
      <c r="L50" s="202"/>
    </row>
    <row r="51" spans="1:12" s="40" customFormat="1" ht="30.6" x14ac:dyDescent="0.3">
      <c r="A51" s="39" t="s">
        <v>115</v>
      </c>
      <c r="B51" s="75" t="s">
        <v>177</v>
      </c>
      <c r="C51" s="75"/>
      <c r="D51" s="75"/>
      <c r="E51" s="29" t="s">
        <v>24</v>
      </c>
      <c r="F51" s="29"/>
      <c r="G51" s="59">
        <f t="shared" si="28"/>
        <v>300000000</v>
      </c>
      <c r="H51" s="59">
        <f t="shared" si="25"/>
        <v>300000000</v>
      </c>
      <c r="I51" s="53">
        <v>100000</v>
      </c>
      <c r="J51" s="48">
        <v>1</v>
      </c>
      <c r="K51" s="49">
        <f t="shared" ref="K51" si="29">+J51*I51</f>
        <v>100000</v>
      </c>
      <c r="L51" s="49">
        <f t="shared" si="27"/>
        <v>100000</v>
      </c>
    </row>
    <row r="52" spans="1:12" s="40" customFormat="1" x14ac:dyDescent="0.3">
      <c r="A52" s="39" t="s">
        <v>116</v>
      </c>
      <c r="B52" s="75" t="s">
        <v>178</v>
      </c>
      <c r="C52" s="75"/>
      <c r="D52" s="75"/>
      <c r="E52" s="29" t="s">
        <v>24</v>
      </c>
      <c r="F52" s="29"/>
      <c r="G52" s="59">
        <f t="shared" si="28"/>
        <v>600000000</v>
      </c>
      <c r="H52" s="59">
        <f t="shared" si="25"/>
        <v>600000000</v>
      </c>
      <c r="I52" s="53">
        <v>200000</v>
      </c>
      <c r="J52" s="48">
        <v>1</v>
      </c>
      <c r="K52" s="49">
        <f t="shared" ref="K52" si="30">+J52*I52</f>
        <v>200000</v>
      </c>
      <c r="L52" s="49">
        <f t="shared" si="27"/>
        <v>200000</v>
      </c>
    </row>
    <row r="53" spans="1:12" s="40" customFormat="1" ht="20.399999999999999" x14ac:dyDescent="0.3">
      <c r="A53" s="39" t="s">
        <v>182</v>
      </c>
      <c r="B53" s="75" t="s">
        <v>179</v>
      </c>
      <c r="C53" s="75"/>
      <c r="D53" s="75"/>
      <c r="E53" s="29" t="s">
        <v>24</v>
      </c>
      <c r="F53" s="29"/>
      <c r="G53" s="59">
        <f t="shared" si="28"/>
        <v>180000000</v>
      </c>
      <c r="H53" s="59">
        <f t="shared" si="25"/>
        <v>180000000</v>
      </c>
      <c r="I53" s="53">
        <v>60000</v>
      </c>
      <c r="J53" s="48">
        <v>1</v>
      </c>
      <c r="K53" s="49">
        <f t="shared" ref="K53" si="31">+J53*I53</f>
        <v>60000</v>
      </c>
      <c r="L53" s="49">
        <f t="shared" si="27"/>
        <v>60000</v>
      </c>
    </row>
    <row r="54" spans="1:12" s="50" customFormat="1" hidden="1" x14ac:dyDescent="0.3">
      <c r="A54" s="46"/>
      <c r="B54" s="194" t="s">
        <v>190</v>
      </c>
      <c r="C54" s="75"/>
      <c r="D54" s="193">
        <v>2000</v>
      </c>
      <c r="E54" s="47"/>
      <c r="F54" s="47"/>
      <c r="G54" s="59"/>
      <c r="H54" s="59"/>
      <c r="I54" s="53"/>
      <c r="J54" s="48"/>
      <c r="K54" s="49"/>
      <c r="L54" s="49"/>
    </row>
    <row r="55" spans="1:12" s="50" customFormat="1" hidden="1" x14ac:dyDescent="0.3">
      <c r="A55" s="46"/>
      <c r="B55" s="194" t="s">
        <v>191</v>
      </c>
      <c r="C55" s="75"/>
      <c r="D55" s="193">
        <v>0</v>
      </c>
      <c r="E55" s="47"/>
      <c r="F55" s="47"/>
      <c r="G55" s="59"/>
      <c r="H55" s="59"/>
      <c r="I55" s="53"/>
      <c r="J55" s="48"/>
      <c r="K55" s="49"/>
      <c r="L55" s="49"/>
    </row>
    <row r="56" spans="1:12" s="50" customFormat="1" hidden="1" x14ac:dyDescent="0.3">
      <c r="A56" s="46"/>
      <c r="B56" s="194" t="s">
        <v>188</v>
      </c>
      <c r="C56" s="75"/>
      <c r="D56" s="193">
        <f>1200*2</f>
        <v>2400</v>
      </c>
      <c r="E56" s="47"/>
      <c r="F56" s="47"/>
      <c r="G56" s="59"/>
      <c r="H56" s="59"/>
      <c r="I56" s="53"/>
      <c r="J56" s="48"/>
      <c r="K56" s="49"/>
      <c r="L56" s="49"/>
    </row>
    <row r="57" spans="1:12" s="50" customFormat="1" hidden="1" x14ac:dyDescent="0.3">
      <c r="A57" s="46"/>
      <c r="B57" s="194" t="s">
        <v>189</v>
      </c>
      <c r="C57" s="75"/>
      <c r="D57" s="193">
        <v>1000</v>
      </c>
      <c r="E57" s="47"/>
      <c r="F57" s="47"/>
      <c r="G57" s="59"/>
      <c r="H57" s="59"/>
      <c r="I57" s="53"/>
      <c r="J57" s="48"/>
      <c r="K57" s="49"/>
      <c r="L57" s="49"/>
    </row>
    <row r="58" spans="1:12" s="203" customFormat="1" hidden="1" x14ac:dyDescent="0.3">
      <c r="A58" s="195"/>
      <c r="B58" s="196"/>
      <c r="C58" s="196"/>
      <c r="D58" s="197">
        <f>SUM(D54:D57)</f>
        <v>5400</v>
      </c>
      <c r="E58" s="198">
        <v>10</v>
      </c>
      <c r="F58" s="198"/>
      <c r="G58" s="199"/>
      <c r="H58" s="199"/>
      <c r="I58" s="200">
        <f>+E58*D58</f>
        <v>54000</v>
      </c>
      <c r="J58" s="201"/>
      <c r="K58" s="202"/>
      <c r="L58" s="202"/>
    </row>
    <row r="59" spans="1:12" s="40" customFormat="1" ht="20.399999999999999" x14ac:dyDescent="0.3">
      <c r="A59" s="39" t="s">
        <v>183</v>
      </c>
      <c r="B59" s="75" t="s">
        <v>192</v>
      </c>
      <c r="C59" s="75"/>
      <c r="D59" s="75"/>
      <c r="E59" s="29" t="s">
        <v>24</v>
      </c>
      <c r="F59" s="29"/>
      <c r="G59" s="59">
        <f t="shared" si="28"/>
        <v>1050000000</v>
      </c>
      <c r="H59" s="59">
        <f t="shared" si="25"/>
        <v>1050000000</v>
      </c>
      <c r="I59" s="53">
        <v>350000</v>
      </c>
      <c r="J59" s="48">
        <v>1</v>
      </c>
      <c r="K59" s="49">
        <f t="shared" ref="K59" si="32">+J59*I59</f>
        <v>350000</v>
      </c>
      <c r="L59" s="49">
        <f t="shared" si="27"/>
        <v>350000</v>
      </c>
    </row>
    <row r="60" spans="1:12" s="40" customFormat="1" ht="30.6" x14ac:dyDescent="0.3">
      <c r="A60" s="39" t="s">
        <v>184</v>
      </c>
      <c r="B60" s="75" t="s">
        <v>180</v>
      </c>
      <c r="C60" s="75"/>
      <c r="D60" s="75"/>
      <c r="E60" s="29" t="s">
        <v>24</v>
      </c>
      <c r="F60" s="29"/>
      <c r="G60" s="59">
        <f t="shared" si="28"/>
        <v>900000000</v>
      </c>
      <c r="H60" s="59">
        <f t="shared" si="25"/>
        <v>900000000</v>
      </c>
      <c r="I60" s="53">
        <f>+I61</f>
        <v>300000</v>
      </c>
      <c r="J60" s="48">
        <v>1</v>
      </c>
      <c r="K60" s="49">
        <f t="shared" ref="K60" si="33">+J60*I60</f>
        <v>300000</v>
      </c>
      <c r="L60" s="49">
        <f t="shared" si="27"/>
        <v>300000</v>
      </c>
    </row>
    <row r="61" spans="1:12" s="40" customFormat="1" hidden="1" x14ac:dyDescent="0.3">
      <c r="A61" s="39"/>
      <c r="B61" s="75"/>
      <c r="D61" s="204">
        <v>12000</v>
      </c>
      <c r="E61" s="204">
        <v>25</v>
      </c>
      <c r="F61" s="29"/>
      <c r="G61" s="59"/>
      <c r="H61" s="59"/>
      <c r="I61" s="53">
        <f>+E61*D61</f>
        <v>300000</v>
      </c>
      <c r="J61" s="48"/>
      <c r="K61" s="49"/>
      <c r="L61" s="49"/>
    </row>
    <row r="62" spans="1:12" s="40" customFormat="1" ht="30.6" x14ac:dyDescent="0.3">
      <c r="A62" s="39" t="s">
        <v>185</v>
      </c>
      <c r="B62" s="75" t="s">
        <v>181</v>
      </c>
      <c r="C62" s="75"/>
      <c r="D62" s="75"/>
      <c r="E62" s="29" t="s">
        <v>24</v>
      </c>
      <c r="F62" s="29"/>
      <c r="G62" s="59">
        <f t="shared" si="28"/>
        <v>300000000</v>
      </c>
      <c r="H62" s="59">
        <f t="shared" si="25"/>
        <v>300000000</v>
      </c>
      <c r="I62" s="53">
        <v>100000</v>
      </c>
      <c r="J62" s="48">
        <v>1</v>
      </c>
      <c r="K62" s="49">
        <f t="shared" ref="K62" si="34">+J62*I62</f>
        <v>100000</v>
      </c>
      <c r="L62" s="49">
        <f t="shared" si="27"/>
        <v>100000</v>
      </c>
    </row>
    <row r="63" spans="1:12" s="40" customFormat="1" ht="40.799999999999997" x14ac:dyDescent="0.3">
      <c r="A63" s="39" t="s">
        <v>186</v>
      </c>
      <c r="B63" s="75" t="s">
        <v>166</v>
      </c>
      <c r="C63" s="75"/>
      <c r="D63" s="75"/>
      <c r="E63" s="29" t="s">
        <v>24</v>
      </c>
      <c r="F63" s="29"/>
      <c r="G63" s="59">
        <f t="shared" si="28"/>
        <v>240000000</v>
      </c>
      <c r="H63" s="59">
        <f t="shared" si="25"/>
        <v>240000000</v>
      </c>
      <c r="I63" s="53">
        <f>+I64+I65</f>
        <v>80000</v>
      </c>
      <c r="J63" s="48">
        <v>1</v>
      </c>
      <c r="K63" s="49">
        <f t="shared" ref="K63" si="35">+J63*I63</f>
        <v>80000</v>
      </c>
      <c r="L63" s="49">
        <f t="shared" si="27"/>
        <v>80000</v>
      </c>
    </row>
    <row r="64" spans="1:12" s="50" customFormat="1" hidden="1" x14ac:dyDescent="0.3">
      <c r="A64" s="46"/>
      <c r="B64" s="194" t="s">
        <v>193</v>
      </c>
      <c r="C64" s="193">
        <v>1</v>
      </c>
      <c r="D64" s="193">
        <v>4</v>
      </c>
      <c r="E64" s="47">
        <v>10000</v>
      </c>
      <c r="F64" s="47"/>
      <c r="G64" s="59"/>
      <c r="H64" s="59"/>
      <c r="I64" s="53">
        <f>+D64*E64*C64</f>
        <v>40000</v>
      </c>
      <c r="J64" s="48"/>
      <c r="K64" s="49"/>
      <c r="L64" s="49"/>
    </row>
    <row r="65" spans="1:12" s="50" customFormat="1" hidden="1" x14ac:dyDescent="0.3">
      <c r="A65" s="46"/>
      <c r="B65" s="194" t="s">
        <v>194</v>
      </c>
      <c r="C65" s="193">
        <v>4</v>
      </c>
      <c r="D65" s="193">
        <v>5</v>
      </c>
      <c r="E65" s="47">
        <v>2000</v>
      </c>
      <c r="F65" s="47"/>
      <c r="G65" s="59"/>
      <c r="H65" s="59"/>
      <c r="I65" s="53">
        <f>+D65*E65*C65</f>
        <v>40000</v>
      </c>
      <c r="J65" s="48"/>
      <c r="K65" s="49"/>
      <c r="L65" s="49"/>
    </row>
    <row r="66" spans="1:12" s="203" customFormat="1" hidden="1" x14ac:dyDescent="0.3">
      <c r="A66" s="195"/>
      <c r="B66" s="196"/>
      <c r="C66" s="196"/>
      <c r="D66" s="197">
        <f>SUM(D65:D65)</f>
        <v>5</v>
      </c>
      <c r="E66" s="198">
        <v>10</v>
      </c>
      <c r="F66" s="198"/>
      <c r="G66" s="199"/>
      <c r="H66" s="199"/>
      <c r="I66" s="200">
        <f>+E66*D66</f>
        <v>50</v>
      </c>
      <c r="J66" s="201"/>
      <c r="K66" s="202"/>
      <c r="L66" s="202"/>
    </row>
    <row r="67" spans="1:12" s="40" customFormat="1" x14ac:dyDescent="0.3">
      <c r="A67" s="39" t="s">
        <v>187</v>
      </c>
      <c r="B67" s="52" t="s">
        <v>167</v>
      </c>
      <c r="C67" s="52"/>
      <c r="D67" s="52"/>
      <c r="E67" s="29" t="s">
        <v>24</v>
      </c>
      <c r="F67" s="29"/>
      <c r="G67" s="59">
        <v>600000000</v>
      </c>
      <c r="H67" s="59">
        <f t="shared" si="25"/>
        <v>600000000</v>
      </c>
      <c r="I67" s="53">
        <v>150000</v>
      </c>
      <c r="J67" s="48">
        <v>1</v>
      </c>
      <c r="K67" s="49">
        <f t="shared" ref="K67" si="36">+J67*I67</f>
        <v>150000</v>
      </c>
      <c r="L67" s="49">
        <f t="shared" si="27"/>
        <v>150000</v>
      </c>
    </row>
    <row r="69" spans="1:12" x14ac:dyDescent="0.2">
      <c r="I69" s="131"/>
    </row>
  </sheetData>
  <mergeCells count="12">
    <mergeCell ref="B41:J41"/>
    <mergeCell ref="B42:G42"/>
    <mergeCell ref="B19:F19"/>
    <mergeCell ref="B2:L2"/>
    <mergeCell ref="B6:B7"/>
    <mergeCell ref="E6:E7"/>
    <mergeCell ref="I6:I7"/>
    <mergeCell ref="J6:J7"/>
    <mergeCell ref="K6:K7"/>
    <mergeCell ref="G6:G7"/>
    <mergeCell ref="F6:F7"/>
    <mergeCell ref="H6:H7"/>
  </mergeCells>
  <pageMargins left="0.70866141732283472" right="0.70866141732283472" top="0.74803149606299213" bottom="0.74803149606299213" header="0.31496062992125984" footer="0.31496062992125984"/>
  <pageSetup paperSize="9" fitToHeight="2" orientation="landscape" horizontalDpi="4294967293" vertic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G19"/>
  <sheetViews>
    <sheetView topLeftCell="A5" zoomScale="130" zoomScaleNormal="130" workbookViewId="0">
      <selection activeCell="D20" sqref="D20"/>
    </sheetView>
  </sheetViews>
  <sheetFormatPr defaultColWidth="11.44140625" defaultRowHeight="10.199999999999999" x14ac:dyDescent="0.2"/>
  <cols>
    <col min="1" max="1" width="33.88671875" style="13" customWidth="1"/>
    <col min="2" max="2" width="17.5546875" style="13" customWidth="1"/>
    <col min="3" max="4" width="16.109375" style="13" customWidth="1"/>
    <col min="5" max="5" width="11.6640625" style="13" customWidth="1"/>
    <col min="6" max="6" width="11.5546875" style="13" bestFit="1" customWidth="1"/>
    <col min="7" max="7" width="11.33203125" style="13" bestFit="1" customWidth="1"/>
    <col min="8" max="16384" width="11.44140625" style="13"/>
  </cols>
  <sheetData>
    <row r="1" spans="1:7" s="1" customFormat="1" ht="13.8" x14ac:dyDescent="0.3">
      <c r="B1" s="6"/>
      <c r="C1" s="8"/>
      <c r="D1" s="8"/>
      <c r="E1" s="8"/>
      <c r="F1" s="8"/>
      <c r="G1" s="8"/>
    </row>
    <row r="2" spans="1:7" s="1" customFormat="1" ht="13.8" x14ac:dyDescent="0.3">
      <c r="A2" s="216" t="s">
        <v>28</v>
      </c>
      <c r="B2" s="216"/>
      <c r="C2" s="216"/>
      <c r="D2" s="216"/>
      <c r="E2" s="216"/>
      <c r="F2" s="216"/>
      <c r="G2" s="216"/>
    </row>
    <row r="3" spans="1:7" s="1" customFormat="1" ht="13.8" x14ac:dyDescent="0.3">
      <c r="B3" s="6"/>
      <c r="C3" s="8"/>
      <c r="D3" s="8"/>
      <c r="E3" s="8"/>
      <c r="F3" s="8"/>
      <c r="G3" s="8"/>
    </row>
    <row r="4" spans="1:7" s="1" customFormat="1" ht="13.8" x14ac:dyDescent="0.3">
      <c r="A4" s="6" t="s">
        <v>36</v>
      </c>
      <c r="B4" s="9">
        <v>3000</v>
      </c>
      <c r="C4" s="37"/>
      <c r="E4" s="8"/>
      <c r="F4" s="8"/>
      <c r="G4" s="8"/>
    </row>
    <row r="5" spans="1:7" s="1" customFormat="1" ht="13.8" x14ac:dyDescent="0.3">
      <c r="B5" s="6"/>
      <c r="C5" s="8"/>
      <c r="D5" s="8"/>
      <c r="E5" s="8"/>
      <c r="F5" s="8"/>
      <c r="G5" s="8"/>
    </row>
    <row r="6" spans="1:7" ht="15" customHeight="1" x14ac:dyDescent="0.2">
      <c r="A6" s="217" t="s">
        <v>11</v>
      </c>
      <c r="B6" s="217" t="s">
        <v>0</v>
      </c>
      <c r="C6" s="217" t="s">
        <v>34</v>
      </c>
      <c r="D6" s="217" t="s">
        <v>37</v>
      </c>
      <c r="E6" s="217" t="s">
        <v>1</v>
      </c>
      <c r="F6" s="218" t="s">
        <v>2</v>
      </c>
      <c r="G6" s="69" t="s">
        <v>20</v>
      </c>
    </row>
    <row r="7" spans="1:7" x14ac:dyDescent="0.2">
      <c r="A7" s="217"/>
      <c r="B7" s="217"/>
      <c r="C7" s="217"/>
      <c r="D7" s="217"/>
      <c r="E7" s="217"/>
      <c r="F7" s="219"/>
      <c r="G7" s="27" t="s">
        <v>4</v>
      </c>
    </row>
    <row r="8" spans="1:7" x14ac:dyDescent="0.2">
      <c r="A8" s="224" t="s">
        <v>58</v>
      </c>
      <c r="B8" s="225"/>
      <c r="C8" s="225"/>
      <c r="D8" s="225"/>
      <c r="E8" s="226"/>
      <c r="F8" s="122">
        <f t="shared" ref="F8:G8" si="0">+F9</f>
        <v>911000</v>
      </c>
      <c r="G8" s="121">
        <f t="shared" si="0"/>
        <v>911000</v>
      </c>
    </row>
    <row r="9" spans="1:7" s="16" customFormat="1" x14ac:dyDescent="0.2">
      <c r="A9" s="223" t="s">
        <v>101</v>
      </c>
      <c r="B9" s="223"/>
      <c r="C9" s="223"/>
      <c r="D9" s="223"/>
      <c r="E9" s="223"/>
      <c r="F9" s="15">
        <f>+'Costos RRHH_UCP'!H16</f>
        <v>911000</v>
      </c>
      <c r="G9" s="17">
        <f>+F9</f>
        <v>911000</v>
      </c>
    </row>
    <row r="10" spans="1:7" s="14" customFormat="1" x14ac:dyDescent="0.2">
      <c r="A10" s="220" t="s">
        <v>27</v>
      </c>
      <c r="B10" s="220"/>
      <c r="C10" s="220"/>
      <c r="D10" s="220"/>
      <c r="E10" s="220"/>
      <c r="F10" s="42">
        <f>+F8</f>
        <v>911000</v>
      </c>
      <c r="G10" s="42">
        <f>+G8</f>
        <v>911000</v>
      </c>
    </row>
    <row r="11" spans="1:7" ht="9" customHeight="1" x14ac:dyDescent="0.2">
      <c r="A11" s="221"/>
      <c r="B11" s="222"/>
      <c r="C11" s="222"/>
      <c r="D11" s="222"/>
      <c r="E11" s="222"/>
      <c r="F11" s="222"/>
      <c r="G11" s="222"/>
    </row>
    <row r="12" spans="1:7" ht="11.25" customHeight="1" x14ac:dyDescent="0.2">
      <c r="A12" s="217" t="s">
        <v>199</v>
      </c>
      <c r="B12" s="217" t="s">
        <v>0</v>
      </c>
      <c r="C12" s="217" t="s">
        <v>34</v>
      </c>
      <c r="D12" s="217" t="s">
        <v>35</v>
      </c>
      <c r="E12" s="217" t="s">
        <v>1</v>
      </c>
      <c r="F12" s="218" t="s">
        <v>2</v>
      </c>
      <c r="G12" s="69" t="s">
        <v>19</v>
      </c>
    </row>
    <row r="13" spans="1:7" x14ac:dyDescent="0.2">
      <c r="A13" s="217"/>
      <c r="B13" s="217"/>
      <c r="C13" s="217"/>
      <c r="D13" s="217"/>
      <c r="E13" s="217"/>
      <c r="F13" s="219"/>
      <c r="G13" s="27" t="s">
        <v>4</v>
      </c>
    </row>
    <row r="14" spans="1:7" s="19" customFormat="1" x14ac:dyDescent="0.2">
      <c r="A14" s="30" t="s">
        <v>14</v>
      </c>
      <c r="B14" s="21" t="s">
        <v>15</v>
      </c>
      <c r="C14" s="43">
        <f>+D14*$B$4</f>
        <v>150000000</v>
      </c>
      <c r="D14" s="43">
        <v>50000</v>
      </c>
      <c r="E14" s="43">
        <v>5</v>
      </c>
      <c r="F14" s="18">
        <f>+E14*D14</f>
        <v>250000</v>
      </c>
      <c r="G14" s="17">
        <f>+F14</f>
        <v>250000</v>
      </c>
    </row>
    <row r="15" spans="1:7" x14ac:dyDescent="0.2">
      <c r="A15" s="31" t="s">
        <v>21</v>
      </c>
      <c r="B15" s="21" t="s">
        <v>5</v>
      </c>
      <c r="C15" s="43">
        <f>+D15*$B$4</f>
        <v>150000000</v>
      </c>
      <c r="D15" s="22">
        <v>50000</v>
      </c>
      <c r="E15" s="22">
        <v>1</v>
      </c>
      <c r="F15" s="18">
        <f t="shared" ref="F15:F16" si="1">+E15*D15</f>
        <v>50000</v>
      </c>
      <c r="G15" s="17">
        <f>+F15</f>
        <v>50000</v>
      </c>
    </row>
    <row r="16" spans="1:7" ht="11.25" customHeight="1" x14ac:dyDescent="0.2">
      <c r="A16" s="31" t="s">
        <v>22</v>
      </c>
      <c r="B16" s="21" t="s">
        <v>5</v>
      </c>
      <c r="C16" s="43">
        <f>+D16*$B$4</f>
        <v>300000000</v>
      </c>
      <c r="D16" s="22">
        <v>100000</v>
      </c>
      <c r="E16" s="22">
        <v>1</v>
      </c>
      <c r="F16" s="18">
        <f t="shared" si="1"/>
        <v>100000</v>
      </c>
      <c r="G16" s="17">
        <f>+F16</f>
        <v>100000</v>
      </c>
    </row>
    <row r="17" spans="1:7" s="14" customFormat="1" x14ac:dyDescent="0.2">
      <c r="A17" s="220" t="s">
        <v>200</v>
      </c>
      <c r="B17" s="220"/>
      <c r="C17" s="220"/>
      <c r="D17" s="220"/>
      <c r="E17" s="220"/>
      <c r="F17" s="42">
        <f>SUM(F14:F16)</f>
        <v>400000</v>
      </c>
      <c r="G17" s="42">
        <f>SUM(G14:G16)</f>
        <v>400000</v>
      </c>
    </row>
    <row r="19" spans="1:7" x14ac:dyDescent="0.2">
      <c r="C19" s="20"/>
      <c r="D19" s="20"/>
      <c r="F19" s="44"/>
      <c r="G19" s="20"/>
    </row>
  </sheetData>
  <mergeCells count="18">
    <mergeCell ref="F12:F13"/>
    <mergeCell ref="A17:E17"/>
    <mergeCell ref="A12:A13"/>
    <mergeCell ref="B12:B13"/>
    <mergeCell ref="D12:D13"/>
    <mergeCell ref="E12:E13"/>
    <mergeCell ref="C12:C13"/>
    <mergeCell ref="A2:G2"/>
    <mergeCell ref="A10:E10"/>
    <mergeCell ref="A11:G11"/>
    <mergeCell ref="A9:E9"/>
    <mergeCell ref="A6:A7"/>
    <mergeCell ref="B6:B7"/>
    <mergeCell ref="D6:D7"/>
    <mergeCell ref="E6:E7"/>
    <mergeCell ref="F6:F7"/>
    <mergeCell ref="C6:C7"/>
    <mergeCell ref="A8:E8"/>
  </mergeCells>
  <pageMargins left="0.70866141732283472" right="0.70866141732283472" top="0.74803149606299213" bottom="0.74803149606299213" header="0.31496062992125984" footer="0.31496062992125984"/>
  <pageSetup paperSize="9" scale="8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I16"/>
  <sheetViews>
    <sheetView zoomScale="93" zoomScaleNormal="93" workbookViewId="0">
      <selection activeCell="H20" sqref="H20"/>
    </sheetView>
  </sheetViews>
  <sheetFormatPr defaultColWidth="11.44140625" defaultRowHeight="13.8" x14ac:dyDescent="0.3"/>
  <cols>
    <col min="1" max="1" width="45.44140625" style="6" customWidth="1"/>
    <col min="2" max="2" width="9" style="1" customWidth="1"/>
    <col min="3" max="3" width="13.44140625" style="1" bestFit="1" customWidth="1"/>
    <col min="4" max="4" width="11.33203125" style="37" customWidth="1"/>
    <col min="5" max="5" width="8.6640625" style="1" customWidth="1"/>
    <col min="6" max="6" width="6.6640625" style="1" customWidth="1"/>
    <col min="7" max="7" width="8.109375" style="1" customWidth="1"/>
    <col min="8" max="8" width="10" style="26" customWidth="1"/>
    <col min="9" max="9" width="10" style="1" bestFit="1" customWidth="1"/>
    <col min="10" max="16384" width="11.44140625" style="1"/>
  </cols>
  <sheetData>
    <row r="1" spans="1:9" x14ac:dyDescent="0.3">
      <c r="A1" s="228" t="s">
        <v>102</v>
      </c>
      <c r="B1" s="228"/>
      <c r="C1" s="228"/>
      <c r="D1" s="228"/>
      <c r="E1" s="228"/>
      <c r="F1" s="228"/>
      <c r="G1" s="228"/>
      <c r="H1" s="228"/>
      <c r="I1" s="228"/>
    </row>
    <row r="2" spans="1:9" x14ac:dyDescent="0.3">
      <c r="B2" s="8"/>
      <c r="C2" s="8"/>
      <c r="D2" s="8"/>
      <c r="E2" s="8"/>
      <c r="F2" s="8"/>
      <c r="G2" s="8"/>
      <c r="H2" s="25"/>
      <c r="I2" s="8"/>
    </row>
    <row r="3" spans="1:9" x14ac:dyDescent="0.3">
      <c r="A3" s="6" t="s">
        <v>36</v>
      </c>
      <c r="B3" s="9">
        <v>3000</v>
      </c>
      <c r="C3" s="8"/>
      <c r="D3" s="8"/>
      <c r="E3" s="8"/>
      <c r="F3" s="8"/>
      <c r="G3" s="8"/>
      <c r="H3" s="25"/>
      <c r="I3" s="8"/>
    </row>
    <row r="4" spans="1:9" x14ac:dyDescent="0.3">
      <c r="B4" s="8"/>
      <c r="C4" s="8"/>
      <c r="D4" s="8"/>
      <c r="E4" s="8"/>
      <c r="F4" s="8"/>
      <c r="G4" s="8"/>
      <c r="H4" s="25"/>
      <c r="I4" s="8"/>
    </row>
    <row r="5" spans="1:9" ht="12.75" customHeight="1" x14ac:dyDescent="0.3">
      <c r="B5" s="8"/>
      <c r="C5" s="229" t="s">
        <v>8</v>
      </c>
      <c r="D5" s="229"/>
      <c r="E5" s="229"/>
      <c r="F5" s="229" t="s">
        <v>7</v>
      </c>
      <c r="G5" s="229"/>
      <c r="H5" s="230" t="s">
        <v>38</v>
      </c>
      <c r="I5" s="205" t="s">
        <v>20</v>
      </c>
    </row>
    <row r="6" spans="1:9" x14ac:dyDescent="0.3">
      <c r="B6" s="206" t="s">
        <v>10</v>
      </c>
      <c r="C6" s="206" t="s">
        <v>33</v>
      </c>
      <c r="D6" s="206" t="s">
        <v>118</v>
      </c>
      <c r="E6" s="206" t="s">
        <v>39</v>
      </c>
      <c r="F6" s="206" t="s">
        <v>6</v>
      </c>
      <c r="G6" s="206" t="s">
        <v>9</v>
      </c>
      <c r="H6" s="231"/>
      <c r="I6" s="206" t="s">
        <v>4</v>
      </c>
    </row>
    <row r="7" spans="1:9" x14ac:dyDescent="0.3">
      <c r="A7" s="227" t="s">
        <v>100</v>
      </c>
      <c r="B7" s="227"/>
      <c r="C7" s="227"/>
      <c r="D7" s="227"/>
      <c r="E7" s="227"/>
      <c r="F7" s="227"/>
      <c r="G7" s="227"/>
      <c r="H7" s="227"/>
      <c r="I7" s="227"/>
    </row>
    <row r="8" spans="1:9" x14ac:dyDescent="0.3">
      <c r="A8" s="10" t="s">
        <v>53</v>
      </c>
      <c r="B8" s="2">
        <v>1</v>
      </c>
      <c r="C8" s="7">
        <v>14000000</v>
      </c>
      <c r="D8" s="7">
        <v>0</v>
      </c>
      <c r="E8" s="7">
        <f>+(C8*(1+D8))/$B$3</f>
        <v>4666.666666666667</v>
      </c>
      <c r="F8" s="3">
        <v>12</v>
      </c>
      <c r="G8" s="4">
        <v>5</v>
      </c>
      <c r="H8" s="23">
        <f>+G8*F8*E8*B8</f>
        <v>280000</v>
      </c>
      <c r="I8" s="7">
        <f>+H8</f>
        <v>280000</v>
      </c>
    </row>
    <row r="9" spans="1:9" x14ac:dyDescent="0.3">
      <c r="A9" s="10" t="s">
        <v>54</v>
      </c>
      <c r="B9" s="2">
        <v>1</v>
      </c>
      <c r="C9" s="7">
        <v>11000000</v>
      </c>
      <c r="D9" s="7">
        <v>0</v>
      </c>
      <c r="E9" s="7">
        <f t="shared" ref="E9:E11" si="0">+(C9*(1+D9))/$B$3</f>
        <v>3666.6666666666665</v>
      </c>
      <c r="F9" s="3">
        <v>12</v>
      </c>
      <c r="G9" s="5">
        <v>4</v>
      </c>
      <c r="H9" s="23">
        <f>+G9*F9*E9*B9</f>
        <v>176000</v>
      </c>
      <c r="I9" s="7">
        <f>+H9</f>
        <v>176000</v>
      </c>
    </row>
    <row r="10" spans="1:9" x14ac:dyDescent="0.3">
      <c r="A10" s="10" t="s">
        <v>105</v>
      </c>
      <c r="B10" s="2">
        <v>1</v>
      </c>
      <c r="C10" s="7">
        <v>11000000</v>
      </c>
      <c r="D10" s="7">
        <v>0</v>
      </c>
      <c r="E10" s="7">
        <f t="shared" si="0"/>
        <v>3666.6666666666665</v>
      </c>
      <c r="F10" s="3">
        <v>12</v>
      </c>
      <c r="G10" s="5">
        <v>5</v>
      </c>
      <c r="H10" s="23">
        <f>+G10*F10*E10*B10</f>
        <v>220000</v>
      </c>
      <c r="I10" s="7">
        <f>+H10</f>
        <v>220000</v>
      </c>
    </row>
    <row r="11" spans="1:9" s="37" customFormat="1" x14ac:dyDescent="0.3">
      <c r="A11" s="10" t="s">
        <v>56</v>
      </c>
      <c r="B11" s="2">
        <v>1</v>
      </c>
      <c r="C11" s="7">
        <v>11000000</v>
      </c>
      <c r="D11" s="7">
        <v>0</v>
      </c>
      <c r="E11" s="7">
        <f t="shared" si="0"/>
        <v>3666.6666666666665</v>
      </c>
      <c r="F11" s="3">
        <v>12</v>
      </c>
      <c r="G11" s="5">
        <v>5</v>
      </c>
      <c r="H11" s="23">
        <f>+G11*F11*E11*B11</f>
        <v>220000</v>
      </c>
      <c r="I11" s="7">
        <f>+H11</f>
        <v>220000</v>
      </c>
    </row>
    <row r="12" spans="1:9" x14ac:dyDescent="0.3">
      <c r="A12" s="11" t="s">
        <v>12</v>
      </c>
      <c r="B12" s="12">
        <f>SUM(B8:B11)</f>
        <v>4</v>
      </c>
      <c r="C12" s="12"/>
      <c r="D12" s="12"/>
      <c r="E12" s="12"/>
      <c r="F12" s="12"/>
      <c r="G12" s="12">
        <v>0</v>
      </c>
      <c r="H12" s="24">
        <f t="shared" ref="H12:I12" si="1">SUM(H8:H11)</f>
        <v>896000</v>
      </c>
      <c r="I12" s="24">
        <f t="shared" si="1"/>
        <v>896000</v>
      </c>
    </row>
    <row r="13" spans="1:9" s="37" customFormat="1" x14ac:dyDescent="0.3">
      <c r="A13" s="227" t="s">
        <v>171</v>
      </c>
      <c r="B13" s="227"/>
      <c r="C13" s="227"/>
      <c r="D13" s="227"/>
      <c r="E13" s="227"/>
      <c r="F13" s="227"/>
      <c r="G13" s="227"/>
      <c r="H13" s="227"/>
      <c r="I13" s="227"/>
    </row>
    <row r="14" spans="1:9" s="37" customFormat="1" x14ac:dyDescent="0.3">
      <c r="A14" s="10" t="s">
        <v>172</v>
      </c>
      <c r="B14" s="2"/>
      <c r="C14" s="7"/>
      <c r="D14" s="7">
        <v>0</v>
      </c>
      <c r="E14" s="7">
        <v>15000</v>
      </c>
      <c r="F14" s="3"/>
      <c r="G14" s="208"/>
      <c r="H14" s="23">
        <f>+E14</f>
        <v>15000</v>
      </c>
      <c r="I14" s="23">
        <f>+H14</f>
        <v>15000</v>
      </c>
    </row>
    <row r="15" spans="1:9" s="37" customFormat="1" x14ac:dyDescent="0.3">
      <c r="A15" s="191" t="s">
        <v>173</v>
      </c>
      <c r="B15" s="191"/>
      <c r="C15" s="191"/>
      <c r="D15" s="191"/>
      <c r="E15" s="191"/>
      <c r="F15" s="191"/>
      <c r="G15" s="191"/>
      <c r="H15" s="207">
        <f t="shared" ref="H15:I15" si="2">+H14</f>
        <v>15000</v>
      </c>
      <c r="I15" s="207">
        <f t="shared" si="2"/>
        <v>15000</v>
      </c>
    </row>
    <row r="16" spans="1:9" s="37" customFormat="1" x14ac:dyDescent="0.3">
      <c r="A16" s="191" t="s">
        <v>174</v>
      </c>
      <c r="B16" s="191"/>
      <c r="C16" s="191"/>
      <c r="D16" s="191"/>
      <c r="E16" s="191"/>
      <c r="F16" s="191"/>
      <c r="G16" s="191"/>
      <c r="H16" s="207">
        <f>+H15+H12</f>
        <v>911000</v>
      </c>
      <c r="I16" s="207">
        <f>+I15+I12</f>
        <v>911000</v>
      </c>
    </row>
  </sheetData>
  <mergeCells count="6">
    <mergeCell ref="A13:I13"/>
    <mergeCell ref="A7:I7"/>
    <mergeCell ref="A1:I1"/>
    <mergeCell ref="F5:G5"/>
    <mergeCell ref="C5:E5"/>
    <mergeCell ref="H5:H6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1"/>
  <sheetViews>
    <sheetView zoomScale="95" zoomScaleNormal="95" workbookViewId="0">
      <selection activeCell="J12" sqref="J12"/>
    </sheetView>
  </sheetViews>
  <sheetFormatPr defaultColWidth="11.44140625" defaultRowHeight="14.4" x14ac:dyDescent="0.3"/>
  <cols>
    <col min="1" max="1" width="10.44140625" style="76" customWidth="1"/>
    <col min="2" max="2" width="80.33203125" style="32" customWidth="1"/>
    <col min="3" max="4" width="11.44140625" style="78"/>
    <col min="5" max="5" width="13.109375" style="78" bestFit="1" customWidth="1"/>
    <col min="6" max="6" width="13.109375" style="78" customWidth="1"/>
    <col min="7" max="7" width="15.44140625" style="78" bestFit="1" customWidth="1"/>
    <col min="8" max="8" width="12" style="78" bestFit="1" customWidth="1"/>
    <col min="9" max="16384" width="11.44140625" style="32"/>
  </cols>
  <sheetData>
    <row r="1" spans="1:8" x14ac:dyDescent="0.3">
      <c r="B1" s="77" t="s">
        <v>103</v>
      </c>
      <c r="H1" s="108">
        <v>3000</v>
      </c>
    </row>
    <row r="2" spans="1:8" x14ac:dyDescent="0.3">
      <c r="F2" s="78">
        <v>1.55</v>
      </c>
    </row>
    <row r="3" spans="1:8" s="114" customFormat="1" ht="27.6" x14ac:dyDescent="0.3">
      <c r="A3" s="109" t="s">
        <v>60</v>
      </c>
      <c r="B3" s="110" t="s">
        <v>61</v>
      </c>
      <c r="C3" s="109" t="s">
        <v>0</v>
      </c>
      <c r="D3" s="111"/>
      <c r="E3" s="111" t="s">
        <v>62</v>
      </c>
      <c r="F3" s="112" t="s">
        <v>98</v>
      </c>
      <c r="G3" s="112" t="s">
        <v>35</v>
      </c>
      <c r="H3" s="113" t="s">
        <v>63</v>
      </c>
    </row>
    <row r="4" spans="1:8" s="77" customFormat="1" x14ac:dyDescent="0.3">
      <c r="A4" s="79" t="s">
        <v>64</v>
      </c>
      <c r="B4" s="80" t="s">
        <v>96</v>
      </c>
      <c r="C4" s="81"/>
      <c r="D4" s="81"/>
      <c r="E4" s="81"/>
      <c r="F4" s="81"/>
      <c r="G4" s="82"/>
      <c r="H4" s="83">
        <f t="shared" ref="H4" si="0">SUM(H5:H16)</f>
        <v>1984000</v>
      </c>
    </row>
    <row r="5" spans="1:8" s="77" customFormat="1" x14ac:dyDescent="0.3">
      <c r="A5" s="84" t="s">
        <v>65</v>
      </c>
      <c r="B5" s="124" t="s">
        <v>53</v>
      </c>
      <c r="C5" s="86" t="s">
        <v>15</v>
      </c>
      <c r="D5" s="86">
        <v>1</v>
      </c>
      <c r="E5" s="86">
        <v>48</v>
      </c>
      <c r="F5" s="115">
        <f>14000000*$F$2</f>
        <v>21700000</v>
      </c>
      <c r="G5" s="87">
        <f>+F5/$H$1</f>
        <v>7233.333333333333</v>
      </c>
      <c r="H5" s="88">
        <f t="shared" ref="H5:H16" si="1">+G5*E5*D5</f>
        <v>347200</v>
      </c>
    </row>
    <row r="6" spans="1:8" s="93" customFormat="1" x14ac:dyDescent="0.3">
      <c r="A6" s="84" t="s">
        <v>66</v>
      </c>
      <c r="B6" s="89" t="s">
        <v>59</v>
      </c>
      <c r="C6" s="90" t="s">
        <v>15</v>
      </c>
      <c r="D6" s="90">
        <v>1</v>
      </c>
      <c r="E6" s="90">
        <v>48</v>
      </c>
      <c r="F6" s="116">
        <f>2000000*F2</f>
        <v>3100000</v>
      </c>
      <c r="G6" s="91">
        <f t="shared" ref="G6:G16" si="2">+F6/$H$1</f>
        <v>1033.3333333333333</v>
      </c>
      <c r="H6" s="92">
        <f t="shared" si="1"/>
        <v>49600</v>
      </c>
    </row>
    <row r="7" spans="1:8" s="77" customFormat="1" x14ac:dyDescent="0.3">
      <c r="A7" s="84" t="s">
        <v>67</v>
      </c>
      <c r="B7" s="85" t="s">
        <v>55</v>
      </c>
      <c r="C7" s="86" t="s">
        <v>15</v>
      </c>
      <c r="D7" s="86">
        <v>1</v>
      </c>
      <c r="E7" s="86">
        <v>48</v>
      </c>
      <c r="F7" s="115">
        <f>10000000*F2</f>
        <v>15500000</v>
      </c>
      <c r="G7" s="87">
        <f t="shared" si="2"/>
        <v>5166.666666666667</v>
      </c>
      <c r="H7" s="88">
        <f t="shared" si="1"/>
        <v>248000</v>
      </c>
    </row>
    <row r="8" spans="1:8" s="93" customFormat="1" x14ac:dyDescent="0.3">
      <c r="A8" s="84" t="s">
        <v>68</v>
      </c>
      <c r="B8" s="89" t="s">
        <v>94</v>
      </c>
      <c r="C8" s="90" t="s">
        <v>15</v>
      </c>
      <c r="D8" s="90">
        <v>1</v>
      </c>
      <c r="E8" s="90">
        <v>48</v>
      </c>
      <c r="F8" s="116">
        <f>6500000*$F$2</f>
        <v>10075000</v>
      </c>
      <c r="G8" s="91">
        <f t="shared" si="2"/>
        <v>3358.3333333333335</v>
      </c>
      <c r="H8" s="92">
        <f t="shared" si="1"/>
        <v>161200</v>
      </c>
    </row>
    <row r="9" spans="1:8" s="77" customFormat="1" x14ac:dyDescent="0.3">
      <c r="A9" s="84" t="s">
        <v>69</v>
      </c>
      <c r="B9" s="85" t="s">
        <v>57</v>
      </c>
      <c r="C9" s="86" t="s">
        <v>15</v>
      </c>
      <c r="D9" s="86">
        <v>1</v>
      </c>
      <c r="E9" s="86">
        <v>36</v>
      </c>
      <c r="F9" s="115">
        <f>10000000*F2</f>
        <v>15500000</v>
      </c>
      <c r="G9" s="87">
        <f t="shared" si="2"/>
        <v>5166.666666666667</v>
      </c>
      <c r="H9" s="88">
        <f t="shared" si="1"/>
        <v>186000</v>
      </c>
    </row>
    <row r="10" spans="1:8" s="93" customFormat="1" x14ac:dyDescent="0.3">
      <c r="A10" s="84" t="s">
        <v>70</v>
      </c>
      <c r="B10" s="89" t="s">
        <v>95</v>
      </c>
      <c r="C10" s="90" t="s">
        <v>15</v>
      </c>
      <c r="D10" s="90">
        <v>1</v>
      </c>
      <c r="E10" s="90">
        <v>24</v>
      </c>
      <c r="F10" s="116">
        <f>6500000*$F$2</f>
        <v>10075000</v>
      </c>
      <c r="G10" s="91">
        <f t="shared" si="2"/>
        <v>3358.3333333333335</v>
      </c>
      <c r="H10" s="92">
        <f t="shared" si="1"/>
        <v>80600</v>
      </c>
    </row>
    <row r="11" spans="1:8" s="77" customFormat="1" x14ac:dyDescent="0.3">
      <c r="A11" s="84" t="s">
        <v>71</v>
      </c>
      <c r="B11" s="85" t="s">
        <v>72</v>
      </c>
      <c r="C11" s="86" t="s">
        <v>15</v>
      </c>
      <c r="D11" s="86">
        <v>1</v>
      </c>
      <c r="E11" s="86">
        <v>48</v>
      </c>
      <c r="F11" s="115">
        <f>10000000*F2</f>
        <v>15500000</v>
      </c>
      <c r="G11" s="87">
        <f t="shared" si="2"/>
        <v>5166.666666666667</v>
      </c>
      <c r="H11" s="94">
        <f t="shared" si="1"/>
        <v>248000</v>
      </c>
    </row>
    <row r="12" spans="1:8" s="77" customFormat="1" x14ac:dyDescent="0.3">
      <c r="A12" s="84" t="s">
        <v>73</v>
      </c>
      <c r="B12" s="96" t="s">
        <v>93</v>
      </c>
      <c r="C12" s="86" t="s">
        <v>15</v>
      </c>
      <c r="D12" s="86">
        <v>1</v>
      </c>
      <c r="E12" s="86">
        <v>48</v>
      </c>
      <c r="F12" s="115">
        <f>10000000*F2</f>
        <v>15500000</v>
      </c>
      <c r="G12" s="87">
        <f t="shared" si="2"/>
        <v>5166.666666666667</v>
      </c>
      <c r="H12" s="88">
        <f t="shared" si="1"/>
        <v>248000</v>
      </c>
    </row>
    <row r="13" spans="1:8" s="93" customFormat="1" x14ac:dyDescent="0.3">
      <c r="A13" s="84" t="s">
        <v>74</v>
      </c>
      <c r="B13" s="95" t="s">
        <v>99</v>
      </c>
      <c r="C13" s="90" t="s">
        <v>15</v>
      </c>
      <c r="D13" s="90">
        <v>1</v>
      </c>
      <c r="E13" s="90">
        <v>24</v>
      </c>
      <c r="F13" s="116">
        <f>7000000*F2</f>
        <v>10850000</v>
      </c>
      <c r="G13" s="91">
        <f t="shared" si="2"/>
        <v>3616.6666666666665</v>
      </c>
      <c r="H13" s="92">
        <f t="shared" si="1"/>
        <v>86800</v>
      </c>
    </row>
    <row r="14" spans="1:8" s="93" customFormat="1" x14ac:dyDescent="0.3">
      <c r="A14" s="84" t="s">
        <v>74</v>
      </c>
      <c r="B14" s="95" t="s">
        <v>120</v>
      </c>
      <c r="C14" s="90" t="s">
        <v>15</v>
      </c>
      <c r="D14" s="90">
        <v>1</v>
      </c>
      <c r="E14" s="90">
        <v>36</v>
      </c>
      <c r="F14" s="116">
        <f>5000000*$F$2</f>
        <v>7750000</v>
      </c>
      <c r="G14" s="91">
        <f t="shared" si="2"/>
        <v>2583.3333333333335</v>
      </c>
      <c r="H14" s="92">
        <f t="shared" si="1"/>
        <v>93000</v>
      </c>
    </row>
    <row r="15" spans="1:8" s="93" customFormat="1" x14ac:dyDescent="0.3">
      <c r="A15" s="84" t="s">
        <v>75</v>
      </c>
      <c r="B15" s="95" t="s">
        <v>119</v>
      </c>
      <c r="C15" s="90" t="s">
        <v>15</v>
      </c>
      <c r="D15" s="90">
        <v>1</v>
      </c>
      <c r="E15" s="90">
        <v>24</v>
      </c>
      <c r="F15" s="116">
        <f>3000000*F2</f>
        <v>4650000</v>
      </c>
      <c r="G15" s="91">
        <f t="shared" si="2"/>
        <v>1550</v>
      </c>
      <c r="H15" s="92">
        <f t="shared" si="1"/>
        <v>37200</v>
      </c>
    </row>
    <row r="16" spans="1:8" s="77" customFormat="1" x14ac:dyDescent="0.3">
      <c r="A16" s="84" t="s">
        <v>76</v>
      </c>
      <c r="B16" s="96" t="s">
        <v>123</v>
      </c>
      <c r="C16" s="86" t="s">
        <v>15</v>
      </c>
      <c r="D16" s="86">
        <v>1</v>
      </c>
      <c r="E16" s="86">
        <v>48</v>
      </c>
      <c r="F16" s="115">
        <f>8000000*F2</f>
        <v>12400000</v>
      </c>
      <c r="G16" s="87">
        <f t="shared" si="2"/>
        <v>4133.333333333333</v>
      </c>
      <c r="H16" s="94">
        <f t="shared" si="1"/>
        <v>198400</v>
      </c>
    </row>
    <row r="17" spans="1:8" s="77" customFormat="1" ht="15" customHeight="1" x14ac:dyDescent="0.3">
      <c r="A17" s="97" t="s">
        <v>77</v>
      </c>
      <c r="B17" s="98" t="s">
        <v>97</v>
      </c>
      <c r="C17" s="99"/>
      <c r="D17" s="99"/>
      <c r="E17" s="99"/>
      <c r="F17" s="99"/>
      <c r="G17" s="99"/>
      <c r="H17" s="100">
        <f t="shared" ref="H17" si="3">SUM(H18:H30)</f>
        <v>354637.5</v>
      </c>
    </row>
    <row r="18" spans="1:8" x14ac:dyDescent="0.3">
      <c r="A18" s="84" t="s">
        <v>78</v>
      </c>
      <c r="B18" s="101" t="s">
        <v>122</v>
      </c>
      <c r="C18" s="102" t="s">
        <v>15</v>
      </c>
      <c r="D18" s="102">
        <v>1</v>
      </c>
      <c r="E18" s="102">
        <v>54</v>
      </c>
      <c r="F18" s="117">
        <v>8000000</v>
      </c>
      <c r="G18" s="103">
        <f t="shared" ref="G18:G30" si="4">+F18/$H$1</f>
        <v>2666.6666666666665</v>
      </c>
      <c r="H18" s="104">
        <f t="shared" ref="H18:H30" si="5">+G18*E18</f>
        <v>144000</v>
      </c>
    </row>
    <row r="19" spans="1:8" x14ac:dyDescent="0.3">
      <c r="A19" s="84" t="s">
        <v>79</v>
      </c>
      <c r="B19" s="101" t="str">
        <f>+[1]Administración!A42</f>
        <v xml:space="preserve">Servicios Públicos </v>
      </c>
      <c r="C19" s="102" t="s">
        <v>15</v>
      </c>
      <c r="D19" s="102">
        <v>1</v>
      </c>
      <c r="E19" s="102">
        <v>54</v>
      </c>
      <c r="F19" s="117">
        <v>700000</v>
      </c>
      <c r="G19" s="103">
        <f t="shared" si="4"/>
        <v>233.33333333333334</v>
      </c>
      <c r="H19" s="104">
        <f t="shared" si="5"/>
        <v>12600</v>
      </c>
    </row>
    <row r="20" spans="1:8" x14ac:dyDescent="0.3">
      <c r="A20" s="84" t="s">
        <v>80</v>
      </c>
      <c r="B20" s="101" t="str">
        <f>+[1]Administración!A43</f>
        <v xml:space="preserve">Vigilancia </v>
      </c>
      <c r="C20" s="102" t="s">
        <v>15</v>
      </c>
      <c r="D20" s="102">
        <v>1</v>
      </c>
      <c r="E20" s="102">
        <v>54</v>
      </c>
      <c r="F20" s="117">
        <v>2700000</v>
      </c>
      <c r="G20" s="103">
        <f t="shared" si="4"/>
        <v>900</v>
      </c>
      <c r="H20" s="104">
        <f t="shared" si="5"/>
        <v>48600</v>
      </c>
    </row>
    <row r="21" spans="1:8" x14ac:dyDescent="0.3">
      <c r="A21" s="84" t="s">
        <v>81</v>
      </c>
      <c r="B21" s="101" t="str">
        <f>+[1]Administración!A44</f>
        <v xml:space="preserve">Aseo y Cafeteria </v>
      </c>
      <c r="C21" s="102" t="s">
        <v>15</v>
      </c>
      <c r="D21" s="102">
        <v>1</v>
      </c>
      <c r="E21" s="102">
        <v>54</v>
      </c>
      <c r="F21" s="117">
        <v>800000</v>
      </c>
      <c r="G21" s="103">
        <f t="shared" si="4"/>
        <v>266.66666666666669</v>
      </c>
      <c r="H21" s="104">
        <f t="shared" si="5"/>
        <v>14400.000000000002</v>
      </c>
    </row>
    <row r="22" spans="1:8" x14ac:dyDescent="0.3">
      <c r="A22" s="84" t="s">
        <v>82</v>
      </c>
      <c r="B22" s="101" t="str">
        <f>+[1]Administración!A45</f>
        <v>Papeleria</v>
      </c>
      <c r="C22" s="102" t="s">
        <v>15</v>
      </c>
      <c r="D22" s="102">
        <v>1</v>
      </c>
      <c r="E22" s="102">
        <v>54</v>
      </c>
      <c r="F22" s="117">
        <v>600000</v>
      </c>
      <c r="G22" s="103">
        <f t="shared" si="4"/>
        <v>200</v>
      </c>
      <c r="H22" s="104">
        <f t="shared" si="5"/>
        <v>10800</v>
      </c>
    </row>
    <row r="23" spans="1:8" x14ac:dyDescent="0.3">
      <c r="A23" s="84" t="s">
        <v>83</v>
      </c>
      <c r="B23" s="101" t="str">
        <f>+[1]Administración!A46</f>
        <v>Correspondencia</v>
      </c>
      <c r="C23" s="102" t="s">
        <v>15</v>
      </c>
      <c r="D23" s="102">
        <v>1</v>
      </c>
      <c r="E23" s="102">
        <v>54</v>
      </c>
      <c r="F23" s="117">
        <v>500000</v>
      </c>
      <c r="G23" s="103">
        <f t="shared" si="4"/>
        <v>166.66666666666666</v>
      </c>
      <c r="H23" s="104">
        <f t="shared" si="5"/>
        <v>9000</v>
      </c>
    </row>
    <row r="24" spans="1:8" x14ac:dyDescent="0.3">
      <c r="A24" s="84" t="s">
        <v>84</v>
      </c>
      <c r="B24" s="101" t="str">
        <f>+[1]Administración!A47</f>
        <v>Celulares</v>
      </c>
      <c r="C24" s="102" t="s">
        <v>15</v>
      </c>
      <c r="D24" s="102">
        <v>1</v>
      </c>
      <c r="E24" s="102">
        <v>54</v>
      </c>
      <c r="F24" s="117">
        <f>15*60000</f>
        <v>900000</v>
      </c>
      <c r="G24" s="103">
        <f t="shared" si="4"/>
        <v>300</v>
      </c>
      <c r="H24" s="104">
        <f t="shared" si="5"/>
        <v>16200</v>
      </c>
    </row>
    <row r="25" spans="1:8" x14ac:dyDescent="0.3">
      <c r="A25" s="84" t="s">
        <v>85</v>
      </c>
      <c r="B25" s="101" t="str">
        <f>+[1]Administración!A48</f>
        <v xml:space="preserve">Alquiler de computadores </v>
      </c>
      <c r="C25" s="102" t="s">
        <v>15</v>
      </c>
      <c r="D25" s="102">
        <v>1</v>
      </c>
      <c r="E25" s="102">
        <v>54</v>
      </c>
      <c r="F25" s="117">
        <f>15*1500000/48</f>
        <v>468750</v>
      </c>
      <c r="G25" s="103">
        <f t="shared" si="4"/>
        <v>156.25</v>
      </c>
      <c r="H25" s="104">
        <f t="shared" si="5"/>
        <v>8437.5</v>
      </c>
    </row>
    <row r="26" spans="1:8" x14ac:dyDescent="0.3">
      <c r="A26" s="84" t="s">
        <v>86</v>
      </c>
      <c r="B26" s="101" t="str">
        <f>+[1]Administración!A49</f>
        <v xml:space="preserve">Fotocopiadora </v>
      </c>
      <c r="C26" s="102" t="s">
        <v>15</v>
      </c>
      <c r="D26" s="102">
        <v>1</v>
      </c>
      <c r="E26" s="102">
        <v>54</v>
      </c>
      <c r="F26" s="117">
        <v>500000</v>
      </c>
      <c r="G26" s="103">
        <f t="shared" si="4"/>
        <v>166.66666666666666</v>
      </c>
      <c r="H26" s="104">
        <f t="shared" si="5"/>
        <v>9000</v>
      </c>
    </row>
    <row r="27" spans="1:8" x14ac:dyDescent="0.3">
      <c r="A27" s="84" t="s">
        <v>87</v>
      </c>
      <c r="B27" s="101" t="str">
        <f>+[1]Administración!A50</f>
        <v xml:space="preserve">Internet </v>
      </c>
      <c r="C27" s="102" t="s">
        <v>15</v>
      </c>
      <c r="D27" s="102">
        <v>1</v>
      </c>
      <c r="E27" s="102">
        <v>54</v>
      </c>
      <c r="F27" s="117">
        <v>200000</v>
      </c>
      <c r="G27" s="103">
        <f t="shared" si="4"/>
        <v>66.666666666666671</v>
      </c>
      <c r="H27" s="104">
        <f t="shared" si="5"/>
        <v>3600.0000000000005</v>
      </c>
    </row>
    <row r="28" spans="1:8" s="106" customFormat="1" x14ac:dyDescent="0.3">
      <c r="A28" s="84" t="s">
        <v>88</v>
      </c>
      <c r="B28" s="105" t="s">
        <v>89</v>
      </c>
      <c r="C28" s="102" t="s">
        <v>15</v>
      </c>
      <c r="D28" s="102">
        <v>1</v>
      </c>
      <c r="E28" s="102">
        <f>+E29*3</f>
        <v>240</v>
      </c>
      <c r="F28" s="117">
        <v>500000</v>
      </c>
      <c r="G28" s="103">
        <f t="shared" si="4"/>
        <v>166.66666666666666</v>
      </c>
      <c r="H28" s="104">
        <f t="shared" si="5"/>
        <v>40000</v>
      </c>
    </row>
    <row r="29" spans="1:8" s="106" customFormat="1" x14ac:dyDescent="0.3">
      <c r="A29" s="84" t="s">
        <v>90</v>
      </c>
      <c r="B29" s="105" t="s">
        <v>91</v>
      </c>
      <c r="C29" s="102" t="s">
        <v>15</v>
      </c>
      <c r="D29" s="102">
        <v>1</v>
      </c>
      <c r="E29" s="102">
        <f>48+16+8+8</f>
        <v>80</v>
      </c>
      <c r="F29" s="117">
        <v>800000</v>
      </c>
      <c r="G29" s="103">
        <f t="shared" si="4"/>
        <v>266.66666666666669</v>
      </c>
      <c r="H29" s="104">
        <f t="shared" si="5"/>
        <v>21333.333333333336</v>
      </c>
    </row>
    <row r="30" spans="1:8" x14ac:dyDescent="0.3">
      <c r="A30" s="84" t="s">
        <v>92</v>
      </c>
      <c r="B30" s="101" t="s">
        <v>121</v>
      </c>
      <c r="C30" s="102" t="s">
        <v>24</v>
      </c>
      <c r="D30" s="102">
        <v>1</v>
      </c>
      <c r="E30" s="102">
        <v>1</v>
      </c>
      <c r="F30" s="117">
        <v>50000000</v>
      </c>
      <c r="G30" s="103">
        <f t="shared" si="4"/>
        <v>16666.666666666668</v>
      </c>
      <c r="H30" s="104">
        <f t="shared" si="5"/>
        <v>16666.666666666668</v>
      </c>
    </row>
    <row r="31" spans="1:8" x14ac:dyDescent="0.3">
      <c r="A31" s="107"/>
      <c r="B31" s="118" t="s">
        <v>3</v>
      </c>
      <c r="C31" s="119"/>
      <c r="D31" s="119"/>
      <c r="E31" s="119"/>
      <c r="F31" s="119"/>
      <c r="G31" s="119"/>
      <c r="H31" s="120">
        <f t="shared" ref="H31" si="6">+H17+H4</f>
        <v>2338637.5</v>
      </c>
    </row>
  </sheetData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1"/>
  <sheetViews>
    <sheetView zoomScale="90" zoomScaleNormal="90" workbookViewId="0">
      <selection activeCell="C24" sqref="C24"/>
    </sheetView>
  </sheetViews>
  <sheetFormatPr defaultColWidth="11.5546875" defaultRowHeight="13.2" x14ac:dyDescent="0.25"/>
  <cols>
    <col min="1" max="1" width="34.109375" style="143" customWidth="1"/>
    <col min="2" max="2" width="5" style="143" customWidth="1"/>
    <col min="3" max="3" width="10.33203125" style="143" bestFit="1" customWidth="1"/>
    <col min="4" max="4" width="18.88671875" style="143" customWidth="1"/>
    <col min="5" max="5" width="20.33203125" style="143" customWidth="1"/>
    <col min="6" max="6" width="10.88671875" style="143" customWidth="1"/>
    <col min="7" max="7" width="14.6640625" style="143" customWidth="1"/>
    <col min="8" max="8" width="17.109375" style="143" customWidth="1"/>
    <col min="9" max="9" width="20.5546875" style="143" customWidth="1"/>
    <col min="10" max="10" width="16.44140625" style="143" customWidth="1"/>
    <col min="11" max="11" width="14.5546875" style="143" customWidth="1"/>
    <col min="12" max="12" width="13.44140625" style="143" bestFit="1" customWidth="1"/>
    <col min="13" max="13" width="13" style="143" bestFit="1" customWidth="1"/>
    <col min="14" max="16384" width="11.5546875" style="143"/>
  </cols>
  <sheetData>
    <row r="1" spans="1:14" x14ac:dyDescent="0.25">
      <c r="A1" s="142" t="s">
        <v>133</v>
      </c>
      <c r="B1" s="142"/>
      <c r="C1" s="142"/>
      <c r="D1" s="142"/>
      <c r="E1" s="142"/>
      <c r="F1" s="143" t="s">
        <v>52</v>
      </c>
      <c r="G1" s="143" t="s">
        <v>52</v>
      </c>
      <c r="H1" s="143" t="s">
        <v>52</v>
      </c>
      <c r="I1" s="143" t="s">
        <v>134</v>
      </c>
      <c r="J1" s="143" t="s">
        <v>135</v>
      </c>
      <c r="K1" s="143" t="s">
        <v>52</v>
      </c>
      <c r="L1" s="143" t="s">
        <v>52</v>
      </c>
    </row>
    <row r="2" spans="1:14" x14ac:dyDescent="0.25">
      <c r="G2" s="143" t="s">
        <v>136</v>
      </c>
      <c r="H2" s="143" t="s">
        <v>39</v>
      </c>
      <c r="I2" s="143" t="s">
        <v>137</v>
      </c>
      <c r="J2" s="143" t="s">
        <v>138</v>
      </c>
      <c r="K2" s="143" t="s">
        <v>136</v>
      </c>
      <c r="L2" s="143" t="s">
        <v>39</v>
      </c>
    </row>
    <row r="3" spans="1:14" ht="14.4" x14ac:dyDescent="0.25">
      <c r="A3" s="232" t="s">
        <v>139</v>
      </c>
      <c r="B3" s="232" t="s">
        <v>140</v>
      </c>
      <c r="C3" s="144" t="s">
        <v>141</v>
      </c>
      <c r="D3" s="145" t="s">
        <v>142</v>
      </c>
      <c r="E3" s="233" t="s">
        <v>143</v>
      </c>
      <c r="F3" s="143" t="s">
        <v>141</v>
      </c>
      <c r="G3" s="146"/>
      <c r="H3" s="146"/>
      <c r="I3" s="147">
        <v>0.3</v>
      </c>
      <c r="J3" s="148">
        <v>3000</v>
      </c>
    </row>
    <row r="4" spans="1:14" ht="14.4" x14ac:dyDescent="0.25">
      <c r="A4" s="232"/>
      <c r="B4" s="232"/>
      <c r="C4" s="145" t="s">
        <v>144</v>
      </c>
      <c r="D4" s="145" t="s">
        <v>145</v>
      </c>
      <c r="E4" s="233"/>
      <c r="G4" s="146"/>
      <c r="H4" s="146"/>
    </row>
    <row r="5" spans="1:14" x14ac:dyDescent="0.25">
      <c r="A5" s="149" t="s">
        <v>43</v>
      </c>
      <c r="B5" s="150" t="s">
        <v>146</v>
      </c>
      <c r="C5" s="151">
        <v>11599.838653483837</v>
      </c>
      <c r="D5" s="152">
        <f>+'[2]PRESUPUESTO TUBERIAS'!O23</f>
        <v>524650.63338982</v>
      </c>
      <c r="E5" s="152">
        <f t="shared" ref="E5:E11" si="0">+D5*C5</f>
        <v>6085862696.7700119</v>
      </c>
      <c r="F5" s="143">
        <v>1000</v>
      </c>
      <c r="G5" s="153">
        <f>+'[2]PRESUPUESTO TUBERIAS'!N23/1000*10</f>
        <v>544699.54</v>
      </c>
      <c r="H5" s="154">
        <f>+G5/$J$3*1000</f>
        <v>181566.51333333334</v>
      </c>
      <c r="I5" s="153">
        <f t="shared" ref="I5:I11" si="1">+E5*1.3*($I$3+1)/1000</f>
        <v>10285107.95754132</v>
      </c>
      <c r="J5" s="154">
        <f>+I5/$J$3*1000</f>
        <v>3428369.3191804402</v>
      </c>
      <c r="K5" s="153">
        <f>+G5*($I$3+1)*1.3</f>
        <v>920542.22260000021</v>
      </c>
      <c r="L5" s="155">
        <f t="shared" ref="L5:L11" si="2">+K5/$J$3*1000</f>
        <v>306847.4075333334</v>
      </c>
      <c r="M5" s="154"/>
    </row>
    <row r="6" spans="1:14" x14ac:dyDescent="0.25">
      <c r="A6" s="149" t="s">
        <v>44</v>
      </c>
      <c r="B6" s="150" t="s">
        <v>146</v>
      </c>
      <c r="C6" s="156">
        <f>+'[2]PRESUPUESTO TUBERIAS'!M28</f>
        <v>5776</v>
      </c>
      <c r="D6" s="152">
        <f>+'[2]PRESUPUESTO TUBERIAS'!O49</f>
        <v>827952.7705263159</v>
      </c>
      <c r="E6" s="152">
        <f t="shared" si="0"/>
        <v>4782255202.5600004</v>
      </c>
      <c r="F6" s="143">
        <f>+'[2]PRESUPUESTO TUBERIAS'!N28</f>
        <v>1284</v>
      </c>
      <c r="G6" s="153">
        <f>+'[2]PRESUPUESTO TUBERIAS'!N49/1000</f>
        <v>1063380.8310400001</v>
      </c>
      <c r="H6" s="154">
        <f t="shared" ref="H6:H11" si="3">+G6/$J$3*1000</f>
        <v>354460.2770133334</v>
      </c>
      <c r="I6" s="153">
        <f t="shared" si="1"/>
        <v>8082011.2923264019</v>
      </c>
      <c r="J6" s="154">
        <f t="shared" ref="J6:J11" si="4">+I6/$J$3*1000</f>
        <v>2694003.7641088008</v>
      </c>
      <c r="K6" s="153">
        <f t="shared" ref="K6:K11" si="5">+G6*($I$3+1)*1.3</f>
        <v>1797113.6044576003</v>
      </c>
      <c r="L6" s="155">
        <f t="shared" si="2"/>
        <v>599037.86815253343</v>
      </c>
      <c r="M6" s="154"/>
      <c r="N6" s="157"/>
    </row>
    <row r="7" spans="1:14" x14ac:dyDescent="0.25">
      <c r="A7" s="149" t="s">
        <v>45</v>
      </c>
      <c r="B7" s="150" t="s">
        <v>146</v>
      </c>
      <c r="C7" s="156">
        <f>+'[2]PRESUPUESTO TUBERIAS'!M54</f>
        <v>3859</v>
      </c>
      <c r="D7" s="152">
        <f>+'[2]PRESUPUESTO TUBERIAS'!O75</f>
        <v>1018669.4494791396</v>
      </c>
      <c r="E7" s="152">
        <f t="shared" si="0"/>
        <v>3931045405.54</v>
      </c>
      <c r="F7" s="143">
        <f>+'[2]PRESUPUESTO TUBERIAS'!N54</f>
        <v>2121</v>
      </c>
      <c r="G7" s="153">
        <f>+'[2]PRESUPUESTO TUBERIAS'!N75/1000</f>
        <v>2158745.2332600001</v>
      </c>
      <c r="H7" s="154">
        <f t="shared" si="3"/>
        <v>719581.74442000012</v>
      </c>
      <c r="I7" s="153">
        <f t="shared" si="1"/>
        <v>6643466.7353625996</v>
      </c>
      <c r="J7" s="154">
        <f t="shared" si="4"/>
        <v>2214488.9117875332</v>
      </c>
      <c r="K7" s="153">
        <f t="shared" si="5"/>
        <v>3648279.4442094006</v>
      </c>
      <c r="L7" s="155">
        <f t="shared" si="2"/>
        <v>1216093.1480698003</v>
      </c>
    </row>
    <row r="8" spans="1:14" x14ac:dyDescent="0.25">
      <c r="A8" s="149" t="s">
        <v>46</v>
      </c>
      <c r="B8" s="150" t="s">
        <v>147</v>
      </c>
      <c r="C8" s="149">
        <v>3</v>
      </c>
      <c r="D8" s="152">
        <f>+'[2]PRESUPUESTO OBRAS COMPLEMENTARI'!H12</f>
        <v>791568627.75600004</v>
      </c>
      <c r="E8" s="152">
        <f t="shared" si="0"/>
        <v>2374705883.2680001</v>
      </c>
      <c r="F8" s="143">
        <v>2</v>
      </c>
      <c r="G8" s="158">
        <f>+F8/C8*E8/1000</f>
        <v>1583137.2555120001</v>
      </c>
      <c r="H8" s="154">
        <f t="shared" si="3"/>
        <v>527712.41850399994</v>
      </c>
      <c r="I8" s="153">
        <f t="shared" si="1"/>
        <v>4013252.9427229203</v>
      </c>
      <c r="J8" s="154">
        <f t="shared" si="4"/>
        <v>1337750.98090764</v>
      </c>
      <c r="K8" s="153">
        <f t="shared" si="5"/>
        <v>2675501.9618152804</v>
      </c>
      <c r="L8" s="155">
        <f t="shared" si="2"/>
        <v>891833.98727176012</v>
      </c>
    </row>
    <row r="9" spans="1:14" x14ac:dyDescent="0.25">
      <c r="A9" s="149" t="s">
        <v>129</v>
      </c>
      <c r="B9" s="150" t="s">
        <v>148</v>
      </c>
      <c r="C9" s="149">
        <v>20</v>
      </c>
      <c r="D9" s="152">
        <f>+'[2]PRESUPUESTO OBRAS COMPLEMENTARI'!H21</f>
        <v>157903725</v>
      </c>
      <c r="E9" s="152">
        <f t="shared" si="0"/>
        <v>3158074500</v>
      </c>
      <c r="F9" s="159">
        <v>5</v>
      </c>
      <c r="G9" s="158">
        <f>+F9/C9*E9/1000</f>
        <v>789518.625</v>
      </c>
      <c r="H9" s="154">
        <f t="shared" si="3"/>
        <v>263172.875</v>
      </c>
      <c r="I9" s="153">
        <f t="shared" si="1"/>
        <v>5337145.9050000003</v>
      </c>
      <c r="J9" s="154">
        <f t="shared" si="4"/>
        <v>1779048.635</v>
      </c>
      <c r="K9" s="160">
        <f t="shared" si="5"/>
        <v>1334286.4762500001</v>
      </c>
      <c r="L9" s="161">
        <f t="shared" si="2"/>
        <v>444762.15875</v>
      </c>
    </row>
    <row r="10" spans="1:14" x14ac:dyDescent="0.25">
      <c r="A10" s="149" t="s">
        <v>130</v>
      </c>
      <c r="B10" s="150" t="s">
        <v>147</v>
      </c>
      <c r="C10" s="149">
        <v>36</v>
      </c>
      <c r="D10" s="152">
        <f>+'[2]PRESUPUESTO OBRAS COMPLEMENTARI'!H33</f>
        <v>19689674.812159996</v>
      </c>
      <c r="E10" s="152">
        <f t="shared" si="0"/>
        <v>708828293.23775983</v>
      </c>
      <c r="F10" s="159">
        <v>10</v>
      </c>
      <c r="G10" s="158">
        <f>+F10/C10*E10/1000</f>
        <v>196896.74812159996</v>
      </c>
      <c r="H10" s="154">
        <f t="shared" si="3"/>
        <v>65632.249373866653</v>
      </c>
      <c r="I10" s="153">
        <f t="shared" si="1"/>
        <v>1197919.8155718143</v>
      </c>
      <c r="J10" s="154">
        <f t="shared" si="4"/>
        <v>399306.60519060481</v>
      </c>
      <c r="K10" s="160">
        <f t="shared" si="5"/>
        <v>332755.50432550395</v>
      </c>
      <c r="L10" s="161">
        <f t="shared" si="2"/>
        <v>110918.50144183465</v>
      </c>
    </row>
    <row r="11" spans="1:14" x14ac:dyDescent="0.25">
      <c r="A11" s="149" t="s">
        <v>47</v>
      </c>
      <c r="B11" s="150" t="s">
        <v>147</v>
      </c>
      <c r="C11" s="149">
        <v>1</v>
      </c>
      <c r="D11" s="152">
        <f>+'[2]PRESUPUESTO PTAR'!F542</f>
        <v>14750469020.827877</v>
      </c>
      <c r="E11" s="152">
        <f t="shared" si="0"/>
        <v>14750469020.827877</v>
      </c>
      <c r="F11" s="143">
        <v>1</v>
      </c>
      <c r="G11" s="162">
        <f>+E11/1000</f>
        <v>14750469.020827876</v>
      </c>
      <c r="H11" s="154">
        <f t="shared" si="3"/>
        <v>4916823.0069426252</v>
      </c>
      <c r="I11" s="153">
        <f t="shared" si="1"/>
        <v>24928292.645199113</v>
      </c>
      <c r="J11" s="154">
        <f t="shared" si="4"/>
        <v>8309430.8817330385</v>
      </c>
      <c r="K11" s="153">
        <f t="shared" si="5"/>
        <v>24928292.645199113</v>
      </c>
      <c r="L11" s="155">
        <f t="shared" si="2"/>
        <v>8309430.8817330385</v>
      </c>
    </row>
    <row r="13" spans="1:14" ht="14.4" x14ac:dyDescent="0.3">
      <c r="A13" s="163" t="s">
        <v>149</v>
      </c>
      <c r="D13" s="163"/>
      <c r="E13" s="164">
        <f>SUM(E5:E11)</f>
        <v>35791241002.203651</v>
      </c>
      <c r="G13" s="164">
        <f>SUM(G5:G11)</f>
        <v>21086847.253761478</v>
      </c>
      <c r="H13" s="164">
        <f>SUM(H5:H11)</f>
        <v>7028949.0845871586</v>
      </c>
      <c r="L13" s="164"/>
      <c r="M13" s="165"/>
    </row>
    <row r="14" spans="1:14" x14ac:dyDescent="0.25">
      <c r="A14" s="166" t="s">
        <v>150</v>
      </c>
      <c r="B14" s="143" t="s">
        <v>151</v>
      </c>
      <c r="D14" s="147">
        <v>0.3</v>
      </c>
      <c r="E14" s="167">
        <f>+E13*$D14</f>
        <v>10737372300.661095</v>
      </c>
      <c r="G14" s="167">
        <f t="shared" ref="G14:H14" si="6">+G13*$D14</f>
        <v>6326054.1761284433</v>
      </c>
      <c r="H14" s="167">
        <f t="shared" si="6"/>
        <v>2108684.7253761473</v>
      </c>
    </row>
    <row r="15" spans="1:14" x14ac:dyDescent="0.25">
      <c r="A15" s="166" t="s">
        <v>152</v>
      </c>
      <c r="D15" s="147"/>
      <c r="E15" s="167">
        <f>+E14+E13</f>
        <v>46528613302.864746</v>
      </c>
      <c r="G15" s="167">
        <f t="shared" ref="G15:H15" si="7">+G14+G13</f>
        <v>27412901.429889921</v>
      </c>
      <c r="H15" s="167">
        <f t="shared" si="7"/>
        <v>9137633.8099633064</v>
      </c>
      <c r="I15" s="168"/>
      <c r="J15" s="148">
        <f t="shared" ref="J15:J20" si="8">+I15/$J$3*1000</f>
        <v>0</v>
      </c>
      <c r="L15" s="168"/>
    </row>
    <row r="16" spans="1:14" x14ac:dyDescent="0.25">
      <c r="A16" s="143" t="s">
        <v>153</v>
      </c>
      <c r="D16" s="147">
        <v>0.3</v>
      </c>
      <c r="E16" s="168">
        <f>+E15*$D16</f>
        <v>13958583990.859423</v>
      </c>
      <c r="G16" s="168">
        <f t="shared" ref="G16:H16" si="9">+G15*$D16</f>
        <v>8223870.4289669758</v>
      </c>
      <c r="H16" s="168">
        <f t="shared" si="9"/>
        <v>2741290.1429889919</v>
      </c>
      <c r="I16" s="168"/>
      <c r="J16" s="154">
        <f t="shared" si="8"/>
        <v>0</v>
      </c>
    </row>
    <row r="17" spans="1:12" s="170" customFormat="1" ht="14.4" x14ac:dyDescent="0.3">
      <c r="A17" s="169" t="s">
        <v>154</v>
      </c>
      <c r="D17" s="169"/>
      <c r="E17" s="171">
        <f>+E16+E15</f>
        <v>60487197293.724167</v>
      </c>
      <c r="G17" s="171">
        <f t="shared" ref="G17:H17" si="10">+G16+G15</f>
        <v>35636771.858856894</v>
      </c>
      <c r="H17" s="171">
        <f t="shared" si="10"/>
        <v>11878923.952952299</v>
      </c>
      <c r="I17" s="148">
        <f>SUM(I5:I12)</f>
        <v>60487197.293724172</v>
      </c>
      <c r="J17" s="148">
        <f>SUM(J5:J11)</f>
        <v>20162399.097908057</v>
      </c>
      <c r="K17" s="171">
        <f>SUM(K5:K12)</f>
        <v>35636771.858856902</v>
      </c>
      <c r="L17" s="171">
        <f>SUM(L5:L12)</f>
        <v>11878923.952952299</v>
      </c>
    </row>
    <row r="18" spans="1:12" s="170" customFormat="1" ht="14.4" x14ac:dyDescent="0.3">
      <c r="A18" s="169" t="s">
        <v>155</v>
      </c>
      <c r="B18" s="150" t="s">
        <v>156</v>
      </c>
      <c r="C18" s="149">
        <v>5</v>
      </c>
      <c r="D18" s="172">
        <v>300000000</v>
      </c>
      <c r="E18" s="171">
        <f>+D18*C18</f>
        <v>1500000000</v>
      </c>
      <c r="G18" s="171"/>
      <c r="H18" s="171"/>
      <c r="I18" s="148">
        <f>+E18/1000</f>
        <v>1500000</v>
      </c>
      <c r="J18" s="154">
        <f t="shared" si="8"/>
        <v>500000</v>
      </c>
      <c r="K18" s="171"/>
      <c r="L18" s="171"/>
    </row>
    <row r="19" spans="1:12" ht="14.4" x14ac:dyDescent="0.3">
      <c r="A19" s="173" t="s">
        <v>157</v>
      </c>
      <c r="D19" s="174">
        <v>0.02</v>
      </c>
      <c r="E19" s="164">
        <f>+D19*E17</f>
        <v>1209743945.8744833</v>
      </c>
      <c r="G19" s="164"/>
      <c r="H19" s="164"/>
      <c r="I19" s="168">
        <f t="shared" ref="I19:I20" si="11">+E19/1000</f>
        <v>1209743.9458744833</v>
      </c>
      <c r="J19" s="154">
        <f t="shared" si="8"/>
        <v>403247.98195816111</v>
      </c>
      <c r="K19" s="175">
        <f>+K17/I21</f>
        <v>0.5237935111061861</v>
      </c>
      <c r="L19" s="175">
        <f>+L17/J21</f>
        <v>0.5237935111061861</v>
      </c>
    </row>
    <row r="20" spans="1:12" ht="14.4" x14ac:dyDescent="0.3">
      <c r="A20" s="166" t="s">
        <v>158</v>
      </c>
      <c r="D20" s="147">
        <v>0.08</v>
      </c>
      <c r="E20" s="176">
        <f>+D20*E17</f>
        <v>4838975783.4979334</v>
      </c>
      <c r="G20" s="176"/>
      <c r="H20" s="176"/>
      <c r="I20" s="168">
        <f t="shared" si="11"/>
        <v>4838975.7834979333</v>
      </c>
      <c r="J20" s="154">
        <f t="shared" si="8"/>
        <v>1612991.9278326444</v>
      </c>
    </row>
    <row r="21" spans="1:12" ht="14.4" x14ac:dyDescent="0.3">
      <c r="A21" s="163" t="s">
        <v>159</v>
      </c>
      <c r="D21" s="163"/>
      <c r="E21" s="164">
        <f>+E20+E19+E17+E18</f>
        <v>68035917023.096581</v>
      </c>
      <c r="G21" s="164"/>
      <c r="H21" s="164"/>
      <c r="I21" s="164">
        <f>+I20+I19+I17+I18</f>
        <v>68035917.023096591</v>
      </c>
      <c r="J21" s="164">
        <f>+J20+J19+J17+J18</f>
        <v>22678639.007698864</v>
      </c>
      <c r="L21" s="177"/>
    </row>
  </sheetData>
  <mergeCells count="3">
    <mergeCell ref="A3:A4"/>
    <mergeCell ref="B3:B4"/>
    <mergeCell ref="E3:E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2E4E2896910349AEC3AF9CCDEC1985" ma:contentTypeVersion="30" ma:contentTypeDescription="A content type to manage public (operations) IDB documents" ma:contentTypeScope="" ma:versionID="b86771e9b4c0f6eac72e4b3e882dc41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109</Value>
      <Value>31</Value>
      <Value>2</Value>
      <Value>85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CO-L1232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R0001333791</Record_x0020_Number>
    <_dlc_DocId xmlns="cdc7663a-08f0-4737-9e8c-148ce897a09c">EZSHARE-1538906205-63</_dlc_DocId>
    <_dlc_DocIdUrl xmlns="cdc7663a-08f0-4737-9e8c-148ce897a09c">
      <Url>https://idbg.sharepoint.com/teams/EZ-CO-LON/CO-L1232/_layouts/15/DocIdRedir.aspx?ID=EZSHARE-1538906205-63</Url>
      <Description>EZSHARE-1538906205-63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BEDA94C-DADF-4A94-878D-D8AF68929AAF}"/>
</file>

<file path=customXml/itemProps2.xml><?xml version="1.0" encoding="utf-8"?>
<ds:datastoreItem xmlns:ds="http://schemas.openxmlformats.org/officeDocument/2006/customXml" ds:itemID="{8296CD59-709D-4364-BA2B-28A058F03485}"/>
</file>

<file path=customXml/itemProps3.xml><?xml version="1.0" encoding="utf-8"?>
<ds:datastoreItem xmlns:ds="http://schemas.openxmlformats.org/officeDocument/2006/customXml" ds:itemID="{F392E4AE-DDB2-4FEF-A512-23979B2ECE34}"/>
</file>

<file path=customXml/itemProps4.xml><?xml version="1.0" encoding="utf-8"?>
<ds:datastoreItem xmlns:ds="http://schemas.openxmlformats.org/officeDocument/2006/customXml" ds:itemID="{46146D5C-11D7-48A8-A1A9-6C843D325F7B}"/>
</file>

<file path=customXml/itemProps5.xml><?xml version="1.0" encoding="utf-8"?>
<ds:datastoreItem xmlns:ds="http://schemas.openxmlformats.org/officeDocument/2006/customXml" ds:itemID="{1083252A-3219-4CB6-A7B0-7AF320FF13DA}"/>
</file>

<file path=customXml/itemProps6.xml><?xml version="1.0" encoding="utf-8"?>
<ds:datastoreItem xmlns:ds="http://schemas.openxmlformats.org/officeDocument/2006/customXml" ds:itemID="{57F8F635-3E82-499E-9BE7-8487EBEAF2D4}"/>
</file>

<file path=customXml/itemProps7.xml><?xml version="1.0" encoding="utf-8"?>
<ds:datastoreItem xmlns:ds="http://schemas.openxmlformats.org/officeDocument/2006/customXml" ds:itemID="{5D60A401-DE30-4EE3-8A25-21646E82B4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Resumen</vt:lpstr>
      <vt:lpstr>Componentes</vt:lpstr>
      <vt:lpstr>Seguimiento_ME_Auditoria</vt:lpstr>
      <vt:lpstr>Costos RRHH_UCP</vt:lpstr>
      <vt:lpstr>Costo Gerencia Integral -GIP</vt:lpstr>
      <vt:lpstr>Memoria de calculo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Alvarez Prado, Lourdes</cp:lastModifiedBy>
  <cp:lastPrinted>2017-08-18T23:52:36Z</cp:lastPrinted>
  <dcterms:created xsi:type="dcterms:W3CDTF">2013-10-30T13:45:04Z</dcterms:created>
  <dcterms:modified xsi:type="dcterms:W3CDTF">2017-10-31T12:11:51Z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109;#SANITATION URBAN|bea451b1-990d-4fd6-a747-4978a6e1e2d2</vt:lpwstr>
  </property>
  <property fmtid="{D5CDD505-2E9C-101B-9397-08002B2CF9AE}" pid="7" name="Fund IDB">
    <vt:lpwstr>31;#ORC|c028a4b2-ad8b-4cf4-9cac-a2ae6a778e23</vt:lpwstr>
  </property>
  <property fmtid="{D5CDD505-2E9C-101B-9397-08002B2CF9AE}" pid="8" name="Country">
    <vt:lpwstr>27;#Colombia|c7d386d6-75f3-4fc0-bde8-e021ccd68f5c</vt:lpwstr>
  </property>
  <property fmtid="{D5CDD505-2E9C-101B-9397-08002B2CF9AE}" pid="9" name="Sector IDB">
    <vt:lpwstr>85;#WATER AND SANITATION|ba6b63cd-e402-47cb-9357-08149f7ce046</vt:lpwstr>
  </property>
  <property fmtid="{D5CDD505-2E9C-101B-9397-08002B2CF9AE}" pid="10" name="Function Operations IDB">
    <vt:lpwstr>2;#Monitoring and Reporting|df3c2aa1-d63e-41aa-b1f5-bb15dee691ca</vt:lpwstr>
  </property>
  <property fmtid="{D5CDD505-2E9C-101B-9397-08002B2CF9AE}" pid="11" name="_dlc_DocIdItemGuid">
    <vt:lpwstr>d1bcd28d-431c-4674-ad09-5cc5a2fff2ff</vt:lpwstr>
  </property>
  <property fmtid="{D5CDD505-2E9C-101B-9397-08002B2CF9AE}" pid="12" name="RecordPoint_ActiveItemMoved">
    <vt:lpwstr>/teams/EZ-CO-LON/CO-L1232/15 LifeCycle Milestones/Draft Area/EEO7 Presupuesto COL1232 post QRR.xlsx</vt:lpwstr>
  </property>
  <property fmtid="{D5CDD505-2E9C-101B-9397-08002B2CF9AE}" pid="13" name="RecordStorageActiveId">
    <vt:lpwstr>709d1874-1565-4cb1-9abb-590be5a82a98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0x0101001A458A224826124E8B45B1D613300CFC00A92E4E2896910349AEC3AF9CCDEC1985</vt:lpwstr>
  </property>
</Properties>
</file>