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200" yWindow="-15" windowWidth="10230" windowHeight="7650" activeTab="2"/>
  </bookViews>
  <sheets>
    <sheet name="Quadro custo" sheetId="21" r:id="rId1"/>
    <sheet name="curva desembolso" sheetId="19" r:id="rId2"/>
    <sheet name="POA" sheetId="18" r:id="rId3"/>
    <sheet name="POA PSA" sheetId="23" r:id="rId4"/>
  </sheets>
  <definedNames>
    <definedName name="\a" localSheetId="3">#REF!</definedName>
    <definedName name="\a" localSheetId="0">#REF!</definedName>
    <definedName name="\a">#REF!</definedName>
    <definedName name="\c" localSheetId="3">#REF!</definedName>
    <definedName name="\c" localSheetId="0">#REF!</definedName>
    <definedName name="\c">#REF!</definedName>
    <definedName name="\x" localSheetId="3">#REF!</definedName>
    <definedName name="\x" localSheetId="0">#REF!</definedName>
    <definedName name="\x">#REF!</definedName>
    <definedName name="\z" localSheetId="3">#REF!</definedName>
    <definedName name="\z">#REF!</definedName>
    <definedName name="_xlnm.Print_Area" localSheetId="3">'POA PSA'!$A$7:$S$24</definedName>
    <definedName name="Print_Area_MI" localSheetId="3">#REF!</definedName>
    <definedName name="Print_Area_MI">#REF!</definedName>
    <definedName name="Print_Titles_MI" localSheetId="3">#REF!</definedName>
    <definedName name="Print_Titles_MI">#REF!</definedName>
  </definedNames>
  <calcPr calcId="145621"/>
</workbook>
</file>

<file path=xl/calcChain.xml><?xml version="1.0" encoding="utf-8"?>
<calcChain xmlns="http://schemas.openxmlformats.org/spreadsheetml/2006/main">
  <c r="G29" i="18" l="1"/>
  <c r="Q39" i="23" l="1"/>
  <c r="H38" i="23"/>
  <c r="Q38" i="23" s="1"/>
  <c r="Q37" i="23"/>
  <c r="Q34" i="23"/>
  <c r="Q33" i="23"/>
  <c r="R23" i="23"/>
  <c r="Q23" i="23"/>
  <c r="P23" i="23"/>
  <c r="M23" i="23"/>
  <c r="J23" i="23"/>
  <c r="J21" i="23" s="1"/>
  <c r="G23" i="23"/>
  <c r="D23" i="23"/>
  <c r="Q22" i="23"/>
  <c r="P22" i="23"/>
  <c r="P21" i="23" s="1"/>
  <c r="L22" i="23"/>
  <c r="I22" i="23"/>
  <c r="F22" i="23"/>
  <c r="G22" i="23" s="1"/>
  <c r="G21" i="23" s="1"/>
  <c r="D22" i="23"/>
  <c r="S22" i="23" s="1"/>
  <c r="O21" i="23"/>
  <c r="N21" i="23"/>
  <c r="M21" i="23"/>
  <c r="L21" i="23"/>
  <c r="K21" i="23"/>
  <c r="I21" i="23"/>
  <c r="H21" i="23"/>
  <c r="F21" i="23"/>
  <c r="E21" i="23"/>
  <c r="D21" i="23"/>
  <c r="C21" i="23"/>
  <c r="B21" i="23"/>
  <c r="Q21" i="23" s="1"/>
  <c r="R20" i="23"/>
  <c r="Q20" i="23"/>
  <c r="P20" i="23"/>
  <c r="M20" i="23"/>
  <c r="J20" i="23"/>
  <c r="G20" i="23"/>
  <c r="D20" i="23"/>
  <c r="Q19" i="23"/>
  <c r="P19" i="23"/>
  <c r="M19" i="23"/>
  <c r="M18" i="23" s="1"/>
  <c r="I19" i="23"/>
  <c r="J19" i="23" s="1"/>
  <c r="J18" i="23" s="1"/>
  <c r="F19" i="23"/>
  <c r="R19" i="23" s="1"/>
  <c r="D19" i="23"/>
  <c r="P18" i="23"/>
  <c r="O18" i="23"/>
  <c r="N18" i="23"/>
  <c r="L18" i="23"/>
  <c r="K18" i="23"/>
  <c r="I18" i="23"/>
  <c r="H18" i="23"/>
  <c r="F18" i="23"/>
  <c r="E18" i="23"/>
  <c r="D18" i="23"/>
  <c r="C18" i="23"/>
  <c r="B18" i="23"/>
  <c r="Q18" i="23" s="1"/>
  <c r="Q17" i="23"/>
  <c r="P17" i="23"/>
  <c r="L17" i="23"/>
  <c r="M17" i="23" s="1"/>
  <c r="J17" i="23"/>
  <c r="I17" i="23"/>
  <c r="F17" i="23"/>
  <c r="R17" i="23" s="1"/>
  <c r="D17" i="23"/>
  <c r="R16" i="23"/>
  <c r="Q16" i="23"/>
  <c r="P16" i="23"/>
  <c r="M16" i="23"/>
  <c r="J16" i="23"/>
  <c r="G16" i="23"/>
  <c r="D16" i="23"/>
  <c r="S16" i="23" s="1"/>
  <c r="R15" i="23"/>
  <c r="Q15" i="23"/>
  <c r="P15" i="23"/>
  <c r="M15" i="23"/>
  <c r="J15" i="23"/>
  <c r="G15" i="23"/>
  <c r="D15" i="23"/>
  <c r="R14" i="23"/>
  <c r="Q14" i="23"/>
  <c r="P14" i="23"/>
  <c r="P13" i="23" s="1"/>
  <c r="M14" i="23"/>
  <c r="J14" i="23"/>
  <c r="J13" i="23" s="1"/>
  <c r="G14" i="23"/>
  <c r="D14" i="23"/>
  <c r="O13" i="23"/>
  <c r="N13" i="23"/>
  <c r="K13" i="23"/>
  <c r="I13" i="23"/>
  <c r="H13" i="23"/>
  <c r="E13" i="23"/>
  <c r="C13" i="23"/>
  <c r="B13" i="23"/>
  <c r="Q12" i="23"/>
  <c r="P12" i="23"/>
  <c r="M12" i="23"/>
  <c r="I12" i="23"/>
  <c r="J12" i="23" s="1"/>
  <c r="F12" i="23"/>
  <c r="R12" i="23" s="1"/>
  <c r="D12" i="23"/>
  <c r="R11" i="23"/>
  <c r="Q11" i="23"/>
  <c r="P11" i="23"/>
  <c r="M11" i="23"/>
  <c r="J11" i="23"/>
  <c r="G11" i="23"/>
  <c r="D11" i="23"/>
  <c r="Q10" i="23"/>
  <c r="P10" i="23"/>
  <c r="M10" i="23"/>
  <c r="M9" i="23" s="1"/>
  <c r="L10" i="23"/>
  <c r="I10" i="23"/>
  <c r="J10" i="23" s="1"/>
  <c r="G10" i="23"/>
  <c r="F10" i="23"/>
  <c r="D10" i="23"/>
  <c r="P9" i="23"/>
  <c r="O9" i="23"/>
  <c r="N9" i="23"/>
  <c r="N24" i="23" s="1"/>
  <c r="L9" i="23"/>
  <c r="K9" i="23"/>
  <c r="H9" i="23"/>
  <c r="H24" i="23" s="1"/>
  <c r="F9" i="23"/>
  <c r="E9" i="23"/>
  <c r="E24" i="23" s="1"/>
  <c r="D9" i="23"/>
  <c r="C9" i="23"/>
  <c r="B9" i="23"/>
  <c r="B24" i="23" s="1"/>
  <c r="D22" i="21"/>
  <c r="D21" i="21"/>
  <c r="D19" i="21"/>
  <c r="D18" i="21"/>
  <c r="D14" i="21"/>
  <c r="D15" i="21"/>
  <c r="D16" i="21"/>
  <c r="D13" i="21"/>
  <c r="D10" i="21"/>
  <c r="D11" i="21"/>
  <c r="D9" i="21"/>
  <c r="M13" i="23" l="1"/>
  <c r="M24" i="23" s="1"/>
  <c r="L24" i="23"/>
  <c r="I9" i="23"/>
  <c r="I24" i="23" s="1"/>
  <c r="R10" i="23"/>
  <c r="S11" i="23"/>
  <c r="S14" i="23"/>
  <c r="S23" i="23"/>
  <c r="P24" i="23"/>
  <c r="K24" i="23"/>
  <c r="Q24" i="23" s="1"/>
  <c r="O24" i="23"/>
  <c r="J9" i="23"/>
  <c r="J24" i="23" s="1"/>
  <c r="Q13" i="23"/>
  <c r="F13" i="23"/>
  <c r="S17" i="23"/>
  <c r="S20" i="23"/>
  <c r="R21" i="23"/>
  <c r="F24" i="23"/>
  <c r="R13" i="23"/>
  <c r="S21" i="23"/>
  <c r="C24" i="23"/>
  <c r="S10" i="23"/>
  <c r="D13" i="23"/>
  <c r="S13" i="23" s="1"/>
  <c r="L13" i="23"/>
  <c r="S15" i="23"/>
  <c r="G17" i="23"/>
  <c r="G13" i="23" s="1"/>
  <c r="R18" i="23"/>
  <c r="B30" i="23"/>
  <c r="B31" i="23" s="1"/>
  <c r="N30" i="23"/>
  <c r="N31" i="23" s="1"/>
  <c r="E31" i="23"/>
  <c r="E30" i="23"/>
  <c r="H30" i="23"/>
  <c r="H31" i="23" s="1"/>
  <c r="Q9" i="23"/>
  <c r="G12" i="23"/>
  <c r="G9" i="23" s="1"/>
  <c r="S9" i="23" s="1"/>
  <c r="R22" i="23"/>
  <c r="R9" i="23"/>
  <c r="G19" i="23"/>
  <c r="G18" i="23" s="1"/>
  <c r="S18" i="23" s="1"/>
  <c r="S24" i="23" l="1"/>
  <c r="D24" i="23"/>
  <c r="R24" i="23"/>
  <c r="K30" i="23"/>
  <c r="K31" i="23" s="1"/>
  <c r="Q31" i="23" s="1"/>
  <c r="S19" i="23"/>
  <c r="H32" i="23"/>
  <c r="E32" i="23"/>
  <c r="G24" i="23"/>
  <c r="S12" i="23"/>
  <c r="N32" i="23"/>
  <c r="B32" i="23"/>
  <c r="K32" i="23" l="1"/>
  <c r="Q32" i="23"/>
  <c r="Q30" i="23"/>
  <c r="F22" i="21"/>
  <c r="F21" i="21"/>
  <c r="B20" i="21"/>
  <c r="D20" i="21" s="1"/>
  <c r="F20" i="21" s="1"/>
  <c r="F19" i="21"/>
  <c r="F18" i="21"/>
  <c r="B17" i="21"/>
  <c r="F16" i="21"/>
  <c r="F15" i="21"/>
  <c r="F14" i="21"/>
  <c r="F13" i="21"/>
  <c r="B12" i="21"/>
  <c r="F11" i="21"/>
  <c r="F10" i="21"/>
  <c r="F9" i="21"/>
  <c r="B8" i="21"/>
  <c r="D17" i="21" l="1"/>
  <c r="D8" i="21"/>
  <c r="D12" i="21"/>
  <c r="B23" i="21"/>
  <c r="F12" i="21" l="1"/>
  <c r="F17" i="21"/>
  <c r="F8" i="21"/>
  <c r="D31" i="18" l="1"/>
  <c r="F31" i="18"/>
  <c r="F22" i="18"/>
  <c r="E22" i="18"/>
  <c r="D22" i="18"/>
  <c r="C22" i="18"/>
  <c r="D21" i="18"/>
  <c r="C21" i="18"/>
  <c r="B21" i="18"/>
  <c r="B20" i="18" s="1"/>
  <c r="F18" i="18"/>
  <c r="F17" i="18" s="1"/>
  <c r="E18" i="18"/>
  <c r="E17" i="18" s="1"/>
  <c r="D18" i="18"/>
  <c r="D17" i="18" s="1"/>
  <c r="C18" i="18"/>
  <c r="B18" i="18"/>
  <c r="B19" i="18"/>
  <c r="F16" i="18"/>
  <c r="E16" i="18"/>
  <c r="D16" i="18"/>
  <c r="C16" i="18"/>
  <c r="B16" i="18"/>
  <c r="F15" i="18"/>
  <c r="E15" i="18"/>
  <c r="D15" i="18"/>
  <c r="C15" i="18"/>
  <c r="B15" i="18"/>
  <c r="F13" i="18"/>
  <c r="E13" i="18"/>
  <c r="D13" i="18"/>
  <c r="C13" i="18"/>
  <c r="B13" i="18"/>
  <c r="F11" i="18"/>
  <c r="E11" i="18"/>
  <c r="D11" i="18"/>
  <c r="C11" i="18"/>
  <c r="B10" i="18"/>
  <c r="C10" i="18" s="1"/>
  <c r="D10" i="18" s="1"/>
  <c r="E10" i="18" s="1"/>
  <c r="F10" i="18" s="1"/>
  <c r="B9" i="18"/>
  <c r="G20" i="18"/>
  <c r="G17" i="18"/>
  <c r="G8" i="18"/>
  <c r="B8" i="18" l="1"/>
  <c r="B17" i="18"/>
  <c r="C20" i="18"/>
  <c r="C9" i="18"/>
  <c r="D9" i="18" s="1"/>
  <c r="D8" i="18" s="1"/>
  <c r="C19" i="18"/>
  <c r="C17" i="18" s="1"/>
  <c r="D20" i="18"/>
  <c r="F8" i="18"/>
  <c r="E31" i="18"/>
  <c r="C31" i="18"/>
  <c r="G30" i="18"/>
  <c r="C8" i="18" l="1"/>
  <c r="E9" i="18"/>
  <c r="E8" i="18" s="1"/>
  <c r="E20" i="18" l="1"/>
  <c r="F20" i="18"/>
  <c r="B31" i="18"/>
  <c r="G31" i="18" l="1"/>
  <c r="B34" i="18" s="1"/>
  <c r="D34" i="18" l="1"/>
  <c r="F34" i="18"/>
  <c r="C34" i="18"/>
  <c r="E34" i="18"/>
  <c r="F14" i="18" l="1"/>
  <c r="F12" i="18" s="1"/>
  <c r="F23" i="18" s="1"/>
  <c r="D14" i="18"/>
  <c r="D12" i="18" s="1"/>
  <c r="D23" i="18" s="1"/>
  <c r="C14" i="18"/>
  <c r="C12" i="18" s="1"/>
  <c r="C23" i="18" s="1"/>
  <c r="E14" i="18"/>
  <c r="E12" i="18" s="1"/>
  <c r="E23" i="18" s="1"/>
  <c r="B14" i="18"/>
  <c r="B12" i="18" s="1"/>
  <c r="B23" i="18" s="1"/>
  <c r="G12" i="18"/>
  <c r="G23" i="18" s="1"/>
  <c r="C33" i="18" l="1"/>
  <c r="C32" i="18"/>
  <c r="E32" i="18"/>
  <c r="E33" i="18"/>
  <c r="F32" i="18"/>
  <c r="F33" i="18"/>
  <c r="B32" i="18"/>
  <c r="B33" i="18"/>
  <c r="D32" i="18"/>
  <c r="D33" i="18"/>
</calcChain>
</file>

<file path=xl/sharedStrings.xml><?xml version="1.0" encoding="utf-8"?>
<sst xmlns="http://schemas.openxmlformats.org/spreadsheetml/2006/main" count="132" uniqueCount="47">
  <si>
    <t>(em equivalentes de US$)</t>
  </si>
  <si>
    <t>CATEGORIA DE INVERSÃO</t>
  </si>
  <si>
    <t>SUBTOTAL DO PROGRAMA</t>
  </si>
  <si>
    <t>FUNDO ROTATIVO</t>
  </si>
  <si>
    <t>QUADRO DE CONTROLE DOS DESEMBOLSOS</t>
  </si>
  <si>
    <t xml:space="preserve"> 1. ESTUDOS DE ENGENHARIA E GASTOS DE ADMINISTRAÇÃO</t>
  </si>
  <si>
    <t xml:space="preserve"> 1.1 ESTUDOS E PROJETOS</t>
  </si>
  <si>
    <t xml:space="preserve"> 1.2 ADMINISTRAÇÃO DO PROGRAMA</t>
  </si>
  <si>
    <t xml:space="preserve"> 1.3 AUDITORIA INDENPENDENTE DO PROGRAMA</t>
  </si>
  <si>
    <t xml:space="preserve"> 2. CUSTOS DIRETOS DE INVESTIMENTO</t>
  </si>
  <si>
    <t xml:space="preserve"> 2.3 SEGURANÇA VIÁRIA</t>
  </si>
  <si>
    <t xml:space="preserve"> 3. FORTALECIMENTO INSTITUCIONAL</t>
  </si>
  <si>
    <t xml:space="preserve"> 4. CUSTOS CONCORRENTES</t>
  </si>
  <si>
    <t xml:space="preserve"> 4.2 MITIGAÇÃO E COMPENSAÇÃO AMBIENTAL</t>
  </si>
  <si>
    <t>TOTAL GERAL</t>
  </si>
  <si>
    <t xml:space="preserve"> 2.1 CORREDORES DE TRANSPORTES</t>
  </si>
  <si>
    <t xml:space="preserve"> 2.2 OBRAS DE MELHORIAS VIARIAS</t>
  </si>
  <si>
    <t>CONFORME CONTRATO FIRMADO EM XX.XXX.XX</t>
  </si>
  <si>
    <t>EMPRÉSTIMO A DEFINIR</t>
  </si>
  <si>
    <t xml:space="preserve"> 2.4 SUPERVISAO DE OBRAS</t>
  </si>
  <si>
    <t xml:space="preserve"> 4.1 DESAPROPRIAÇÕES E REASSENTAMENTOS</t>
  </si>
  <si>
    <t>PROGRAMA DE MOBILIDADE URBANA DE SANTO ANDRÉ (BR-L1402)</t>
  </si>
  <si>
    <t xml:space="preserve"> 3.1 FORTALECIMENTO DAS UNIDADES OPERATIVAS</t>
  </si>
  <si>
    <t xml:space="preserve"> 3.2 PLANO DE MOBILIDADE URBANA SUSTENTÁVEL</t>
  </si>
  <si>
    <t>TOTAL</t>
  </si>
  <si>
    <t>TOTAL BID</t>
  </si>
  <si>
    <t>% BID</t>
  </si>
  <si>
    <t>% APORTE LOCAL</t>
  </si>
  <si>
    <t>ANO1</t>
  </si>
  <si>
    <t>ANO2</t>
  </si>
  <si>
    <t>ANO3</t>
  </si>
  <si>
    <t>ANO4</t>
  </si>
  <si>
    <t>ANO5</t>
  </si>
  <si>
    <t>TOTAL APORTE LOCAL</t>
  </si>
  <si>
    <t>TOTAl GERAL</t>
  </si>
  <si>
    <t>% ANUAL</t>
  </si>
  <si>
    <t>APORTE LOCAL</t>
  </si>
  <si>
    <t>ANO 1</t>
  </si>
  <si>
    <t>ANO 2</t>
  </si>
  <si>
    <t>ANO 3</t>
  </si>
  <si>
    <t>ANO 4</t>
  </si>
  <si>
    <t>ANO 5</t>
  </si>
  <si>
    <t>TOTAL PSA</t>
  </si>
  <si>
    <t>BID</t>
  </si>
  <si>
    <t>PSA</t>
  </si>
  <si>
    <t xml:space="preserve"> 2.1 CORREDORES DE TRANSPORTES (Santos Dumont)</t>
  </si>
  <si>
    <t xml:space="preserve"> 2.2 OBRAS DE MELHORIAS VIARIAS ( Viad. A. Chammas e Sta. Terezinha)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</si>
</sst>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-;\-* #,##0.00_-;_-* &quot;-&quot;??_-;_-@_-"/>
    <numFmt numFmtId="165" formatCode="0.00_)"/>
    <numFmt numFmtId="166" formatCode="0_)"/>
    <numFmt numFmtId="167" formatCode="0.0000_)"/>
    <numFmt numFmtId="168" formatCode="_-* #,##0_-;\-* #,##0_-;_-* &quot;-&quot;??_-;_-@_-"/>
    <numFmt numFmtId="169" formatCode="[$-416]General"/>
    <numFmt numFmtId="170" formatCode="[$R$-416]&quot; &quot;#,##0.00;[Red]&quot;-&quot;[$R$-416]&quot; &quot;#,##0.00"/>
    <numFmt numFmtId="171" formatCode="#,##0.0000;\-#,##0.0000"/>
  </numFmts>
  <fonts count="15" x14ac:knownFonts="1">
    <font>
      <sz val="12"/>
      <name val="Helv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Helv"/>
      <family val="2"/>
    </font>
    <font>
      <sz val="12"/>
      <name val="Helv"/>
    </font>
    <font>
      <b/>
      <sz val="12"/>
      <name val="Helv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6"/>
      <name val="Helv"/>
    </font>
    <font>
      <b/>
      <sz val="14"/>
      <name val="Helv"/>
    </font>
    <font>
      <b/>
      <sz val="10"/>
      <name val="Helv"/>
    </font>
    <font>
      <sz val="14"/>
      <name val="Helv"/>
    </font>
    <font>
      <sz val="10"/>
      <name val="Helv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165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6" fillId="0" borderId="0"/>
    <xf numFmtId="169" fontId="7" fillId="0" borderId="0" applyBorder="0" applyProtection="0"/>
    <xf numFmtId="0" fontId="8" fillId="0" borderId="0" applyNumberFormat="0" applyBorder="0" applyProtection="0">
      <alignment horizontal="center"/>
    </xf>
    <xf numFmtId="0" fontId="8" fillId="0" borderId="0" applyNumberFormat="0" applyBorder="0" applyProtection="0">
      <alignment horizontal="center" textRotation="90"/>
    </xf>
    <xf numFmtId="0" fontId="9" fillId="0" borderId="0" applyNumberFormat="0" applyBorder="0" applyProtection="0"/>
    <xf numFmtId="170" fontId="9" fillId="0" borderId="0" applyBorder="0" applyProtection="0"/>
  </cellStyleXfs>
  <cellXfs count="104">
    <xf numFmtId="165" fontId="0" fillId="0" borderId="0" xfId="0"/>
    <xf numFmtId="39" fontId="3" fillId="0" borderId="0" xfId="0" applyNumberFormat="1" applyFont="1" applyBorder="1" applyProtection="1"/>
    <xf numFmtId="37" fontId="0" fillId="0" borderId="1" xfId="0" applyNumberFormat="1" applyBorder="1" applyAlignment="1" applyProtection="1">
      <alignment horizontal="left"/>
    </xf>
    <xf numFmtId="39" fontId="3" fillId="0" borderId="2" xfId="0" applyNumberFormat="1" applyFont="1" applyBorder="1" applyProtection="1"/>
    <xf numFmtId="37" fontId="0" fillId="0" borderId="3" xfId="0" applyNumberFormat="1" applyBorder="1" applyAlignment="1" applyProtection="1">
      <alignment horizontal="left"/>
    </xf>
    <xf numFmtId="39" fontId="3" fillId="0" borderId="3" xfId="0" applyNumberFormat="1" applyFont="1" applyBorder="1" applyAlignment="1" applyProtection="1">
      <alignment horizontal="left"/>
    </xf>
    <xf numFmtId="37" fontId="0" fillId="0" borderId="2" xfId="0" applyNumberFormat="1" applyBorder="1" applyAlignment="1" applyProtection="1">
      <alignment horizontal="left"/>
    </xf>
    <xf numFmtId="37" fontId="0" fillId="0" borderId="0" xfId="0" applyNumberFormat="1" applyBorder="1" applyAlignment="1" applyProtection="1">
      <alignment horizontal="left"/>
    </xf>
    <xf numFmtId="39" fontId="3" fillId="0" borderId="0" xfId="0" applyNumberFormat="1" applyFont="1" applyBorder="1" applyAlignment="1" applyProtection="1">
      <alignment horizontal="left"/>
    </xf>
    <xf numFmtId="165" fontId="5" fillId="0" borderId="0" xfId="0" applyFont="1"/>
    <xf numFmtId="39" fontId="3" fillId="0" borderId="0" xfId="0" applyNumberFormat="1" applyFont="1" applyBorder="1" applyAlignment="1" applyProtection="1">
      <alignment horizontal="center"/>
    </xf>
    <xf numFmtId="37" fontId="5" fillId="0" borderId="0" xfId="0" applyNumberFormat="1" applyFont="1" applyBorder="1" applyAlignment="1" applyProtection="1">
      <alignment horizontal="center"/>
    </xf>
    <xf numFmtId="37" fontId="3" fillId="0" borderId="0" xfId="0" applyNumberFormat="1" applyFont="1" applyBorder="1" applyAlignment="1" applyProtection="1">
      <alignment horizontal="center"/>
    </xf>
    <xf numFmtId="39" fontId="5" fillId="0" borderId="0" xfId="0" applyNumberFormat="1" applyFont="1" applyBorder="1" applyAlignment="1" applyProtection="1">
      <alignment horizontal="center"/>
    </xf>
    <xf numFmtId="168" fontId="0" fillId="0" borderId="0" xfId="1" applyNumberFormat="1" applyFont="1"/>
    <xf numFmtId="39" fontId="5" fillId="0" borderId="4" xfId="0" applyNumberFormat="1" applyFont="1" applyFill="1" applyBorder="1" applyAlignment="1" applyProtection="1">
      <alignment horizontal="left"/>
    </xf>
    <xf numFmtId="165" fontId="0" fillId="0" borderId="4" xfId="0" applyBorder="1"/>
    <xf numFmtId="37" fontId="5" fillId="0" borderId="4" xfId="0" applyNumberFormat="1" applyFont="1" applyBorder="1" applyAlignment="1" applyProtection="1">
      <alignment horizontal="center"/>
    </xf>
    <xf numFmtId="165" fontId="0" fillId="0" borderId="4" xfId="0" applyBorder="1" applyAlignment="1">
      <alignment horizontal="left"/>
    </xf>
    <xf numFmtId="165" fontId="5" fillId="0" borderId="4" xfId="0" applyFont="1" applyBorder="1" applyAlignment="1">
      <alignment horizontal="center"/>
    </xf>
    <xf numFmtId="166" fontId="5" fillId="0" borderId="4" xfId="0" applyNumberFormat="1" applyFont="1" applyBorder="1" applyAlignment="1">
      <alignment horizontal="center"/>
    </xf>
    <xf numFmtId="39" fontId="5" fillId="0" borderId="4" xfId="0" applyNumberFormat="1" applyFont="1" applyBorder="1" applyAlignment="1" applyProtection="1">
      <alignment horizontal="center"/>
    </xf>
    <xf numFmtId="168" fontId="5" fillId="0" borderId="4" xfId="1" applyNumberFormat="1" applyFont="1" applyBorder="1" applyAlignment="1">
      <alignment horizontal="center"/>
    </xf>
    <xf numFmtId="165" fontId="5" fillId="0" borderId="0" xfId="0" applyFont="1" applyAlignment="1">
      <alignment horizontal="center"/>
    </xf>
    <xf numFmtId="167" fontId="5" fillId="0" borderId="0" xfId="0" applyNumberFormat="1" applyFont="1" applyAlignment="1">
      <alignment horizontal="center"/>
    </xf>
    <xf numFmtId="165" fontId="5" fillId="0" borderId="4" xfId="0" applyFont="1" applyBorder="1"/>
    <xf numFmtId="39" fontId="3" fillId="0" borderId="4" xfId="0" applyNumberFormat="1" applyFont="1" applyBorder="1" applyProtection="1"/>
    <xf numFmtId="39" fontId="3" fillId="0" borderId="4" xfId="0" applyNumberFormat="1" applyFont="1" applyBorder="1" applyAlignment="1" applyProtection="1">
      <alignment horizontal="center"/>
    </xf>
    <xf numFmtId="37" fontId="5" fillId="0" borderId="4" xfId="0" applyNumberFormat="1" applyFont="1" applyBorder="1" applyAlignment="1" applyProtection="1">
      <alignment horizontal="left"/>
    </xf>
    <xf numFmtId="39" fontId="3" fillId="0" borderId="4" xfId="0" applyNumberFormat="1" applyFont="1" applyBorder="1" applyAlignment="1" applyProtection="1">
      <alignment horizontal="left"/>
    </xf>
    <xf numFmtId="37" fontId="3" fillId="0" borderId="4" xfId="0" applyNumberFormat="1" applyFont="1" applyBorder="1" applyAlignment="1" applyProtection="1">
      <alignment horizontal="center"/>
    </xf>
    <xf numFmtId="39" fontId="5" fillId="0" borderId="4" xfId="0" applyNumberFormat="1" applyFont="1" applyBorder="1" applyAlignment="1" applyProtection="1">
      <alignment horizontal="left"/>
    </xf>
    <xf numFmtId="165" fontId="0" fillId="0" borderId="5" xfId="0" applyBorder="1"/>
    <xf numFmtId="165" fontId="5" fillId="0" borderId="6" xfId="0" applyFont="1" applyBorder="1" applyAlignment="1">
      <alignment horizontal="center"/>
    </xf>
    <xf numFmtId="39" fontId="5" fillId="0" borderId="1" xfId="0" applyNumberFormat="1" applyFont="1" applyBorder="1" applyAlignment="1" applyProtection="1">
      <alignment horizontal="center"/>
    </xf>
    <xf numFmtId="39" fontId="5" fillId="0" borderId="2" xfId="0" applyNumberFormat="1" applyFont="1" applyBorder="1" applyAlignment="1" applyProtection="1">
      <alignment horizontal="center"/>
    </xf>
    <xf numFmtId="39" fontId="5" fillId="0" borderId="7" xfId="0" applyNumberFormat="1" applyFont="1" applyBorder="1" applyAlignment="1" applyProtection="1">
      <alignment horizontal="center"/>
    </xf>
    <xf numFmtId="39" fontId="5" fillId="0" borderId="8" xfId="0" applyNumberFormat="1" applyFont="1" applyBorder="1" applyAlignment="1" applyProtection="1">
      <alignment horizontal="center"/>
    </xf>
    <xf numFmtId="39" fontId="5" fillId="0" borderId="9" xfId="0" applyNumberFormat="1" applyFont="1" applyBorder="1" applyAlignment="1" applyProtection="1">
      <alignment horizontal="center"/>
    </xf>
    <xf numFmtId="39" fontId="5" fillId="0" borderId="10" xfId="0" applyNumberFormat="1" applyFont="1" applyBorder="1" applyAlignment="1" applyProtection="1">
      <alignment horizontal="center"/>
    </xf>
    <xf numFmtId="39" fontId="3" fillId="0" borderId="3" xfId="0" applyNumberFormat="1" applyFont="1" applyBorder="1" applyProtection="1"/>
    <xf numFmtId="39" fontId="3" fillId="0" borderId="11" xfId="0" applyNumberFormat="1" applyFont="1" applyBorder="1" applyAlignment="1" applyProtection="1">
      <alignment horizontal="center"/>
    </xf>
    <xf numFmtId="37" fontId="5" fillId="0" borderId="3" xfId="0" applyNumberFormat="1" applyFont="1" applyBorder="1" applyAlignment="1" applyProtection="1">
      <alignment horizontal="left"/>
    </xf>
    <xf numFmtId="9" fontId="5" fillId="0" borderId="0" xfId="2" applyFont="1" applyBorder="1" applyAlignment="1" applyProtection="1">
      <alignment horizontal="center"/>
    </xf>
    <xf numFmtId="9" fontId="5" fillId="0" borderId="11" xfId="2" applyFont="1" applyBorder="1" applyAlignment="1" applyProtection="1">
      <alignment horizontal="center"/>
    </xf>
    <xf numFmtId="9" fontId="3" fillId="0" borderId="0" xfId="2" applyFont="1" applyBorder="1" applyAlignment="1" applyProtection="1">
      <alignment horizontal="center"/>
    </xf>
    <xf numFmtId="9" fontId="0" fillId="0" borderId="11" xfId="2" applyFont="1" applyBorder="1" applyAlignment="1" applyProtection="1">
      <alignment horizontal="center"/>
    </xf>
    <xf numFmtId="39" fontId="5" fillId="0" borderId="3" xfId="0" applyNumberFormat="1" applyFont="1" applyBorder="1" applyAlignment="1" applyProtection="1">
      <alignment horizontal="left"/>
    </xf>
    <xf numFmtId="39" fontId="5" fillId="0" borderId="8" xfId="0" applyNumberFormat="1" applyFont="1" applyBorder="1" applyAlignment="1" applyProtection="1">
      <alignment horizontal="left"/>
    </xf>
    <xf numFmtId="37" fontId="5" fillId="0" borderId="9" xfId="0" applyNumberFormat="1" applyFont="1" applyBorder="1" applyAlignment="1" applyProtection="1">
      <alignment horizontal="center"/>
    </xf>
    <xf numFmtId="39" fontId="5" fillId="0" borderId="11" xfId="0" applyNumberFormat="1" applyFont="1" applyBorder="1" applyAlignment="1" applyProtection="1">
      <alignment horizontal="center"/>
    </xf>
    <xf numFmtId="39" fontId="5" fillId="0" borderId="12" xfId="0" applyNumberFormat="1" applyFont="1" applyBorder="1" applyAlignment="1" applyProtection="1">
      <alignment horizontal="left"/>
    </xf>
    <xf numFmtId="39" fontId="5" fillId="0" borderId="13" xfId="0" applyNumberFormat="1" applyFont="1" applyBorder="1" applyAlignment="1" applyProtection="1">
      <alignment horizontal="center"/>
    </xf>
    <xf numFmtId="37" fontId="5" fillId="0" borderId="13" xfId="0" applyNumberFormat="1" applyFont="1" applyBorder="1" applyAlignment="1" applyProtection="1">
      <alignment horizontal="center"/>
    </xf>
    <xf numFmtId="39" fontId="5" fillId="0" borderId="14" xfId="0" applyNumberFormat="1" applyFont="1" applyBorder="1" applyAlignment="1" applyProtection="1">
      <alignment horizontal="center"/>
    </xf>
    <xf numFmtId="39" fontId="3" fillId="0" borderId="15" xfId="0" applyNumberFormat="1" applyFont="1" applyBorder="1" applyProtection="1"/>
    <xf numFmtId="39" fontId="3" fillId="0" borderId="16" xfId="0" applyNumberFormat="1" applyFont="1" applyBorder="1" applyAlignment="1" applyProtection="1">
      <alignment horizontal="center"/>
    </xf>
    <xf numFmtId="37" fontId="3" fillId="0" borderId="16" xfId="0" applyNumberFormat="1" applyFont="1" applyBorder="1" applyAlignment="1" applyProtection="1">
      <alignment horizontal="center"/>
    </xf>
    <xf numFmtId="39" fontId="3" fillId="0" borderId="17" xfId="0" applyNumberFormat="1" applyFont="1" applyBorder="1" applyAlignment="1" applyProtection="1">
      <alignment horizontal="center"/>
    </xf>
    <xf numFmtId="37" fontId="0" fillId="0" borderId="0" xfId="0" applyNumberFormat="1"/>
    <xf numFmtId="39" fontId="0" fillId="0" borderId="0" xfId="0" applyNumberFormat="1"/>
    <xf numFmtId="37" fontId="0" fillId="2" borderId="0" xfId="0" applyNumberFormat="1" applyFill="1"/>
    <xf numFmtId="164" fontId="0" fillId="0" borderId="0" xfId="1" applyFont="1" applyFill="1"/>
    <xf numFmtId="39" fontId="0" fillId="2" borderId="0" xfId="0" applyNumberFormat="1" applyFill="1"/>
    <xf numFmtId="165" fontId="0" fillId="2" borderId="0" xfId="0" applyFill="1"/>
    <xf numFmtId="39" fontId="5" fillId="0" borderId="0" xfId="0" applyNumberFormat="1" applyFont="1" applyAlignment="1">
      <alignment horizontal="center"/>
    </xf>
    <xf numFmtId="39" fontId="5" fillId="2" borderId="0" xfId="0" applyNumberFormat="1" applyFont="1" applyFill="1" applyAlignment="1">
      <alignment horizontal="center"/>
    </xf>
    <xf numFmtId="164" fontId="5" fillId="0" borderId="0" xfId="1" applyFont="1" applyFill="1"/>
    <xf numFmtId="39" fontId="11" fillId="3" borderId="22" xfId="0" applyNumberFormat="1" applyFont="1" applyFill="1" applyBorder="1" applyAlignment="1">
      <alignment horizontal="center"/>
    </xf>
    <xf numFmtId="39" fontId="12" fillId="0" borderId="4" xfId="0" applyNumberFormat="1" applyFont="1" applyBorder="1" applyAlignment="1">
      <alignment horizontal="center"/>
    </xf>
    <xf numFmtId="39" fontId="12" fillId="0" borderId="23" xfId="0" applyNumberFormat="1" applyFont="1" applyBorder="1" applyAlignment="1">
      <alignment horizontal="center"/>
    </xf>
    <xf numFmtId="39" fontId="12" fillId="0" borderId="24" xfId="0" applyNumberFormat="1" applyFont="1" applyBorder="1" applyAlignment="1">
      <alignment horizontal="center"/>
    </xf>
    <xf numFmtId="37" fontId="5" fillId="0" borderId="24" xfId="0" applyNumberFormat="1" applyFont="1" applyBorder="1"/>
    <xf numFmtId="37" fontId="11" fillId="3" borderId="22" xfId="0" applyNumberFormat="1" applyFont="1" applyFill="1" applyBorder="1"/>
    <xf numFmtId="37" fontId="12" fillId="0" borderId="4" xfId="0" applyNumberFormat="1" applyFont="1" applyFill="1" applyBorder="1"/>
    <xf numFmtId="37" fontId="12" fillId="0" borderId="23" xfId="0" applyNumberFormat="1" applyFont="1" applyFill="1" applyBorder="1"/>
    <xf numFmtId="37" fontId="12" fillId="0" borderId="24" xfId="0" applyNumberFormat="1" applyFont="1" applyFill="1" applyBorder="1"/>
    <xf numFmtId="39" fontId="0" fillId="0" borderId="24" xfId="0" applyNumberFormat="1" applyBorder="1"/>
    <xf numFmtId="37" fontId="13" fillId="3" borderId="22" xfId="0" applyNumberFormat="1" applyFont="1" applyFill="1" applyBorder="1"/>
    <xf numFmtId="37" fontId="14" fillId="0" borderId="4" xfId="0" applyNumberFormat="1" applyFont="1" applyFill="1" applyBorder="1"/>
    <xf numFmtId="37" fontId="14" fillId="0" borderId="23" xfId="0" applyNumberFormat="1" applyFont="1" applyFill="1" applyBorder="1"/>
    <xf numFmtId="37" fontId="14" fillId="0" borderId="24" xfId="0" applyNumberFormat="1" applyFont="1" applyFill="1" applyBorder="1"/>
    <xf numFmtId="39" fontId="5" fillId="0" borderId="24" xfId="0" applyNumberFormat="1" applyFont="1" applyBorder="1"/>
    <xf numFmtId="37" fontId="11" fillId="3" borderId="25" xfId="0" applyNumberFormat="1" applyFont="1" applyFill="1" applyBorder="1"/>
    <xf numFmtId="37" fontId="12" fillId="0" borderId="26" xfId="0" applyNumberFormat="1" applyFont="1" applyFill="1" applyBorder="1"/>
    <xf numFmtId="37" fontId="12" fillId="0" borderId="27" xfId="0" applyNumberFormat="1" applyFont="1" applyFill="1" applyBorder="1"/>
    <xf numFmtId="37" fontId="12" fillId="0" borderId="28" xfId="0" applyNumberFormat="1" applyFont="1" applyFill="1" applyBorder="1"/>
    <xf numFmtId="171" fontId="0" fillId="0" borderId="0" xfId="0" applyNumberFormat="1"/>
    <xf numFmtId="171" fontId="0" fillId="2" borderId="0" xfId="0" applyNumberFormat="1" applyFill="1"/>
    <xf numFmtId="168" fontId="0" fillId="0" borderId="0" xfId="0" applyNumberFormat="1"/>
    <xf numFmtId="168" fontId="0" fillId="2" borderId="0" xfId="0" applyNumberFormat="1" applyFill="1"/>
    <xf numFmtId="167" fontId="0" fillId="0" borderId="0" xfId="0" applyNumberFormat="1"/>
    <xf numFmtId="2" fontId="0" fillId="0" borderId="0" xfId="0" applyNumberFormat="1"/>
    <xf numFmtId="2" fontId="0" fillId="2" borderId="0" xfId="0" applyNumberFormat="1" applyFill="1"/>
    <xf numFmtId="39" fontId="12" fillId="0" borderId="19" xfId="0" applyNumberFormat="1" applyFont="1" applyBorder="1" applyAlignment="1">
      <alignment horizontal="center" vertical="center"/>
    </xf>
    <xf numFmtId="39" fontId="12" fillId="0" borderId="4" xfId="0" applyNumberFormat="1" applyFont="1" applyBorder="1" applyAlignment="1">
      <alignment horizontal="center" vertical="center"/>
    </xf>
    <xf numFmtId="39" fontId="12" fillId="0" borderId="20" xfId="0" applyNumberFormat="1" applyFont="1" applyBorder="1" applyAlignment="1">
      <alignment horizontal="center" vertical="center"/>
    </xf>
    <xf numFmtId="39" fontId="12" fillId="0" borderId="23" xfId="0" applyNumberFormat="1" applyFont="1" applyBorder="1" applyAlignment="1">
      <alignment horizontal="center" vertical="center"/>
    </xf>
    <xf numFmtId="165" fontId="10" fillId="0" borderId="18" xfId="0" applyFont="1" applyBorder="1" applyAlignment="1">
      <alignment horizontal="center"/>
    </xf>
    <xf numFmtId="165" fontId="10" fillId="0" borderId="19" xfId="0" applyFont="1" applyBorder="1" applyAlignment="1">
      <alignment horizontal="center"/>
    </xf>
    <xf numFmtId="165" fontId="10" fillId="0" borderId="20" xfId="0" applyFont="1" applyBorder="1" applyAlignment="1">
      <alignment horizontal="center"/>
    </xf>
    <xf numFmtId="165" fontId="10" fillId="0" borderId="21" xfId="0" applyFont="1" applyBorder="1" applyAlignment="1">
      <alignment horizontal="center"/>
    </xf>
    <xf numFmtId="39" fontId="11" fillId="3" borderId="18" xfId="0" applyNumberFormat="1" applyFont="1" applyFill="1" applyBorder="1" applyAlignment="1">
      <alignment horizontal="center" vertical="center"/>
    </xf>
    <xf numFmtId="39" fontId="11" fillId="3" borderId="22" xfId="0" applyNumberFormat="1" applyFont="1" applyFill="1" applyBorder="1" applyAlignment="1">
      <alignment horizontal="center" vertical="center"/>
    </xf>
  </cellXfs>
  <cellStyles count="12">
    <cellStyle name="Comma" xfId="1" builtinId="3"/>
    <cellStyle name="Excel Built-in Normal" xfId="7"/>
    <cellStyle name="Heading" xfId="8"/>
    <cellStyle name="Heading1" xfId="9"/>
    <cellStyle name="Normal" xfId="0" builtinId="0"/>
    <cellStyle name="Normal 2" xfId="3"/>
    <cellStyle name="Normal 2 2" xfId="6"/>
    <cellStyle name="Normal 3" xfId="4"/>
    <cellStyle name="Percent" xfId="2" builtinId="5"/>
    <cellStyle name="Porcentagem 2" xfId="5"/>
    <cellStyle name="Result" xfId="10"/>
    <cellStyle name="Result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POA!$A$29</c:f>
              <c:strCache>
                <c:ptCount val="1"/>
                <c:pt idx="0">
                  <c:v>TOTAL BID</c:v>
                </c:pt>
              </c:strCache>
            </c:strRef>
          </c:tx>
          <c:invertIfNegative val="0"/>
          <c:cat>
            <c:strRef>
              <c:f>POA!$B$28:$F$28</c:f>
              <c:strCache>
                <c:ptCount val="5"/>
                <c:pt idx="0">
                  <c:v>ANO1</c:v>
                </c:pt>
                <c:pt idx="1">
                  <c:v>ANO2</c:v>
                </c:pt>
                <c:pt idx="2">
                  <c:v>ANO3</c:v>
                </c:pt>
                <c:pt idx="3">
                  <c:v>ANO4</c:v>
                </c:pt>
                <c:pt idx="4">
                  <c:v>ANO5</c:v>
                </c:pt>
              </c:strCache>
            </c:strRef>
          </c:cat>
          <c:val>
            <c:numRef>
              <c:f>POA!$B$29:$F$29</c:f>
              <c:numCache>
                <c:formatCode>#,##0_);\(#,##0\)</c:formatCode>
                <c:ptCount val="5"/>
                <c:pt idx="0">
                  <c:v>6805500</c:v>
                </c:pt>
                <c:pt idx="1">
                  <c:v>6335125</c:v>
                </c:pt>
                <c:pt idx="2">
                  <c:v>6313000</c:v>
                </c:pt>
                <c:pt idx="3">
                  <c:v>3724500</c:v>
                </c:pt>
                <c:pt idx="4">
                  <c:v>1821875</c:v>
                </c:pt>
              </c:numCache>
            </c:numRef>
          </c:val>
        </c:ser>
        <c:ser>
          <c:idx val="1"/>
          <c:order val="1"/>
          <c:tx>
            <c:strRef>
              <c:f>POA!$A$30</c:f>
              <c:strCache>
                <c:ptCount val="1"/>
                <c:pt idx="0">
                  <c:v>TOTAL APORTE LOCAL</c:v>
                </c:pt>
              </c:strCache>
            </c:strRef>
          </c:tx>
          <c:invertIfNegative val="0"/>
          <c:cat>
            <c:strRef>
              <c:f>POA!$B$28:$F$28</c:f>
              <c:strCache>
                <c:ptCount val="5"/>
                <c:pt idx="0">
                  <c:v>ANO1</c:v>
                </c:pt>
                <c:pt idx="1">
                  <c:v>ANO2</c:v>
                </c:pt>
                <c:pt idx="2">
                  <c:v>ANO3</c:v>
                </c:pt>
                <c:pt idx="3">
                  <c:v>ANO4</c:v>
                </c:pt>
                <c:pt idx="4">
                  <c:v>ANO5</c:v>
                </c:pt>
              </c:strCache>
            </c:strRef>
          </c:cat>
          <c:val>
            <c:numRef>
              <c:f>POA!$B$30:$F$30</c:f>
              <c:numCache>
                <c:formatCode>#,##0_);\(#,##0\)</c:formatCode>
                <c:ptCount val="5"/>
                <c:pt idx="0">
                  <c:v>1919500</c:v>
                </c:pt>
                <c:pt idx="1">
                  <c:v>4402375</c:v>
                </c:pt>
                <c:pt idx="2">
                  <c:v>7387000</c:v>
                </c:pt>
                <c:pt idx="3">
                  <c:v>5825500</c:v>
                </c:pt>
                <c:pt idx="4">
                  <c:v>5465625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8478464"/>
        <c:axId val="218480000"/>
      </c:barChart>
      <c:catAx>
        <c:axId val="218478464"/>
        <c:scaling>
          <c:orientation val="minMax"/>
        </c:scaling>
        <c:delete val="0"/>
        <c:axPos val="b"/>
        <c:majorTickMark val="out"/>
        <c:minorTickMark val="none"/>
        <c:tickLblPos val="nextTo"/>
        <c:crossAx val="218480000"/>
        <c:crosses val="autoZero"/>
        <c:auto val="1"/>
        <c:lblAlgn val="ctr"/>
        <c:lblOffset val="100"/>
        <c:noMultiLvlLbl val="0"/>
      </c:catAx>
      <c:valAx>
        <c:axId val="218480000"/>
        <c:scaling>
          <c:orientation val="minMax"/>
        </c:scaling>
        <c:delete val="0"/>
        <c:axPos val="l"/>
        <c:majorGridlines/>
        <c:numFmt formatCode="#,##0_);\(#,##0\)" sourceLinked="1"/>
        <c:majorTickMark val="out"/>
        <c:minorTickMark val="none"/>
        <c:tickLblPos val="nextTo"/>
        <c:crossAx val="2184784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5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1560" cy="6294120"/>
    <xdr:graphicFrame macro="">
      <xdr:nvGraphicFramePr>
        <xdr:cNvPr id="2" name="Gráfico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zoomScale="90" zoomScaleNormal="90" workbookViewId="0">
      <selection activeCell="D33" sqref="D33"/>
    </sheetView>
  </sheetViews>
  <sheetFormatPr defaultRowHeight="15.75" x14ac:dyDescent="0.25"/>
  <cols>
    <col min="1" max="1" width="62.88671875" customWidth="1"/>
    <col min="2" max="4" width="15" customWidth="1"/>
    <col min="5" max="5" width="16.88671875" bestFit="1" customWidth="1"/>
    <col min="6" max="6" width="13.6640625" customWidth="1"/>
  </cols>
  <sheetData>
    <row r="1" spans="1:6" x14ac:dyDescent="0.25">
      <c r="A1" s="2" t="s">
        <v>21</v>
      </c>
      <c r="B1" s="6"/>
      <c r="C1" s="6"/>
      <c r="D1" s="6"/>
      <c r="E1" s="3"/>
      <c r="F1" s="6"/>
    </row>
    <row r="2" spans="1:6" x14ac:dyDescent="0.25">
      <c r="A2" s="4" t="s">
        <v>18</v>
      </c>
      <c r="B2" s="7"/>
      <c r="C2" s="7"/>
      <c r="D2" s="7"/>
      <c r="E2" s="1"/>
      <c r="F2" s="7"/>
    </row>
    <row r="3" spans="1:6" x14ac:dyDescent="0.25">
      <c r="A3" s="5" t="s">
        <v>4</v>
      </c>
      <c r="B3" s="8"/>
      <c r="C3" s="8"/>
      <c r="D3" s="8"/>
      <c r="E3" s="1"/>
      <c r="F3" s="8"/>
    </row>
    <row r="4" spans="1:6" ht="16.5" thickBot="1" x14ac:dyDescent="0.3">
      <c r="A4" s="5" t="s">
        <v>0</v>
      </c>
      <c r="B4" s="8"/>
      <c r="C4" s="8"/>
      <c r="D4" s="8"/>
      <c r="E4" s="1"/>
      <c r="F4" s="8"/>
    </row>
    <row r="5" spans="1:6" s="9" customFormat="1" x14ac:dyDescent="0.25">
      <c r="A5" s="34" t="s">
        <v>17</v>
      </c>
      <c r="B5" s="35"/>
      <c r="C5" s="35"/>
      <c r="D5" s="35"/>
      <c r="E5" s="35"/>
      <c r="F5" s="36"/>
    </row>
    <row r="6" spans="1:6" s="9" customFormat="1" x14ac:dyDescent="0.25">
      <c r="A6" s="37" t="s">
        <v>1</v>
      </c>
      <c r="B6" s="38" t="s">
        <v>24</v>
      </c>
      <c r="C6" s="38" t="s">
        <v>25</v>
      </c>
      <c r="D6" s="38" t="s">
        <v>26</v>
      </c>
      <c r="E6" s="38" t="s">
        <v>36</v>
      </c>
      <c r="F6" s="39" t="s">
        <v>27</v>
      </c>
    </row>
    <row r="7" spans="1:6" x14ac:dyDescent="0.25">
      <c r="A7" s="40"/>
      <c r="B7" s="10"/>
      <c r="C7" s="10"/>
      <c r="D7" s="10"/>
      <c r="E7" s="10"/>
      <c r="F7" s="41"/>
    </row>
    <row r="8" spans="1:6" s="9" customFormat="1" x14ac:dyDescent="0.25">
      <c r="A8" s="42" t="s">
        <v>5</v>
      </c>
      <c r="B8" s="11">
        <f>B9+B10+B11</f>
        <v>5000000</v>
      </c>
      <c r="C8" s="11">
        <v>3231750</v>
      </c>
      <c r="D8" s="43">
        <f>(C9+C10+C11)/B8</f>
        <v>0.64634999999999998</v>
      </c>
      <c r="E8" s="11">
        <v>1768250</v>
      </c>
      <c r="F8" s="44">
        <f t="shared" ref="F8:F22" si="0">1-D8</f>
        <v>0.35365000000000002</v>
      </c>
    </row>
    <row r="9" spans="1:6" x14ac:dyDescent="0.25">
      <c r="A9" s="5" t="s">
        <v>6</v>
      </c>
      <c r="B9" s="12">
        <v>1250000</v>
      </c>
      <c r="C9" s="12">
        <v>750000</v>
      </c>
      <c r="D9" s="45">
        <f>C9/B9</f>
        <v>0.6</v>
      </c>
      <c r="E9" s="12">
        <v>500000</v>
      </c>
      <c r="F9" s="46">
        <f t="shared" si="0"/>
        <v>0.4</v>
      </c>
    </row>
    <row r="10" spans="1:6" x14ac:dyDescent="0.25">
      <c r="A10" s="5" t="s">
        <v>7</v>
      </c>
      <c r="B10" s="12">
        <v>3625000</v>
      </c>
      <c r="C10" s="12">
        <v>2432500</v>
      </c>
      <c r="D10" s="45">
        <f t="shared" ref="D10:D22" si="1">C10/B10</f>
        <v>0.67103448275862065</v>
      </c>
      <c r="E10" s="12">
        <v>1192500</v>
      </c>
      <c r="F10" s="46">
        <f t="shared" si="0"/>
        <v>0.32896551724137935</v>
      </c>
    </row>
    <row r="11" spans="1:6" x14ac:dyDescent="0.25">
      <c r="A11" s="5" t="s">
        <v>8</v>
      </c>
      <c r="B11" s="12">
        <v>125000</v>
      </c>
      <c r="C11" s="12">
        <v>49250</v>
      </c>
      <c r="D11" s="45">
        <f t="shared" si="1"/>
        <v>0.39400000000000002</v>
      </c>
      <c r="E11" s="12">
        <v>75750</v>
      </c>
      <c r="F11" s="46">
        <f t="shared" si="0"/>
        <v>0.60599999999999998</v>
      </c>
    </row>
    <row r="12" spans="1:6" s="9" customFormat="1" x14ac:dyDescent="0.25">
      <c r="A12" s="47" t="s">
        <v>9</v>
      </c>
      <c r="B12" s="11">
        <f>B13+B14+B15+B16</f>
        <v>40500000</v>
      </c>
      <c r="C12" s="11">
        <v>20172500</v>
      </c>
      <c r="D12" s="43">
        <f>(C13+C14+C15+C16)/B12</f>
        <v>0.49808641975308643</v>
      </c>
      <c r="E12" s="11">
        <v>20327500</v>
      </c>
      <c r="F12" s="44">
        <f t="shared" si="0"/>
        <v>0.50191358024691357</v>
      </c>
    </row>
    <row r="13" spans="1:6" x14ac:dyDescent="0.25">
      <c r="A13" s="5" t="s">
        <v>15</v>
      </c>
      <c r="B13" s="12">
        <v>15150000</v>
      </c>
      <c r="C13" s="12">
        <v>7195000</v>
      </c>
      <c r="D13" s="45">
        <f t="shared" si="1"/>
        <v>0.47491749174917491</v>
      </c>
      <c r="E13" s="12">
        <v>7955000</v>
      </c>
      <c r="F13" s="46">
        <f t="shared" si="0"/>
        <v>0.52508250825082503</v>
      </c>
    </row>
    <row r="14" spans="1:6" x14ac:dyDescent="0.25">
      <c r="A14" s="5" t="s">
        <v>16</v>
      </c>
      <c r="B14" s="12">
        <v>23225000</v>
      </c>
      <c r="C14" s="12">
        <v>11617875</v>
      </c>
      <c r="D14" s="45">
        <f t="shared" si="1"/>
        <v>0.50023143164693218</v>
      </c>
      <c r="E14" s="12">
        <v>11607125</v>
      </c>
      <c r="F14" s="46">
        <f t="shared" si="0"/>
        <v>0.49976856835306782</v>
      </c>
    </row>
    <row r="15" spans="1:6" x14ac:dyDescent="0.25">
      <c r="A15" s="5" t="s">
        <v>10</v>
      </c>
      <c r="B15" s="12">
        <v>625000</v>
      </c>
      <c r="C15" s="12">
        <v>354000</v>
      </c>
      <c r="D15" s="45">
        <f t="shared" si="1"/>
        <v>0.56640000000000001</v>
      </c>
      <c r="E15" s="12">
        <v>271000</v>
      </c>
      <c r="F15" s="46">
        <f t="shared" si="0"/>
        <v>0.43359999999999999</v>
      </c>
    </row>
    <row r="16" spans="1:6" x14ac:dyDescent="0.25">
      <c r="A16" s="5" t="s">
        <v>19</v>
      </c>
      <c r="B16" s="12">
        <v>1500000</v>
      </c>
      <c r="C16" s="12">
        <v>1005625</v>
      </c>
      <c r="D16" s="45">
        <f t="shared" si="1"/>
        <v>0.67041666666666666</v>
      </c>
      <c r="E16" s="12">
        <v>494375</v>
      </c>
      <c r="F16" s="46">
        <f t="shared" si="0"/>
        <v>0.32958333333333334</v>
      </c>
    </row>
    <row r="17" spans="1:6" s="9" customFormat="1" x14ac:dyDescent="0.25">
      <c r="A17" s="47" t="s">
        <v>11</v>
      </c>
      <c r="B17" s="11">
        <f>B18+B19</f>
        <v>3625000</v>
      </c>
      <c r="C17" s="11">
        <v>1557500</v>
      </c>
      <c r="D17" s="43">
        <f>(C18+C19)/B17</f>
        <v>0.42965517241379308</v>
      </c>
      <c r="E17" s="11">
        <v>2067500</v>
      </c>
      <c r="F17" s="44">
        <f t="shared" si="0"/>
        <v>0.57034482758620686</v>
      </c>
    </row>
    <row r="18" spans="1:6" x14ac:dyDescent="0.25">
      <c r="A18" s="5" t="s">
        <v>22</v>
      </c>
      <c r="B18" s="12">
        <v>1750000</v>
      </c>
      <c r="C18" s="12">
        <v>695000</v>
      </c>
      <c r="D18" s="45">
        <f t="shared" si="1"/>
        <v>0.39714285714285713</v>
      </c>
      <c r="E18" s="12">
        <v>1055000</v>
      </c>
      <c r="F18" s="46">
        <f t="shared" si="0"/>
        <v>0.60285714285714287</v>
      </c>
    </row>
    <row r="19" spans="1:6" x14ac:dyDescent="0.25">
      <c r="A19" s="5" t="s">
        <v>23</v>
      </c>
      <c r="B19" s="12">
        <v>1875000</v>
      </c>
      <c r="C19" s="12">
        <v>862500</v>
      </c>
      <c r="D19" s="45">
        <f t="shared" si="1"/>
        <v>0.46</v>
      </c>
      <c r="E19" s="12">
        <v>1012500</v>
      </c>
      <c r="F19" s="46">
        <f t="shared" si="0"/>
        <v>0.54</v>
      </c>
    </row>
    <row r="20" spans="1:6" s="9" customFormat="1" x14ac:dyDescent="0.25">
      <c r="A20" s="47" t="s">
        <v>12</v>
      </c>
      <c r="B20" s="11">
        <f>B21+B22</f>
        <v>875000</v>
      </c>
      <c r="C20" s="11">
        <v>38250</v>
      </c>
      <c r="D20" s="43">
        <f>(C21+C22)/B20</f>
        <v>4.3714285714285712E-2</v>
      </c>
      <c r="E20" s="11">
        <v>836750</v>
      </c>
      <c r="F20" s="44">
        <f t="shared" si="0"/>
        <v>0.95628571428571429</v>
      </c>
    </row>
    <row r="21" spans="1:6" x14ac:dyDescent="0.25">
      <c r="A21" s="5" t="s">
        <v>20</v>
      </c>
      <c r="B21" s="12">
        <v>750000</v>
      </c>
      <c r="C21" s="12">
        <v>0</v>
      </c>
      <c r="D21" s="45">
        <f t="shared" si="1"/>
        <v>0</v>
      </c>
      <c r="E21" s="12">
        <v>750000</v>
      </c>
      <c r="F21" s="46">
        <f t="shared" si="0"/>
        <v>1</v>
      </c>
    </row>
    <row r="22" spans="1:6" x14ac:dyDescent="0.25">
      <c r="A22" s="5" t="s">
        <v>13</v>
      </c>
      <c r="B22" s="12">
        <v>125000</v>
      </c>
      <c r="C22" s="12">
        <v>38250</v>
      </c>
      <c r="D22" s="45">
        <f t="shared" si="1"/>
        <v>0.30599999999999999</v>
      </c>
      <c r="E22" s="12">
        <v>86750</v>
      </c>
      <c r="F22" s="46">
        <f t="shared" si="0"/>
        <v>0.69399999999999995</v>
      </c>
    </row>
    <row r="23" spans="1:6" s="9" customFormat="1" x14ac:dyDescent="0.25">
      <c r="A23" s="48" t="s">
        <v>2</v>
      </c>
      <c r="B23" s="49">
        <f>B20+B17+B12+B8</f>
        <v>50000000</v>
      </c>
      <c r="C23" s="49">
        <v>25000000</v>
      </c>
      <c r="D23" s="38"/>
      <c r="E23" s="49">
        <v>25000000</v>
      </c>
      <c r="F23" s="39"/>
    </row>
    <row r="24" spans="1:6" s="9" customFormat="1" x14ac:dyDescent="0.25">
      <c r="A24" s="48" t="s">
        <v>3</v>
      </c>
      <c r="B24" s="13"/>
      <c r="C24" s="13"/>
      <c r="D24" s="13"/>
      <c r="E24" s="11"/>
      <c r="F24" s="50"/>
    </row>
    <row r="25" spans="1:6" s="9" customFormat="1" x14ac:dyDescent="0.25">
      <c r="A25" s="51" t="s">
        <v>14</v>
      </c>
      <c r="B25" s="52"/>
      <c r="C25" s="52"/>
      <c r="D25" s="52"/>
      <c r="E25" s="53"/>
      <c r="F25" s="54"/>
    </row>
    <row r="26" spans="1:6" ht="16.5" thickBot="1" x14ac:dyDescent="0.3">
      <c r="A26" s="55"/>
      <c r="B26" s="56"/>
      <c r="C26" s="56"/>
      <c r="D26" s="56"/>
      <c r="E26" s="57"/>
      <c r="F26" s="58"/>
    </row>
  </sheetData>
  <pageMargins left="0.70866141732283472" right="0.70866141732283472" top="0.74803149606299213" bottom="0.74803149606299213" header="0.31496062992125984" footer="0.31496062992125984"/>
  <pageSetup paperSize="9" scale="7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zoomScale="80" zoomScaleNormal="80" workbookViewId="0">
      <selection activeCell="G31" sqref="G31"/>
    </sheetView>
  </sheetViews>
  <sheetFormatPr defaultRowHeight="15.75" x14ac:dyDescent="0.25"/>
  <cols>
    <col min="1" max="1" width="62.5546875" bestFit="1" customWidth="1"/>
    <col min="2" max="4" width="15" customWidth="1"/>
    <col min="5" max="5" width="17" bestFit="1" customWidth="1"/>
    <col min="6" max="6" width="13.6640625" customWidth="1"/>
    <col min="7" max="7" width="13.5546875" bestFit="1" customWidth="1"/>
    <col min="8" max="8" width="11.21875" bestFit="1" customWidth="1"/>
  </cols>
  <sheetData>
    <row r="1" spans="1:7" x14ac:dyDescent="0.25">
      <c r="A1" s="2" t="s">
        <v>21</v>
      </c>
      <c r="B1" s="6"/>
      <c r="C1" s="6"/>
      <c r="D1" s="6"/>
      <c r="E1" s="3"/>
      <c r="F1" s="6"/>
    </row>
    <row r="2" spans="1:7" x14ac:dyDescent="0.25">
      <c r="A2" s="4" t="s">
        <v>18</v>
      </c>
      <c r="B2" s="7"/>
      <c r="C2" s="7"/>
      <c r="D2" s="7"/>
      <c r="E2" s="1"/>
      <c r="F2" s="7"/>
    </row>
    <row r="3" spans="1:7" x14ac:dyDescent="0.25">
      <c r="A3" s="5" t="s">
        <v>4</v>
      </c>
      <c r="B3" s="8"/>
      <c r="C3" s="8"/>
      <c r="D3" s="8"/>
      <c r="E3" s="1"/>
      <c r="F3" s="8"/>
    </row>
    <row r="4" spans="1:7" x14ac:dyDescent="0.25">
      <c r="A4" s="5" t="s">
        <v>0</v>
      </c>
      <c r="B4" s="8"/>
      <c r="C4" s="8"/>
      <c r="D4" s="8"/>
      <c r="E4" s="1"/>
      <c r="F4" s="8"/>
    </row>
    <row r="5" spans="1:7" s="9" customFormat="1" x14ac:dyDescent="0.25">
      <c r="A5" s="21" t="s">
        <v>17</v>
      </c>
      <c r="B5" s="21">
        <v>0.15</v>
      </c>
      <c r="C5" s="21">
        <v>0.2</v>
      </c>
      <c r="D5" s="21">
        <v>0.3</v>
      </c>
      <c r="E5" s="21">
        <v>0.2</v>
      </c>
      <c r="F5" s="25">
        <v>0.15</v>
      </c>
      <c r="G5" s="21"/>
    </row>
    <row r="6" spans="1:7" s="9" customFormat="1" x14ac:dyDescent="0.25">
      <c r="A6" s="21" t="s">
        <v>1</v>
      </c>
      <c r="B6" s="21" t="s">
        <v>28</v>
      </c>
      <c r="C6" s="21" t="s">
        <v>29</v>
      </c>
      <c r="D6" s="21" t="s">
        <v>30</v>
      </c>
      <c r="E6" s="21" t="s">
        <v>31</v>
      </c>
      <c r="F6" s="21" t="s">
        <v>32</v>
      </c>
      <c r="G6" s="21" t="s">
        <v>24</v>
      </c>
    </row>
    <row r="7" spans="1:7" x14ac:dyDescent="0.25">
      <c r="A7" s="26"/>
      <c r="B7" s="27"/>
      <c r="C7" s="27"/>
      <c r="D7" s="27"/>
      <c r="E7" s="27"/>
      <c r="F7" s="16"/>
      <c r="G7" s="27"/>
    </row>
    <row r="8" spans="1:7" s="9" customFormat="1" x14ac:dyDescent="0.25">
      <c r="A8" s="28" t="s">
        <v>5</v>
      </c>
      <c r="B8" s="17">
        <f t="shared" ref="B8:G8" si="0">B9+B10+B11</f>
        <v>1037500</v>
      </c>
      <c r="C8" s="17">
        <f t="shared" si="0"/>
        <v>1068750</v>
      </c>
      <c r="D8" s="17">
        <f t="shared" si="0"/>
        <v>1068750</v>
      </c>
      <c r="E8" s="17">
        <f t="shared" si="0"/>
        <v>1068750</v>
      </c>
      <c r="F8" s="17">
        <f t="shared" si="0"/>
        <v>756250</v>
      </c>
      <c r="G8" s="17">
        <f t="shared" si="0"/>
        <v>5000000</v>
      </c>
    </row>
    <row r="9" spans="1:7" x14ac:dyDescent="0.25">
      <c r="A9" s="29" t="s">
        <v>6</v>
      </c>
      <c r="B9" s="30">
        <f>G9/4</f>
        <v>312500</v>
      </c>
      <c r="C9" s="30">
        <f t="shared" ref="C9:E10" si="1">B9</f>
        <v>312500</v>
      </c>
      <c r="D9" s="30">
        <f t="shared" si="1"/>
        <v>312500</v>
      </c>
      <c r="E9" s="30">
        <f t="shared" si="1"/>
        <v>312500</v>
      </c>
      <c r="F9" s="30">
        <v>0</v>
      </c>
      <c r="G9" s="30">
        <v>1250000</v>
      </c>
    </row>
    <row r="10" spans="1:7" x14ac:dyDescent="0.25">
      <c r="A10" s="29" t="s">
        <v>7</v>
      </c>
      <c r="B10" s="30">
        <f>G10/5</f>
        <v>725000</v>
      </c>
      <c r="C10" s="30">
        <f t="shared" si="1"/>
        <v>725000</v>
      </c>
      <c r="D10" s="30">
        <f t="shared" si="1"/>
        <v>725000</v>
      </c>
      <c r="E10" s="30">
        <f t="shared" si="1"/>
        <v>725000</v>
      </c>
      <c r="F10" s="30">
        <f>E10</f>
        <v>725000</v>
      </c>
      <c r="G10" s="30">
        <v>3625000</v>
      </c>
    </row>
    <row r="11" spans="1:7" x14ac:dyDescent="0.25">
      <c r="A11" s="29" t="s">
        <v>8</v>
      </c>
      <c r="B11" s="30">
        <v>0</v>
      </c>
      <c r="C11" s="30">
        <f>$G$11/4</f>
        <v>31250</v>
      </c>
      <c r="D11" s="30">
        <f>$G$11/4</f>
        <v>31250</v>
      </c>
      <c r="E11" s="30">
        <f>$G$11/4</f>
        <v>31250</v>
      </c>
      <c r="F11" s="30">
        <f>$G$11/4</f>
        <v>31250</v>
      </c>
      <c r="G11" s="30">
        <v>125000</v>
      </c>
    </row>
    <row r="12" spans="1:7" s="9" customFormat="1" x14ac:dyDescent="0.25">
      <c r="A12" s="31" t="s">
        <v>9</v>
      </c>
      <c r="B12" s="17">
        <f t="shared" ref="B12:G12" si="2">B13+B14+B15+B16</f>
        <v>6150000</v>
      </c>
      <c r="C12" s="17">
        <f t="shared" si="2"/>
        <v>8100000</v>
      </c>
      <c r="D12" s="17">
        <f t="shared" si="2"/>
        <v>12000000</v>
      </c>
      <c r="E12" s="17">
        <f t="shared" si="2"/>
        <v>8100000</v>
      </c>
      <c r="F12" s="17">
        <f t="shared" si="2"/>
        <v>6150000</v>
      </c>
      <c r="G12" s="17">
        <f t="shared" si="2"/>
        <v>40500000</v>
      </c>
    </row>
    <row r="13" spans="1:7" x14ac:dyDescent="0.25">
      <c r="A13" s="29" t="s">
        <v>15</v>
      </c>
      <c r="B13" s="30">
        <f>$G$13*B5</f>
        <v>2272500</v>
      </c>
      <c r="C13" s="30">
        <f>$G$13*C5</f>
        <v>3030000</v>
      </c>
      <c r="D13" s="30">
        <f>$G$13*D5</f>
        <v>4545000</v>
      </c>
      <c r="E13" s="30">
        <f>$G$13*E5</f>
        <v>3030000</v>
      </c>
      <c r="F13" s="30">
        <f>$G$13*F5</f>
        <v>2272500</v>
      </c>
      <c r="G13" s="30">
        <v>15150000</v>
      </c>
    </row>
    <row r="14" spans="1:7" x14ac:dyDescent="0.25">
      <c r="A14" s="29" t="s">
        <v>16</v>
      </c>
      <c r="B14" s="30">
        <f>$G$14*B5</f>
        <v>3483750</v>
      </c>
      <c r="C14" s="30">
        <f>$G$14*C5</f>
        <v>4645000</v>
      </c>
      <c r="D14" s="30">
        <f>$G$14*D5</f>
        <v>6967500</v>
      </c>
      <c r="E14" s="30">
        <f>$G$14*E5</f>
        <v>4645000</v>
      </c>
      <c r="F14" s="30">
        <f>$G$14*F5</f>
        <v>3483750</v>
      </c>
      <c r="G14" s="30">
        <v>23225000</v>
      </c>
    </row>
    <row r="15" spans="1:7" x14ac:dyDescent="0.25">
      <c r="A15" s="29" t="s">
        <v>10</v>
      </c>
      <c r="B15" s="30">
        <f>$G$15*B5</f>
        <v>93750</v>
      </c>
      <c r="C15" s="30">
        <f>$G$15*C5</f>
        <v>125000</v>
      </c>
      <c r="D15" s="30">
        <f>$G$15*D5</f>
        <v>187500</v>
      </c>
      <c r="E15" s="30">
        <f>$G$15*E5</f>
        <v>125000</v>
      </c>
      <c r="F15" s="30">
        <f>$G$15*F5</f>
        <v>93750</v>
      </c>
      <c r="G15" s="30">
        <v>625000</v>
      </c>
    </row>
    <row r="16" spans="1:7" x14ac:dyDescent="0.25">
      <c r="A16" s="29" t="s">
        <v>19</v>
      </c>
      <c r="B16" s="30">
        <f>$G$16*0.2</f>
        <v>300000</v>
      </c>
      <c r="C16" s="30">
        <f>$G$16*0.2</f>
        <v>300000</v>
      </c>
      <c r="D16" s="30">
        <f>$G$16*0.2</f>
        <v>300000</v>
      </c>
      <c r="E16" s="30">
        <f>$G$16*0.2</f>
        <v>300000</v>
      </c>
      <c r="F16" s="30">
        <f>$G$16*0.2</f>
        <v>300000</v>
      </c>
      <c r="G16" s="30">
        <v>1500000</v>
      </c>
    </row>
    <row r="17" spans="1:7" s="9" customFormat="1" x14ac:dyDescent="0.25">
      <c r="A17" s="31" t="s">
        <v>11</v>
      </c>
      <c r="B17" s="17">
        <f t="shared" ref="B17:G17" si="3">B18+B19</f>
        <v>1287500</v>
      </c>
      <c r="C17" s="17">
        <f t="shared" si="3"/>
        <v>1287500</v>
      </c>
      <c r="D17" s="17">
        <f t="shared" si="3"/>
        <v>350000</v>
      </c>
      <c r="E17" s="17">
        <f t="shared" si="3"/>
        <v>350000</v>
      </c>
      <c r="F17" s="17">
        <f t="shared" si="3"/>
        <v>350000</v>
      </c>
      <c r="G17" s="17">
        <f t="shared" si="3"/>
        <v>3625000</v>
      </c>
    </row>
    <row r="18" spans="1:7" x14ac:dyDescent="0.25">
      <c r="A18" s="29" t="s">
        <v>22</v>
      </c>
      <c r="B18" s="30">
        <f>$G$18/5</f>
        <v>350000</v>
      </c>
      <c r="C18" s="30">
        <f>$G$18/5</f>
        <v>350000</v>
      </c>
      <c r="D18" s="30">
        <f>$G$18/5</f>
        <v>350000</v>
      </c>
      <c r="E18" s="30">
        <f>$G$18/5</f>
        <v>350000</v>
      </c>
      <c r="F18" s="30">
        <f>$G$18/5</f>
        <v>350000</v>
      </c>
      <c r="G18" s="30">
        <v>1750000</v>
      </c>
    </row>
    <row r="19" spans="1:7" x14ac:dyDescent="0.25">
      <c r="A19" s="29" t="s">
        <v>23</v>
      </c>
      <c r="B19" s="30">
        <f>G19/2</f>
        <v>937500</v>
      </c>
      <c r="C19" s="30">
        <f>B19</f>
        <v>937500</v>
      </c>
      <c r="D19" s="30">
        <v>0</v>
      </c>
      <c r="E19" s="30">
        <v>0</v>
      </c>
      <c r="F19" s="30">
        <v>0</v>
      </c>
      <c r="G19" s="30">
        <v>1875000</v>
      </c>
    </row>
    <row r="20" spans="1:7" s="9" customFormat="1" x14ac:dyDescent="0.25">
      <c r="A20" s="31" t="s">
        <v>12</v>
      </c>
      <c r="B20" s="17">
        <f t="shared" ref="B20:G20" si="4">B21+B22</f>
        <v>250000</v>
      </c>
      <c r="C20" s="17">
        <f t="shared" si="4"/>
        <v>281250</v>
      </c>
      <c r="D20" s="17">
        <f t="shared" si="4"/>
        <v>281250</v>
      </c>
      <c r="E20" s="17">
        <f t="shared" si="4"/>
        <v>31250</v>
      </c>
      <c r="F20" s="17">
        <f t="shared" si="4"/>
        <v>31250</v>
      </c>
      <c r="G20" s="17">
        <f t="shared" si="4"/>
        <v>875000</v>
      </c>
    </row>
    <row r="21" spans="1:7" x14ac:dyDescent="0.25">
      <c r="A21" s="29" t="s">
        <v>20</v>
      </c>
      <c r="B21" s="30">
        <f>$G$21/3</f>
        <v>250000</v>
      </c>
      <c r="C21" s="30">
        <f>$G$21/3</f>
        <v>250000</v>
      </c>
      <c r="D21" s="30">
        <f>$G$21/3</f>
        <v>250000</v>
      </c>
      <c r="E21" s="30">
        <v>0</v>
      </c>
      <c r="F21" s="30">
        <v>0</v>
      </c>
      <c r="G21" s="30">
        <v>750000</v>
      </c>
    </row>
    <row r="22" spans="1:7" x14ac:dyDescent="0.25">
      <c r="A22" s="29" t="s">
        <v>13</v>
      </c>
      <c r="B22" s="30">
        <v>0</v>
      </c>
      <c r="C22" s="30">
        <f>$G$22/4</f>
        <v>31250</v>
      </c>
      <c r="D22" s="30">
        <f>$G$22/4</f>
        <v>31250</v>
      </c>
      <c r="E22" s="30">
        <f>$G$22/4</f>
        <v>31250</v>
      </c>
      <c r="F22" s="30">
        <f>$G$22/4</f>
        <v>31250</v>
      </c>
      <c r="G22" s="30">
        <v>125000</v>
      </c>
    </row>
    <row r="23" spans="1:7" s="9" customFormat="1" x14ac:dyDescent="0.25">
      <c r="A23" s="31" t="s">
        <v>2</v>
      </c>
      <c r="B23" s="17">
        <f t="shared" ref="B23:G23" si="5">B20+B17+B12+B8</f>
        <v>8725000</v>
      </c>
      <c r="C23" s="17">
        <f t="shared" si="5"/>
        <v>10737500</v>
      </c>
      <c r="D23" s="17">
        <f t="shared" si="5"/>
        <v>13700000</v>
      </c>
      <c r="E23" s="17">
        <f t="shared" si="5"/>
        <v>9550000</v>
      </c>
      <c r="F23" s="17">
        <f t="shared" si="5"/>
        <v>7287500</v>
      </c>
      <c r="G23" s="17">
        <f t="shared" si="5"/>
        <v>50000000</v>
      </c>
    </row>
    <row r="24" spans="1:7" s="9" customFormat="1" x14ac:dyDescent="0.25">
      <c r="A24" s="31" t="s">
        <v>3</v>
      </c>
      <c r="B24" s="21"/>
      <c r="C24" s="21"/>
      <c r="D24" s="21"/>
      <c r="E24" s="21"/>
      <c r="F24" s="21"/>
      <c r="G24" s="21"/>
    </row>
    <row r="25" spans="1:7" s="9" customFormat="1" x14ac:dyDescent="0.25">
      <c r="A25" s="31" t="s">
        <v>14</v>
      </c>
      <c r="B25" s="21"/>
      <c r="C25" s="21"/>
      <c r="D25" s="17"/>
      <c r="E25" s="21"/>
      <c r="F25" s="25"/>
      <c r="G25" s="21"/>
    </row>
    <row r="26" spans="1:7" x14ac:dyDescent="0.25">
      <c r="A26" s="1"/>
      <c r="B26" s="10"/>
      <c r="C26" s="10"/>
      <c r="D26" s="10"/>
      <c r="E26" s="12"/>
      <c r="F26" s="10"/>
    </row>
    <row r="27" spans="1:7" x14ac:dyDescent="0.25">
      <c r="A27" s="1"/>
      <c r="B27" s="13"/>
      <c r="C27" s="13"/>
      <c r="D27" s="13"/>
      <c r="E27" s="11"/>
      <c r="F27" s="13"/>
      <c r="G27" s="23"/>
    </row>
    <row r="28" spans="1:7" x14ac:dyDescent="0.25">
      <c r="A28" s="32"/>
      <c r="B28" s="21" t="s">
        <v>28</v>
      </c>
      <c r="C28" s="21" t="s">
        <v>29</v>
      </c>
      <c r="D28" s="21" t="s">
        <v>30</v>
      </c>
      <c r="E28" s="21" t="s">
        <v>31</v>
      </c>
      <c r="F28" s="21" t="s">
        <v>32</v>
      </c>
      <c r="G28" s="33"/>
    </row>
    <row r="29" spans="1:7" x14ac:dyDescent="0.25">
      <c r="A29" s="18" t="s">
        <v>25</v>
      </c>
      <c r="B29" s="17">
        <v>6805500</v>
      </c>
      <c r="C29" s="17">
        <v>6335125</v>
      </c>
      <c r="D29" s="17">
        <v>6313000</v>
      </c>
      <c r="E29" s="17">
        <v>3724500</v>
      </c>
      <c r="F29" s="17">
        <v>1821875</v>
      </c>
      <c r="G29" s="20">
        <f>B29+C29+D29+E29+F29</f>
        <v>25000000</v>
      </c>
    </row>
    <row r="30" spans="1:7" x14ac:dyDescent="0.25">
      <c r="A30" s="18" t="s">
        <v>33</v>
      </c>
      <c r="B30" s="17">
        <v>1919500</v>
      </c>
      <c r="C30" s="17">
        <v>4402375</v>
      </c>
      <c r="D30" s="17">
        <v>7387000</v>
      </c>
      <c r="E30" s="17">
        <v>5825500</v>
      </c>
      <c r="F30" s="17">
        <v>5465625</v>
      </c>
      <c r="G30" s="20">
        <f>SUM(B30:F30)</f>
        <v>25000000</v>
      </c>
    </row>
    <row r="31" spans="1:7" x14ac:dyDescent="0.25">
      <c r="A31" s="18" t="s">
        <v>34</v>
      </c>
      <c r="B31" s="22">
        <f t="shared" ref="B31:G31" si="6">B30+B29</f>
        <v>8725000</v>
      </c>
      <c r="C31" s="22">
        <f t="shared" si="6"/>
        <v>10737500</v>
      </c>
      <c r="D31" s="22">
        <f t="shared" si="6"/>
        <v>13700000</v>
      </c>
      <c r="E31" s="22">
        <f t="shared" si="6"/>
        <v>9550000</v>
      </c>
      <c r="F31" s="22">
        <f t="shared" si="6"/>
        <v>7287500</v>
      </c>
      <c r="G31" s="20">
        <f t="shared" si="6"/>
        <v>50000000</v>
      </c>
    </row>
    <row r="32" spans="1:7" x14ac:dyDescent="0.25">
      <c r="A32" s="15" t="s">
        <v>26</v>
      </c>
      <c r="B32" s="19">
        <f t="shared" ref="B32:F33" si="7">B29/B$23</f>
        <v>0.78</v>
      </c>
      <c r="C32" s="19">
        <f t="shared" si="7"/>
        <v>0.59</v>
      </c>
      <c r="D32" s="19">
        <f t="shared" si="7"/>
        <v>0.46080291970802922</v>
      </c>
      <c r="E32" s="19">
        <f t="shared" si="7"/>
        <v>0.39</v>
      </c>
      <c r="F32" s="19">
        <f t="shared" si="7"/>
        <v>0.25</v>
      </c>
      <c r="G32" s="19"/>
    </row>
    <row r="33" spans="1:7" x14ac:dyDescent="0.25">
      <c r="A33" s="15" t="s">
        <v>27</v>
      </c>
      <c r="B33" s="19">
        <f t="shared" si="7"/>
        <v>0.22</v>
      </c>
      <c r="C33" s="19">
        <f t="shared" si="7"/>
        <v>0.41</v>
      </c>
      <c r="D33" s="19">
        <f t="shared" si="7"/>
        <v>0.53919708029197078</v>
      </c>
      <c r="E33" s="19">
        <f t="shared" si="7"/>
        <v>0.61</v>
      </c>
      <c r="F33" s="19">
        <f t="shared" si="7"/>
        <v>0.75</v>
      </c>
      <c r="G33" s="19"/>
    </row>
    <row r="34" spans="1:7" x14ac:dyDescent="0.25">
      <c r="A34" s="18" t="s">
        <v>35</v>
      </c>
      <c r="B34" s="19">
        <f>B31/$G$31</f>
        <v>0.17449999999999999</v>
      </c>
      <c r="C34" s="19">
        <f>C31/$G$31</f>
        <v>0.21475</v>
      </c>
      <c r="D34" s="19">
        <f>D31/$G$31</f>
        <v>0.27400000000000002</v>
      </c>
      <c r="E34" s="19">
        <f>E31/$G$31</f>
        <v>0.191</v>
      </c>
      <c r="F34" s="19">
        <f>F31/$G$31</f>
        <v>0.14574999999999999</v>
      </c>
      <c r="G34" s="19"/>
    </row>
    <row r="35" spans="1:7" x14ac:dyDescent="0.25">
      <c r="B35" s="24"/>
      <c r="C35" s="23"/>
      <c r="D35" s="23"/>
      <c r="E35" s="23"/>
      <c r="F35" s="23"/>
      <c r="G35" s="23"/>
    </row>
    <row r="37" spans="1:7" x14ac:dyDescent="0.25">
      <c r="B37" s="14"/>
    </row>
    <row r="39" spans="1:7" x14ac:dyDescent="0.25">
      <c r="B39" s="14"/>
    </row>
  </sheetData>
  <pageMargins left="0.51181102362204722" right="0.51181102362204722" top="0.78740157480314965" bottom="0.78740157480314965" header="0.31496062992125984" footer="0.31496062992125984"/>
  <pageSetup paperSize="9" scale="7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A31" zoomScale="90" zoomScaleNormal="90" workbookViewId="0">
      <selection activeCell="D26" sqref="D26"/>
    </sheetView>
  </sheetViews>
  <sheetFormatPr defaultRowHeight="15.75" x14ac:dyDescent="0.25"/>
  <cols>
    <col min="1" max="1" width="45.6640625" customWidth="1"/>
    <col min="2" max="2" width="15.44140625" customWidth="1"/>
    <col min="3" max="4" width="11.33203125" customWidth="1"/>
    <col min="5" max="5" width="15.77734375" customWidth="1"/>
    <col min="6" max="7" width="11.33203125" customWidth="1"/>
    <col min="8" max="8" width="12.5546875" customWidth="1"/>
    <col min="9" max="14" width="11.33203125" customWidth="1"/>
    <col min="15" max="16" width="11.33203125" style="64" customWidth="1"/>
    <col min="17" max="17" width="17" bestFit="1" customWidth="1"/>
    <col min="18" max="18" width="13.5546875" style="62" customWidth="1"/>
    <col min="19" max="19" width="13.6640625" style="62" customWidth="1"/>
    <col min="22" max="22" width="6" customWidth="1"/>
    <col min="23" max="23" width="13.77734375" customWidth="1"/>
  </cols>
  <sheetData>
    <row r="1" spans="1:23" x14ac:dyDescent="0.25">
      <c r="A1" s="59" t="s">
        <v>21</v>
      </c>
      <c r="B1" s="59"/>
      <c r="C1" s="59"/>
      <c r="D1" s="59"/>
      <c r="E1" s="59"/>
      <c r="F1" s="59"/>
      <c r="G1" s="59"/>
      <c r="H1" s="59"/>
      <c r="I1" s="59"/>
      <c r="J1" s="59"/>
      <c r="K1" s="60"/>
      <c r="L1" s="60"/>
      <c r="M1" s="60"/>
      <c r="N1" s="59"/>
      <c r="O1" s="61"/>
      <c r="P1" s="61"/>
    </row>
    <row r="2" spans="1:23" x14ac:dyDescent="0.25">
      <c r="A2" s="59" t="s">
        <v>18</v>
      </c>
      <c r="B2" s="59"/>
      <c r="C2" s="59"/>
      <c r="D2" s="59"/>
      <c r="E2" s="59"/>
      <c r="F2" s="59"/>
      <c r="G2" s="59"/>
      <c r="H2" s="59"/>
      <c r="I2" s="59"/>
      <c r="J2" s="59"/>
      <c r="K2" s="60"/>
      <c r="L2" s="60"/>
      <c r="M2" s="60"/>
      <c r="N2" s="59"/>
      <c r="O2" s="61"/>
      <c r="P2" s="61"/>
    </row>
    <row r="3" spans="1:23" x14ac:dyDescent="0.25">
      <c r="A3" s="60" t="s">
        <v>4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3"/>
      <c r="P3" s="63"/>
    </row>
    <row r="4" spans="1:23" x14ac:dyDescent="0.25">
      <c r="A4" s="60" t="s">
        <v>0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3"/>
      <c r="P4" s="63"/>
    </row>
    <row r="5" spans="1:23" x14ac:dyDescent="0.25">
      <c r="A5" s="60" t="s">
        <v>17</v>
      </c>
      <c r="B5" s="60">
        <v>0.15</v>
      </c>
      <c r="C5" s="60"/>
      <c r="D5" s="60"/>
      <c r="E5" s="60">
        <v>0.2</v>
      </c>
      <c r="F5" s="60"/>
      <c r="G5" s="60"/>
      <c r="H5" s="60">
        <v>0.3</v>
      </c>
      <c r="I5" s="60"/>
      <c r="J5" s="60"/>
      <c r="K5" s="60">
        <v>0.2</v>
      </c>
      <c r="L5" s="60"/>
      <c r="M5" s="60"/>
      <c r="N5">
        <v>0.15</v>
      </c>
      <c r="Q5" s="60"/>
    </row>
    <row r="6" spans="1:23" ht="16.5" thickBot="1" x14ac:dyDescent="0.3">
      <c r="A6" s="60" t="s">
        <v>1</v>
      </c>
      <c r="F6" s="65"/>
      <c r="G6" s="65"/>
      <c r="H6" s="65"/>
      <c r="I6" s="65"/>
      <c r="J6" s="65"/>
      <c r="K6" s="65"/>
      <c r="L6" s="65"/>
      <c r="M6" s="65"/>
      <c r="N6" s="65"/>
      <c r="O6" s="66"/>
      <c r="P6" s="66"/>
      <c r="Q6" s="65"/>
      <c r="R6" s="67"/>
      <c r="S6" s="67"/>
    </row>
    <row r="7" spans="1:23" ht="19.5" x14ac:dyDescent="0.35">
      <c r="A7" s="60"/>
      <c r="B7" s="98" t="s">
        <v>37</v>
      </c>
      <c r="C7" s="99"/>
      <c r="D7" s="100"/>
      <c r="E7" s="98" t="s">
        <v>38</v>
      </c>
      <c r="F7" s="99"/>
      <c r="G7" s="100"/>
      <c r="H7" s="98" t="s">
        <v>39</v>
      </c>
      <c r="I7" s="99"/>
      <c r="J7" s="100"/>
      <c r="K7" s="98" t="s">
        <v>40</v>
      </c>
      <c r="L7" s="99"/>
      <c r="M7" s="100"/>
      <c r="N7" s="98" t="s">
        <v>41</v>
      </c>
      <c r="O7" s="99"/>
      <c r="P7" s="101"/>
      <c r="Q7" s="102" t="s">
        <v>14</v>
      </c>
      <c r="R7" s="94" t="s">
        <v>25</v>
      </c>
      <c r="S7" s="96" t="s">
        <v>42</v>
      </c>
    </row>
    <row r="8" spans="1:23" ht="19.5" x14ac:dyDescent="0.35">
      <c r="A8" s="60"/>
      <c r="B8" s="68" t="s">
        <v>24</v>
      </c>
      <c r="C8" s="69" t="s">
        <v>43</v>
      </c>
      <c r="D8" s="70" t="s">
        <v>44</v>
      </c>
      <c r="E8" s="68" t="s">
        <v>24</v>
      </c>
      <c r="F8" s="69" t="s">
        <v>43</v>
      </c>
      <c r="G8" s="70" t="s">
        <v>44</v>
      </c>
      <c r="H8" s="68" t="s">
        <v>24</v>
      </c>
      <c r="I8" s="69" t="s">
        <v>43</v>
      </c>
      <c r="J8" s="70" t="s">
        <v>44</v>
      </c>
      <c r="K8" s="68" t="s">
        <v>24</v>
      </c>
      <c r="L8" s="69" t="s">
        <v>43</v>
      </c>
      <c r="M8" s="70" t="s">
        <v>44</v>
      </c>
      <c r="N8" s="68" t="s">
        <v>24</v>
      </c>
      <c r="O8" s="69" t="s">
        <v>43</v>
      </c>
      <c r="P8" s="71" t="s">
        <v>44</v>
      </c>
      <c r="Q8" s="103"/>
      <c r="R8" s="95"/>
      <c r="S8" s="97"/>
    </row>
    <row r="9" spans="1:23" s="9" customFormat="1" ht="19.5" x14ac:dyDescent="0.35">
      <c r="A9" s="72" t="s">
        <v>5</v>
      </c>
      <c r="B9" s="73">
        <f>SUM(B10:B12)</f>
        <v>1037500</v>
      </c>
      <c r="C9" s="74">
        <f t="shared" ref="C9:P9" si="0">SUM(C10:C12)</f>
        <v>840000</v>
      </c>
      <c r="D9" s="75">
        <f t="shared" si="0"/>
        <v>197500</v>
      </c>
      <c r="E9" s="73">
        <f t="shared" si="0"/>
        <v>1068750</v>
      </c>
      <c r="F9" s="74">
        <f t="shared" si="0"/>
        <v>749375</v>
      </c>
      <c r="G9" s="75">
        <f t="shared" si="0"/>
        <v>319375</v>
      </c>
      <c r="H9" s="73">
        <f t="shared" si="0"/>
        <v>1068750</v>
      </c>
      <c r="I9" s="74">
        <f t="shared" si="0"/>
        <v>749375</v>
      </c>
      <c r="J9" s="75">
        <f t="shared" si="0"/>
        <v>319375</v>
      </c>
      <c r="K9" s="73">
        <f t="shared" si="0"/>
        <v>1068750</v>
      </c>
      <c r="L9" s="74">
        <f t="shared" si="0"/>
        <v>631750</v>
      </c>
      <c r="M9" s="75">
        <f t="shared" si="0"/>
        <v>437000</v>
      </c>
      <c r="N9" s="73">
        <f t="shared" si="0"/>
        <v>756250</v>
      </c>
      <c r="O9" s="74">
        <f t="shared" si="0"/>
        <v>261250</v>
      </c>
      <c r="P9" s="76">
        <f t="shared" si="0"/>
        <v>495000</v>
      </c>
      <c r="Q9" s="73">
        <f>B9+E9+H9+K9+N9</f>
        <v>5000000</v>
      </c>
      <c r="R9" s="74">
        <f>C9+F9+I9+L9+O9</f>
        <v>3231750</v>
      </c>
      <c r="S9" s="75">
        <f>D9+G9+J9+M9+P9</f>
        <v>1768250</v>
      </c>
      <c r="W9" s="9">
        <v>3231750</v>
      </c>
    </row>
    <row r="10" spans="1:23" ht="19.5" x14ac:dyDescent="0.35">
      <c r="A10" s="77" t="s">
        <v>6</v>
      </c>
      <c r="B10" s="78">
        <v>312500</v>
      </c>
      <c r="C10" s="79">
        <v>187500</v>
      </c>
      <c r="D10" s="80">
        <f>B10-C10</f>
        <v>125000</v>
      </c>
      <c r="E10" s="78">
        <v>312500</v>
      </c>
      <c r="F10" s="79">
        <f>E10*0.6</f>
        <v>187500</v>
      </c>
      <c r="G10" s="80">
        <f>E10-F10</f>
        <v>125000</v>
      </c>
      <c r="H10" s="78">
        <v>312500</v>
      </c>
      <c r="I10" s="79">
        <f>H10*0.6</f>
        <v>187500</v>
      </c>
      <c r="J10" s="80">
        <f>H10-I10</f>
        <v>125000</v>
      </c>
      <c r="K10" s="78">
        <v>312500</v>
      </c>
      <c r="L10" s="79">
        <f>K10*0.6</f>
        <v>187500</v>
      </c>
      <c r="M10" s="80">
        <f>K10-L10</f>
        <v>125000</v>
      </c>
      <c r="N10" s="78">
        <v>0</v>
      </c>
      <c r="O10" s="79">
        <v>0</v>
      </c>
      <c r="P10" s="81">
        <f>N10-O10</f>
        <v>0</v>
      </c>
      <c r="Q10" s="78">
        <f>B10+E10+H10+K10+N10</f>
        <v>1250000</v>
      </c>
      <c r="R10" s="79">
        <f t="shared" ref="R10:S23" si="1">C10+F10+I10+L10+O10</f>
        <v>750000</v>
      </c>
      <c r="S10" s="80">
        <f t="shared" si="1"/>
        <v>500000</v>
      </c>
      <c r="W10">
        <v>750000</v>
      </c>
    </row>
    <row r="11" spans="1:23" ht="19.5" x14ac:dyDescent="0.35">
      <c r="A11" s="77" t="s">
        <v>7</v>
      </c>
      <c r="B11" s="78">
        <v>725000</v>
      </c>
      <c r="C11" s="79">
        <v>652500</v>
      </c>
      <c r="D11" s="80">
        <f t="shared" ref="D11:D12" si="2">B11-C11</f>
        <v>72500</v>
      </c>
      <c r="E11" s="78">
        <v>725000</v>
      </c>
      <c r="F11" s="79">
        <v>550000</v>
      </c>
      <c r="G11" s="80">
        <f t="shared" ref="G11:G12" si="3">E11-F11</f>
        <v>175000</v>
      </c>
      <c r="H11" s="78">
        <v>725000</v>
      </c>
      <c r="I11" s="79">
        <v>550000</v>
      </c>
      <c r="J11" s="80">
        <f t="shared" ref="J11:J12" si="4">H11-I11</f>
        <v>175000</v>
      </c>
      <c r="K11" s="78">
        <v>725000</v>
      </c>
      <c r="L11" s="79">
        <v>430000</v>
      </c>
      <c r="M11" s="80">
        <f t="shared" ref="M11:M12" si="5">K11-L11</f>
        <v>295000</v>
      </c>
      <c r="N11" s="78">
        <v>725000</v>
      </c>
      <c r="O11" s="79">
        <v>250000</v>
      </c>
      <c r="P11" s="81">
        <f t="shared" ref="P11:P23" si="6">N11-O11</f>
        <v>475000</v>
      </c>
      <c r="Q11" s="78">
        <f t="shared" ref="Q11:Q23" si="7">B11+E11+H11+K11+N11</f>
        <v>3625000</v>
      </c>
      <c r="R11" s="79">
        <f t="shared" si="1"/>
        <v>2432500</v>
      </c>
      <c r="S11" s="80">
        <f t="shared" si="1"/>
        <v>1192500</v>
      </c>
      <c r="W11">
        <v>2432500</v>
      </c>
    </row>
    <row r="12" spans="1:23" ht="19.5" x14ac:dyDescent="0.35">
      <c r="A12" s="77" t="s">
        <v>8</v>
      </c>
      <c r="B12" s="78">
        <v>0</v>
      </c>
      <c r="C12" s="79">
        <v>0</v>
      </c>
      <c r="D12" s="80">
        <f t="shared" si="2"/>
        <v>0</v>
      </c>
      <c r="E12" s="78">
        <v>31250</v>
      </c>
      <c r="F12" s="79">
        <f t="shared" ref="F12" si="8">E12*0.38</f>
        <v>11875</v>
      </c>
      <c r="G12" s="80">
        <f t="shared" si="3"/>
        <v>19375</v>
      </c>
      <c r="H12" s="78">
        <v>31250</v>
      </c>
      <c r="I12" s="79">
        <f t="shared" ref="I12" si="9">H12*0.38</f>
        <v>11875</v>
      </c>
      <c r="J12" s="80">
        <f t="shared" si="4"/>
        <v>19375</v>
      </c>
      <c r="K12" s="78">
        <v>31250</v>
      </c>
      <c r="L12" s="79">
        <v>14250</v>
      </c>
      <c r="M12" s="80">
        <f t="shared" si="5"/>
        <v>17000</v>
      </c>
      <c r="N12" s="78">
        <v>31250</v>
      </c>
      <c r="O12" s="79">
        <v>11250</v>
      </c>
      <c r="P12" s="81">
        <f t="shared" si="6"/>
        <v>20000</v>
      </c>
      <c r="Q12" s="78">
        <f t="shared" si="7"/>
        <v>125000</v>
      </c>
      <c r="R12" s="79">
        <f t="shared" si="1"/>
        <v>49250</v>
      </c>
      <c r="S12" s="80">
        <f t="shared" si="1"/>
        <v>75750</v>
      </c>
      <c r="W12">
        <v>49250</v>
      </c>
    </row>
    <row r="13" spans="1:23" s="9" customFormat="1" ht="19.5" x14ac:dyDescent="0.35">
      <c r="A13" s="82" t="s">
        <v>9</v>
      </c>
      <c r="B13" s="73">
        <f>SUM(B14:B17)</f>
        <v>6150000</v>
      </c>
      <c r="C13" s="74">
        <f t="shared" ref="C13:P13" si="10">SUM(C14:C17)</f>
        <v>5193000</v>
      </c>
      <c r="D13" s="75">
        <f t="shared" si="10"/>
        <v>957000</v>
      </c>
      <c r="E13" s="73">
        <f t="shared" si="10"/>
        <v>8100000</v>
      </c>
      <c r="F13" s="74">
        <f t="shared" si="10"/>
        <v>5063000</v>
      </c>
      <c r="G13" s="75">
        <f t="shared" si="10"/>
        <v>3037000</v>
      </c>
      <c r="H13" s="73">
        <f t="shared" si="10"/>
        <v>12000000</v>
      </c>
      <c r="I13" s="74">
        <f t="shared" si="10"/>
        <v>5340875</v>
      </c>
      <c r="J13" s="75">
        <f t="shared" si="10"/>
        <v>6659125</v>
      </c>
      <c r="K13" s="73">
        <f t="shared" si="10"/>
        <v>8100000</v>
      </c>
      <c r="L13" s="74">
        <f t="shared" si="10"/>
        <v>3030000</v>
      </c>
      <c r="M13" s="75">
        <f t="shared" si="10"/>
        <v>5070000</v>
      </c>
      <c r="N13" s="73">
        <f t="shared" si="10"/>
        <v>6150000</v>
      </c>
      <c r="O13" s="74">
        <f t="shared" si="10"/>
        <v>1545625</v>
      </c>
      <c r="P13" s="76">
        <f t="shared" si="10"/>
        <v>4604375</v>
      </c>
      <c r="Q13" s="73">
        <f>B13+E13+H13+K13+N13</f>
        <v>40500000</v>
      </c>
      <c r="R13" s="74">
        <f t="shared" si="1"/>
        <v>20172500</v>
      </c>
      <c r="S13" s="75">
        <f t="shared" si="1"/>
        <v>20327500</v>
      </c>
      <c r="W13" s="9">
        <v>20172500</v>
      </c>
    </row>
    <row r="14" spans="1:23" ht="19.5" x14ac:dyDescent="0.35">
      <c r="A14" s="77" t="s">
        <v>45</v>
      </c>
      <c r="B14" s="78">
        <v>2272500</v>
      </c>
      <c r="C14" s="79">
        <v>1995000</v>
      </c>
      <c r="D14" s="80">
        <f t="shared" ref="D14:D17" si="11">B14-C14</f>
        <v>277500</v>
      </c>
      <c r="E14" s="78">
        <v>3030000</v>
      </c>
      <c r="F14" s="79">
        <v>1900000</v>
      </c>
      <c r="G14" s="80">
        <f t="shared" ref="G14:G17" si="12">E14-F14</f>
        <v>1130000</v>
      </c>
      <c r="H14" s="78">
        <v>4545000</v>
      </c>
      <c r="I14" s="79">
        <v>1900000</v>
      </c>
      <c r="J14" s="80">
        <f t="shared" ref="J14:J17" si="13">H14-I14</f>
        <v>2645000</v>
      </c>
      <c r="K14" s="78">
        <v>3030000</v>
      </c>
      <c r="L14" s="79">
        <v>900000</v>
      </c>
      <c r="M14" s="80">
        <f t="shared" ref="M14:M17" si="14">K14-L14</f>
        <v>2130000</v>
      </c>
      <c r="N14" s="78">
        <v>2272500</v>
      </c>
      <c r="O14" s="79">
        <v>500000</v>
      </c>
      <c r="P14" s="81">
        <f t="shared" si="6"/>
        <v>1772500</v>
      </c>
      <c r="Q14" s="78">
        <f t="shared" si="7"/>
        <v>15150000</v>
      </c>
      <c r="R14" s="79">
        <f t="shared" si="1"/>
        <v>7195000</v>
      </c>
      <c r="S14" s="80">
        <f t="shared" si="1"/>
        <v>7955000</v>
      </c>
      <c r="W14">
        <v>7195000</v>
      </c>
    </row>
    <row r="15" spans="1:23" ht="19.5" x14ac:dyDescent="0.35">
      <c r="A15" s="77" t="s">
        <v>46</v>
      </c>
      <c r="B15" s="78">
        <v>3483750</v>
      </c>
      <c r="C15" s="79">
        <v>2870000</v>
      </c>
      <c r="D15" s="80">
        <f t="shared" si="11"/>
        <v>613750</v>
      </c>
      <c r="E15" s="78">
        <v>4645000</v>
      </c>
      <c r="F15" s="79">
        <v>2835000</v>
      </c>
      <c r="G15" s="80">
        <f t="shared" si="12"/>
        <v>1810000</v>
      </c>
      <c r="H15" s="78">
        <v>6967500</v>
      </c>
      <c r="I15" s="79">
        <v>3112875</v>
      </c>
      <c r="J15" s="80">
        <f t="shared" si="13"/>
        <v>3854625</v>
      </c>
      <c r="K15" s="78">
        <v>4645000</v>
      </c>
      <c r="L15" s="79">
        <v>1800000</v>
      </c>
      <c r="M15" s="80">
        <f t="shared" si="14"/>
        <v>2845000</v>
      </c>
      <c r="N15" s="78">
        <v>3483750</v>
      </c>
      <c r="O15" s="79">
        <v>1000000</v>
      </c>
      <c r="P15" s="81">
        <f t="shared" si="6"/>
        <v>2483750</v>
      </c>
      <c r="Q15" s="78">
        <f t="shared" si="7"/>
        <v>23225000</v>
      </c>
      <c r="R15" s="79">
        <f t="shared" si="1"/>
        <v>11617875</v>
      </c>
      <c r="S15" s="80">
        <f t="shared" si="1"/>
        <v>11607125</v>
      </c>
      <c r="W15">
        <v>11617875</v>
      </c>
    </row>
    <row r="16" spans="1:23" ht="19.5" x14ac:dyDescent="0.35">
      <c r="A16" s="77" t="s">
        <v>10</v>
      </c>
      <c r="B16" s="78">
        <v>93750</v>
      </c>
      <c r="C16" s="79">
        <v>88000</v>
      </c>
      <c r="D16" s="80">
        <f t="shared" si="11"/>
        <v>5750</v>
      </c>
      <c r="E16" s="78">
        <v>125000</v>
      </c>
      <c r="F16" s="79">
        <v>88000</v>
      </c>
      <c r="G16" s="80">
        <f t="shared" si="12"/>
        <v>37000</v>
      </c>
      <c r="H16" s="78">
        <v>187500</v>
      </c>
      <c r="I16" s="79">
        <v>88000</v>
      </c>
      <c r="J16" s="80">
        <f t="shared" si="13"/>
        <v>99500</v>
      </c>
      <c r="K16" s="78">
        <v>125000</v>
      </c>
      <c r="L16" s="79">
        <v>90000</v>
      </c>
      <c r="M16" s="80">
        <f t="shared" si="14"/>
        <v>35000</v>
      </c>
      <c r="N16" s="78">
        <v>93750</v>
      </c>
      <c r="O16" s="79"/>
      <c r="P16" s="81">
        <f t="shared" si="6"/>
        <v>93750</v>
      </c>
      <c r="Q16" s="78">
        <f t="shared" si="7"/>
        <v>625000</v>
      </c>
      <c r="R16" s="79">
        <f t="shared" si="1"/>
        <v>354000</v>
      </c>
      <c r="S16" s="80">
        <f t="shared" si="1"/>
        <v>271000</v>
      </c>
      <c r="W16">
        <v>354000</v>
      </c>
    </row>
    <row r="17" spans="1:23" ht="19.5" x14ac:dyDescent="0.35">
      <c r="A17" s="77" t="s">
        <v>19</v>
      </c>
      <c r="B17" s="78">
        <v>300000</v>
      </c>
      <c r="C17" s="79">
        <v>240000</v>
      </c>
      <c r="D17" s="80">
        <f t="shared" si="11"/>
        <v>60000</v>
      </c>
      <c r="E17" s="78">
        <v>300000</v>
      </c>
      <c r="F17" s="79">
        <f>E17*0.8</f>
        <v>240000</v>
      </c>
      <c r="G17" s="80">
        <f t="shared" si="12"/>
        <v>60000</v>
      </c>
      <c r="H17" s="78">
        <v>300000</v>
      </c>
      <c r="I17" s="79">
        <f>H17*0.8</f>
        <v>240000</v>
      </c>
      <c r="J17" s="80">
        <f t="shared" si="13"/>
        <v>60000</v>
      </c>
      <c r="K17" s="78">
        <v>300000</v>
      </c>
      <c r="L17" s="79">
        <f>K17*0.8</f>
        <v>240000</v>
      </c>
      <c r="M17" s="80">
        <f t="shared" si="14"/>
        <v>60000</v>
      </c>
      <c r="N17" s="78">
        <v>300000</v>
      </c>
      <c r="O17" s="79">
        <v>45625</v>
      </c>
      <c r="P17" s="81">
        <f t="shared" si="6"/>
        <v>254375</v>
      </c>
      <c r="Q17" s="78">
        <f t="shared" si="7"/>
        <v>1500000</v>
      </c>
      <c r="R17" s="79">
        <f t="shared" si="1"/>
        <v>1005625</v>
      </c>
      <c r="S17" s="80">
        <f t="shared" si="1"/>
        <v>494375</v>
      </c>
      <c r="W17">
        <v>1005625</v>
      </c>
    </row>
    <row r="18" spans="1:23" s="9" customFormat="1" ht="19.5" x14ac:dyDescent="0.35">
      <c r="A18" s="82" t="s">
        <v>11</v>
      </c>
      <c r="B18" s="73">
        <f>SUM(B19:B20)</f>
        <v>1287500</v>
      </c>
      <c r="C18" s="74">
        <f t="shared" ref="C18:P18" si="15">SUM(C19:C20)</f>
        <v>772500</v>
      </c>
      <c r="D18" s="75">
        <f t="shared" si="15"/>
        <v>515000</v>
      </c>
      <c r="E18" s="73">
        <f t="shared" si="15"/>
        <v>1287500</v>
      </c>
      <c r="F18" s="74">
        <f t="shared" si="15"/>
        <v>510000</v>
      </c>
      <c r="G18" s="75">
        <f t="shared" si="15"/>
        <v>777500</v>
      </c>
      <c r="H18" s="73">
        <f t="shared" si="15"/>
        <v>350000</v>
      </c>
      <c r="I18" s="74">
        <f t="shared" si="15"/>
        <v>210000</v>
      </c>
      <c r="J18" s="75">
        <f t="shared" si="15"/>
        <v>140000</v>
      </c>
      <c r="K18" s="73">
        <f t="shared" si="15"/>
        <v>350000</v>
      </c>
      <c r="L18" s="74">
        <f t="shared" si="15"/>
        <v>50000</v>
      </c>
      <c r="M18" s="75">
        <f t="shared" si="15"/>
        <v>300000</v>
      </c>
      <c r="N18" s="73">
        <f t="shared" si="15"/>
        <v>350000</v>
      </c>
      <c r="O18" s="74">
        <f t="shared" si="15"/>
        <v>15000</v>
      </c>
      <c r="P18" s="76">
        <f t="shared" si="15"/>
        <v>335000</v>
      </c>
      <c r="Q18" s="73">
        <f>B18+E18+H18+K18+N18</f>
        <v>3625000</v>
      </c>
      <c r="R18" s="74">
        <f t="shared" si="1"/>
        <v>1557500</v>
      </c>
      <c r="S18" s="75">
        <f t="shared" si="1"/>
        <v>2067500</v>
      </c>
      <c r="W18" s="9">
        <v>1557500</v>
      </c>
    </row>
    <row r="19" spans="1:23" ht="19.5" x14ac:dyDescent="0.35">
      <c r="A19" s="77" t="s">
        <v>22</v>
      </c>
      <c r="B19" s="78">
        <v>350000</v>
      </c>
      <c r="C19" s="79">
        <v>210000</v>
      </c>
      <c r="D19" s="80">
        <f t="shared" ref="D19:D20" si="16">B19-C19</f>
        <v>140000</v>
      </c>
      <c r="E19" s="78">
        <v>350000</v>
      </c>
      <c r="F19" s="79">
        <f>E19*0.6</f>
        <v>210000</v>
      </c>
      <c r="G19" s="80">
        <f t="shared" ref="G19:G20" si="17">E19-F19</f>
        <v>140000</v>
      </c>
      <c r="H19" s="78">
        <v>350000</v>
      </c>
      <c r="I19" s="79">
        <f>H19*0.6</f>
        <v>210000</v>
      </c>
      <c r="J19" s="80">
        <f t="shared" ref="J19:J20" si="18">H19-I19</f>
        <v>140000</v>
      </c>
      <c r="K19" s="78">
        <v>350000</v>
      </c>
      <c r="L19" s="79">
        <v>50000</v>
      </c>
      <c r="M19" s="80">
        <f t="shared" ref="M19:M20" si="19">K19-L19</f>
        <v>300000</v>
      </c>
      <c r="N19" s="78">
        <v>350000</v>
      </c>
      <c r="O19" s="79">
        <v>15000</v>
      </c>
      <c r="P19" s="81">
        <f t="shared" si="6"/>
        <v>335000</v>
      </c>
      <c r="Q19" s="78">
        <f t="shared" si="7"/>
        <v>1750000</v>
      </c>
      <c r="R19" s="79">
        <f t="shared" si="1"/>
        <v>695000</v>
      </c>
      <c r="S19" s="80">
        <f t="shared" si="1"/>
        <v>1055000</v>
      </c>
      <c r="W19">
        <v>695000</v>
      </c>
    </row>
    <row r="20" spans="1:23" ht="19.5" x14ac:dyDescent="0.35">
      <c r="A20" s="77" t="s">
        <v>23</v>
      </c>
      <c r="B20" s="78">
        <v>937500</v>
      </c>
      <c r="C20" s="79">
        <v>562500</v>
      </c>
      <c r="D20" s="80">
        <f t="shared" si="16"/>
        <v>375000</v>
      </c>
      <c r="E20" s="78">
        <v>937500</v>
      </c>
      <c r="F20" s="79">
        <v>300000</v>
      </c>
      <c r="G20" s="80">
        <f t="shared" si="17"/>
        <v>637500</v>
      </c>
      <c r="H20" s="78">
        <v>0</v>
      </c>
      <c r="I20" s="79">
        <v>0</v>
      </c>
      <c r="J20" s="80">
        <f t="shared" si="18"/>
        <v>0</v>
      </c>
      <c r="K20" s="78">
        <v>0</v>
      </c>
      <c r="L20" s="79">
        <v>0</v>
      </c>
      <c r="M20" s="80">
        <f t="shared" si="19"/>
        <v>0</v>
      </c>
      <c r="N20" s="78">
        <v>0</v>
      </c>
      <c r="O20" s="79"/>
      <c r="P20" s="81">
        <f t="shared" si="6"/>
        <v>0</v>
      </c>
      <c r="Q20" s="78">
        <f t="shared" si="7"/>
        <v>1875000</v>
      </c>
      <c r="R20" s="79">
        <f t="shared" si="1"/>
        <v>862500</v>
      </c>
      <c r="S20" s="80">
        <f t="shared" si="1"/>
        <v>1012500</v>
      </c>
      <c r="W20">
        <v>862500</v>
      </c>
    </row>
    <row r="21" spans="1:23" s="9" customFormat="1" ht="19.5" x14ac:dyDescent="0.35">
      <c r="A21" s="82" t="s">
        <v>12</v>
      </c>
      <c r="B21" s="73">
        <f>SUM(B22:B23)</f>
        <v>250000</v>
      </c>
      <c r="C21" s="74">
        <f t="shared" ref="C21:P21" si="20">SUM(C22:C23)</f>
        <v>0</v>
      </c>
      <c r="D21" s="75">
        <f t="shared" si="20"/>
        <v>250000</v>
      </c>
      <c r="E21" s="73">
        <f t="shared" si="20"/>
        <v>281250</v>
      </c>
      <c r="F21" s="74">
        <f t="shared" si="20"/>
        <v>12750</v>
      </c>
      <c r="G21" s="75">
        <f t="shared" si="20"/>
        <v>268500</v>
      </c>
      <c r="H21" s="73">
        <f t="shared" si="20"/>
        <v>281250</v>
      </c>
      <c r="I21" s="74">
        <f t="shared" si="20"/>
        <v>12750</v>
      </c>
      <c r="J21" s="75">
        <f t="shared" si="20"/>
        <v>268500</v>
      </c>
      <c r="K21" s="73">
        <f t="shared" si="20"/>
        <v>31250</v>
      </c>
      <c r="L21" s="74">
        <f t="shared" si="20"/>
        <v>12750</v>
      </c>
      <c r="M21" s="75">
        <f t="shared" si="20"/>
        <v>18500</v>
      </c>
      <c r="N21" s="73">
        <f t="shared" si="20"/>
        <v>31250</v>
      </c>
      <c r="O21" s="74">
        <f t="shared" si="20"/>
        <v>0</v>
      </c>
      <c r="P21" s="76">
        <f t="shared" si="20"/>
        <v>31250</v>
      </c>
      <c r="Q21" s="73">
        <f>B21+E21+H21+K21+N21</f>
        <v>875000</v>
      </c>
      <c r="R21" s="74">
        <f t="shared" si="1"/>
        <v>38250</v>
      </c>
      <c r="S21" s="75">
        <f t="shared" si="1"/>
        <v>836750</v>
      </c>
      <c r="W21" s="9">
        <v>38250</v>
      </c>
    </row>
    <row r="22" spans="1:23" ht="19.5" x14ac:dyDescent="0.35">
      <c r="A22" s="77" t="s">
        <v>20</v>
      </c>
      <c r="B22" s="78">
        <v>250000</v>
      </c>
      <c r="C22" s="79">
        <v>0</v>
      </c>
      <c r="D22" s="80">
        <f t="shared" ref="D22:D23" si="21">B22-C22</f>
        <v>250000</v>
      </c>
      <c r="E22" s="78">
        <v>250000</v>
      </c>
      <c r="F22" s="79">
        <f>E22*0</f>
        <v>0</v>
      </c>
      <c r="G22" s="80">
        <f t="shared" ref="G22:G23" si="22">E22-F22</f>
        <v>250000</v>
      </c>
      <c r="H22" s="78">
        <v>250000</v>
      </c>
      <c r="I22" s="79">
        <f>H22*0</f>
        <v>0</v>
      </c>
      <c r="J22" s="80">
        <v>250000</v>
      </c>
      <c r="K22" s="78">
        <v>0</v>
      </c>
      <c r="L22" s="79">
        <f>K22*0</f>
        <v>0</v>
      </c>
      <c r="M22" s="80"/>
      <c r="N22" s="78">
        <v>0</v>
      </c>
      <c r="O22" s="79"/>
      <c r="P22" s="81">
        <f t="shared" si="6"/>
        <v>0</v>
      </c>
      <c r="Q22" s="78">
        <f t="shared" si="7"/>
        <v>750000</v>
      </c>
      <c r="R22" s="79">
        <f t="shared" si="1"/>
        <v>0</v>
      </c>
      <c r="S22" s="80">
        <f t="shared" si="1"/>
        <v>750000</v>
      </c>
      <c r="W22">
        <v>0</v>
      </c>
    </row>
    <row r="23" spans="1:23" ht="19.5" x14ac:dyDescent="0.35">
      <c r="A23" s="77" t="s">
        <v>13</v>
      </c>
      <c r="B23" s="78">
        <v>0</v>
      </c>
      <c r="C23" s="79">
        <v>0</v>
      </c>
      <c r="D23" s="80">
        <f t="shared" si="21"/>
        <v>0</v>
      </c>
      <c r="E23" s="78">
        <v>31250</v>
      </c>
      <c r="F23" s="79">
        <v>12750</v>
      </c>
      <c r="G23" s="80">
        <f t="shared" si="22"/>
        <v>18500</v>
      </c>
      <c r="H23" s="78">
        <v>31250</v>
      </c>
      <c r="I23" s="79">
        <v>12750</v>
      </c>
      <c r="J23" s="80">
        <f t="shared" ref="J23" si="23">H23-I23</f>
        <v>18500</v>
      </c>
      <c r="K23" s="78">
        <v>31250</v>
      </c>
      <c r="L23" s="79">
        <v>12750</v>
      </c>
      <c r="M23" s="80">
        <f t="shared" ref="M23" si="24">K23-L23</f>
        <v>18500</v>
      </c>
      <c r="N23" s="78">
        <v>31250</v>
      </c>
      <c r="O23" s="79">
        <v>0</v>
      </c>
      <c r="P23" s="81">
        <f t="shared" si="6"/>
        <v>31250</v>
      </c>
      <c r="Q23" s="78">
        <f t="shared" si="7"/>
        <v>125000</v>
      </c>
      <c r="R23" s="79">
        <f t="shared" si="1"/>
        <v>38250</v>
      </c>
      <c r="S23" s="80">
        <f t="shared" si="1"/>
        <v>86750</v>
      </c>
      <c r="W23">
        <v>38250</v>
      </c>
    </row>
    <row r="24" spans="1:23" s="9" customFormat="1" ht="20.25" thickBot="1" x14ac:dyDescent="0.4">
      <c r="A24" s="82" t="s">
        <v>2</v>
      </c>
      <c r="B24" s="83">
        <f>B9+B13+B18+B21</f>
        <v>8725000</v>
      </c>
      <c r="C24" s="84">
        <f t="shared" ref="C24:P24" si="25">C9+C13+C18+C21</f>
        <v>6805500</v>
      </c>
      <c r="D24" s="85">
        <f t="shared" si="25"/>
        <v>1919500</v>
      </c>
      <c r="E24" s="83">
        <f t="shared" si="25"/>
        <v>10737500</v>
      </c>
      <c r="F24" s="84">
        <f t="shared" si="25"/>
        <v>6335125</v>
      </c>
      <c r="G24" s="85">
        <f t="shared" si="25"/>
        <v>4402375</v>
      </c>
      <c r="H24" s="83">
        <f t="shared" si="25"/>
        <v>13700000</v>
      </c>
      <c r="I24" s="84">
        <f t="shared" si="25"/>
        <v>6313000</v>
      </c>
      <c r="J24" s="85">
        <f t="shared" si="25"/>
        <v>7387000</v>
      </c>
      <c r="K24" s="83">
        <f t="shared" si="25"/>
        <v>9550000</v>
      </c>
      <c r="L24" s="84">
        <f t="shared" si="25"/>
        <v>3724500</v>
      </c>
      <c r="M24" s="85">
        <f t="shared" si="25"/>
        <v>5825500</v>
      </c>
      <c r="N24" s="83">
        <f t="shared" si="25"/>
        <v>7287500</v>
      </c>
      <c r="O24" s="84">
        <f t="shared" si="25"/>
        <v>1821875</v>
      </c>
      <c r="P24" s="86">
        <f t="shared" si="25"/>
        <v>5465625</v>
      </c>
      <c r="Q24" s="83">
        <f>B24+E24+H24+K24+N24</f>
        <v>50000000</v>
      </c>
      <c r="R24" s="84">
        <f>R9+R13+R18+R21</f>
        <v>25000000</v>
      </c>
      <c r="S24" s="85">
        <f>S9+S13+S18+S21</f>
        <v>25000000</v>
      </c>
      <c r="W24" s="9">
        <v>25000000</v>
      </c>
    </row>
    <row r="25" spans="1:23" x14ac:dyDescent="0.25">
      <c r="A25" s="60" t="s">
        <v>3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3"/>
      <c r="P25" s="63"/>
      <c r="Q25" s="60"/>
    </row>
    <row r="26" spans="1:23" x14ac:dyDescent="0.25">
      <c r="A26" s="60" t="s">
        <v>14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8"/>
      <c r="P26" s="88"/>
      <c r="Q26" s="60"/>
    </row>
    <row r="27" spans="1:23" x14ac:dyDescent="0.25">
      <c r="A27" s="60"/>
      <c r="B27" s="60"/>
      <c r="C27" s="60"/>
      <c r="D27" s="60"/>
      <c r="E27" s="60"/>
      <c r="F27" s="60"/>
      <c r="G27" s="60"/>
      <c r="H27" s="60"/>
      <c r="I27" s="60"/>
      <c r="J27" s="60"/>
      <c r="K27" s="59"/>
      <c r="L27" s="59"/>
      <c r="M27" s="59"/>
      <c r="N27" s="60"/>
      <c r="O27" s="63"/>
      <c r="P27" s="63"/>
    </row>
    <row r="28" spans="1:23" x14ac:dyDescent="0.25">
      <c r="A28" s="60"/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3"/>
      <c r="P28" s="63"/>
    </row>
    <row r="29" spans="1:23" s="9" customFormat="1" x14ac:dyDescent="0.25">
      <c r="B29" s="65" t="s">
        <v>28</v>
      </c>
      <c r="C29" s="65"/>
      <c r="D29" s="65"/>
      <c r="E29" s="65" t="s">
        <v>29</v>
      </c>
      <c r="F29" s="65"/>
      <c r="G29" s="65"/>
      <c r="H29" s="65" t="s">
        <v>30</v>
      </c>
      <c r="I29" s="65"/>
      <c r="J29" s="65"/>
      <c r="K29" s="65" t="s">
        <v>31</v>
      </c>
      <c r="L29" s="65"/>
      <c r="M29" s="65"/>
      <c r="N29" s="65" t="s">
        <v>32</v>
      </c>
      <c r="O29" s="66"/>
      <c r="P29" s="66"/>
      <c r="Q29" s="23"/>
      <c r="R29" s="67"/>
      <c r="S29" s="67"/>
    </row>
    <row r="30" spans="1:23" x14ac:dyDescent="0.25">
      <c r="A30" t="s">
        <v>25</v>
      </c>
      <c r="B30" s="59">
        <f>B24*B37</f>
        <v>6805500</v>
      </c>
      <c r="C30" s="59"/>
      <c r="D30" s="59"/>
      <c r="E30" s="59">
        <f t="shared" ref="E30:N30" si="26">E24*E37</f>
        <v>6335125</v>
      </c>
      <c r="F30" s="59"/>
      <c r="G30" s="59"/>
      <c r="H30" s="59">
        <f t="shared" si="26"/>
        <v>6312999.7300000004</v>
      </c>
      <c r="I30" s="59"/>
      <c r="J30" s="59"/>
      <c r="K30" s="59">
        <f t="shared" si="26"/>
        <v>3724500</v>
      </c>
      <c r="L30" s="59"/>
      <c r="M30" s="59"/>
      <c r="N30" s="59">
        <f t="shared" si="26"/>
        <v>1821875</v>
      </c>
      <c r="O30" s="61"/>
      <c r="P30" s="61"/>
      <c r="Q30" s="59">
        <f>SUM(B30:N30)</f>
        <v>24999999.73</v>
      </c>
    </row>
    <row r="31" spans="1:23" x14ac:dyDescent="0.25">
      <c r="A31" t="s">
        <v>33</v>
      </c>
      <c r="B31" s="59">
        <f>B24-B30</f>
        <v>1919500</v>
      </c>
      <c r="C31" s="59"/>
      <c r="D31" s="59"/>
      <c r="E31" s="59">
        <f t="shared" ref="E31:N31" si="27">E24-E30</f>
        <v>4402375</v>
      </c>
      <c r="F31" s="59"/>
      <c r="G31" s="59"/>
      <c r="H31" s="59">
        <f t="shared" si="27"/>
        <v>7387000.2699999996</v>
      </c>
      <c r="I31" s="59"/>
      <c r="J31" s="59"/>
      <c r="K31" s="59">
        <f t="shared" si="27"/>
        <v>5825500</v>
      </c>
      <c r="L31" s="59"/>
      <c r="M31" s="59"/>
      <c r="N31" s="59">
        <f t="shared" si="27"/>
        <v>5465625</v>
      </c>
      <c r="O31" s="61"/>
      <c r="P31" s="61"/>
      <c r="Q31" s="59">
        <f t="shared" ref="Q31:Q34" si="28">SUM(B31:N31)</f>
        <v>25000000.27</v>
      </c>
    </row>
    <row r="32" spans="1:23" x14ac:dyDescent="0.25">
      <c r="A32" t="s">
        <v>34</v>
      </c>
      <c r="B32" s="89">
        <f>SUM(B30:B31)</f>
        <v>8725000</v>
      </c>
      <c r="C32" s="89"/>
      <c r="D32" s="89"/>
      <c r="E32" s="89">
        <f t="shared" ref="E32:N32" si="29">SUM(E30:E31)</f>
        <v>10737500</v>
      </c>
      <c r="F32" s="89"/>
      <c r="G32" s="89"/>
      <c r="H32" s="89">
        <f t="shared" si="29"/>
        <v>13700000</v>
      </c>
      <c r="I32" s="89"/>
      <c r="J32" s="89"/>
      <c r="K32" s="89">
        <f t="shared" si="29"/>
        <v>9550000</v>
      </c>
      <c r="L32" s="89"/>
      <c r="M32" s="89"/>
      <c r="N32" s="89">
        <f t="shared" si="29"/>
        <v>7287500</v>
      </c>
      <c r="O32" s="90"/>
      <c r="P32" s="90"/>
      <c r="Q32" s="59">
        <f t="shared" si="28"/>
        <v>50000000</v>
      </c>
    </row>
    <row r="33" spans="1:17" x14ac:dyDescent="0.25">
      <c r="A33" s="60" t="s">
        <v>26</v>
      </c>
      <c r="B33">
        <v>0.78</v>
      </c>
      <c r="E33">
        <v>0.59</v>
      </c>
      <c r="H33">
        <v>0.49</v>
      </c>
      <c r="K33">
        <v>0.39</v>
      </c>
      <c r="N33">
        <v>0.25</v>
      </c>
      <c r="Q33" s="60">
        <f t="shared" si="28"/>
        <v>2.5</v>
      </c>
    </row>
    <row r="34" spans="1:17" x14ac:dyDescent="0.25">
      <c r="A34" s="60" t="s">
        <v>27</v>
      </c>
      <c r="B34">
        <v>0.22</v>
      </c>
      <c r="E34">
        <v>0.41</v>
      </c>
      <c r="H34">
        <v>0.51</v>
      </c>
      <c r="K34">
        <v>0.61</v>
      </c>
      <c r="N34">
        <v>0.75</v>
      </c>
      <c r="Q34" s="60">
        <f t="shared" si="28"/>
        <v>2.5</v>
      </c>
    </row>
    <row r="35" spans="1:17" x14ac:dyDescent="0.25">
      <c r="A35" t="s">
        <v>35</v>
      </c>
      <c r="B35">
        <v>0.17449999999999999</v>
      </c>
      <c r="E35">
        <v>0.21475</v>
      </c>
      <c r="H35">
        <v>0.27400000000000002</v>
      </c>
      <c r="K35">
        <v>0.191</v>
      </c>
      <c r="N35">
        <v>0.14574999999999999</v>
      </c>
      <c r="Q35">
        <v>1</v>
      </c>
    </row>
    <row r="36" spans="1:17" x14ac:dyDescent="0.25">
      <c r="B36" s="91"/>
      <c r="C36" s="91"/>
      <c r="D36" s="91"/>
    </row>
    <row r="37" spans="1:17" x14ac:dyDescent="0.25">
      <c r="B37" s="92">
        <v>0.78</v>
      </c>
      <c r="C37" s="92"/>
      <c r="D37" s="92"/>
      <c r="E37" s="92">
        <v>0.59</v>
      </c>
      <c r="F37" s="92"/>
      <c r="G37" s="92"/>
      <c r="H37" s="92">
        <v>0.46080290000000002</v>
      </c>
      <c r="I37" s="92"/>
      <c r="J37" s="92"/>
      <c r="K37" s="92">
        <v>0.39</v>
      </c>
      <c r="L37" s="92"/>
      <c r="M37" s="92"/>
      <c r="N37" s="92">
        <v>0.25</v>
      </c>
      <c r="O37" s="93"/>
      <c r="P37" s="93"/>
      <c r="Q37" s="60">
        <f t="shared" ref="Q37:Q39" si="30">SUM(B37:N37)</f>
        <v>2.4708029000000002</v>
      </c>
    </row>
    <row r="38" spans="1:17" x14ac:dyDescent="0.25">
      <c r="B38" s="92">
        <v>0.22</v>
      </c>
      <c r="C38" s="92"/>
      <c r="D38" s="92"/>
      <c r="E38" s="92">
        <v>0.41</v>
      </c>
      <c r="F38" s="92"/>
      <c r="G38" s="92"/>
      <c r="H38" s="92">
        <f>1-H37</f>
        <v>0.53919709999999998</v>
      </c>
      <c r="I38" s="92"/>
      <c r="J38" s="92"/>
      <c r="K38" s="92">
        <v>0.61</v>
      </c>
      <c r="L38" s="92"/>
      <c r="M38" s="92"/>
      <c r="N38" s="92">
        <v>0.75</v>
      </c>
      <c r="O38" s="93"/>
      <c r="P38" s="93"/>
      <c r="Q38" s="60">
        <f t="shared" si="30"/>
        <v>2.5291970999999998</v>
      </c>
    </row>
    <row r="39" spans="1:17" x14ac:dyDescent="0.25">
      <c r="B39">
        <v>0.17449999999999999</v>
      </c>
      <c r="E39">
        <v>0.21475</v>
      </c>
      <c r="H39">
        <v>0.27400000000000002</v>
      </c>
      <c r="K39">
        <v>0.191</v>
      </c>
      <c r="N39">
        <v>0.14574999999999999</v>
      </c>
      <c r="Q39" s="60">
        <f t="shared" si="30"/>
        <v>1</v>
      </c>
    </row>
    <row r="40" spans="1:17" x14ac:dyDescent="0.25">
      <c r="A40" s="59" t="s">
        <v>21</v>
      </c>
      <c r="B40" s="59"/>
      <c r="C40" s="59"/>
      <c r="D40" s="59"/>
      <c r="E40" s="59"/>
      <c r="F40" s="59"/>
      <c r="G40" s="59"/>
      <c r="H40" s="59"/>
      <c r="I40" s="59"/>
      <c r="J40" s="59"/>
      <c r="K40" s="60"/>
      <c r="L40" s="60"/>
      <c r="M40" s="60"/>
      <c r="N40" s="59"/>
      <c r="O40" s="61"/>
      <c r="P40" s="61"/>
    </row>
    <row r="41" spans="1:17" x14ac:dyDescent="0.25">
      <c r="A41" s="59" t="s">
        <v>18</v>
      </c>
      <c r="B41" s="59"/>
      <c r="C41" s="59"/>
      <c r="D41" s="59"/>
      <c r="E41" s="59"/>
      <c r="F41" s="59"/>
      <c r="G41" s="59"/>
      <c r="H41" s="59"/>
      <c r="I41" s="59"/>
      <c r="J41" s="59"/>
      <c r="K41" s="60"/>
      <c r="L41" s="60"/>
      <c r="M41" s="60"/>
      <c r="N41" s="59"/>
      <c r="O41" s="61"/>
      <c r="P41" s="61"/>
    </row>
    <row r="42" spans="1:17" x14ac:dyDescent="0.25">
      <c r="A42" s="60" t="s">
        <v>4</v>
      </c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3"/>
      <c r="P42" s="63"/>
    </row>
    <row r="43" spans="1:17" x14ac:dyDescent="0.25">
      <c r="A43" s="60" t="s">
        <v>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3"/>
      <c r="P43" s="63"/>
    </row>
  </sheetData>
  <mergeCells count="8">
    <mergeCell ref="R7:R8"/>
    <mergeCell ref="S7:S8"/>
    <mergeCell ref="B7:D7"/>
    <mergeCell ref="E7:G7"/>
    <mergeCell ref="H7:J7"/>
    <mergeCell ref="K7:M7"/>
    <mergeCell ref="N7:P7"/>
    <mergeCell ref="Q7:Q8"/>
  </mergeCells>
  <pageMargins left="0.511811024" right="0.511811024" top="0.78740157499999996" bottom="0.78740157499999996" header="0.31496062000000002" footer="0.31496062000000002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33C94276A7402A468BCADCF027B1EA71" ma:contentTypeVersion="0" ma:contentTypeDescription="A content type to manage public (operations) IDB documents" ma:contentTypeScope="" ma:versionID="7ae9a4d31cb5018bfd195854fb39c648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INE/TSP</Division_x0020_or_x0020_Unit>
    <Other_x0020_Author xmlns="9c571b2f-e523-4ab2-ba2e-09e151a03ef4" xsi:nil="true"/>
    <Region xmlns="9c571b2f-e523-4ab2-ba2e-09e151a03ef4" xsi:nil="true"/>
    <IDBDocs_x0020_Number xmlns="9c571b2f-e523-4ab2-ba2e-09e151a03ef4">39568307</IDBDocs_x0020_Number>
    <Document_x0020_Author xmlns="9c571b2f-e523-4ab2-ba2e-09e151a03ef4">Alves, Dalve Alexandre Soria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2015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BR-L1402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TR-TRP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B87B6D18-5EBB-46D1-9AD6-4BB2362CD5D1}"/>
</file>

<file path=customXml/itemProps2.xml><?xml version="1.0" encoding="utf-8"?>
<ds:datastoreItem xmlns:ds="http://schemas.openxmlformats.org/officeDocument/2006/customXml" ds:itemID="{14CCE5B7-0147-4ADA-887A-7C01B4FCE461}"/>
</file>

<file path=customXml/itemProps3.xml><?xml version="1.0" encoding="utf-8"?>
<ds:datastoreItem xmlns:ds="http://schemas.openxmlformats.org/officeDocument/2006/customXml" ds:itemID="{E72B9D6F-3F09-48ED-B6F6-DE6AA8841D20}"/>
</file>

<file path=customXml/itemProps4.xml><?xml version="1.0" encoding="utf-8"?>
<ds:datastoreItem xmlns:ds="http://schemas.openxmlformats.org/officeDocument/2006/customXml" ds:itemID="{25522F19-D430-44ED-859A-9670BEC4A924}"/>
</file>

<file path=customXml/itemProps5.xml><?xml version="1.0" encoding="utf-8"?>
<ds:datastoreItem xmlns:ds="http://schemas.openxmlformats.org/officeDocument/2006/customXml" ds:itemID="{977302E5-375E-42AB-9CAA-D266D3A3BE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Quadro custo</vt:lpstr>
      <vt:lpstr>POA</vt:lpstr>
      <vt:lpstr>POA PSA</vt:lpstr>
      <vt:lpstr>curva desembolso</vt:lpstr>
      <vt:lpstr>'POA PSA'!Print_Area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EER_1 Plan de Ejecución Plurianual (PEP) </dc:title>
  <dc:creator>Alves, Dalve Alexandre Soria</dc:creator>
  <cp:lastModifiedBy>IADB</cp:lastModifiedBy>
  <cp:lastPrinted>2015-10-06T17:46:17Z</cp:lastPrinted>
  <dcterms:created xsi:type="dcterms:W3CDTF">1998-04-23T11:14:54Z</dcterms:created>
  <dcterms:modified xsi:type="dcterms:W3CDTF">2015-12-11T17:28:13Z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0x01010046CF21643EE8D14686A648AA6DAD08920033C94276A7402A468BCADCF027B1EA71</vt:lpwstr>
  </property>
  <property fmtid="{D5CDD505-2E9C-101B-9397-08002B2CF9AE}" pid="6" name="TaxKeywordTaxHTField">
    <vt:lpwstr/>
  </property>
  <property fmtid="{D5CDD505-2E9C-101B-9397-08002B2CF9AE}" pid="7" name="Series Operations IDB">
    <vt:lpwstr>3;#Unclassified|a6dff32e-d477-44cd-a56b-85efe9e0a56c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3;#Unclassified|a6dff32e-d477-44cd-a56b-85efe9e0a56c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4;#IDBDocs|cca77002-e150-4b2d-ab1f-1d7a7cdcae16</vt:lpwstr>
  </property>
</Properties>
</file>