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C:\Users\carlosfac\Desktop\"/>
    </mc:Choice>
  </mc:AlternateContent>
  <xr:revisionPtr revIDLastSave="0" documentId="13_ncr:1_{A6518E8B-6335-43D6-9ED4-9C3BBE876F4D}" xr6:coauthVersionLast="43" xr6:coauthVersionMax="43" xr10:uidLastSave="{00000000-0000-0000-0000-000000000000}"/>
  <bookViews>
    <workbookView xWindow="28680" yWindow="-120" windowWidth="29040" windowHeight="15840" tabRatio="634" firstSheet="5" activeTab="5" xr2:uid="{00000000-000D-0000-FFFF-FFFF00000000}"/>
  </bookViews>
  <sheets>
    <sheet name="Sectores de elegibilidad" sheetId="1" state="hidden" r:id="rId1"/>
    <sheet name="Matriz de Resultados" sheetId="2" state="hidden" r:id="rId2"/>
    <sheet name="Matriz de productos" sheetId="3" state="hidden" r:id="rId3"/>
    <sheet name="CUADRO COSTOS" sheetId="4" state="hidden" r:id="rId4"/>
    <sheet name=" Staff " sheetId="5" state="hidden" r:id="rId5"/>
    <sheet name="PEP" sheetId="22" r:id="rId6"/>
    <sheet name="Gráfico ejec.financiera" sheetId="8" state="hidden" r:id="rId7"/>
    <sheet name="Monto adj vs pr. oficina" sheetId="9" state="hidden" r:id="rId8"/>
    <sheet name="PA" sheetId="28" r:id="rId9"/>
    <sheet name="POA" sheetId="30" r:id="rId10"/>
  </sheets>
  <definedNames>
    <definedName name="_xlnm._FilterDatabase" localSheetId="5" hidden="1">PEP!$A$7:$Y$34</definedName>
    <definedName name="_xlnm.Print_Area" localSheetId="3">'CUADRO COSTOS'!$A$1:$D$26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X29" i="30" l="1"/>
  <c r="W29" i="30"/>
  <c r="V29" i="30"/>
  <c r="U29" i="30"/>
  <c r="X28" i="30"/>
  <c r="W28" i="30"/>
  <c r="V28" i="30"/>
  <c r="U28" i="30"/>
  <c r="X27" i="30"/>
  <c r="W27" i="30"/>
  <c r="V27" i="30"/>
  <c r="U27" i="30"/>
  <c r="X26" i="30"/>
  <c r="W26" i="30"/>
  <c r="V26" i="30"/>
  <c r="U26" i="30"/>
  <c r="E44" i="30" l="1"/>
  <c r="E43" i="30"/>
  <c r="E42" i="30"/>
  <c r="E41" i="30"/>
  <c r="E40" i="30"/>
  <c r="Z29" i="30"/>
  <c r="Y29" i="30"/>
  <c r="Z28" i="30"/>
  <c r="Y28" i="30"/>
  <c r="Z27" i="30"/>
  <c r="Y27" i="30"/>
  <c r="I24" i="22"/>
  <c r="I27" i="22"/>
  <c r="I26" i="22"/>
  <c r="I25" i="22"/>
  <c r="Y10" i="22"/>
  <c r="Y21" i="30"/>
  <c r="X21" i="30"/>
  <c r="W21" i="30"/>
  <c r="V21" i="30"/>
  <c r="U21" i="30"/>
  <c r="T21" i="30"/>
  <c r="S21" i="30"/>
  <c r="R21" i="30"/>
  <c r="Q21" i="30"/>
  <c r="I28" i="28" l="1"/>
  <c r="H28" i="28"/>
  <c r="I27" i="28"/>
  <c r="H27" i="28"/>
  <c r="I26" i="28"/>
  <c r="H26" i="28"/>
  <c r="I25" i="28"/>
  <c r="H25" i="28"/>
  <c r="E28" i="28"/>
  <c r="E27" i="28"/>
  <c r="D27" i="28"/>
  <c r="E26" i="28"/>
  <c r="D26" i="28"/>
  <c r="E25" i="28"/>
  <c r="D25" i="28"/>
  <c r="I20" i="28"/>
  <c r="H20" i="28"/>
  <c r="I19" i="28"/>
  <c r="H19" i="28"/>
  <c r="I18" i="28"/>
  <c r="H18" i="28"/>
  <c r="I17" i="28"/>
  <c r="H17" i="28"/>
  <c r="I16" i="28"/>
  <c r="H16" i="28"/>
  <c r="I15" i="28"/>
  <c r="H15" i="28"/>
  <c r="I14" i="28"/>
  <c r="H14" i="28"/>
  <c r="I13" i="28"/>
  <c r="H13" i="28"/>
  <c r="I12" i="28"/>
  <c r="H12" i="28"/>
  <c r="I11" i="28"/>
  <c r="H11" i="28"/>
  <c r="E20" i="28"/>
  <c r="D20" i="28"/>
  <c r="E19" i="28"/>
  <c r="D19" i="28"/>
  <c r="E18" i="28"/>
  <c r="D18" i="28"/>
  <c r="E17" i="28"/>
  <c r="D17" i="28"/>
  <c r="E16" i="28"/>
  <c r="D16" i="28"/>
  <c r="E15" i="28"/>
  <c r="D15" i="28"/>
  <c r="E14" i="28"/>
  <c r="D14" i="28"/>
  <c r="E13" i="28"/>
  <c r="D13" i="28"/>
  <c r="E12" i="28"/>
  <c r="D12" i="28"/>
  <c r="E11" i="28"/>
  <c r="D11" i="28"/>
  <c r="I10" i="28"/>
  <c r="H10" i="28"/>
  <c r="E10" i="28"/>
  <c r="D10" i="28"/>
  <c r="H29" i="30"/>
  <c r="I29" i="30" s="1"/>
  <c r="E29" i="30"/>
  <c r="D29" i="30"/>
  <c r="D28" i="28" s="1"/>
  <c r="H28" i="30"/>
  <c r="I28" i="30" s="1"/>
  <c r="E28" i="30"/>
  <c r="D28" i="30"/>
  <c r="H27" i="30"/>
  <c r="I27" i="30" s="1"/>
  <c r="E27" i="30"/>
  <c r="D27" i="30"/>
  <c r="I26" i="30"/>
  <c r="H26" i="30"/>
  <c r="E26" i="30"/>
  <c r="D26" i="30"/>
  <c r="X20" i="30"/>
  <c r="W20" i="30"/>
  <c r="V20" i="30"/>
  <c r="U20" i="30"/>
  <c r="T20" i="30"/>
  <c r="S20" i="30"/>
  <c r="R20" i="30"/>
  <c r="Q20" i="30"/>
  <c r="P20" i="30"/>
  <c r="O20" i="30"/>
  <c r="N20" i="30"/>
  <c r="Z20" i="30" s="1"/>
  <c r="M20" i="30"/>
  <c r="Y20" i="30" s="1"/>
  <c r="X19" i="30"/>
  <c r="W19" i="30"/>
  <c r="V19" i="30"/>
  <c r="U19" i="30"/>
  <c r="T19" i="30"/>
  <c r="S19" i="30"/>
  <c r="R19" i="30"/>
  <c r="Q19" i="30"/>
  <c r="P19" i="30"/>
  <c r="O19" i="30"/>
  <c r="N19" i="30"/>
  <c r="Z19" i="30" s="1"/>
  <c r="M19" i="30"/>
  <c r="Y19" i="30" s="1"/>
  <c r="X18" i="30"/>
  <c r="W18" i="30"/>
  <c r="V18" i="30"/>
  <c r="U18" i="30"/>
  <c r="T18" i="30"/>
  <c r="S18" i="30"/>
  <c r="R18" i="30"/>
  <c r="Q18" i="30"/>
  <c r="P18" i="30"/>
  <c r="O18" i="30"/>
  <c r="N18" i="30"/>
  <c r="Z18" i="30" s="1"/>
  <c r="M18" i="30"/>
  <c r="Y18" i="30" s="1"/>
  <c r="P17" i="30"/>
  <c r="O17" i="30"/>
  <c r="N17" i="30"/>
  <c r="M17" i="30"/>
  <c r="X16" i="30"/>
  <c r="W16" i="30"/>
  <c r="V16" i="30"/>
  <c r="U16" i="30"/>
  <c r="T16" i="30"/>
  <c r="S16" i="30"/>
  <c r="R16" i="30"/>
  <c r="Q16" i="30"/>
  <c r="P16" i="30"/>
  <c r="O16" i="30"/>
  <c r="N16" i="30"/>
  <c r="Z16" i="30" s="1"/>
  <c r="M16" i="30"/>
  <c r="Y16" i="30" s="1"/>
  <c r="X15" i="30"/>
  <c r="W15" i="30"/>
  <c r="V15" i="30"/>
  <c r="U15" i="30"/>
  <c r="T15" i="30"/>
  <c r="S15" i="30"/>
  <c r="R15" i="30"/>
  <c r="Q15" i="30"/>
  <c r="P15" i="30"/>
  <c r="O15" i="30"/>
  <c r="N15" i="30"/>
  <c r="Z15" i="30" s="1"/>
  <c r="M15" i="30"/>
  <c r="Y15" i="30" s="1"/>
  <c r="X14" i="30"/>
  <c r="W14" i="30"/>
  <c r="V14" i="30"/>
  <c r="U14" i="30"/>
  <c r="T14" i="30"/>
  <c r="S14" i="30"/>
  <c r="R14" i="30"/>
  <c r="Q14" i="30"/>
  <c r="P14" i="30"/>
  <c r="O14" i="30"/>
  <c r="N14" i="30"/>
  <c r="Z14" i="30" s="1"/>
  <c r="M14" i="30"/>
  <c r="Y14" i="30" s="1"/>
  <c r="X13" i="30"/>
  <c r="W13" i="30"/>
  <c r="V13" i="30"/>
  <c r="U13" i="30"/>
  <c r="T13" i="30"/>
  <c r="S13" i="30"/>
  <c r="R13" i="30"/>
  <c r="Q13" i="30"/>
  <c r="P13" i="30"/>
  <c r="O13" i="30"/>
  <c r="N13" i="30"/>
  <c r="Z13" i="30" s="1"/>
  <c r="M13" i="30"/>
  <c r="Y13" i="30" s="1"/>
  <c r="X12" i="30"/>
  <c r="W12" i="30"/>
  <c r="V12" i="30"/>
  <c r="U12" i="30"/>
  <c r="T12" i="30"/>
  <c r="S12" i="30"/>
  <c r="R12" i="30"/>
  <c r="Q12" i="30"/>
  <c r="P12" i="30"/>
  <c r="O12" i="30"/>
  <c r="N12" i="30"/>
  <c r="Z12" i="30" s="1"/>
  <c r="M12" i="30"/>
  <c r="Y12" i="30" s="1"/>
  <c r="H21" i="30"/>
  <c r="I21" i="30" s="1"/>
  <c r="E21" i="30"/>
  <c r="D21" i="30"/>
  <c r="E20" i="30"/>
  <c r="E19" i="30"/>
  <c r="E18" i="30"/>
  <c r="E17" i="30"/>
  <c r="E16" i="30"/>
  <c r="E15" i="30"/>
  <c r="E14" i="30"/>
  <c r="E13" i="30"/>
  <c r="E12" i="30"/>
  <c r="E11" i="30"/>
  <c r="D20" i="30"/>
  <c r="D19" i="30"/>
  <c r="D18" i="30"/>
  <c r="D17" i="30"/>
  <c r="D16" i="30"/>
  <c r="D15" i="30"/>
  <c r="D14" i="30"/>
  <c r="D13" i="30"/>
  <c r="D12" i="30"/>
  <c r="D11" i="30"/>
  <c r="H20" i="30"/>
  <c r="I20" i="30" s="1"/>
  <c r="H19" i="30"/>
  <c r="I19" i="30" s="1"/>
  <c r="H18" i="30"/>
  <c r="I18" i="30" s="1"/>
  <c r="H17" i="30"/>
  <c r="I17" i="30" s="1"/>
  <c r="H16" i="30"/>
  <c r="I16" i="30" s="1"/>
  <c r="H15" i="30"/>
  <c r="I15" i="30" s="1"/>
  <c r="H14" i="30"/>
  <c r="I14" i="30" s="1"/>
  <c r="H13" i="30"/>
  <c r="I13" i="30" s="1"/>
  <c r="H12" i="30"/>
  <c r="I12" i="30" s="1"/>
  <c r="I11" i="30"/>
  <c r="Z11" i="30"/>
  <c r="H11" i="30"/>
  <c r="Y11" i="30" s="1"/>
  <c r="X11" i="30"/>
  <c r="V11" i="30"/>
  <c r="T11" i="30"/>
  <c r="W11" i="30"/>
  <c r="U11" i="30"/>
  <c r="S11" i="30"/>
  <c r="Q11" i="30"/>
  <c r="R11" i="30"/>
  <c r="V1" i="30"/>
  <c r="P11" i="30"/>
  <c r="O11" i="30"/>
  <c r="N11" i="30"/>
  <c r="M11" i="30"/>
  <c r="K27" i="22"/>
  <c r="K26" i="22"/>
  <c r="K25" i="22"/>
  <c r="K24" i="22"/>
  <c r="K23" i="22"/>
  <c r="P34" i="22" l="1"/>
  <c r="V31" i="22"/>
  <c r="U31" i="22"/>
  <c r="T31" i="22"/>
  <c r="S31" i="22"/>
  <c r="R31" i="22"/>
  <c r="Q31" i="22"/>
  <c r="P31" i="22"/>
  <c r="O31" i="22"/>
  <c r="V29" i="22"/>
  <c r="U29" i="22"/>
  <c r="U28" i="22" s="1"/>
  <c r="T29" i="22"/>
  <c r="T28" i="22" s="1"/>
  <c r="S29" i="22"/>
  <c r="S28" i="22" s="1"/>
  <c r="R29" i="22"/>
  <c r="Q29" i="22"/>
  <c r="Q28" i="22" s="1"/>
  <c r="P29" i="22"/>
  <c r="P28" i="22" s="1"/>
  <c r="V28" i="22"/>
  <c r="R28" i="22"/>
  <c r="O29" i="22"/>
  <c r="T27" i="22"/>
  <c r="S27" i="22"/>
  <c r="R27" i="22"/>
  <c r="V27" i="22" s="1"/>
  <c r="Q27" i="22"/>
  <c r="U27" i="22" s="1"/>
  <c r="R26" i="22"/>
  <c r="T26" i="22" s="1"/>
  <c r="V26" i="22" s="1"/>
  <c r="Q26" i="22"/>
  <c r="S26" i="22" s="1"/>
  <c r="T25" i="22"/>
  <c r="S25" i="22"/>
  <c r="R25" i="22"/>
  <c r="V25" i="22" s="1"/>
  <c r="Q25" i="22"/>
  <c r="U25" i="22" s="1"/>
  <c r="W25" i="22" s="1"/>
  <c r="R24" i="22"/>
  <c r="T24" i="22" s="1"/>
  <c r="Q24" i="22"/>
  <c r="V23" i="22"/>
  <c r="T23" i="22"/>
  <c r="R23" i="22"/>
  <c r="U23" i="22"/>
  <c r="Q23" i="22"/>
  <c r="V20" i="22"/>
  <c r="U20" i="22"/>
  <c r="T20" i="22"/>
  <c r="S20" i="22"/>
  <c r="R20" i="22"/>
  <c r="Q20" i="22"/>
  <c r="V13" i="22"/>
  <c r="U13" i="22"/>
  <c r="V12" i="22"/>
  <c r="U12" i="22"/>
  <c r="V8" i="22"/>
  <c r="U8" i="22"/>
  <c r="T17" i="22"/>
  <c r="V17" i="22" s="1"/>
  <c r="S17" i="22"/>
  <c r="U17" i="22" s="1"/>
  <c r="T16" i="22"/>
  <c r="V16" i="22" s="1"/>
  <c r="S16" i="22"/>
  <c r="U16" i="22" s="1"/>
  <c r="T15" i="22"/>
  <c r="V15" i="22" s="1"/>
  <c r="S15" i="22"/>
  <c r="U15" i="22" s="1"/>
  <c r="T14" i="22"/>
  <c r="S14" i="22"/>
  <c r="T11" i="22"/>
  <c r="V11" i="22" s="1"/>
  <c r="S11" i="22"/>
  <c r="U11" i="22" s="1"/>
  <c r="T10" i="22"/>
  <c r="V10" i="22" s="1"/>
  <c r="S10" i="22"/>
  <c r="U10" i="22" s="1"/>
  <c r="T9" i="22"/>
  <c r="V9" i="22" s="1"/>
  <c r="S9" i="22"/>
  <c r="U9" i="22" s="1"/>
  <c r="R17" i="22"/>
  <c r="Q17" i="22"/>
  <c r="R16" i="22"/>
  <c r="Q16" i="22"/>
  <c r="R15" i="22"/>
  <c r="Q15" i="22"/>
  <c r="R14" i="22"/>
  <c r="T13" i="22"/>
  <c r="R13" i="22"/>
  <c r="Q14" i="22"/>
  <c r="Q13" i="22"/>
  <c r="R11" i="22"/>
  <c r="Q11" i="22"/>
  <c r="R10" i="22"/>
  <c r="Q10" i="22"/>
  <c r="R9" i="22"/>
  <c r="Q9" i="22"/>
  <c r="R12" i="22"/>
  <c r="Q12" i="22"/>
  <c r="T12" i="22"/>
  <c r="S12" i="22"/>
  <c r="P17" i="22"/>
  <c r="O17" i="22"/>
  <c r="P16" i="22"/>
  <c r="O16" i="22"/>
  <c r="P15" i="22"/>
  <c r="O15" i="22"/>
  <c r="P14" i="22"/>
  <c r="O14" i="22"/>
  <c r="P13" i="22"/>
  <c r="O13" i="22"/>
  <c r="P12" i="22"/>
  <c r="O12" i="22"/>
  <c r="P11" i="22"/>
  <c r="O11" i="22"/>
  <c r="P10" i="22"/>
  <c r="O10" i="22"/>
  <c r="P9" i="22"/>
  <c r="O9" i="22"/>
  <c r="T8" i="22"/>
  <c r="S8" i="22"/>
  <c r="R8" i="22"/>
  <c r="Q8" i="22"/>
  <c r="P8" i="22"/>
  <c r="O8" i="22"/>
  <c r="X17" i="30" l="1"/>
  <c r="T17" i="30"/>
  <c r="V17" i="30"/>
  <c r="R17" i="30"/>
  <c r="U17" i="30"/>
  <c r="Q17" i="30"/>
  <c r="W17" i="30"/>
  <c r="S17" i="30"/>
  <c r="U14" i="22"/>
  <c r="V14" i="22"/>
  <c r="W30" i="22"/>
  <c r="W27" i="22"/>
  <c r="U26" i="22"/>
  <c r="W26" i="22" s="1"/>
  <c r="V24" i="22"/>
  <c r="S24" i="22"/>
  <c r="W17" i="22"/>
  <c r="AD29" i="30"/>
  <c r="AD28" i="30"/>
  <c r="AD11" i="30"/>
  <c r="Z21" i="30"/>
  <c r="Z17" i="30" l="1"/>
  <c r="Y17" i="30"/>
  <c r="AD17" i="30" s="1"/>
  <c r="Z26" i="30"/>
  <c r="AD20" i="30"/>
  <c r="AD12" i="30"/>
  <c r="AD16" i="30"/>
  <c r="AD18" i="30"/>
  <c r="AD13" i="30"/>
  <c r="AD15" i="30"/>
  <c r="AD21" i="30"/>
  <c r="AD14" i="30"/>
  <c r="AD19" i="30"/>
  <c r="U24" i="22"/>
  <c r="W24" i="22" s="1"/>
  <c r="Y26" i="30"/>
  <c r="AD27" i="30"/>
  <c r="AD26" i="30" l="1"/>
  <c r="E30" i="30"/>
  <c r="E22" i="30"/>
  <c r="E32" i="30" s="1"/>
  <c r="E29" i="28" l="1"/>
  <c r="E21" i="28"/>
  <c r="E31" i="28" l="1"/>
  <c r="M34" i="22"/>
  <c r="J30" i="22"/>
  <c r="K28" i="22"/>
  <c r="M29" i="22"/>
  <c r="M30" i="22" s="1"/>
  <c r="L29" i="22"/>
  <c r="L30" i="22" s="1"/>
  <c r="K29" i="22"/>
  <c r="K30" i="22" s="1"/>
  <c r="J29" i="22"/>
  <c r="S23" i="22"/>
  <c r="M27" i="22"/>
  <c r="M26" i="22"/>
  <c r="M25" i="22"/>
  <c r="M24" i="22"/>
  <c r="M23" i="22"/>
  <c r="L27" i="22"/>
  <c r="L26" i="22"/>
  <c r="L25" i="22"/>
  <c r="L24" i="22"/>
  <c r="L23" i="22"/>
  <c r="K22" i="22"/>
  <c r="L22" i="22"/>
  <c r="M22" i="22"/>
  <c r="K21" i="22"/>
  <c r="I23" i="22"/>
  <c r="J18" i="22"/>
  <c r="F20" i="22"/>
  <c r="F9" i="22"/>
  <c r="F10" i="22"/>
  <c r="F11" i="22"/>
  <c r="F12" i="22"/>
  <c r="F13" i="22"/>
  <c r="F14" i="22"/>
  <c r="F15" i="22"/>
  <c r="F16" i="22"/>
  <c r="F17" i="22"/>
  <c r="F8" i="22"/>
  <c r="I20" i="22"/>
  <c r="I9" i="22"/>
  <c r="I10" i="22"/>
  <c r="I11" i="22"/>
  <c r="I12" i="22"/>
  <c r="I13" i="22"/>
  <c r="I14" i="22"/>
  <c r="I15" i="22"/>
  <c r="I16" i="22"/>
  <c r="I17" i="22"/>
  <c r="I8" i="22"/>
  <c r="L10" i="22"/>
  <c r="K10" i="22" s="1"/>
  <c r="L11" i="22"/>
  <c r="K11" i="22" s="1"/>
  <c r="L12" i="22"/>
  <c r="K12" i="22" s="1"/>
  <c r="L14" i="22"/>
  <c r="K14" i="22" s="1"/>
  <c r="L15" i="22"/>
  <c r="K15" i="22" s="1"/>
  <c r="L16" i="22"/>
  <c r="K16" i="22" s="1"/>
  <c r="K6" i="22"/>
  <c r="L9" i="22" s="1"/>
  <c r="L20" i="22"/>
  <c r="M20" i="22" s="1"/>
  <c r="L8" i="22"/>
  <c r="K8" i="22" s="1"/>
  <c r="W23" i="22" l="1"/>
  <c r="W20" i="22"/>
  <c r="W9" i="22"/>
  <c r="W15" i="22"/>
  <c r="W16" i="22"/>
  <c r="M8" i="22"/>
  <c r="W11" i="22"/>
  <c r="L18" i="22"/>
  <c r="W8" i="22"/>
  <c r="W14" i="22"/>
  <c r="W10" i="22"/>
  <c r="S13" i="22"/>
  <c r="K9" i="22"/>
  <c r="M9" i="22"/>
  <c r="K20" i="22"/>
  <c r="M16" i="22"/>
  <c r="M12" i="22"/>
  <c r="M15" i="22"/>
  <c r="M11" i="22"/>
  <c r="L17" i="22"/>
  <c r="L13" i="22"/>
  <c r="M14" i="22"/>
  <c r="M10" i="22"/>
  <c r="K18" i="22" l="1"/>
  <c r="S18" i="22"/>
  <c r="S6" i="22" s="1"/>
  <c r="Q18" i="22"/>
  <c r="O18" i="22"/>
  <c r="O6" i="22" s="1"/>
  <c r="M18" i="22"/>
  <c r="W12" i="22"/>
  <c r="W13" i="22"/>
  <c r="K13" i="22"/>
  <c r="M13" i="22"/>
  <c r="M17" i="22"/>
  <c r="K17" i="22"/>
  <c r="J5" i="22"/>
  <c r="M5" i="22"/>
  <c r="L5" i="22"/>
  <c r="K5" i="22"/>
  <c r="G13" i="22"/>
  <c r="G12" i="22"/>
  <c r="U18" i="22" l="1"/>
  <c r="U6" i="22" s="1"/>
  <c r="P18" i="22"/>
  <c r="T18" i="22"/>
  <c r="T6" i="22" s="1"/>
  <c r="T5" i="22" s="1"/>
  <c r="T34" i="22" s="1"/>
  <c r="R18" i="22"/>
  <c r="R6" i="22" s="1"/>
  <c r="R5" i="22" s="1"/>
  <c r="R34" i="22" s="1"/>
  <c r="O22" i="22"/>
  <c r="O21" i="22" s="1"/>
  <c r="N6" i="22"/>
  <c r="N5" i="22" s="1"/>
  <c r="Q21" i="22"/>
  <c r="U22" i="22"/>
  <c r="U21" i="22" l="1"/>
  <c r="W21" i="22" s="1"/>
  <c r="W22" i="22"/>
  <c r="P6" i="22"/>
  <c r="P5" i="22" s="1"/>
  <c r="V18" i="22"/>
  <c r="V6" i="22" s="1"/>
  <c r="V5" i="22" s="1"/>
  <c r="V34" i="22" s="1"/>
  <c r="Q6" i="22"/>
  <c r="W18" i="22" l="1"/>
  <c r="W6" i="22" s="1"/>
  <c r="S21" i="22"/>
  <c r="E33" i="22" l="1"/>
  <c r="E32" i="22"/>
  <c r="I31" i="22"/>
  <c r="I29" i="22" s="1"/>
  <c r="H31" i="22"/>
  <c r="H29" i="22" s="1"/>
  <c r="F30" i="22"/>
  <c r="G30" i="22" s="1"/>
  <c r="E30" i="22"/>
  <c r="G22" i="22"/>
  <c r="O5" i="22" l="1"/>
  <c r="F29" i="22"/>
  <c r="G29" i="22" s="1"/>
  <c r="E29" i="22"/>
  <c r="E31" i="22"/>
  <c r="F31" i="22"/>
  <c r="G31" i="22" s="1"/>
  <c r="C31" i="8" l="1"/>
  <c r="D31" i="8"/>
  <c r="E31" i="8"/>
  <c r="F31" i="8"/>
  <c r="G31" i="8"/>
  <c r="B31" i="8"/>
  <c r="B29" i="9"/>
  <c r="A29" i="9"/>
  <c r="C26" i="9" s="1"/>
  <c r="E28" i="9"/>
  <c r="D28" i="9"/>
  <c r="E27" i="9"/>
  <c r="D27" i="9"/>
  <c r="E26" i="9"/>
  <c r="D26" i="9"/>
  <c r="E25" i="9"/>
  <c r="D25" i="9"/>
  <c r="E24" i="9"/>
  <c r="D24" i="9"/>
  <c r="E23" i="9"/>
  <c r="D23" i="9"/>
  <c r="E22" i="9"/>
  <c r="D22" i="9"/>
  <c r="E21" i="9"/>
  <c r="D21" i="9"/>
  <c r="E20" i="9"/>
  <c r="D20" i="9"/>
  <c r="E19" i="9"/>
  <c r="D19" i="9"/>
  <c r="E18" i="9"/>
  <c r="D18" i="9"/>
  <c r="E17" i="9"/>
  <c r="D17" i="9"/>
  <c r="E16" i="9"/>
  <c r="D16" i="9"/>
  <c r="E15" i="9"/>
  <c r="D15" i="9"/>
  <c r="E14" i="9"/>
  <c r="D14" i="9"/>
  <c r="E13" i="9"/>
  <c r="D13" i="9"/>
  <c r="E12" i="9"/>
  <c r="D12" i="9"/>
  <c r="E11" i="9"/>
  <c r="D11" i="9"/>
  <c r="E10" i="9"/>
  <c r="D10" i="9"/>
  <c r="E9" i="9"/>
  <c r="D9" i="9"/>
  <c r="E8" i="9"/>
  <c r="D8" i="9"/>
  <c r="E7" i="9"/>
  <c r="D7" i="9"/>
  <c r="E6" i="9"/>
  <c r="D6" i="9"/>
  <c r="E5" i="9"/>
  <c r="D5" i="9"/>
  <c r="E4" i="9"/>
  <c r="D4" i="9"/>
  <c r="E3" i="9"/>
  <c r="D3" i="9"/>
  <c r="E2" i="9"/>
  <c r="D2" i="9"/>
  <c r="C17" i="4"/>
  <c r="E35" i="5"/>
  <c r="F35" i="5" s="1"/>
  <c r="E34" i="5"/>
  <c r="F34" i="5" s="1"/>
  <c r="E33" i="5"/>
  <c r="F33" i="5" s="1"/>
  <c r="E32" i="5"/>
  <c r="F32" i="5" s="1"/>
  <c r="E31" i="5"/>
  <c r="F31" i="5" s="1"/>
  <c r="E30" i="5"/>
  <c r="F30" i="5" s="1"/>
  <c r="E29" i="5"/>
  <c r="F29" i="5" s="1"/>
  <c r="E25" i="5"/>
  <c r="E24" i="5"/>
  <c r="E23" i="5"/>
  <c r="E22" i="5"/>
  <c r="E21" i="5"/>
  <c r="E20" i="5"/>
  <c r="B20" i="5"/>
  <c r="B21" i="5" s="1"/>
  <c r="B22" i="5" s="1"/>
  <c r="C16" i="5"/>
  <c r="D16" i="5" s="1"/>
  <c r="F16" i="5" s="1"/>
  <c r="C15" i="5"/>
  <c r="D15" i="5" s="1"/>
  <c r="F15" i="5" s="1"/>
  <c r="C14" i="5"/>
  <c r="D14" i="5" s="1"/>
  <c r="F14" i="5" s="1"/>
  <c r="C13" i="5"/>
  <c r="D13" i="5" s="1"/>
  <c r="F13" i="5" s="1"/>
  <c r="C12" i="5"/>
  <c r="D12" i="5" s="1"/>
  <c r="F12" i="5" s="1"/>
  <c r="C11" i="5"/>
  <c r="D11" i="5" s="1"/>
  <c r="F11" i="5" s="1"/>
  <c r="C10" i="5"/>
  <c r="D10" i="5" s="1"/>
  <c r="F10" i="5" s="1"/>
  <c r="C9" i="5"/>
  <c r="D9" i="5" s="1"/>
  <c r="F9" i="5" s="1"/>
  <c r="C8" i="5"/>
  <c r="D8" i="5" s="1"/>
  <c r="F8" i="5" s="1"/>
  <c r="C7" i="5"/>
  <c r="D7" i="5" s="1"/>
  <c r="F7" i="5" s="1"/>
  <c r="C6" i="5"/>
  <c r="D6" i="5" s="1"/>
  <c r="F6" i="5" s="1"/>
  <c r="C5" i="5"/>
  <c r="D5" i="5" s="1"/>
  <c r="F5" i="5" s="1"/>
  <c r="C4" i="5"/>
  <c r="D4" i="5" s="1"/>
  <c r="F4" i="5" s="1"/>
  <c r="C18" i="4"/>
  <c r="C13" i="4"/>
  <c r="C12" i="4"/>
  <c r="C9" i="4"/>
  <c r="C8" i="4"/>
  <c r="I16" i="3"/>
  <c r="I15" i="3"/>
  <c r="I12" i="3"/>
  <c r="I11" i="3"/>
  <c r="I10" i="3"/>
  <c r="I9" i="3"/>
  <c r="I8" i="3"/>
  <c r="I7" i="3"/>
  <c r="I5" i="3"/>
  <c r="I4" i="3"/>
  <c r="C13" i="9" l="1"/>
  <c r="F13" i="9" s="1"/>
  <c r="C17" i="9"/>
  <c r="F17" i="9" s="1"/>
  <c r="C5" i="9"/>
  <c r="F5" i="9" s="1"/>
  <c r="C21" i="9"/>
  <c r="F21" i="9" s="1"/>
  <c r="C9" i="9"/>
  <c r="F9" i="9" s="1"/>
  <c r="C25" i="9"/>
  <c r="F25" i="9" s="1"/>
  <c r="C4" i="9"/>
  <c r="F4" i="9" s="1"/>
  <c r="C8" i="9"/>
  <c r="F8" i="9" s="1"/>
  <c r="C12" i="9"/>
  <c r="F12" i="9" s="1"/>
  <c r="C16" i="9"/>
  <c r="F16" i="9" s="1"/>
  <c r="C20" i="9"/>
  <c r="F20" i="9" s="1"/>
  <c r="C24" i="9"/>
  <c r="F24" i="9" s="1"/>
  <c r="F26" i="9"/>
  <c r="C28" i="9"/>
  <c r="F28" i="9" s="1"/>
  <c r="C3" i="9"/>
  <c r="C7" i="9"/>
  <c r="F7" i="9" s="1"/>
  <c r="C11" i="9"/>
  <c r="F11" i="9" s="1"/>
  <c r="C15" i="9"/>
  <c r="F15" i="9" s="1"/>
  <c r="C19" i="9"/>
  <c r="F19" i="9" s="1"/>
  <c r="C23" i="9"/>
  <c r="F23" i="9" s="1"/>
  <c r="C27" i="9"/>
  <c r="F27" i="9" s="1"/>
  <c r="C2" i="9"/>
  <c r="F2" i="9" s="1"/>
  <c r="C6" i="9"/>
  <c r="F6" i="9" s="1"/>
  <c r="C10" i="9"/>
  <c r="F10" i="9" s="1"/>
  <c r="C14" i="9"/>
  <c r="F14" i="9" s="1"/>
  <c r="C18" i="9"/>
  <c r="F18" i="9" s="1"/>
  <c r="C22" i="9"/>
  <c r="F22" i="9" s="1"/>
  <c r="C20" i="5"/>
  <c r="D20" i="5" s="1"/>
  <c r="F20" i="5" s="1"/>
  <c r="F36" i="5"/>
  <c r="B25" i="5"/>
  <c r="C25" i="5" s="1"/>
  <c r="D25" i="5" s="1"/>
  <c r="F25" i="5" s="1"/>
  <c r="B23" i="5"/>
  <c r="C22" i="5"/>
  <c r="D22" i="5" s="1"/>
  <c r="F22" i="5" s="1"/>
  <c r="F17" i="5"/>
  <c r="C21" i="5"/>
  <c r="D21" i="5" s="1"/>
  <c r="F21" i="5" s="1"/>
  <c r="E29" i="9"/>
  <c r="C29" i="9" l="1"/>
  <c r="F3" i="9"/>
  <c r="F29" i="9"/>
  <c r="B24" i="5"/>
  <c r="C24" i="5" s="1"/>
  <c r="D24" i="5" s="1"/>
  <c r="F24" i="5" s="1"/>
  <c r="C23" i="5"/>
  <c r="D23" i="5" s="1"/>
  <c r="F23" i="5" s="1"/>
  <c r="C14" i="4" l="1"/>
  <c r="C7" i="4"/>
  <c r="F26" i="5"/>
  <c r="C16" i="4" l="1"/>
  <c r="F38" i="5"/>
  <c r="C11" i="4"/>
  <c r="C10" i="4" l="1"/>
  <c r="C15" i="4"/>
  <c r="C6" i="4"/>
  <c r="C5" i="4" l="1"/>
  <c r="C4" i="4" l="1"/>
  <c r="D5" i="4" s="1"/>
  <c r="E5" i="4" l="1"/>
  <c r="E9" i="4"/>
  <c r="D18" i="4"/>
  <c r="D13" i="4"/>
  <c r="D12" i="4"/>
  <c r="E8" i="4"/>
  <c r="E18" i="4"/>
  <c r="E13" i="4"/>
  <c r="D17" i="4"/>
  <c r="E17" i="4"/>
  <c r="E12" i="4"/>
  <c r="D9" i="4"/>
  <c r="D8" i="4"/>
  <c r="D7" i="4"/>
  <c r="D14" i="4"/>
  <c r="E14" i="4"/>
  <c r="E7" i="4"/>
  <c r="E16" i="4"/>
  <c r="D11" i="4"/>
  <c r="D16" i="4"/>
  <c r="E11" i="4"/>
  <c r="D15" i="4"/>
  <c r="E15" i="4"/>
  <c r="E10" i="4"/>
  <c r="E6" i="4"/>
  <c r="D10" i="4"/>
  <c r="D6" i="4"/>
  <c r="Q5" i="22" l="1"/>
  <c r="U5" i="22"/>
  <c r="U34" i="22" s="1"/>
  <c r="Q34" i="22" l="1"/>
  <c r="S5" i="22"/>
  <c r="S34" i="22" s="1"/>
  <c r="W5" i="22" l="1"/>
  <c r="W33" i="22"/>
  <c r="J33" i="22"/>
  <c r="L33" i="22" s="1"/>
  <c r="W31" i="22"/>
  <c r="J31" i="22" s="1"/>
  <c r="W32" i="22"/>
  <c r="J32" i="22" s="1"/>
  <c r="L32" i="22" s="1"/>
  <c r="W29" i="22"/>
  <c r="W28" i="22"/>
  <c r="O28" i="22"/>
  <c r="O34" i="22"/>
  <c r="W34" i="22" s="1"/>
  <c r="J34" i="22" l="1"/>
  <c r="L31" i="22"/>
  <c r="L34" i="22" s="1"/>
</calcChain>
</file>

<file path=xl/sharedStrings.xml><?xml version="1.0" encoding="utf-8"?>
<sst xmlns="http://schemas.openxmlformats.org/spreadsheetml/2006/main" count="580" uniqueCount="296">
  <si>
    <t>Sectores de elegibilidad - PDGS 2</t>
  </si>
  <si>
    <t>Misión de Identificación</t>
  </si>
  <si>
    <t>PDGS</t>
  </si>
  <si>
    <t>Propuesta</t>
  </si>
  <si>
    <t>Perfiles de Proyecto ingresados para la cartera del PDGS 2</t>
  </si>
  <si>
    <t>Departamento</t>
  </si>
  <si>
    <t>Proyecto</t>
  </si>
  <si>
    <t>Obras complementarias a la actividad productiva en sectores estratégicos de los Departamentos</t>
  </si>
  <si>
    <t>Infraestructura al servicio de la producción</t>
  </si>
  <si>
    <t>Instalaciones para facilitar las actividades, generar y complementar la infraestructura destinada a la producción de bienes y servicios.</t>
  </si>
  <si>
    <t>Obras de infraestructura complementarias a la actividad productiva en sectores estratégicos de los Departamentos</t>
  </si>
  <si>
    <t>Colonia</t>
  </si>
  <si>
    <t>Proyecto de Recuperación y Refuncionalización de la Plaza de Toros de Colonia del Sacramento</t>
  </si>
  <si>
    <t>Obras vinculadas a la prestación de servicios al ciudadano (educación, salud, gestión de residuos)</t>
  </si>
  <si>
    <t>Servicios y equipamientos urbanos</t>
  </si>
  <si>
    <t>Creación, ampliación, mejoramiento o rehabilitación de servicios y equipamientos urbanos responsabilidad de la ID o en coordinación con otros organismos.</t>
  </si>
  <si>
    <t>Obras de infraestructira vinculadas a la prestación de servicios al ciudadano (espacios públicos, centros culturales, educativos, de salud, gestión de residuos). Creación, ampliación, mejoramiento y/o rehabilitación de infraestructuras y equipamientos urbanos destinados a servicios que son responsbilidad de la ID  o en coordinación con otros organismos.</t>
  </si>
  <si>
    <t>Durazno</t>
  </si>
  <si>
    <t>Parque Bicentenario</t>
  </si>
  <si>
    <t>Flores</t>
  </si>
  <si>
    <t>Recuperación ambiental e integración urbana de cañada del Parque Lavalleja</t>
  </si>
  <si>
    <t>Florida</t>
  </si>
  <si>
    <t>Estadio 10 de Julio</t>
  </si>
  <si>
    <t>Lavalleja</t>
  </si>
  <si>
    <t>Complejo cultural, soc y dep Barrio Estación</t>
  </si>
  <si>
    <t>Paysandú</t>
  </si>
  <si>
    <t>Recalificación del Borde Costero</t>
  </si>
  <si>
    <t>Rio Negro</t>
  </si>
  <si>
    <t>Parque lineal Arroyo Laureles</t>
  </si>
  <si>
    <t>Río Negro</t>
  </si>
  <si>
    <t>Parque lineal Young</t>
  </si>
  <si>
    <t>Rivera</t>
  </si>
  <si>
    <t>Parque lineal de arroyo Cuñapirú</t>
  </si>
  <si>
    <t>Soriano</t>
  </si>
  <si>
    <t>Complejo deportivo Mercedes</t>
  </si>
  <si>
    <t>Tacuarembó</t>
  </si>
  <si>
    <t>Residencia Universitaria</t>
  </si>
  <si>
    <t>Reforma Teatro Escayola</t>
  </si>
  <si>
    <t>Obras de desarrollo urbano y territorial</t>
  </si>
  <si>
    <t>Mejora del hábitat</t>
  </si>
  <si>
    <t>Proyectos integrales de intervención en ámbitos urbanos, incluyendo: mejora de las condiciones de movilidad y conectividad local, espacios públicos, señalización y cartelería, drenajes y obras complementarias de saneamiento.</t>
  </si>
  <si>
    <t>Consolidación urbana y territorial</t>
  </si>
  <si>
    <t>Obras integrales de infraestructura en ámbitos urbanos y/o de adecuación de áreas urbanas de acuerdo a su uso y/o de  mejora ambiental. Incluyendo, por ejemplo, mejora de las condiciones de movilidad y conectividad local, espacios públicos, señalización y cartelería, drenajes y obras complementarias de saneamiento.</t>
  </si>
  <si>
    <t>Salto</t>
  </si>
  <si>
    <t>Mejoramiento Barrio Los Ingleses y Federico Moreira</t>
  </si>
  <si>
    <t>Rocha</t>
  </si>
  <si>
    <t>Pavimentación y Desagües Pluviales en el Barrio Lavalleja de la Ciudad de Rocha</t>
  </si>
  <si>
    <t>Programa de Acondicionamiento y Desarrollo del Barrio Artigas de la Ciudad de Tranqueras</t>
  </si>
  <si>
    <t>Canelones</t>
  </si>
  <si>
    <t>Barrios Mullins</t>
  </si>
  <si>
    <t>Barrios Borbonet</t>
  </si>
  <si>
    <t>Consolidación del barrio Sur de la Ciudad de Santa Lucía</t>
  </si>
  <si>
    <t>Corralón Municipal</t>
  </si>
  <si>
    <t>Barrio Santa Bernardina</t>
  </si>
  <si>
    <t>Infraestructura para la accesibilidad y conectividad</t>
  </si>
  <si>
    <t>Ejecución de las obras necesarias para la construcción, rehabilitación, ampliación y organización del sistema de redes y vías urbanas y territoriales, incluyendo puentes, accesos, señalización y demás obras complementarias, que faciliten la accesibilidad e integración de la población en relación a recursos y servicios.</t>
  </si>
  <si>
    <t>Obras de infraestructura necesarias para la construcción, rehabilitación, ampliación y organización del sistema de redes y vías urbanas , incluyendo puentes, accesos, señalización y demás obras complementarias, que faciliten la accesibilidad e integración de la población en relación a recursos y servicios.</t>
  </si>
  <si>
    <t>Treinta y tres</t>
  </si>
  <si>
    <t>Accesos a la ciudad de treinta y tres</t>
  </si>
  <si>
    <t>Maldonado</t>
  </si>
  <si>
    <t>TRAMO ESTE DEL COLECTOR NORTE DEL CONURBANO MALDONADO PUNTA DEL ESTE - tramo II</t>
  </si>
  <si>
    <t>Cerro Largo</t>
  </si>
  <si>
    <t>ANILLO PERIMETRAL TRAMO 1</t>
  </si>
  <si>
    <t>San José</t>
  </si>
  <si>
    <t>Intervención urbana en Avenida Luis Alberto de Herrera y Plaza 4 de Octubre</t>
  </si>
  <si>
    <t>Artigas</t>
  </si>
  <si>
    <t>Mejoras en Avenida Artigas, ciudad de Bella Unión.</t>
  </si>
  <si>
    <t>Reacondicionamiento Accesos a la ciudad de Artigas - 2ª ETAPA</t>
  </si>
  <si>
    <t>Mejora ambiental</t>
  </si>
  <si>
    <t>Recuperación de pasivos ambientales y protección de franjas costeras. Disposición de residuos sólidos urbanos. Obras relativas a la gestión de aguas pluviales, macro drenajes y saneamiento</t>
  </si>
  <si>
    <t>-</t>
  </si>
  <si>
    <t>MATRIZ DE RESULTADOS Y PRODUCTOS</t>
  </si>
  <si>
    <t>Objetivo del Programa:</t>
  </si>
  <si>
    <t>Contribuir a la mejora de la gestión fiscal y de la inversión pública de los Gobiernos Departamentales</t>
  </si>
  <si>
    <t>Impacto</t>
  </si>
  <si>
    <t>Indicador</t>
  </si>
  <si>
    <t>Línea de base</t>
  </si>
  <si>
    <t>Meta final</t>
  </si>
  <si>
    <t>Observaciones</t>
  </si>
  <si>
    <t>A.  Ingresos generados en el Departamento sobre el total de ingresos, aumentados</t>
  </si>
  <si>
    <t>XX porcentaje de incremento</t>
  </si>
  <si>
    <t>BID: evidencias</t>
  </si>
  <si>
    <t>La meta va a estar entre el 3 y 5%</t>
  </si>
  <si>
    <t>Resultados</t>
  </si>
  <si>
    <t>1. Precio de bienes inmobiliarios en las áreas intervenidas incrementado</t>
  </si>
  <si>
    <t>XX puntos porcentuales promedio de incremento real del precio, en pesos uruguayos, del m2 de las áreas intervenidas respecto a las áreas sin intervención</t>
  </si>
  <si>
    <t>BID evidencias a partir de estudios externos existentes. PDGS Estudio San Cono como apoyo</t>
  </si>
  <si>
    <t>Puede ser la misma área pre-intervención (pre y post intervención).</t>
  </si>
  <si>
    <t>2.  Recaudación de la contribución inmobiliaria incrementada/(Morosidad disminuida)</t>
  </si>
  <si>
    <t>XX puntos porcentuales de incremento porcentual de la recaudación en términos reales sobre el promedio porcentual de los cuatro últimos años</t>
  </si>
  <si>
    <t>BID: evidencias  PDGS: SUCIVE (Martín)/ Morosidad en las ID</t>
  </si>
  <si>
    <t>Tendencia de crecimiento en los últimos 6 años (otu.opp.gob.uy). Se realizará una discriminación entre lo que resulte por la mejora en la gestión de cobro de la que se produce eventualmente por actualización de los valores catastrales. La meta va a estar entre el 3 y 5%</t>
  </si>
  <si>
    <t>3. Tiempo de demora en la entrega de información financiera reducido</t>
  </si>
  <si>
    <t>50%de reducción en el tiempo de la disponibilidad de la información financiera</t>
  </si>
  <si>
    <t>8 meses promedio</t>
  </si>
  <si>
    <t>4 meses promedio</t>
  </si>
  <si>
    <t>1/N* Ʃ (Fecha de recibida - fecha de solicitada). Refiere a la información que formara parte de la matriz de monitoreo</t>
  </si>
  <si>
    <t>4. Reducción de la duración de los procesos de adquisición para la ejecución de proyectos de inversión.</t>
  </si>
  <si>
    <t>Reducción del tiempo de transcurrido desde la solicitud de no objeción al BID ( al pliego y al proyecto)  y la fecha de contratación de la empresa constructora.</t>
  </si>
  <si>
    <t>400 días promedio en el PDGS</t>
  </si>
  <si>
    <t>240 días</t>
  </si>
  <si>
    <t>1/N* Ʃ (Fecha de contratación a empresa constructora - Fecha de nota de solicitud de NOB)</t>
  </si>
  <si>
    <t>5. Mejora en la capacidad de planificación y presupuestación</t>
  </si>
  <si>
    <t>Diferencia entre el precio de oficina (actualizado al momento de la licitación) y el monto adjudicado</t>
  </si>
  <si>
    <t>12% (PDGS)</t>
  </si>
  <si>
    <t>Ʃ (Precio de oficina i/Suma total precios de oficina)* (Precio adjudicado  i – Precio de oficina i)</t>
  </si>
  <si>
    <t>Productos</t>
  </si>
  <si>
    <t>2017                   (6 meses)</t>
  </si>
  <si>
    <t>2022             (6 meses)</t>
  </si>
  <si>
    <t>Componente 1. Fortalecimiento de la gestión fiscal y de las finanzas departamentales</t>
  </si>
  <si>
    <t>1.      Nº de gobiernos departamentales que canalizan la recaudación por contribución catastral por un sistema de cobro centralizado</t>
  </si>
  <si>
    <t>Mejora de la gestión de cobranza</t>
  </si>
  <si>
    <t>2.      Nº de departamentos con actualización dinámica del vínculo registro-catastro (propiedad) implementada</t>
  </si>
  <si>
    <t>3.      Nº de departamentos con estudios para la actualización de valores catastrales</t>
  </si>
  <si>
    <t>4.      Nº de gobiernos departamentales que aplican el plan de cuentas único</t>
  </si>
  <si>
    <t>5.      Nº de gobiernos departamentales que realizan su gestión financiera por medio de sistemas de información financiera integrales y con criterios unificados</t>
  </si>
  <si>
    <t>6.      Sistema de monitoreo de las finanzas departamentales desarrollado e implementado</t>
  </si>
  <si>
    <t>7.      Nº de estudios para el fortalecimiento de la gestión del gasto, la gestión por resultados y costeo de los servicios</t>
  </si>
  <si>
    <t>8.      Nº de gobiernos departamentales capacitados en la implementación de instrumentos de gestión de riesgo</t>
  </si>
  <si>
    <t>9.      Nº de gobiernos departamentales que cuentan con proyectos de mitigación de riesgos y adaptación al cambio climático</t>
  </si>
  <si>
    <t>Componente 2: Inversiones para el desarrollo subnacional</t>
  </si>
  <si>
    <t>10.  Nº de proyectos de inversión con estudios de preinversión</t>
  </si>
  <si>
    <t>Proyectos financiados Fondo de Asignación Inicial</t>
  </si>
  <si>
    <t>11.  Nº de proyectos de inversión con dirección de obra</t>
  </si>
  <si>
    <t>12.  Nº de proyectos con la recepción provisoria de fin de obra</t>
  </si>
  <si>
    <t>13.  Nº de proyectos financiados con el Fondo Concursable</t>
  </si>
  <si>
    <t>TOTAL USD</t>
  </si>
  <si>
    <t>BID USD</t>
  </si>
  <si>
    <t>NACIONAL USD</t>
  </si>
  <si>
    <t>PROGRAMA DE DESARROLLO Y FORTALECIMIENTO DE LA GESTIÓN FISCAL Y DE SERVICIOS SUBNACIONAL</t>
  </si>
  <si>
    <t>Fotalecimiento de la gestión fiscal  y de inversión de los gobiernos subnacionales</t>
  </si>
  <si>
    <t>1.1</t>
  </si>
  <si>
    <t>1.2</t>
  </si>
  <si>
    <t>Inversiones para el desarrollo subnacional</t>
  </si>
  <si>
    <t>2.1</t>
  </si>
  <si>
    <t>Formulación de proyectos de inversión</t>
  </si>
  <si>
    <t>2.2</t>
  </si>
  <si>
    <t>Ejecución de proyectos de inversion</t>
  </si>
  <si>
    <t>2.2.1</t>
  </si>
  <si>
    <t>Fondo de Asignación Inicial</t>
  </si>
  <si>
    <t>2.2.2</t>
  </si>
  <si>
    <t>Fondo concursable</t>
  </si>
  <si>
    <t>2.3</t>
  </si>
  <si>
    <t>Dirección de obra</t>
  </si>
  <si>
    <t>2.4</t>
  </si>
  <si>
    <t>Supervisión, control de calidad y otras acciones para el fortalecimiento de la gestión de la inversión subnacional</t>
  </si>
  <si>
    <t>Administración, monitoreo y otros gastos de funcionamiento</t>
  </si>
  <si>
    <t>3.1</t>
  </si>
  <si>
    <t>Unidad Coordinadora</t>
  </si>
  <si>
    <t>3.2</t>
  </si>
  <si>
    <t>Evaluación intermedia y final; Auditoría</t>
  </si>
  <si>
    <t>Imprevistos</t>
  </si>
  <si>
    <t>Consultores staff permanente</t>
  </si>
  <si>
    <t>Honorario mensual 2016 (con IVA) $U</t>
  </si>
  <si>
    <t>Honorario anual $U</t>
  </si>
  <si>
    <t>Honorario anual en USD</t>
  </si>
  <si>
    <t>Viáticos</t>
  </si>
  <si>
    <t>Honorario 5 años en USD + Viáticos</t>
  </si>
  <si>
    <t>Coordinador general</t>
  </si>
  <si>
    <t>Coordinador Fortalecimiento</t>
  </si>
  <si>
    <t>Coordinador Inversiones</t>
  </si>
  <si>
    <t>Coordinador Áreas de Apoyo</t>
  </si>
  <si>
    <t>Responsable Adquisiciones</t>
  </si>
  <si>
    <t>Asistente de  Adquisiciones</t>
  </si>
  <si>
    <t>Asistente de  Adquisiciones refuerzo Caminos Rurales Productivos</t>
  </si>
  <si>
    <t>Responsable Financiero contable</t>
  </si>
  <si>
    <t>Adjunto Financiero contable</t>
  </si>
  <si>
    <t>Asistente de  Financiero contable refuerzo Caminos Rurales Productivos</t>
  </si>
  <si>
    <t>Responsable Monitoreo y Evaluación</t>
  </si>
  <si>
    <t>Asistente Monitoreo y Evaluación</t>
  </si>
  <si>
    <t>Asistente administrativo experto</t>
  </si>
  <si>
    <t>SUBTOTAL</t>
  </si>
  <si>
    <t>Fortalecimiento</t>
  </si>
  <si>
    <t>1 Consultor especialista en finanzas departamentales</t>
  </si>
  <si>
    <t>1.1.1</t>
  </si>
  <si>
    <t>1 Consultor especialista en sistemas de infromación financiera departamental</t>
  </si>
  <si>
    <t>1.1.2</t>
  </si>
  <si>
    <t>1 Consultor especialista en gestión de riesgo</t>
  </si>
  <si>
    <t>1.2.1</t>
  </si>
  <si>
    <t>1 Consultor especialista en gestión por resultados</t>
  </si>
  <si>
    <t>1.1.3</t>
  </si>
  <si>
    <t>1 Consultor informático</t>
  </si>
  <si>
    <t>1 Consultor a definir</t>
  </si>
  <si>
    <t>Inversiones</t>
  </si>
  <si>
    <t>1 Consultor especialistas en supervisión de proyectos de inversión en infraestructura</t>
  </si>
  <si>
    <t>2.4.1</t>
  </si>
  <si>
    <t>TOTAL</t>
  </si>
  <si>
    <t>Nº</t>
  </si>
  <si>
    <t>Línea de trabajo</t>
  </si>
  <si>
    <t>Fecha estimada de cumplimiento</t>
  </si>
  <si>
    <t>Plazo Ejecución (meses)</t>
  </si>
  <si>
    <t>Cantidad días</t>
  </si>
  <si>
    <t>Duración</t>
  </si>
  <si>
    <t>Costo Total
US$</t>
  </si>
  <si>
    <t>%</t>
  </si>
  <si>
    <t>Fuente de Financiamiento (US$)</t>
  </si>
  <si>
    <t>Costo Total</t>
  </si>
  <si>
    <t>Días</t>
  </si>
  <si>
    <t>Fin</t>
  </si>
  <si>
    <t>BID</t>
  </si>
  <si>
    <t>Local</t>
  </si>
  <si>
    <t>General</t>
  </si>
  <si>
    <t>TOTAL GENERAL</t>
  </si>
  <si>
    <t>Ejecución en miles de USD/ miles de $U</t>
  </si>
  <si>
    <t>PDGS 1 Inversiones + PDGS2 total en USD</t>
  </si>
  <si>
    <t>PDGs 2  total en USD</t>
  </si>
  <si>
    <t>PDGS 1 Inversiones + PDGS2 total en $U</t>
  </si>
  <si>
    <t>PDGs 2  total en $U</t>
  </si>
  <si>
    <t>Precio de oficina</t>
  </si>
  <si>
    <t>Adjudicado</t>
  </si>
  <si>
    <t>Ponderador</t>
  </si>
  <si>
    <t>Diferencia precio adjudicado- precio de oficina</t>
  </si>
  <si>
    <t>(Precio adjudicado / precio de oficina)-1</t>
  </si>
  <si>
    <t>PONDERADO(Precio adjudicado / precio de oficina)-1</t>
  </si>
  <si>
    <t>Ejecución en miles de USD</t>
  </si>
  <si>
    <t>PDGS1</t>
  </si>
  <si>
    <t>PDGS2</t>
  </si>
  <si>
    <t>FC PDGS2</t>
  </si>
  <si>
    <t>Gestión  tributaria y financiera</t>
  </si>
  <si>
    <t>Gestion de la inversion y de riesgos climáticos</t>
  </si>
  <si>
    <t>Componente 2. Fortalecimiento institucional</t>
  </si>
  <si>
    <t>Auditoría, monitoreo y evaluación</t>
  </si>
  <si>
    <t>Inicio</t>
  </si>
  <si>
    <t>Auditoría</t>
  </si>
  <si>
    <t>3.1.1</t>
  </si>
  <si>
    <t>3.1.2</t>
  </si>
  <si>
    <t xml:space="preserve">Actividades de monitoreo y/o supervisión </t>
  </si>
  <si>
    <t xml:space="preserve">Km </t>
  </si>
  <si>
    <t>SBCC</t>
  </si>
  <si>
    <t>Componente 1. Infraestructura.</t>
  </si>
  <si>
    <t>Otros</t>
  </si>
  <si>
    <t>Programa de Adecuación de la Infraestructura Vial a las Necesidades del Transporte de Madera</t>
  </si>
  <si>
    <t>Longitud de caminos rehabilitados</t>
  </si>
  <si>
    <t>LPI</t>
  </si>
  <si>
    <t>Informatización del sistema de supervisión de obras</t>
  </si>
  <si>
    <t>Compra e instalación de laboratorio</t>
  </si>
  <si>
    <t>Capacitación en supervisión de obra</t>
  </si>
  <si>
    <t>R4 Camino del Tala - Baygorria_Tr1</t>
  </si>
  <si>
    <t>R4 Baygorria - Ruta 20_Tr2</t>
  </si>
  <si>
    <t>R41 R6 (0k000) - 22k080 _Tr1</t>
  </si>
  <si>
    <t>R41  22k080 - Ruta 7 (38K300)_Tr2</t>
  </si>
  <si>
    <t>R43  Ruta 5 (306K600) - Ruta 59 (28k600)_Tr1</t>
  </si>
  <si>
    <t>R43  28k600 - San Gregorio (54k600)_Tr2</t>
  </si>
  <si>
    <t xml:space="preserve">R90  Ruta 25 (71K700) - Guichon </t>
  </si>
  <si>
    <t>R90  Piedra Colorada - R25</t>
  </si>
  <si>
    <t>R59  0k000 - 19k380 _Tr1</t>
  </si>
  <si>
    <t>R59  19k380 - 39K350_Tr2</t>
  </si>
  <si>
    <t>R5 Puente Río Yí</t>
  </si>
  <si>
    <t>12 de 2020</t>
  </si>
  <si>
    <t>6 de 2021</t>
  </si>
  <si>
    <t>Otra obras / imprevistos</t>
  </si>
  <si>
    <t>Producto: metros de puentes reforzados y ensanchados</t>
  </si>
  <si>
    <t>Producto: Kilómetros de caminos rehabilitados.</t>
  </si>
  <si>
    <t>NC</t>
  </si>
  <si>
    <t>Administración</t>
  </si>
  <si>
    <t>UR-L 1153</t>
  </si>
  <si>
    <t>PLAN DE ADQUISICIONES</t>
  </si>
  <si>
    <t>Ref</t>
  </si>
  <si>
    <t>COMPONENTE</t>
  </si>
  <si>
    <t>Descripción del Contrato</t>
  </si>
  <si>
    <t>Costo Estimado          (US$)</t>
  </si>
  <si>
    <t>Método de Adquisición</t>
  </si>
  <si>
    <t>Revisión  ex - ante o          ex - post</t>
  </si>
  <si>
    <t>Fuente de Financiamiento</t>
  </si>
  <si>
    <t>Fechas Estimadas</t>
  </si>
  <si>
    <t>Estado: Pendiente,       en Proceso,  Adjudicado, o Cancelado</t>
  </si>
  <si>
    <t>% BID</t>
  </si>
  <si>
    <t>% LOCAL / OTRO</t>
  </si>
  <si>
    <t>Publicación Anuncio Específico de Adqusición</t>
  </si>
  <si>
    <t>Terminación Contrato</t>
  </si>
  <si>
    <t>1. OBRAS</t>
  </si>
  <si>
    <t>C1</t>
  </si>
  <si>
    <t>ex - ante</t>
  </si>
  <si>
    <t>En proceso</t>
  </si>
  <si>
    <t>Sub Total OBRAS</t>
  </si>
  <si>
    <t>2. CONSULTORÍA</t>
  </si>
  <si>
    <t>C2</t>
  </si>
  <si>
    <t>ex-ante</t>
  </si>
  <si>
    <t>T1/2020</t>
  </si>
  <si>
    <t>Pendiente</t>
  </si>
  <si>
    <t>Sub Total CONSULTORÍA</t>
  </si>
  <si>
    <t>TOTAL PLAN DE ADQUISICIONES DEL PROYECTO</t>
  </si>
  <si>
    <r>
      <t>Firmas Consultoras:</t>
    </r>
    <r>
      <rPr>
        <sz val="11"/>
        <rFont val="Arial"/>
        <family val="2"/>
      </rPr>
      <t xml:space="preserve"> SBCC: Selección Basada en la Calidad y el Costo; SBC: Selección Basada en la Calidad; SBPF: Selección Basada en Presupuesto Fijo; SBMC: Selección Basada en el Menor Costo; SCC: Selección Basada en las Calificaciones de los Consultores; SD: Selección Directa</t>
    </r>
  </si>
  <si>
    <r>
      <t>Consultores Individuales:</t>
    </r>
    <r>
      <rPr>
        <sz val="11"/>
        <rFont val="Arial"/>
        <family val="2"/>
      </rPr>
      <t xml:space="preserve"> CCIN: Selección basada en la Comparación de Calificaciones Consultor Individual Nacional; CCII: Selección basada en la Comparación de Calificaciones Consultor Individual Internacional.</t>
    </r>
  </si>
  <si>
    <t>T2/2019</t>
  </si>
  <si>
    <t>T1/2021</t>
  </si>
  <si>
    <t>T1/2022</t>
  </si>
  <si>
    <t>T42021</t>
  </si>
  <si>
    <t>Trim III</t>
  </si>
  <si>
    <t>Trim IV</t>
  </si>
  <si>
    <t>Trim I</t>
  </si>
  <si>
    <t>Trim II</t>
  </si>
  <si>
    <t>PLAN OPERATIVO ANUAL</t>
  </si>
  <si>
    <t>SALDO</t>
  </si>
  <si>
    <t>T3/2021</t>
  </si>
  <si>
    <t>Consultoría para implementación de Plan de Género e Inclusión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</si>
</sst>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0.0%"/>
    <numFmt numFmtId="165" formatCode="_(* #,##0_);_(* \(#,##0\);_(* &quot;-&quot;??_);_(@_)"/>
    <numFmt numFmtId="166" formatCode="0.0"/>
    <numFmt numFmtId="167" formatCode="#,##0_ ;[Red]\-#,##0\ "/>
    <numFmt numFmtId="168" formatCode="m/d/yy;@"/>
    <numFmt numFmtId="169" formatCode="#,##0.0_ ;[Red]\-#,##0.0\ "/>
    <numFmt numFmtId="170" formatCode="[$-409]d\-mmm\-yyyy;@"/>
    <numFmt numFmtId="171" formatCode="_-* #,##0.00_-;\-* #,##0.00_-;_-* &quot;-&quot;??_-;_-@_-"/>
  </numFmts>
  <fonts count="42" x14ac:knownFonts="1">
    <font>
      <sz val="11"/>
      <color rgb="FF000000"/>
      <name val="Calibri"/>
      <family val="2"/>
      <charset val="1"/>
    </font>
    <font>
      <b/>
      <sz val="11"/>
      <color rgb="FF000000"/>
      <name val="Calibri"/>
      <family val="2"/>
      <charset val="1"/>
    </font>
    <font>
      <sz val="11"/>
      <color rgb="FFFF0000"/>
      <name val="Calibri"/>
      <family val="2"/>
      <charset val="1"/>
    </font>
    <font>
      <b/>
      <sz val="11"/>
      <color rgb="FF000000"/>
      <name val="Times New Roman"/>
      <family val="1"/>
      <charset val="1"/>
    </font>
    <font>
      <sz val="11"/>
      <color rgb="FF000000"/>
      <name val="Times New Roman"/>
      <family val="1"/>
      <charset val="1"/>
    </font>
    <font>
      <b/>
      <u/>
      <sz val="11"/>
      <color rgb="FF000000"/>
      <name val="Times New Roman"/>
      <family val="1"/>
      <charset val="1"/>
    </font>
    <font>
      <sz val="11"/>
      <name val="Times New Roman"/>
      <family val="1"/>
      <charset val="1"/>
    </font>
    <font>
      <b/>
      <u/>
      <sz val="11"/>
      <name val="Times New Roman"/>
      <family val="1"/>
      <charset val="1"/>
    </font>
    <font>
      <sz val="11"/>
      <name val="Calibri"/>
      <family val="2"/>
      <charset val="1"/>
    </font>
    <font>
      <sz val="10"/>
      <name val="Arial"/>
      <family val="2"/>
      <charset val="1"/>
    </font>
    <font>
      <sz val="11"/>
      <color rgb="FF000000"/>
      <name val="Calibri"/>
      <family val="2"/>
      <charset val="1"/>
    </font>
    <font>
      <sz val="10"/>
      <name val="Arial"/>
      <family val="2"/>
    </font>
    <font>
      <sz val="9"/>
      <color rgb="FF000000"/>
      <name val="Calibri"/>
      <family val="2"/>
      <scheme val="minor"/>
    </font>
    <font>
      <b/>
      <sz val="9"/>
      <name val="Calibri"/>
      <family val="2"/>
      <scheme val="minor"/>
    </font>
    <font>
      <sz val="9"/>
      <name val="Calibri"/>
      <family val="2"/>
      <scheme val="minor"/>
    </font>
    <font>
      <sz val="9"/>
      <color rgb="FFFF0000"/>
      <name val="Calibri"/>
      <family val="2"/>
      <scheme val="minor"/>
    </font>
    <font>
      <b/>
      <sz val="10"/>
      <color theme="1"/>
      <name val="Calibri"/>
      <family val="2"/>
    </font>
    <font>
      <sz val="10"/>
      <color theme="1"/>
      <name val="Calibri"/>
      <family val="2"/>
    </font>
    <font>
      <sz val="11"/>
      <name val="Calibri"/>
      <family val="2"/>
    </font>
    <font>
      <b/>
      <sz val="9"/>
      <color theme="4" tint="-0.499984740745262"/>
      <name val="Calibri"/>
      <family val="2"/>
      <scheme val="minor"/>
    </font>
    <font>
      <sz val="6"/>
      <name val="Calibri"/>
      <family val="2"/>
      <scheme val="minor"/>
    </font>
    <font>
      <b/>
      <i/>
      <sz val="10"/>
      <color rgb="FFFF0000"/>
      <name val="Calibri"/>
      <family val="2"/>
    </font>
    <font>
      <i/>
      <sz val="10"/>
      <color rgb="FFFF0000"/>
      <name val="Calibri"/>
      <family val="2"/>
    </font>
    <font>
      <sz val="12"/>
      <name val="Calibri"/>
      <family val="2"/>
      <charset val="1"/>
    </font>
    <font>
      <sz val="10"/>
      <name val="Calibri"/>
      <family val="2"/>
    </font>
    <font>
      <b/>
      <sz val="9"/>
      <color rgb="FFFF0000"/>
      <name val="Calibri"/>
      <family val="2"/>
      <scheme val="minor"/>
    </font>
    <font>
      <sz val="11"/>
      <color indexed="8"/>
      <name val="Arial"/>
      <family val="2"/>
    </font>
    <font>
      <sz val="10"/>
      <color theme="1"/>
      <name val="Arial"/>
      <family val="2"/>
    </font>
    <font>
      <sz val="11"/>
      <color theme="1"/>
      <name val="Arial"/>
      <family val="2"/>
    </font>
    <font>
      <i/>
      <sz val="9"/>
      <name val="Calibri"/>
      <family val="2"/>
      <scheme val="minor"/>
    </font>
    <font>
      <sz val="14"/>
      <name val="Arial"/>
      <family val="2"/>
    </font>
    <font>
      <sz val="12"/>
      <name val="Arial"/>
      <family val="2"/>
    </font>
    <font>
      <b/>
      <sz val="12"/>
      <name val="Arial"/>
      <family val="2"/>
    </font>
    <font>
      <b/>
      <sz val="18"/>
      <name val="Arial"/>
      <family val="2"/>
    </font>
    <font>
      <b/>
      <sz val="18"/>
      <color indexed="21"/>
      <name val="Arial"/>
      <family val="2"/>
    </font>
    <font>
      <b/>
      <sz val="11"/>
      <color indexed="9"/>
      <name val="Arial"/>
      <family val="2"/>
    </font>
    <font>
      <sz val="10"/>
      <color indexed="9"/>
      <name val="Arial"/>
      <family val="2"/>
    </font>
    <font>
      <sz val="11"/>
      <name val="Arial"/>
      <family val="2"/>
    </font>
    <font>
      <b/>
      <sz val="11"/>
      <name val="Arial"/>
      <family val="2"/>
    </font>
    <font>
      <sz val="10"/>
      <name val="Arial"/>
    </font>
    <font>
      <sz val="8"/>
      <color indexed="9"/>
      <name val="Arial"/>
      <family val="2"/>
    </font>
    <font>
      <sz val="8"/>
      <name val="Arial"/>
      <family val="2"/>
    </font>
  </fonts>
  <fills count="19">
    <fill>
      <patternFill patternType="none"/>
    </fill>
    <fill>
      <patternFill patternType="gray125"/>
    </fill>
    <fill>
      <patternFill patternType="solid">
        <fgColor rgb="FFBDD7EE"/>
        <bgColor rgb="FFD6DCE5"/>
      </patternFill>
    </fill>
    <fill>
      <patternFill patternType="solid">
        <fgColor rgb="FFFBE5D6"/>
        <bgColor rgb="FFF2F2F2"/>
      </patternFill>
    </fill>
    <fill>
      <patternFill patternType="solid">
        <fgColor rgb="FF5F5F60"/>
        <bgColor rgb="FF595959"/>
      </patternFill>
    </fill>
    <fill>
      <patternFill patternType="solid">
        <fgColor rgb="FFF2F2F2"/>
        <bgColor rgb="FFFFFFFF"/>
      </patternFill>
    </fill>
    <fill>
      <patternFill patternType="solid">
        <fgColor rgb="FFD9D9D9"/>
        <bgColor rgb="FFD6DCE5"/>
      </patternFill>
    </fill>
    <fill>
      <patternFill patternType="solid">
        <fgColor rgb="FFBFBFBF"/>
        <bgColor rgb="FFBDD7EE"/>
      </patternFill>
    </fill>
    <fill>
      <patternFill patternType="solid">
        <fgColor rgb="FFFFFFFF"/>
        <bgColor rgb="FFF2F2F2"/>
      </patternFill>
    </fill>
    <fill>
      <patternFill patternType="solid">
        <fgColor rgb="FFA6A6A6"/>
        <bgColor rgb="FF8FAADC"/>
      </patternFill>
    </fill>
    <fill>
      <patternFill patternType="solid">
        <fgColor rgb="FF8497B0"/>
        <bgColor rgb="FF8FAADC"/>
      </patternFill>
    </fill>
    <fill>
      <patternFill patternType="solid">
        <fgColor rgb="FFD6DCE5"/>
        <bgColor rgb="FFD9D9D9"/>
      </patternFill>
    </fill>
    <fill>
      <patternFill patternType="solid">
        <fgColor theme="5" tint="0.79998168889431442"/>
        <bgColor indexed="64"/>
      </patternFill>
    </fill>
    <fill>
      <patternFill patternType="solid">
        <fgColor theme="0"/>
        <bgColor rgb="FFF2F2F2"/>
      </patternFill>
    </fill>
    <fill>
      <patternFill patternType="solid">
        <fgColor theme="5" tint="0.79998168889431442"/>
        <bgColor rgb="FFF2F2F2"/>
      </patternFill>
    </fill>
    <fill>
      <patternFill patternType="solid">
        <fgColor theme="0"/>
        <bgColor indexed="64"/>
      </patternFill>
    </fill>
    <fill>
      <patternFill patternType="solid">
        <fgColor rgb="FFFFFF00"/>
        <bgColor indexed="64"/>
      </patternFill>
    </fill>
    <fill>
      <patternFill patternType="solid">
        <fgColor indexed="41"/>
        <bgColor indexed="64"/>
      </patternFill>
    </fill>
    <fill>
      <patternFill patternType="solid">
        <fgColor theme="0"/>
        <bgColor rgb="FFD9D9D9"/>
      </patternFill>
    </fill>
  </fills>
  <borders count="64">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style="medium">
        <color auto="1"/>
      </left>
      <right style="thin">
        <color auto="1"/>
      </right>
      <top/>
      <bottom/>
      <diagonal/>
    </border>
    <border>
      <left style="thin">
        <color auto="1"/>
      </left>
      <right/>
      <top/>
      <bottom/>
      <diagonal/>
    </border>
    <border>
      <left style="thin">
        <color auto="1"/>
      </left>
      <right style="medium">
        <color auto="1"/>
      </right>
      <top/>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top/>
      <bottom style="medium">
        <color auto="1"/>
      </bottom>
      <diagonal/>
    </border>
    <border>
      <left/>
      <right/>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right/>
      <top style="thin">
        <color auto="1"/>
      </top>
      <bottom/>
      <diagonal/>
    </border>
    <border>
      <left style="thin">
        <color auto="1"/>
      </left>
      <right style="thin">
        <color auto="1"/>
      </right>
      <top/>
      <bottom style="thin">
        <color auto="1"/>
      </bottom>
      <diagonal/>
    </border>
    <border>
      <left/>
      <right style="medium">
        <color auto="1"/>
      </right>
      <top style="medium">
        <color auto="1"/>
      </top>
      <bottom style="thin">
        <color auto="1"/>
      </bottom>
      <diagonal/>
    </border>
    <border>
      <left/>
      <right/>
      <top style="medium">
        <color indexed="64"/>
      </top>
      <bottom/>
      <diagonal/>
    </border>
    <border>
      <left/>
      <right style="medium">
        <color indexed="64"/>
      </right>
      <top style="thin">
        <color indexed="64"/>
      </top>
      <bottom style="medium">
        <color indexed="64"/>
      </bottom>
      <diagonal/>
    </border>
    <border>
      <left style="medium">
        <color auto="1"/>
      </left>
      <right/>
      <top style="medium">
        <color auto="1"/>
      </top>
      <bottom/>
      <diagonal/>
    </border>
    <border>
      <left/>
      <right style="medium">
        <color auto="1"/>
      </right>
      <top style="medium">
        <color auto="1"/>
      </top>
      <bottom/>
      <diagonal/>
    </border>
    <border>
      <left style="thin">
        <color indexed="64"/>
      </left>
      <right/>
      <top style="thin">
        <color indexed="64"/>
      </top>
      <bottom/>
      <diagonal/>
    </border>
    <border>
      <left/>
      <right style="thin">
        <color auto="1"/>
      </right>
      <top style="thin">
        <color auto="1"/>
      </top>
      <bottom/>
      <diagonal/>
    </border>
    <border>
      <left/>
      <right style="medium">
        <color auto="1"/>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style="thin">
        <color auto="1"/>
      </right>
      <top/>
      <bottom style="dashed">
        <color auto="1"/>
      </bottom>
      <diagonal/>
    </border>
    <border>
      <left style="thin">
        <color auto="1"/>
      </left>
      <right/>
      <top/>
      <bottom style="dashed">
        <color auto="1"/>
      </bottom>
      <diagonal/>
    </border>
    <border>
      <left style="thin">
        <color indexed="64"/>
      </left>
      <right style="thin">
        <color indexed="64"/>
      </right>
      <top style="thin">
        <color indexed="64"/>
      </top>
      <bottom style="dotted">
        <color auto="1"/>
      </bottom>
      <diagonal/>
    </border>
    <border>
      <left/>
      <right style="thin">
        <color auto="1"/>
      </right>
      <top/>
      <bottom style="dashed">
        <color auto="1"/>
      </bottom>
      <diagonal/>
    </border>
    <border>
      <left style="thin">
        <color auto="1"/>
      </left>
      <right style="thin">
        <color auto="1"/>
      </right>
      <top style="dashed">
        <color auto="1"/>
      </top>
      <bottom style="dashed">
        <color auto="1"/>
      </bottom>
      <diagonal/>
    </border>
    <border>
      <left style="thin">
        <color indexed="64"/>
      </left>
      <right style="thin">
        <color indexed="64"/>
      </right>
      <top style="dotted">
        <color auto="1"/>
      </top>
      <bottom style="dotted">
        <color auto="1"/>
      </bottom>
      <diagonal/>
    </border>
    <border>
      <left style="thin">
        <color indexed="64"/>
      </left>
      <right style="thin">
        <color indexed="64"/>
      </right>
      <top style="dotted">
        <color auto="1"/>
      </top>
      <bottom style="thin">
        <color indexed="64"/>
      </bottom>
      <diagonal/>
    </border>
    <border>
      <left style="thin">
        <color indexed="64"/>
      </left>
      <right style="thin">
        <color indexed="64"/>
      </right>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style="medium">
        <color auto="1"/>
      </left>
      <right/>
      <top style="thin">
        <color indexed="64"/>
      </top>
      <bottom style="medium">
        <color auto="1"/>
      </bottom>
      <diagonal/>
    </border>
    <border>
      <left style="thin">
        <color auto="1"/>
      </left>
      <right style="thin">
        <color auto="1"/>
      </right>
      <top style="thin">
        <color auto="1"/>
      </top>
      <bottom style="thin">
        <color auto="1"/>
      </bottom>
      <diagonal/>
    </border>
    <border>
      <left style="thin">
        <color indexed="64"/>
      </left>
      <right style="thin">
        <color auto="1"/>
      </right>
      <top style="dashed">
        <color auto="1"/>
      </top>
      <bottom style="thin">
        <color indexed="64"/>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s>
  <cellStyleXfs count="10">
    <xf numFmtId="0" fontId="0" fillId="0" borderId="0"/>
    <xf numFmtId="9" fontId="10" fillId="0" borderId="0" applyBorder="0" applyProtection="0"/>
    <xf numFmtId="0" fontId="9" fillId="0" borderId="0"/>
    <xf numFmtId="43" fontId="10" fillId="0" borderId="0" applyFont="0" applyFill="0" applyBorder="0" applyAlignment="0" applyProtection="0"/>
    <xf numFmtId="9" fontId="10" fillId="0" borderId="0" applyBorder="0" applyProtection="0"/>
    <xf numFmtId="0" fontId="11" fillId="0" borderId="0"/>
    <xf numFmtId="0" fontId="28" fillId="0" borderId="0"/>
    <xf numFmtId="43" fontId="26" fillId="0" borderId="0" applyFont="0" applyFill="0" applyBorder="0" applyAlignment="0" applyProtection="0"/>
    <xf numFmtId="9" fontId="26" fillId="0" borderId="0" applyFont="0" applyFill="0" applyBorder="0" applyAlignment="0" applyProtection="0"/>
    <xf numFmtId="171" fontId="39" fillId="0" borderId="0" applyFill="0" applyBorder="0" applyAlignment="0" applyProtection="0"/>
  </cellStyleXfs>
  <cellXfs count="347">
    <xf numFmtId="0" fontId="0" fillId="0" borderId="0" xfId="0"/>
    <xf numFmtId="0" fontId="0" fillId="0" borderId="0" xfId="0" applyAlignment="1">
      <alignment wrapText="1"/>
    </xf>
    <xf numFmtId="0" fontId="1" fillId="2" borderId="1" xfId="0" applyFont="1" applyFill="1" applyBorder="1" applyAlignment="1">
      <alignment horizontal="center"/>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3" borderId="4" xfId="0" applyFont="1" applyFill="1" applyBorder="1" applyAlignment="1">
      <alignment horizontal="center" vertical="center" wrapText="1"/>
    </xf>
    <xf numFmtId="0" fontId="0" fillId="3" borderId="6" xfId="0" applyFont="1" applyFill="1" applyBorder="1" applyAlignment="1">
      <alignment horizontal="left" vertical="center" wrapText="1"/>
    </xf>
    <xf numFmtId="0" fontId="0" fillId="0" borderId="7" xfId="0" applyFont="1" applyBorder="1" applyAlignment="1">
      <alignment horizontal="left" vertical="center" wrapText="1"/>
    </xf>
    <xf numFmtId="0" fontId="1" fillId="0" borderId="0" xfId="0" applyFont="1"/>
    <xf numFmtId="0" fontId="0" fillId="0" borderId="10" xfId="0" applyFont="1" applyBorder="1" applyAlignment="1">
      <alignment horizontal="center" vertical="center" wrapText="1"/>
    </xf>
    <xf numFmtId="0" fontId="0" fillId="0" borderId="12" xfId="0" applyFont="1" applyBorder="1"/>
    <xf numFmtId="0" fontId="0" fillId="0" borderId="13" xfId="0" applyFont="1" applyBorder="1"/>
    <xf numFmtId="0" fontId="0" fillId="0" borderId="14" xfId="0" applyFont="1" applyBorder="1"/>
    <xf numFmtId="0" fontId="0" fillId="0" borderId="15" xfId="0" applyFont="1" applyBorder="1"/>
    <xf numFmtId="0" fontId="0" fillId="0" borderId="16" xfId="0" applyFont="1" applyBorder="1"/>
    <xf numFmtId="0" fontId="0" fillId="4" borderId="9" xfId="0" applyFill="1" applyBorder="1" applyAlignment="1">
      <alignment horizontal="center" vertical="center" wrapText="1"/>
    </xf>
    <xf numFmtId="0" fontId="0" fillId="0" borderId="17" xfId="0" applyFont="1" applyBorder="1" applyAlignment="1">
      <alignment horizontal="center" vertical="center" wrapText="1"/>
    </xf>
    <xf numFmtId="0" fontId="0" fillId="0" borderId="18" xfId="0" applyFont="1" applyBorder="1"/>
    <xf numFmtId="0" fontId="0" fillId="0" borderId="19" xfId="0" applyFont="1" applyBorder="1"/>
    <xf numFmtId="0" fontId="0" fillId="0" borderId="20" xfId="0" applyFont="1" applyBorder="1"/>
    <xf numFmtId="0" fontId="0" fillId="0" borderId="21" xfId="0" applyFont="1" applyBorder="1"/>
    <xf numFmtId="0" fontId="0" fillId="0" borderId="22" xfId="0" applyFont="1" applyBorder="1"/>
    <xf numFmtId="0" fontId="0" fillId="0" borderId="23" xfId="0" applyFont="1" applyBorder="1"/>
    <xf numFmtId="0" fontId="0" fillId="4" borderId="17" xfId="0" applyFill="1" applyBorder="1" applyAlignment="1">
      <alignment horizontal="center" vertical="center" wrapText="1"/>
    </xf>
    <xf numFmtId="0" fontId="0" fillId="4" borderId="11" xfId="0" applyFont="1" applyFill="1" applyBorder="1" applyAlignment="1">
      <alignment horizontal="center" vertical="center" wrapText="1"/>
    </xf>
    <xf numFmtId="0" fontId="1" fillId="0" borderId="8" xfId="0" applyFont="1" applyBorder="1" applyAlignment="1">
      <alignment horizontal="center" vertical="center"/>
    </xf>
    <xf numFmtId="0" fontId="1" fillId="0" borderId="24" xfId="0" applyFont="1" applyBorder="1" applyAlignment="1">
      <alignment horizontal="center" vertical="center"/>
    </xf>
    <xf numFmtId="0" fontId="1" fillId="0" borderId="2" xfId="0" applyFont="1" applyBorder="1" applyAlignment="1">
      <alignment horizontal="center" vertical="center"/>
    </xf>
    <xf numFmtId="0" fontId="0" fillId="5" borderId="1" xfId="0" applyFont="1" applyFill="1" applyBorder="1" applyAlignment="1">
      <alignment vertical="center" wrapText="1"/>
    </xf>
    <xf numFmtId="0" fontId="1" fillId="0" borderId="0" xfId="0" applyFont="1" applyBorder="1" applyAlignment="1">
      <alignment vertical="center" wrapText="1"/>
    </xf>
    <xf numFmtId="0" fontId="0" fillId="0" borderId="0" xfId="0" applyBorder="1" applyAlignment="1">
      <alignment horizontal="center" vertical="center" wrapText="1"/>
    </xf>
    <xf numFmtId="0" fontId="1" fillId="6" borderId="1" xfId="0" applyFont="1" applyFill="1" applyBorder="1" applyAlignment="1">
      <alignment vertical="center" wrapText="1"/>
    </xf>
    <xf numFmtId="0" fontId="1" fillId="6" borderId="2" xfId="0" applyFont="1" applyFill="1" applyBorder="1" applyAlignment="1">
      <alignment vertical="center" wrapText="1"/>
    </xf>
    <xf numFmtId="0" fontId="0" fillId="0" borderId="25" xfId="0" applyFont="1" applyBorder="1" applyAlignment="1">
      <alignment horizontal="center" vertical="center" wrapText="1"/>
    </xf>
    <xf numFmtId="0" fontId="0" fillId="0" borderId="26" xfId="0" applyFont="1" applyBorder="1" applyAlignment="1">
      <alignment horizontal="center" vertical="center" wrapText="1"/>
    </xf>
    <xf numFmtId="0" fontId="2" fillId="0" borderId="26" xfId="0" applyFont="1" applyBorder="1" applyAlignment="1">
      <alignment horizontal="center" vertical="center" wrapText="1"/>
    </xf>
    <xf numFmtId="0" fontId="1" fillId="6" borderId="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0" fillId="0" borderId="1" xfId="0" applyFont="1" applyBorder="1" applyAlignment="1">
      <alignment horizontal="center" vertical="center" wrapText="1"/>
    </xf>
    <xf numFmtId="0" fontId="2" fillId="0" borderId="2" xfId="0" applyFont="1" applyBorder="1" applyAlignment="1">
      <alignment horizontal="center" vertical="center" wrapText="1"/>
    </xf>
    <xf numFmtId="0" fontId="0" fillId="0" borderId="2" xfId="0" applyFont="1" applyBorder="1" applyAlignment="1">
      <alignment horizontal="center" vertical="center" wrapText="1"/>
    </xf>
    <xf numFmtId="0" fontId="2" fillId="0" borderId="25" xfId="0" applyFont="1" applyBorder="1" applyAlignment="1">
      <alignment horizontal="center" vertical="center" wrapText="1"/>
    </xf>
    <xf numFmtId="0" fontId="0" fillId="0" borderId="0" xfId="0" applyFont="1" applyBorder="1" applyAlignment="1">
      <alignment vertical="center" wrapText="1"/>
    </xf>
    <xf numFmtId="0" fontId="0" fillId="0" borderId="0" xfId="0" applyBorder="1"/>
    <xf numFmtId="10" fontId="2" fillId="0" borderId="26" xfId="0" applyNumberFormat="1" applyFont="1" applyBorder="1" applyAlignment="1">
      <alignment horizontal="center" vertical="center" wrapText="1"/>
    </xf>
    <xf numFmtId="0" fontId="1" fillId="7" borderId="1" xfId="0" applyFont="1" applyFill="1" applyBorder="1" applyAlignment="1">
      <alignment vertical="center" wrapText="1"/>
    </xf>
    <xf numFmtId="0" fontId="1" fillId="7" borderId="2" xfId="0" applyFont="1" applyFill="1" applyBorder="1" applyAlignment="1">
      <alignment vertical="center" wrapText="1"/>
    </xf>
    <xf numFmtId="0" fontId="1" fillId="7" borderId="2" xfId="0" applyFont="1" applyFill="1" applyBorder="1" applyAlignment="1">
      <alignment horizontal="center" vertical="center" wrapText="1"/>
    </xf>
    <xf numFmtId="0" fontId="0" fillId="0" borderId="25" xfId="0" applyFont="1" applyBorder="1" applyAlignment="1">
      <alignment horizontal="left" vertical="center" wrapText="1"/>
    </xf>
    <xf numFmtId="0" fontId="0" fillId="0" borderId="26" xfId="0" applyFont="1" applyBorder="1" applyAlignment="1">
      <alignment vertical="center" wrapText="1"/>
    </xf>
    <xf numFmtId="0" fontId="3" fillId="8" borderId="0" xfId="0" applyFont="1" applyFill="1" applyBorder="1" applyAlignment="1">
      <alignment horizontal="center" vertical="center" wrapText="1"/>
    </xf>
    <xf numFmtId="0" fontId="4" fillId="9" borderId="27" xfId="0" applyFont="1" applyFill="1" applyBorder="1" applyAlignment="1">
      <alignment horizontal="center" vertical="center"/>
    </xf>
    <xf numFmtId="0" fontId="4" fillId="9" borderId="27" xfId="0" applyFont="1" applyFill="1" applyBorder="1" applyAlignment="1">
      <alignment horizontal="center" vertical="center" wrapText="1"/>
    </xf>
    <xf numFmtId="3" fontId="3" fillId="9" borderId="27" xfId="0" applyNumberFormat="1" applyFont="1" applyFill="1" applyBorder="1" applyAlignment="1">
      <alignment vertical="center"/>
    </xf>
    <xf numFmtId="3" fontId="3" fillId="9" borderId="27" xfId="0" applyNumberFormat="1" applyFont="1" applyFill="1" applyBorder="1" applyAlignment="1">
      <alignment horizontal="center" vertical="center"/>
    </xf>
    <xf numFmtId="3" fontId="0" fillId="0" borderId="0" xfId="0" applyNumberFormat="1"/>
    <xf numFmtId="0" fontId="4" fillId="7" borderId="27" xfId="0" applyFont="1" applyFill="1" applyBorder="1" applyAlignment="1">
      <alignment horizontal="left" wrapText="1"/>
    </xf>
    <xf numFmtId="0" fontId="5" fillId="7" borderId="27" xfId="0" applyFont="1" applyFill="1" applyBorder="1" applyAlignment="1">
      <alignment vertical="center" wrapText="1"/>
    </xf>
    <xf numFmtId="3" fontId="5" fillId="7" borderId="27" xfId="0" applyNumberFormat="1" applyFont="1" applyFill="1" applyBorder="1"/>
    <xf numFmtId="3" fontId="5" fillId="7" borderId="27" xfId="0" applyNumberFormat="1" applyFont="1" applyFill="1" applyBorder="1" applyAlignment="1">
      <alignment horizontal="center"/>
    </xf>
    <xf numFmtId="0" fontId="4" fillId="0" borderId="27" xfId="0" applyFont="1" applyBorder="1" applyAlignment="1">
      <alignment horizontal="left" wrapText="1"/>
    </xf>
    <xf numFmtId="0" fontId="4" fillId="0" borderId="27" xfId="0" applyFont="1" applyBorder="1" applyAlignment="1">
      <alignment vertical="center" wrapText="1"/>
    </xf>
    <xf numFmtId="3" fontId="4" fillId="0" borderId="27" xfId="0" applyNumberFormat="1" applyFont="1" applyBorder="1"/>
    <xf numFmtId="0" fontId="3" fillId="0" borderId="27" xfId="0" applyFont="1" applyBorder="1" applyAlignment="1">
      <alignment vertical="center" wrapText="1"/>
    </xf>
    <xf numFmtId="3" fontId="3" fillId="0" borderId="27" xfId="0" applyNumberFormat="1" applyFont="1" applyBorder="1"/>
    <xf numFmtId="4" fontId="6" fillId="8" borderId="27" xfId="0" applyNumberFormat="1" applyFont="1" applyFill="1" applyBorder="1" applyAlignment="1">
      <alignment wrapText="1"/>
    </xf>
    <xf numFmtId="4" fontId="7" fillId="7" borderId="27" xfId="0" applyNumberFormat="1" applyFont="1" applyFill="1" applyBorder="1" applyAlignment="1">
      <alignment wrapText="1"/>
    </xf>
    <xf numFmtId="0" fontId="1" fillId="0" borderId="27" xfId="0" applyFont="1" applyBorder="1" applyAlignment="1">
      <alignment horizontal="left"/>
    </xf>
    <xf numFmtId="0" fontId="1" fillId="0" borderId="27" xfId="0" applyFont="1" applyBorder="1"/>
    <xf numFmtId="3" fontId="1" fillId="8" borderId="27" xfId="0" applyNumberFormat="1" applyFont="1" applyFill="1" applyBorder="1"/>
    <xf numFmtId="0" fontId="0" fillId="0" borderId="27" xfId="0" applyFont="1" applyBorder="1" applyAlignment="1">
      <alignment horizontal="left"/>
    </xf>
    <xf numFmtId="3" fontId="0" fillId="8" borderId="27" xfId="0" applyNumberFormat="1" applyFont="1" applyFill="1" applyBorder="1"/>
    <xf numFmtId="3" fontId="8" fillId="0" borderId="27" xfId="0" applyNumberFormat="1" applyFont="1" applyBorder="1"/>
    <xf numFmtId="3" fontId="0" fillId="8" borderId="28" xfId="0" applyNumberFormat="1" applyFont="1" applyFill="1" applyBorder="1"/>
    <xf numFmtId="0" fontId="1" fillId="0" borderId="8" xfId="0" applyFont="1" applyBorder="1" applyAlignment="1">
      <alignment horizontal="right"/>
    </xf>
    <xf numFmtId="0" fontId="1" fillId="0" borderId="24" xfId="0" applyFont="1" applyBorder="1" applyAlignment="1">
      <alignment horizontal="right"/>
    </xf>
    <xf numFmtId="3" fontId="1" fillId="0" borderId="2" xfId="0" applyNumberFormat="1" applyFont="1" applyBorder="1"/>
    <xf numFmtId="0" fontId="0" fillId="0" borderId="27" xfId="0" applyFont="1" applyBorder="1"/>
    <xf numFmtId="3" fontId="0" fillId="0" borderId="27" xfId="0" applyNumberFormat="1" applyBorder="1"/>
    <xf numFmtId="0" fontId="1" fillId="0" borderId="29" xfId="0" applyFont="1" applyBorder="1" applyAlignment="1">
      <alignment horizontal="right"/>
    </xf>
    <xf numFmtId="0" fontId="1" fillId="0" borderId="30" xfId="0" applyFont="1" applyBorder="1" applyAlignment="1">
      <alignment horizontal="right"/>
    </xf>
    <xf numFmtId="3" fontId="1" fillId="0" borderId="26" xfId="0" applyNumberFormat="1" applyFont="1" applyBorder="1"/>
    <xf numFmtId="1" fontId="0" fillId="0" borderId="27" xfId="0" applyNumberFormat="1" applyBorder="1" applyAlignment="1">
      <alignment horizontal="center"/>
    </xf>
    <xf numFmtId="1" fontId="0" fillId="0" borderId="27" xfId="0" applyNumberFormat="1" applyFont="1" applyBorder="1" applyAlignment="1">
      <alignment horizontal="center" vertical="center" wrapText="1"/>
    </xf>
    <xf numFmtId="3" fontId="0" fillId="0" borderId="27" xfId="0" applyNumberFormat="1" applyBorder="1" applyAlignment="1">
      <alignment vertical="center"/>
    </xf>
    <xf numFmtId="0" fontId="1" fillId="7" borderId="18" xfId="0" applyFont="1" applyFill="1" applyBorder="1" applyAlignment="1">
      <alignment vertical="center" wrapText="1"/>
    </xf>
    <xf numFmtId="0" fontId="1" fillId="7" borderId="31" xfId="0" applyFont="1" applyFill="1" applyBorder="1" applyAlignment="1">
      <alignment vertical="center" wrapText="1"/>
    </xf>
    <xf numFmtId="0" fontId="1" fillId="7" borderId="19" xfId="0" applyFont="1" applyFill="1" applyBorder="1" applyAlignment="1">
      <alignment vertical="center" wrapText="1"/>
    </xf>
    <xf numFmtId="3" fontId="0" fillId="0" borderId="20" xfId="0" applyNumberFormat="1" applyBorder="1"/>
    <xf numFmtId="164" fontId="0" fillId="0" borderId="27" xfId="1" applyNumberFormat="1" applyFont="1" applyBorder="1" applyProtection="1"/>
    <xf numFmtId="164" fontId="0" fillId="0" borderId="21" xfId="1" applyNumberFormat="1" applyFont="1" applyBorder="1" applyProtection="1"/>
    <xf numFmtId="164" fontId="0" fillId="0" borderId="0" xfId="0" applyNumberFormat="1"/>
    <xf numFmtId="3" fontId="1" fillId="0" borderId="22" xfId="0" applyNumberFormat="1" applyFont="1" applyBorder="1"/>
    <xf numFmtId="3" fontId="1" fillId="0" borderId="32" xfId="0" applyNumberFormat="1" applyFont="1" applyBorder="1"/>
    <xf numFmtId="0" fontId="1" fillId="0" borderId="32" xfId="0" applyFont="1" applyBorder="1"/>
    <xf numFmtId="0" fontId="0" fillId="0" borderId="32" xfId="0" applyBorder="1"/>
    <xf numFmtId="164" fontId="1" fillId="0" borderId="32" xfId="1" applyNumberFormat="1" applyFont="1" applyBorder="1" applyProtection="1"/>
    <xf numFmtId="164" fontId="1" fillId="0" borderId="23" xfId="1" applyNumberFormat="1" applyFont="1" applyBorder="1" applyProtection="1"/>
    <xf numFmtId="0" fontId="0" fillId="0" borderId="27" xfId="0" applyBorder="1"/>
    <xf numFmtId="3" fontId="0" fillId="0" borderId="27" xfId="0" applyNumberFormat="1" applyFill="1" applyBorder="1" applyAlignment="1">
      <alignment vertical="center"/>
    </xf>
    <xf numFmtId="0" fontId="0" fillId="0" borderId="27" xfId="0" applyFill="1" applyBorder="1"/>
    <xf numFmtId="0" fontId="1" fillId="0" borderId="0" xfId="0" applyFont="1" applyBorder="1" applyAlignment="1"/>
    <xf numFmtId="3" fontId="14" fillId="0" borderId="27" xfId="0" applyNumberFormat="1" applyFont="1" applyBorder="1" applyAlignment="1">
      <alignment horizontal="center" vertical="center"/>
    </xf>
    <xf numFmtId="1" fontId="14" fillId="0" borderId="27" xfId="0" applyNumberFormat="1" applyFont="1" applyBorder="1" applyAlignment="1">
      <alignment horizontal="center" vertical="center" wrapText="1"/>
    </xf>
    <xf numFmtId="3" fontId="14" fillId="8" borderId="27" xfId="3" applyNumberFormat="1" applyFont="1" applyFill="1" applyBorder="1" applyAlignment="1" applyProtection="1">
      <alignment horizontal="right" vertical="center" wrapText="1"/>
    </xf>
    <xf numFmtId="3" fontId="14" fillId="8" borderId="27" xfId="1" applyNumberFormat="1" applyFont="1" applyFill="1" applyBorder="1" applyAlignment="1" applyProtection="1">
      <alignment horizontal="right" vertical="center" wrapText="1"/>
    </xf>
    <xf numFmtId="1" fontId="14" fillId="0" borderId="27" xfId="0" applyNumberFormat="1" applyFont="1" applyBorder="1" applyAlignment="1">
      <alignment horizontal="center" vertical="center"/>
    </xf>
    <xf numFmtId="0" fontId="0" fillId="0" borderId="0" xfId="0"/>
    <xf numFmtId="3" fontId="0" fillId="0" borderId="0" xfId="0" applyNumberFormat="1"/>
    <xf numFmtId="166" fontId="13" fillId="11" borderId="27" xfId="0" applyNumberFormat="1" applyFont="1" applyFill="1" applyBorder="1" applyAlignment="1">
      <alignment horizontal="center" vertical="center" wrapText="1"/>
    </xf>
    <xf numFmtId="1" fontId="13" fillId="11" borderId="27" xfId="0" applyNumberFormat="1" applyFont="1" applyFill="1" applyBorder="1" applyAlignment="1">
      <alignment horizontal="left" vertical="center" wrapText="1"/>
    </xf>
    <xf numFmtId="1" fontId="13" fillId="11" borderId="27" xfId="0" applyNumberFormat="1" applyFont="1" applyFill="1" applyBorder="1" applyAlignment="1">
      <alignment horizontal="center" vertical="center"/>
    </xf>
    <xf numFmtId="3" fontId="13" fillId="11" borderId="27" xfId="0" applyNumberFormat="1" applyFont="1" applyFill="1" applyBorder="1" applyAlignment="1">
      <alignment horizontal="center" vertical="center"/>
    </xf>
    <xf numFmtId="3" fontId="13" fillId="11" borderId="27" xfId="0" applyNumberFormat="1" applyFont="1" applyFill="1" applyBorder="1" applyAlignment="1">
      <alignment horizontal="right" vertical="center" wrapText="1"/>
    </xf>
    <xf numFmtId="10" fontId="13" fillId="11" borderId="27" xfId="0" applyNumberFormat="1" applyFont="1" applyFill="1" applyBorder="1" applyAlignment="1">
      <alignment horizontal="right" vertical="center" wrapText="1"/>
    </xf>
    <xf numFmtId="1" fontId="13" fillId="10" borderId="27" xfId="0" applyNumberFormat="1" applyFont="1" applyFill="1" applyBorder="1" applyAlignment="1">
      <alignment horizontal="center" vertical="center"/>
    </xf>
    <xf numFmtId="1" fontId="13" fillId="10" borderId="27" xfId="0" applyNumberFormat="1" applyFont="1" applyFill="1" applyBorder="1" applyAlignment="1">
      <alignment vertical="center"/>
    </xf>
    <xf numFmtId="3" fontId="13" fillId="10" borderId="27" xfId="0" applyNumberFormat="1" applyFont="1" applyFill="1" applyBorder="1" applyAlignment="1">
      <alignment horizontal="right" vertical="center" wrapText="1"/>
    </xf>
    <xf numFmtId="10" fontId="13" fillId="10" borderId="27" xfId="0" applyNumberFormat="1" applyFont="1" applyFill="1" applyBorder="1" applyAlignment="1">
      <alignment horizontal="right" vertical="center" wrapText="1"/>
    </xf>
    <xf numFmtId="3" fontId="13" fillId="10" borderId="27" xfId="0" applyNumberFormat="1" applyFont="1" applyFill="1" applyBorder="1" applyAlignment="1">
      <alignment horizontal="right" vertical="center"/>
    </xf>
    <xf numFmtId="0" fontId="16" fillId="0" borderId="28" xfId="0" applyFont="1" applyBorder="1" applyAlignment="1">
      <alignment vertical="center" wrapText="1"/>
    </xf>
    <xf numFmtId="0" fontId="17" fillId="0" borderId="28" xfId="0" applyFont="1" applyBorder="1" applyAlignment="1">
      <alignment vertical="center" wrapText="1"/>
    </xf>
    <xf numFmtId="1" fontId="14" fillId="8" borderId="27" xfId="0" applyNumberFormat="1" applyFont="1" applyFill="1" applyBorder="1" applyAlignment="1">
      <alignment horizontal="center" vertical="center"/>
    </xf>
    <xf numFmtId="10" fontId="14" fillId="8" borderId="27" xfId="3" applyNumberFormat="1" applyFont="1" applyFill="1" applyBorder="1" applyAlignment="1" applyProtection="1">
      <alignment horizontal="right" vertical="center"/>
    </xf>
    <xf numFmtId="1" fontId="14" fillId="8" borderId="34" xfId="0" applyNumberFormat="1" applyFont="1" applyFill="1" applyBorder="1" applyAlignment="1">
      <alignment horizontal="center" vertical="center" wrapText="1"/>
    </xf>
    <xf numFmtId="1" fontId="13" fillId="8" borderId="27" xfId="0" applyNumberFormat="1" applyFont="1" applyFill="1" applyBorder="1" applyAlignment="1">
      <alignment horizontal="center" vertical="center" wrapText="1"/>
    </xf>
    <xf numFmtId="1" fontId="13" fillId="8" borderId="28" xfId="0" applyNumberFormat="1" applyFont="1" applyFill="1" applyBorder="1" applyAlignment="1">
      <alignment horizontal="center" vertical="center" wrapText="1"/>
    </xf>
    <xf numFmtId="1" fontId="13" fillId="8" borderId="34" xfId="0" applyNumberFormat="1" applyFont="1" applyFill="1" applyBorder="1" applyAlignment="1">
      <alignment horizontal="center" vertical="center" wrapText="1"/>
    </xf>
    <xf numFmtId="1" fontId="14" fillId="8" borderId="34" xfId="0" applyNumberFormat="1" applyFont="1" applyFill="1" applyBorder="1" applyAlignment="1">
      <alignment horizontal="center" vertical="center" wrapText="1"/>
    </xf>
    <xf numFmtId="3" fontId="13" fillId="10" borderId="27" xfId="0" applyNumberFormat="1" applyFont="1" applyFill="1" applyBorder="1" applyAlignment="1">
      <alignment horizontal="center" vertical="center" wrapText="1"/>
    </xf>
    <xf numFmtId="3" fontId="13" fillId="11" borderId="27" xfId="0" applyNumberFormat="1" applyFont="1" applyFill="1" applyBorder="1" applyAlignment="1">
      <alignment horizontal="center" vertical="center" wrapText="1"/>
    </xf>
    <xf numFmtId="1" fontId="13" fillId="12" borderId="27" xfId="0" applyNumberFormat="1" applyFont="1" applyFill="1" applyBorder="1" applyAlignment="1">
      <alignment horizontal="left" vertical="top" wrapText="1"/>
    </xf>
    <xf numFmtId="1" fontId="14" fillId="12" borderId="34" xfId="0" applyNumberFormat="1" applyFont="1" applyFill="1" applyBorder="1" applyAlignment="1">
      <alignment horizontal="center" vertical="center" wrapText="1"/>
    </xf>
    <xf numFmtId="1" fontId="12" fillId="14" borderId="27" xfId="0" applyNumberFormat="1" applyFont="1" applyFill="1" applyBorder="1" applyAlignment="1">
      <alignment horizontal="center" vertical="center"/>
    </xf>
    <xf numFmtId="3" fontId="14" fillId="12" borderId="27" xfId="0" applyNumberFormat="1" applyFont="1" applyFill="1" applyBorder="1" applyAlignment="1">
      <alignment horizontal="center" vertical="center"/>
    </xf>
    <xf numFmtId="1" fontId="14" fillId="12" borderId="27" xfId="0" applyNumberFormat="1" applyFont="1" applyFill="1" applyBorder="1" applyAlignment="1">
      <alignment horizontal="center" vertical="center"/>
    </xf>
    <xf numFmtId="1" fontId="14" fillId="14" borderId="27" xfId="0" applyNumberFormat="1" applyFont="1" applyFill="1" applyBorder="1" applyAlignment="1">
      <alignment horizontal="center" vertical="center" wrapText="1"/>
    </xf>
    <xf numFmtId="3" fontId="14" fillId="14" borderId="27" xfId="3" applyNumberFormat="1" applyFont="1" applyFill="1" applyBorder="1" applyAlignment="1" applyProtection="1">
      <alignment horizontal="center" vertical="center" wrapText="1"/>
    </xf>
    <xf numFmtId="3" fontId="14" fillId="14" borderId="27" xfId="3" applyNumberFormat="1" applyFont="1" applyFill="1" applyBorder="1" applyAlignment="1" applyProtection="1">
      <alignment horizontal="right" vertical="center" wrapText="1"/>
    </xf>
    <xf numFmtId="3" fontId="14" fillId="14" borderId="27" xfId="1" applyNumberFormat="1" applyFont="1" applyFill="1" applyBorder="1" applyAlignment="1" applyProtection="1">
      <alignment horizontal="right" vertical="center" wrapText="1"/>
    </xf>
    <xf numFmtId="3" fontId="19" fillId="12" borderId="27" xfId="0" applyNumberFormat="1" applyFont="1" applyFill="1" applyBorder="1" applyAlignment="1">
      <alignment horizontal="center" vertical="center" wrapText="1"/>
    </xf>
    <xf numFmtId="3" fontId="19" fillId="14" borderId="27" xfId="0" applyNumberFormat="1" applyFont="1" applyFill="1" applyBorder="1" applyAlignment="1">
      <alignment horizontal="center" vertical="center" wrapText="1"/>
    </xf>
    <xf numFmtId="1" fontId="14" fillId="14" borderId="34" xfId="0" applyNumberFormat="1" applyFont="1" applyFill="1" applyBorder="1" applyAlignment="1">
      <alignment horizontal="center" vertical="center" wrapText="1"/>
    </xf>
    <xf numFmtId="1" fontId="14" fillId="14" borderId="34" xfId="0" applyNumberFormat="1" applyFont="1" applyFill="1" applyBorder="1" applyAlignment="1">
      <alignment vertical="center" wrapText="1"/>
    </xf>
    <xf numFmtId="3" fontId="13" fillId="10" borderId="27" xfId="0" applyNumberFormat="1" applyFont="1" applyFill="1" applyBorder="1" applyAlignment="1">
      <alignment horizontal="center" vertical="center"/>
    </xf>
    <xf numFmtId="0" fontId="20" fillId="0" borderId="27" xfId="1" applyNumberFormat="1" applyFont="1" applyFill="1" applyBorder="1" applyAlignment="1" applyProtection="1">
      <alignment horizontal="center" vertical="center" wrapText="1"/>
    </xf>
    <xf numFmtId="0" fontId="0" fillId="0" borderId="0" xfId="0" applyFill="1" applyAlignment="1">
      <alignment horizontal="center"/>
    </xf>
    <xf numFmtId="0" fontId="21" fillId="0" borderId="28" xfId="0" applyFont="1" applyBorder="1" applyAlignment="1">
      <alignment vertical="center" wrapText="1"/>
    </xf>
    <xf numFmtId="0" fontId="22" fillId="0" borderId="28" xfId="0" applyFont="1" applyBorder="1" applyAlignment="1">
      <alignment vertical="center" wrapText="1"/>
    </xf>
    <xf numFmtId="1" fontId="14" fillId="8" borderId="28" xfId="0" applyNumberFormat="1" applyFont="1" applyFill="1" applyBorder="1" applyAlignment="1">
      <alignment horizontal="center" vertical="center" wrapText="1"/>
    </xf>
    <xf numFmtId="1" fontId="14" fillId="0" borderId="28" xfId="0" applyNumberFormat="1" applyFont="1" applyBorder="1" applyAlignment="1">
      <alignment horizontal="center" vertical="center" wrapText="1"/>
    </xf>
    <xf numFmtId="166" fontId="14" fillId="8" borderId="28" xfId="0" applyNumberFormat="1" applyFont="1" applyFill="1" applyBorder="1" applyAlignment="1">
      <alignment vertical="center" wrapText="1"/>
    </xf>
    <xf numFmtId="14" fontId="13" fillId="11" borderId="27" xfId="0" applyNumberFormat="1" applyFont="1" applyFill="1" applyBorder="1" applyAlignment="1">
      <alignment horizontal="center" vertical="center"/>
    </xf>
    <xf numFmtId="14" fontId="13" fillId="10" borderId="27" xfId="0" applyNumberFormat="1" applyFont="1" applyFill="1" applyBorder="1" applyAlignment="1">
      <alignment vertical="center"/>
    </xf>
    <xf numFmtId="1" fontId="25" fillId="10" borderId="27" xfId="0" applyNumberFormat="1" applyFont="1" applyFill="1" applyBorder="1" applyAlignment="1">
      <alignment horizontal="center" vertical="center"/>
    </xf>
    <xf numFmtId="1" fontId="25" fillId="10" borderId="27" xfId="0" applyNumberFormat="1" applyFont="1" applyFill="1" applyBorder="1" applyAlignment="1">
      <alignment vertical="center"/>
    </xf>
    <xf numFmtId="1" fontId="25" fillId="11" borderId="27" xfId="0" applyNumberFormat="1" applyFont="1" applyFill="1" applyBorder="1" applyAlignment="1">
      <alignment horizontal="center" vertical="center" wrapText="1"/>
    </xf>
    <xf numFmtId="1" fontId="15" fillId="8" borderId="27" xfId="0" applyNumberFormat="1" applyFont="1" applyFill="1" applyBorder="1" applyAlignment="1">
      <alignment horizontal="center" vertical="center" wrapText="1"/>
    </xf>
    <xf numFmtId="166" fontId="25" fillId="8" borderId="28" xfId="0" applyNumberFormat="1" applyFont="1" applyFill="1" applyBorder="1" applyAlignment="1">
      <alignment vertical="center" wrapText="1"/>
    </xf>
    <xf numFmtId="1" fontId="25" fillId="8" borderId="28" xfId="0" applyNumberFormat="1" applyFont="1" applyFill="1" applyBorder="1" applyAlignment="1">
      <alignment horizontal="center" vertical="center" wrapText="1"/>
    </xf>
    <xf numFmtId="1" fontId="25" fillId="0" borderId="28" xfId="0" applyNumberFormat="1" applyFont="1" applyBorder="1" applyAlignment="1">
      <alignment horizontal="center" vertical="center" wrapText="1"/>
    </xf>
    <xf numFmtId="165" fontId="27" fillId="0" borderId="27" xfId="3" applyNumberFormat="1" applyFont="1" applyFill="1" applyBorder="1" applyAlignment="1">
      <alignment horizontal="left" vertical="center" wrapText="1"/>
    </xf>
    <xf numFmtId="3" fontId="23" fillId="0" borderId="27" xfId="0" applyNumberFormat="1" applyFont="1" applyFill="1" applyBorder="1" applyAlignment="1">
      <alignment vertical="center" wrapText="1"/>
    </xf>
    <xf numFmtId="165" fontId="14" fillId="0" borderId="27" xfId="3" applyNumberFormat="1" applyFont="1" applyFill="1" applyBorder="1" applyAlignment="1">
      <alignment vertical="center" wrapText="1"/>
    </xf>
    <xf numFmtId="164" fontId="13" fillId="11" borderId="27" xfId="0" applyNumberFormat="1" applyFont="1" applyFill="1" applyBorder="1" applyAlignment="1">
      <alignment horizontal="right" vertical="center" wrapText="1"/>
    </xf>
    <xf numFmtId="3" fontId="14" fillId="8" borderId="27" xfId="1" applyNumberFormat="1" applyFont="1" applyFill="1" applyBorder="1" applyAlignment="1" applyProtection="1">
      <alignment horizontal="center" vertical="center" wrapText="1"/>
    </xf>
    <xf numFmtId="169" fontId="24" fillId="0" borderId="27" xfId="0" applyNumberFormat="1" applyFont="1" applyFill="1" applyBorder="1" applyAlignment="1">
      <alignment horizontal="center" vertical="center" wrapText="1"/>
    </xf>
    <xf numFmtId="169" fontId="14" fillId="8" borderId="27" xfId="1" applyNumberFormat="1" applyFont="1" applyFill="1" applyBorder="1" applyAlignment="1" applyProtection="1">
      <alignment horizontal="center" vertical="center" wrapText="1"/>
    </xf>
    <xf numFmtId="9" fontId="10" fillId="16" borderId="0" xfId="1" applyFill="1"/>
    <xf numFmtId="1" fontId="29" fillId="8" borderId="27" xfId="0" applyNumberFormat="1" applyFont="1" applyFill="1" applyBorder="1" applyAlignment="1">
      <alignment horizontal="center" vertical="center"/>
    </xf>
    <xf numFmtId="168" fontId="29" fillId="8" borderId="27" xfId="0" applyNumberFormat="1" applyFont="1" applyFill="1" applyBorder="1" applyAlignment="1">
      <alignment horizontal="center" vertical="center" wrapText="1"/>
    </xf>
    <xf numFmtId="1" fontId="14" fillId="14" borderId="27" xfId="0" applyNumberFormat="1" applyFont="1" applyFill="1" applyBorder="1" applyAlignment="1">
      <alignment horizontal="center" vertical="center"/>
    </xf>
    <xf numFmtId="3" fontId="13" fillId="12" borderId="27" xfId="0" applyNumberFormat="1" applyFont="1" applyFill="1" applyBorder="1" applyAlignment="1">
      <alignment horizontal="center" vertical="center" wrapText="1"/>
    </xf>
    <xf numFmtId="3" fontId="13" fillId="14" borderId="27" xfId="0" applyNumberFormat="1" applyFont="1" applyFill="1" applyBorder="1" applyAlignment="1">
      <alignment horizontal="center" vertical="center" wrapText="1"/>
    </xf>
    <xf numFmtId="37" fontId="24" fillId="0" borderId="27" xfId="3" applyNumberFormat="1" applyFont="1" applyFill="1" applyBorder="1" applyAlignment="1">
      <alignment horizontal="center" vertical="center" wrapText="1"/>
    </xf>
    <xf numFmtId="3" fontId="13" fillId="8" borderId="27" xfId="3" applyNumberFormat="1" applyFont="1" applyFill="1" applyBorder="1" applyAlignment="1" applyProtection="1">
      <alignment horizontal="right" vertical="center" wrapText="1"/>
    </xf>
    <xf numFmtId="10" fontId="13" fillId="8" borderId="27" xfId="3" applyNumberFormat="1" applyFont="1" applyFill="1" applyBorder="1" applyAlignment="1" applyProtection="1">
      <alignment horizontal="right" vertical="center"/>
    </xf>
    <xf numFmtId="3" fontId="13" fillId="8" borderId="27" xfId="1" applyNumberFormat="1" applyFont="1" applyFill="1" applyBorder="1" applyAlignment="1" applyProtection="1">
      <alignment horizontal="right" vertical="center" wrapText="1"/>
    </xf>
    <xf numFmtId="9" fontId="18" fillId="0" borderId="27" xfId="1" applyFont="1" applyBorder="1"/>
    <xf numFmtId="1" fontId="14" fillId="0" borderId="27" xfId="0" applyNumberFormat="1" applyFont="1" applyBorder="1" applyAlignment="1">
      <alignment vertical="center" wrapText="1"/>
    </xf>
    <xf numFmtId="9" fontId="18" fillId="0" borderId="27" xfId="1" applyFont="1" applyBorder="1" applyProtection="1"/>
    <xf numFmtId="3" fontId="13" fillId="11" borderId="27" xfId="1" applyNumberFormat="1" applyFont="1" applyFill="1" applyBorder="1" applyAlignment="1" applyProtection="1">
      <alignment horizontal="right" vertical="center" wrapText="1"/>
    </xf>
    <xf numFmtId="1" fontId="14" fillId="8" borderId="27" xfId="0" applyNumberFormat="1" applyFont="1" applyFill="1" applyBorder="1" applyAlignment="1">
      <alignment horizontal="left" vertical="center" wrapText="1"/>
    </xf>
    <xf numFmtId="3" fontId="14" fillId="8" borderId="27" xfId="0" applyNumberFormat="1" applyFont="1" applyFill="1" applyBorder="1" applyAlignment="1">
      <alignment horizontal="center" vertical="center" wrapText="1"/>
    </xf>
    <xf numFmtId="3" fontId="14" fillId="8" borderId="27" xfId="0" applyNumberFormat="1" applyFont="1" applyFill="1" applyBorder="1" applyAlignment="1">
      <alignment horizontal="right" vertical="center" wrapText="1"/>
    </xf>
    <xf numFmtId="1" fontId="13" fillId="10" borderId="27" xfId="0" applyNumberFormat="1" applyFont="1" applyFill="1" applyBorder="1" applyAlignment="1">
      <alignment horizontal="left" vertical="center"/>
    </xf>
    <xf numFmtId="10" fontId="13" fillId="10" borderId="27" xfId="0" applyNumberFormat="1" applyFont="1" applyFill="1" applyBorder="1" applyAlignment="1">
      <alignment horizontal="right" vertical="center"/>
    </xf>
    <xf numFmtId="0" fontId="11" fillId="15" borderId="38" xfId="5" applyFont="1" applyFill="1" applyBorder="1" applyAlignment="1">
      <alignment vertical="center"/>
    </xf>
    <xf numFmtId="0" fontId="11" fillId="15" borderId="36" xfId="5" applyFont="1" applyFill="1" applyBorder="1" applyAlignment="1">
      <alignment vertical="center"/>
    </xf>
    <xf numFmtId="0" fontId="11" fillId="15" borderId="36" xfId="5" applyFont="1" applyFill="1" applyBorder="1" applyAlignment="1">
      <alignment horizontal="center" vertical="center"/>
    </xf>
    <xf numFmtId="0" fontId="11" fillId="15" borderId="39" xfId="5" applyFont="1" applyFill="1" applyBorder="1" applyAlignment="1">
      <alignment vertical="center"/>
    </xf>
    <xf numFmtId="0" fontId="11" fillId="15" borderId="0" xfId="5" applyFont="1" applyFill="1" applyAlignment="1">
      <alignment vertical="center"/>
    </xf>
    <xf numFmtId="0" fontId="30" fillId="15" borderId="0" xfId="5" applyFont="1" applyFill="1" applyAlignment="1">
      <alignment vertical="center"/>
    </xf>
    <xf numFmtId="0" fontId="31" fillId="15" borderId="3" xfId="5" applyFont="1" applyFill="1" applyBorder="1" applyAlignment="1">
      <alignment vertical="center"/>
    </xf>
    <xf numFmtId="0" fontId="32" fillId="15" borderId="41" xfId="5" applyFont="1" applyFill="1" applyBorder="1" applyAlignment="1">
      <alignment horizontal="center" vertical="center"/>
    </xf>
    <xf numFmtId="0" fontId="31" fillId="15" borderId="42" xfId="5" applyFont="1" applyFill="1" applyBorder="1" applyAlignment="1">
      <alignment vertical="center"/>
    </xf>
    <xf numFmtId="0" fontId="31" fillId="15" borderId="0" xfId="5" applyFont="1" applyFill="1" applyAlignment="1">
      <alignment vertical="center"/>
    </xf>
    <xf numFmtId="0" fontId="11" fillId="15" borderId="3" xfId="5" applyFont="1" applyFill="1" applyBorder="1" applyAlignment="1">
      <alignment vertical="center"/>
    </xf>
    <xf numFmtId="0" fontId="11" fillId="15" borderId="42" xfId="5" applyFont="1" applyFill="1" applyBorder="1" applyAlignment="1">
      <alignment vertical="center"/>
    </xf>
    <xf numFmtId="0" fontId="33" fillId="15" borderId="0" xfId="5" applyFont="1" applyFill="1" applyBorder="1" applyAlignment="1">
      <alignment horizontal="center" vertical="center"/>
    </xf>
    <xf numFmtId="9" fontId="30" fillId="15" borderId="0" xfId="1" applyFont="1" applyFill="1" applyAlignment="1">
      <alignment vertical="center"/>
    </xf>
    <xf numFmtId="0" fontId="11" fillId="0" borderId="3" xfId="5" applyFont="1" applyBorder="1" applyAlignment="1">
      <alignment vertical="center"/>
    </xf>
    <xf numFmtId="0" fontId="11" fillId="0" borderId="42" xfId="5" applyFont="1" applyBorder="1" applyAlignment="1">
      <alignment vertical="center"/>
    </xf>
    <xf numFmtId="0" fontId="11" fillId="0" borderId="0" xfId="5" applyFont="1" applyAlignment="1">
      <alignment vertical="center"/>
    </xf>
    <xf numFmtId="0" fontId="11" fillId="0" borderId="3" xfId="5" applyFont="1" applyFill="1" applyBorder="1" applyAlignment="1">
      <alignment vertical="center"/>
    </xf>
    <xf numFmtId="0" fontId="11" fillId="0" borderId="42" xfId="5" applyFont="1" applyFill="1" applyBorder="1" applyAlignment="1">
      <alignment vertical="center"/>
    </xf>
    <xf numFmtId="0" fontId="11" fillId="0" borderId="0" xfId="5" applyFont="1" applyFill="1" applyAlignment="1">
      <alignment vertical="center"/>
    </xf>
    <xf numFmtId="0" fontId="37" fillId="15" borderId="0" xfId="5" applyFont="1" applyFill="1" applyBorder="1" applyAlignment="1">
      <alignment horizontal="center" vertical="center" wrapText="1"/>
    </xf>
    <xf numFmtId="0" fontId="37" fillId="15" borderId="0" xfId="5" applyFont="1" applyFill="1" applyBorder="1" applyAlignment="1">
      <alignment vertical="center" wrapText="1"/>
    </xf>
    <xf numFmtId="4" fontId="37" fillId="15" borderId="0" xfId="5" applyNumberFormat="1" applyFont="1" applyFill="1" applyBorder="1" applyAlignment="1">
      <alignment horizontal="right" vertical="center" wrapText="1"/>
    </xf>
    <xf numFmtId="9" fontId="37" fillId="15" borderId="0" xfId="5" applyNumberFormat="1" applyFont="1" applyFill="1" applyBorder="1" applyAlignment="1">
      <alignment horizontal="center" vertical="center" wrapText="1"/>
    </xf>
    <xf numFmtId="17" fontId="38" fillId="15" borderId="0" xfId="5" applyNumberFormat="1" applyFont="1" applyFill="1" applyBorder="1" applyAlignment="1">
      <alignment horizontal="center" vertical="center" wrapText="1"/>
    </xf>
    <xf numFmtId="4" fontId="11" fillId="17" borderId="28" xfId="5" applyNumberFormat="1" applyFont="1" applyFill="1" applyBorder="1" applyAlignment="1">
      <alignment horizontal="center" vertical="center" wrapText="1"/>
    </xf>
    <xf numFmtId="170" fontId="11" fillId="17" borderId="27" xfId="5" applyNumberFormat="1" applyFont="1" applyFill="1" applyBorder="1" applyAlignment="1">
      <alignment horizontal="center" vertical="center" wrapText="1"/>
    </xf>
    <xf numFmtId="0" fontId="11" fillId="15" borderId="0" xfId="5" applyFont="1" applyFill="1" applyBorder="1" applyAlignment="1">
      <alignment vertical="center"/>
    </xf>
    <xf numFmtId="0" fontId="30" fillId="15" borderId="0" xfId="5" applyFont="1" applyFill="1" applyBorder="1" applyAlignment="1">
      <alignment vertical="center"/>
    </xf>
    <xf numFmtId="0" fontId="11" fillId="0" borderId="0" xfId="5" applyFont="1" applyBorder="1" applyAlignment="1">
      <alignment vertical="center"/>
    </xf>
    <xf numFmtId="0" fontId="37" fillId="15" borderId="48" xfId="5" applyFont="1" applyFill="1" applyBorder="1" applyAlignment="1">
      <alignment horizontal="center" vertical="center" wrapText="1"/>
    </xf>
    <xf numFmtId="0" fontId="37" fillId="15" borderId="49" xfId="5" applyFont="1" applyFill="1" applyBorder="1" applyAlignment="1">
      <alignment horizontal="center" vertical="center" wrapText="1"/>
    </xf>
    <xf numFmtId="167" fontId="11" fillId="0" borderId="50" xfId="0" applyNumberFormat="1" applyFont="1" applyBorder="1" applyAlignment="1">
      <alignment horizontal="left"/>
    </xf>
    <xf numFmtId="167" fontId="11" fillId="0" borderId="50" xfId="6" applyNumberFormat="1" applyFont="1" applyFill="1" applyBorder="1"/>
    <xf numFmtId="0" fontId="37" fillId="15" borderId="51" xfId="5" applyFont="1" applyFill="1" applyBorder="1" applyAlignment="1">
      <alignment horizontal="center" vertical="center" wrapText="1"/>
    </xf>
    <xf numFmtId="0" fontId="37" fillId="15" borderId="52" xfId="5" applyFont="1" applyFill="1" applyBorder="1" applyAlignment="1">
      <alignment horizontal="center" vertical="center"/>
    </xf>
    <xf numFmtId="17" fontId="37" fillId="15" borderId="48" xfId="5" applyNumberFormat="1" applyFont="1" applyFill="1" applyBorder="1" applyAlignment="1">
      <alignment horizontal="center" vertical="center" wrapText="1"/>
    </xf>
    <xf numFmtId="167" fontId="11" fillId="0" borderId="53" xfId="6" applyNumberFormat="1" applyFont="1" applyFill="1" applyBorder="1"/>
    <xf numFmtId="167" fontId="11" fillId="0" borderId="54" xfId="6" applyNumberFormat="1" applyFont="1" applyFill="1" applyBorder="1" applyAlignment="1">
      <alignment vertical="center"/>
    </xf>
    <xf numFmtId="0" fontId="37" fillId="15" borderId="33" xfId="5" applyFont="1" applyFill="1" applyBorder="1" applyAlignment="1">
      <alignment horizontal="center" vertical="center" wrapText="1"/>
    </xf>
    <xf numFmtId="0" fontId="38" fillId="15" borderId="33" xfId="5" applyFont="1" applyFill="1" applyBorder="1" applyAlignment="1">
      <alignment horizontal="right" vertical="center" wrapText="1"/>
    </xf>
    <xf numFmtId="3" fontId="38" fillId="15" borderId="27" xfId="5" applyNumberFormat="1" applyFont="1" applyFill="1" applyBorder="1" applyAlignment="1">
      <alignment horizontal="right" vertical="center" wrapText="1"/>
    </xf>
    <xf numFmtId="17" fontId="38" fillId="15" borderId="33" xfId="5" applyNumberFormat="1" applyFont="1" applyFill="1" applyBorder="1" applyAlignment="1">
      <alignment horizontal="center" vertical="center" wrapText="1"/>
    </xf>
    <xf numFmtId="0" fontId="11" fillId="0" borderId="0" xfId="5" applyFont="1" applyFill="1" applyBorder="1" applyAlignment="1">
      <alignment vertical="center"/>
    </xf>
    <xf numFmtId="0" fontId="37" fillId="15" borderId="28" xfId="5" applyFont="1" applyFill="1" applyBorder="1" applyAlignment="1">
      <alignment horizontal="center" vertical="center" wrapText="1"/>
    </xf>
    <xf numFmtId="17" fontId="37" fillId="15" borderId="28" xfId="5" applyNumberFormat="1" applyFont="1" applyFill="1" applyBorder="1" applyAlignment="1">
      <alignment horizontal="center" vertical="center" wrapText="1"/>
    </xf>
    <xf numFmtId="0" fontId="37" fillId="15" borderId="55" xfId="5" applyFont="1" applyFill="1" applyBorder="1" applyAlignment="1">
      <alignment horizontal="center" vertical="center" wrapText="1"/>
    </xf>
    <xf numFmtId="17" fontId="37" fillId="15" borderId="55" xfId="5" applyNumberFormat="1" applyFont="1" applyFill="1" applyBorder="1" applyAlignment="1">
      <alignment horizontal="center" vertical="center" wrapText="1"/>
    </xf>
    <xf numFmtId="0" fontId="37" fillId="15" borderId="34" xfId="5" applyFont="1" applyFill="1" applyBorder="1" applyAlignment="1">
      <alignment horizontal="center" vertical="center" wrapText="1"/>
    </xf>
    <xf numFmtId="17" fontId="37" fillId="15" borderId="34" xfId="5" applyNumberFormat="1" applyFont="1" applyFill="1" applyBorder="1" applyAlignment="1">
      <alignment horizontal="center" vertical="center" wrapText="1"/>
    </xf>
    <xf numFmtId="0" fontId="37" fillId="15" borderId="0" xfId="5" applyFont="1" applyFill="1" applyBorder="1" applyAlignment="1">
      <alignment horizontal="center" vertical="center"/>
    </xf>
    <xf numFmtId="0" fontId="32" fillId="15" borderId="8" xfId="5" applyFont="1" applyFill="1" applyBorder="1" applyAlignment="1">
      <alignment vertical="center"/>
    </xf>
    <xf numFmtId="3" fontId="32" fillId="15" borderId="2" xfId="5" applyNumberFormat="1" applyFont="1" applyFill="1" applyBorder="1" applyAlignment="1">
      <alignment horizontal="right" vertical="center"/>
    </xf>
    <xf numFmtId="3" fontId="37" fillId="15" borderId="0" xfId="5" applyNumberFormat="1" applyFont="1" applyFill="1" applyBorder="1" applyAlignment="1">
      <alignment horizontal="center" vertical="center"/>
    </xf>
    <xf numFmtId="9" fontId="37" fillId="15" borderId="0" xfId="5" applyNumberFormat="1" applyFont="1" applyFill="1" applyBorder="1" applyAlignment="1">
      <alignment horizontal="center" vertical="center"/>
    </xf>
    <xf numFmtId="17" fontId="38" fillId="15" borderId="0" xfId="5" applyNumberFormat="1" applyFont="1" applyFill="1" applyBorder="1" applyAlignment="1">
      <alignment horizontal="center" vertical="center"/>
    </xf>
    <xf numFmtId="0" fontId="11" fillId="15" borderId="0" xfId="5" applyFont="1" applyFill="1" applyBorder="1" applyAlignment="1">
      <alignment horizontal="center" vertical="center"/>
    </xf>
    <xf numFmtId="0" fontId="38" fillId="15" borderId="0" xfId="5" applyFont="1" applyFill="1" applyBorder="1" applyAlignment="1">
      <alignment horizontal="left" vertical="center" wrapText="1"/>
    </xf>
    <xf numFmtId="0" fontId="11" fillId="15" borderId="29" xfId="5" applyFont="1" applyFill="1" applyBorder="1" applyAlignment="1">
      <alignment vertical="center"/>
    </xf>
    <xf numFmtId="0" fontId="11" fillId="15" borderId="30" xfId="5" applyFont="1" applyFill="1" applyBorder="1" applyAlignment="1">
      <alignment vertical="center"/>
    </xf>
    <xf numFmtId="0" fontId="11" fillId="15" borderId="30" xfId="5" applyFont="1" applyFill="1" applyBorder="1" applyAlignment="1">
      <alignment horizontal="center" vertical="center"/>
    </xf>
    <xf numFmtId="0" fontId="11" fillId="15" borderId="26" xfId="5" applyFont="1" applyFill="1" applyBorder="1" applyAlignment="1">
      <alignment vertical="center"/>
    </xf>
    <xf numFmtId="0" fontId="11" fillId="15" borderId="0" xfId="5" applyFont="1" applyFill="1" applyAlignment="1">
      <alignment horizontal="center" vertical="center"/>
    </xf>
    <xf numFmtId="0" fontId="11" fillId="0" borderId="0" xfId="5" applyFont="1" applyAlignment="1">
      <alignment horizontal="center" vertical="center"/>
    </xf>
    <xf numFmtId="0" fontId="38" fillId="15" borderId="0" xfId="5" applyFont="1" applyFill="1" applyBorder="1" applyAlignment="1">
      <alignment horizontal="left" vertical="center" wrapText="1"/>
    </xf>
    <xf numFmtId="0" fontId="32" fillId="15" borderId="33" xfId="5" applyFont="1" applyFill="1" applyBorder="1" applyAlignment="1">
      <alignment horizontal="center" vertical="center"/>
    </xf>
    <xf numFmtId="0" fontId="36" fillId="15" borderId="32" xfId="5" applyFont="1" applyFill="1" applyBorder="1" applyAlignment="1">
      <alignment horizontal="center" vertical="center" wrapText="1"/>
    </xf>
    <xf numFmtId="9" fontId="37" fillId="0" borderId="33" xfId="5" applyNumberFormat="1" applyFont="1" applyFill="1" applyBorder="1" applyAlignment="1">
      <alignment horizontal="center" vertical="center" wrapText="1"/>
    </xf>
    <xf numFmtId="9" fontId="37" fillId="0" borderId="0" xfId="5" applyNumberFormat="1" applyFont="1" applyFill="1" applyBorder="1" applyAlignment="1">
      <alignment horizontal="center" vertical="center" wrapText="1"/>
    </xf>
    <xf numFmtId="1" fontId="13" fillId="8" borderId="27" xfId="0" applyNumberFormat="1" applyFont="1" applyFill="1" applyBorder="1" applyAlignment="1">
      <alignment horizontal="center" vertical="center" wrapText="1"/>
    </xf>
    <xf numFmtId="167" fontId="11" fillId="0" borderId="55" xfId="6" applyNumberFormat="1" applyFont="1" applyFill="1" applyBorder="1"/>
    <xf numFmtId="0" fontId="35" fillId="15" borderId="0" xfId="5" applyFont="1" applyFill="1" applyBorder="1" applyAlignment="1">
      <alignment horizontal="center" vertical="center" wrapText="1"/>
    </xf>
    <xf numFmtId="4" fontId="35" fillId="15" borderId="0" xfId="5" applyNumberFormat="1" applyFont="1" applyFill="1" applyBorder="1" applyAlignment="1">
      <alignment horizontal="center" vertical="center" wrapText="1"/>
    </xf>
    <xf numFmtId="0" fontId="36" fillId="15" borderId="0" xfId="5" applyFont="1" applyFill="1" applyBorder="1" applyAlignment="1">
      <alignment horizontal="center" vertical="center" wrapText="1"/>
    </xf>
    <xf numFmtId="167" fontId="30" fillId="15" borderId="0" xfId="5" applyNumberFormat="1" applyFont="1" applyFill="1" applyBorder="1" applyAlignment="1">
      <alignment vertical="center"/>
    </xf>
    <xf numFmtId="0" fontId="40" fillId="15" borderId="32" xfId="5" applyFont="1" applyFill="1" applyBorder="1" applyAlignment="1">
      <alignment horizontal="center" vertical="center" wrapText="1"/>
    </xf>
    <xf numFmtId="0" fontId="41" fillId="15" borderId="0" xfId="5" applyFont="1" applyFill="1" applyBorder="1" applyAlignment="1">
      <alignment horizontal="center" vertical="center" wrapText="1"/>
    </xf>
    <xf numFmtId="3" fontId="13" fillId="11" borderId="59" xfId="0" applyNumberFormat="1" applyFont="1" applyFill="1" applyBorder="1" applyAlignment="1">
      <alignment horizontal="right" vertical="center" wrapText="1"/>
    </xf>
    <xf numFmtId="3" fontId="19" fillId="12" borderId="59" xfId="0" applyNumberFormat="1" applyFont="1" applyFill="1" applyBorder="1" applyAlignment="1">
      <alignment horizontal="center" vertical="center" wrapText="1"/>
    </xf>
    <xf numFmtId="3" fontId="14" fillId="8" borderId="59" xfId="1" applyNumberFormat="1" applyFont="1" applyFill="1" applyBorder="1" applyAlignment="1" applyProtection="1">
      <alignment horizontal="right" vertical="center" wrapText="1"/>
    </xf>
    <xf numFmtId="3" fontId="13" fillId="12" borderId="59" xfId="0" applyNumberFormat="1" applyFont="1" applyFill="1" applyBorder="1" applyAlignment="1">
      <alignment horizontal="center" vertical="center" wrapText="1"/>
    </xf>
    <xf numFmtId="37" fontId="24" fillId="0" borderId="59" xfId="3" applyNumberFormat="1" applyFont="1" applyFill="1" applyBorder="1" applyAlignment="1">
      <alignment horizontal="center" vertical="center" wrapText="1"/>
    </xf>
    <xf numFmtId="3" fontId="13" fillId="10" borderId="59" xfId="0" applyNumberFormat="1" applyFont="1" applyFill="1" applyBorder="1" applyAlignment="1">
      <alignment horizontal="right" vertical="center"/>
    </xf>
    <xf numFmtId="3" fontId="13" fillId="8" borderId="59" xfId="1" applyNumberFormat="1" applyFont="1" applyFill="1" applyBorder="1" applyAlignment="1" applyProtection="1">
      <alignment horizontal="right" vertical="center" wrapText="1"/>
    </xf>
    <xf numFmtId="3" fontId="14" fillId="8" borderId="59" xfId="0" applyNumberFormat="1" applyFont="1" applyFill="1" applyBorder="1" applyAlignment="1">
      <alignment horizontal="right" vertical="center" wrapText="1"/>
    </xf>
    <xf numFmtId="3" fontId="14" fillId="13" borderId="27" xfId="0" applyNumberFormat="1" applyFont="1" applyFill="1" applyBorder="1" applyAlignment="1">
      <alignment horizontal="right" vertical="center" wrapText="1"/>
    </xf>
    <xf numFmtId="3" fontId="14" fillId="18" borderId="27" xfId="0" applyNumberFormat="1" applyFont="1" applyFill="1" applyBorder="1" applyAlignment="1">
      <alignment horizontal="right" vertical="center" wrapText="1"/>
    </xf>
    <xf numFmtId="0" fontId="16" fillId="0" borderId="59" xfId="0" applyFont="1" applyBorder="1" applyAlignment="1">
      <alignment vertical="center" wrapText="1"/>
    </xf>
    <xf numFmtId="0" fontId="17" fillId="0" borderId="59" xfId="0" applyFont="1" applyBorder="1" applyAlignment="1">
      <alignment vertical="center" wrapText="1"/>
    </xf>
    <xf numFmtId="10" fontId="37" fillId="0" borderId="48" xfId="5" applyNumberFormat="1" applyFont="1" applyFill="1" applyBorder="1" applyAlignment="1">
      <alignment horizontal="center" vertical="center" wrapText="1"/>
    </xf>
    <xf numFmtId="0" fontId="37" fillId="15" borderId="60" xfId="5" applyFont="1" applyFill="1" applyBorder="1" applyAlignment="1">
      <alignment horizontal="center" vertical="center" wrapText="1"/>
    </xf>
    <xf numFmtId="0" fontId="37" fillId="15" borderId="60" xfId="5" applyFont="1" applyFill="1" applyBorder="1" applyAlignment="1">
      <alignment horizontal="center" vertical="center"/>
    </xf>
    <xf numFmtId="3" fontId="11" fillId="15" borderId="0" xfId="5" applyNumberFormat="1" applyFont="1" applyFill="1" applyAlignment="1">
      <alignment vertical="center"/>
    </xf>
    <xf numFmtId="0" fontId="0" fillId="4" borderId="9" xfId="0" applyFill="1" applyBorder="1" applyAlignment="1">
      <alignment horizontal="center" vertical="center" wrapText="1"/>
    </xf>
    <xf numFmtId="0" fontId="0" fillId="0" borderId="17" xfId="0" applyFont="1" applyBorder="1" applyAlignment="1">
      <alignment horizontal="center" vertical="center" wrapText="1"/>
    </xf>
    <xf numFmtId="0" fontId="0" fillId="0" borderId="10" xfId="0" applyFont="1" applyBorder="1" applyAlignment="1">
      <alignment horizontal="center" vertical="center" wrapText="1"/>
    </xf>
    <xf numFmtId="0" fontId="0" fillId="3" borderId="9" xfId="0" applyFont="1" applyFill="1" applyBorder="1" applyAlignment="1">
      <alignment horizontal="center" vertical="center" wrapText="1"/>
    </xf>
    <xf numFmtId="0" fontId="0" fillId="3" borderId="11" xfId="0" applyFont="1" applyFill="1" applyBorder="1" applyAlignment="1">
      <alignment horizontal="left"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3" borderId="4" xfId="0" applyFont="1" applyFill="1" applyBorder="1" applyAlignment="1">
      <alignment horizontal="center" vertical="center" wrapText="1"/>
    </xf>
    <xf numFmtId="0" fontId="0" fillId="3" borderId="6" xfId="0" applyFont="1" applyFill="1" applyBorder="1" applyAlignment="1">
      <alignment horizontal="left" vertical="center" wrapText="1"/>
    </xf>
    <xf numFmtId="0" fontId="0" fillId="0" borderId="8" xfId="0" applyFont="1" applyBorder="1" applyAlignment="1">
      <alignment horizontal="center" vertical="center" wrapText="1"/>
    </xf>
    <xf numFmtId="0" fontId="0" fillId="0" borderId="9" xfId="0" applyFont="1" applyBorder="1" applyAlignment="1">
      <alignment horizontal="center" vertical="center" wrapText="1"/>
    </xf>
    <xf numFmtId="0" fontId="1" fillId="0" borderId="0" xfId="0" applyFont="1" applyBorder="1" applyAlignment="1">
      <alignment horizont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0" fillId="5" borderId="1" xfId="0" applyFont="1" applyFill="1" applyBorder="1" applyAlignment="1">
      <alignment horizontal="left" vertical="center" wrapText="1"/>
    </xf>
    <xf numFmtId="0" fontId="0" fillId="0" borderId="1" xfId="0" applyFont="1" applyBorder="1" applyAlignment="1">
      <alignment horizontal="center" vertical="center" wrapText="1"/>
    </xf>
    <xf numFmtId="0" fontId="1" fillId="6" borderId="1" xfId="0" applyFont="1" applyFill="1" applyBorder="1" applyAlignment="1">
      <alignment horizontal="left" vertical="center" wrapText="1"/>
    </xf>
    <xf numFmtId="0" fontId="3" fillId="9" borderId="27" xfId="0" applyFont="1" applyFill="1" applyBorder="1" applyAlignment="1">
      <alignment horizontal="left" vertical="center" wrapText="1"/>
    </xf>
    <xf numFmtId="1" fontId="13" fillId="8" borderId="27" xfId="0" applyNumberFormat="1" applyFont="1" applyFill="1" applyBorder="1" applyAlignment="1">
      <alignment horizontal="center" vertical="center" wrapText="1"/>
    </xf>
    <xf numFmtId="1" fontId="13" fillId="8" borderId="28" xfId="0" applyNumberFormat="1" applyFont="1" applyFill="1" applyBorder="1" applyAlignment="1">
      <alignment horizontal="center" vertical="center" wrapText="1"/>
    </xf>
    <xf numFmtId="1" fontId="13" fillId="8" borderId="34" xfId="0" applyNumberFormat="1" applyFont="1" applyFill="1" applyBorder="1" applyAlignment="1">
      <alignment horizontal="center" vertical="center" wrapText="1"/>
    </xf>
    <xf numFmtId="1" fontId="13" fillId="8" borderId="1" xfId="0" applyNumberFormat="1" applyFont="1" applyFill="1" applyBorder="1" applyAlignment="1">
      <alignment horizontal="center" vertical="center"/>
    </xf>
    <xf numFmtId="1" fontId="13" fillId="8" borderId="0" xfId="0" applyNumberFormat="1" applyFont="1" applyFill="1" applyBorder="1" applyAlignment="1">
      <alignment horizontal="center" vertical="center"/>
    </xf>
    <xf numFmtId="1" fontId="13" fillId="8" borderId="27" xfId="1" applyNumberFormat="1" applyFont="1" applyFill="1" applyBorder="1" applyAlignment="1" applyProtection="1">
      <alignment horizontal="center" vertical="center" wrapText="1"/>
    </xf>
    <xf numFmtId="1" fontId="13" fillId="0" borderId="28" xfId="0" applyNumberFormat="1" applyFont="1" applyFill="1" applyBorder="1" applyAlignment="1">
      <alignment horizontal="center" vertical="center" wrapText="1"/>
    </xf>
    <xf numFmtId="1" fontId="13" fillId="0" borderId="34" xfId="0" applyNumberFormat="1" applyFont="1" applyFill="1" applyBorder="1" applyAlignment="1">
      <alignment horizontal="center" vertical="center" wrapText="1"/>
    </xf>
    <xf numFmtId="0" fontId="1" fillId="0" borderId="33" xfId="0" applyFont="1" applyBorder="1" applyAlignment="1">
      <alignment horizontal="center"/>
    </xf>
    <xf numFmtId="0" fontId="1" fillId="0" borderId="27" xfId="0" applyFont="1" applyBorder="1" applyAlignment="1">
      <alignment horizontal="center"/>
    </xf>
    <xf numFmtId="0" fontId="32" fillId="15" borderId="40" xfId="5" applyFont="1" applyFill="1" applyBorder="1" applyAlignment="1">
      <alignment horizontal="center" vertical="center"/>
    </xf>
    <xf numFmtId="0" fontId="32" fillId="15" borderId="33" xfId="5" applyFont="1" applyFill="1" applyBorder="1" applyAlignment="1">
      <alignment horizontal="center" vertical="center"/>
    </xf>
    <xf numFmtId="0" fontId="1" fillId="13" borderId="43" xfId="0" applyFont="1" applyFill="1" applyBorder="1" applyAlignment="1">
      <alignment horizontal="center" vertical="center"/>
    </xf>
    <xf numFmtId="0" fontId="1" fillId="13" borderId="44" xfId="0" applyFont="1" applyFill="1" applyBorder="1" applyAlignment="1">
      <alignment horizontal="center" vertical="center"/>
    </xf>
    <xf numFmtId="0" fontId="1" fillId="13" borderId="45" xfId="0" applyFont="1" applyFill="1" applyBorder="1" applyAlignment="1">
      <alignment horizontal="center" vertical="center"/>
    </xf>
    <xf numFmtId="0" fontId="34" fillId="15" borderId="38" xfId="5" applyFont="1" applyFill="1" applyBorder="1" applyAlignment="1">
      <alignment horizontal="center" vertical="center"/>
    </xf>
    <xf numFmtId="0" fontId="34" fillId="15" borderId="36" xfId="5" applyFont="1" applyFill="1" applyBorder="1" applyAlignment="1">
      <alignment horizontal="center" vertical="center"/>
    </xf>
    <xf numFmtId="0" fontId="34" fillId="15" borderId="39" xfId="5" applyFont="1" applyFill="1" applyBorder="1" applyAlignment="1">
      <alignment horizontal="center" vertical="center"/>
    </xf>
    <xf numFmtId="0" fontId="35" fillId="15" borderId="18" xfId="5" applyFont="1" applyFill="1" applyBorder="1" applyAlignment="1">
      <alignment horizontal="center" vertical="center" wrapText="1"/>
    </xf>
    <xf numFmtId="0" fontId="35" fillId="15" borderId="22" xfId="5" applyFont="1" applyFill="1" applyBorder="1" applyAlignment="1">
      <alignment horizontal="center" vertical="center" wrapText="1"/>
    </xf>
    <xf numFmtId="0" fontId="35" fillId="15" borderId="31" xfId="5" applyFont="1" applyFill="1" applyBorder="1" applyAlignment="1">
      <alignment horizontal="center" vertical="center" wrapText="1"/>
    </xf>
    <xf numFmtId="0" fontId="35" fillId="15" borderId="32" xfId="5" applyFont="1" applyFill="1" applyBorder="1" applyAlignment="1">
      <alignment horizontal="center" vertical="center" wrapText="1"/>
    </xf>
    <xf numFmtId="4" fontId="35" fillId="15" borderId="31" xfId="5" applyNumberFormat="1" applyFont="1" applyFill="1" applyBorder="1" applyAlignment="1">
      <alignment horizontal="center" vertical="center" wrapText="1"/>
    </xf>
    <xf numFmtId="4" fontId="35" fillId="15" borderId="32" xfId="5" applyNumberFormat="1" applyFont="1" applyFill="1" applyBorder="1" applyAlignment="1">
      <alignment horizontal="center" vertical="center" wrapText="1"/>
    </xf>
    <xf numFmtId="0" fontId="35" fillId="15" borderId="46" xfId="5" applyFont="1" applyFill="1" applyBorder="1" applyAlignment="1">
      <alignment horizontal="center" vertical="center" wrapText="1"/>
    </xf>
    <xf numFmtId="0" fontId="35" fillId="15" borderId="47" xfId="5" applyFont="1" applyFill="1" applyBorder="1" applyAlignment="1">
      <alignment horizontal="center" vertical="center" wrapText="1"/>
    </xf>
    <xf numFmtId="0" fontId="38" fillId="15" borderId="0" xfId="5" applyFont="1" applyFill="1" applyBorder="1" applyAlignment="1">
      <alignment horizontal="left" vertical="center" wrapText="1"/>
    </xf>
    <xf numFmtId="0" fontId="35" fillId="15" borderId="19" xfId="5" applyFont="1" applyFill="1" applyBorder="1" applyAlignment="1">
      <alignment horizontal="center" vertical="center" wrapText="1"/>
    </xf>
    <xf numFmtId="0" fontId="35" fillId="15" borderId="23" xfId="5" applyFont="1" applyFill="1" applyBorder="1" applyAlignment="1">
      <alignment horizontal="center" vertical="center" wrapText="1"/>
    </xf>
    <xf numFmtId="0" fontId="35" fillId="15" borderId="7" xfId="5" applyFont="1" applyFill="1" applyBorder="1" applyAlignment="1">
      <alignment horizontal="center" vertical="center" wrapText="1"/>
    </xf>
    <xf numFmtId="0" fontId="35" fillId="15" borderId="25" xfId="5" applyFont="1" applyFill="1" applyBorder="1" applyAlignment="1">
      <alignment horizontal="center" vertical="center" wrapText="1"/>
    </xf>
    <xf numFmtId="0" fontId="32" fillId="17" borderId="61" xfId="5" applyFont="1" applyFill="1" applyBorder="1" applyAlignment="1">
      <alignment horizontal="left" vertical="center"/>
    </xf>
    <xf numFmtId="0" fontId="32" fillId="17" borderId="62" xfId="5" applyFont="1" applyFill="1" applyBorder="1" applyAlignment="1">
      <alignment horizontal="left" vertical="center"/>
    </xf>
    <xf numFmtId="0" fontId="32" fillId="17" borderId="63" xfId="5" applyFont="1" applyFill="1" applyBorder="1" applyAlignment="1">
      <alignment horizontal="left" vertical="center"/>
    </xf>
    <xf numFmtId="0" fontId="32" fillId="17" borderId="27" xfId="5" applyFont="1" applyFill="1" applyBorder="1" applyAlignment="1">
      <alignment horizontal="left" vertical="center"/>
    </xf>
    <xf numFmtId="0" fontId="32" fillId="17" borderId="28" xfId="5" applyFont="1" applyFill="1" applyBorder="1" applyAlignment="1">
      <alignment horizontal="left" vertical="center"/>
    </xf>
    <xf numFmtId="0" fontId="35" fillId="15" borderId="38" xfId="5" applyFont="1" applyFill="1" applyBorder="1" applyAlignment="1">
      <alignment horizontal="center" vertical="center" wrapText="1"/>
    </xf>
    <xf numFmtId="0" fontId="35" fillId="15" borderId="39" xfId="5" applyFont="1" applyFill="1" applyBorder="1" applyAlignment="1">
      <alignment horizontal="center" vertical="center" wrapText="1"/>
    </xf>
    <xf numFmtId="0" fontId="35" fillId="15" borderId="29" xfId="5" applyFont="1" applyFill="1" applyBorder="1" applyAlignment="1">
      <alignment horizontal="center" vertical="center" wrapText="1"/>
    </xf>
    <xf numFmtId="0" fontId="35" fillId="15" borderId="26" xfId="5" applyFont="1" applyFill="1" applyBorder="1" applyAlignment="1">
      <alignment horizontal="center" vertical="center" wrapText="1"/>
    </xf>
    <xf numFmtId="0" fontId="35" fillId="15" borderId="56" xfId="5" applyFont="1" applyFill="1" applyBorder="1" applyAlignment="1">
      <alignment horizontal="center" vertical="center" wrapText="1"/>
    </xf>
    <xf numFmtId="0" fontId="35" fillId="15" borderId="57" xfId="5" applyFont="1" applyFill="1" applyBorder="1" applyAlignment="1">
      <alignment horizontal="center" vertical="center" wrapText="1"/>
    </xf>
    <xf numFmtId="0" fontId="35" fillId="15" borderId="35" xfId="5" applyFont="1" applyFill="1" applyBorder="1" applyAlignment="1">
      <alignment horizontal="center" vertical="center" wrapText="1"/>
    </xf>
    <xf numFmtId="0" fontId="35" fillId="15" borderId="58" xfId="5" applyFont="1" applyFill="1" applyBorder="1" applyAlignment="1">
      <alignment horizontal="center" vertical="center" wrapText="1"/>
    </xf>
    <xf numFmtId="0" fontId="35" fillId="15" borderId="37" xfId="5" applyFont="1" applyFill="1" applyBorder="1" applyAlignment="1">
      <alignment horizontal="center" vertical="center" wrapText="1"/>
    </xf>
  </cellXfs>
  <cellStyles count="10">
    <cellStyle name="Comma" xfId="3" builtinId="3"/>
    <cellStyle name="Comma 2" xfId="7" xr:uid="{6E2E0AA6-D45C-41C2-8376-5D27243E61D5}"/>
    <cellStyle name="Comma 3" xfId="9" xr:uid="{E413CAA8-A47A-4340-92B4-749BC128C58C}"/>
    <cellStyle name="Explanatory Text" xfId="2" builtinId="53" customBuiltin="1"/>
    <cellStyle name="Normal" xfId="0" builtinId="0"/>
    <cellStyle name="Normal 2" xfId="5" xr:uid="{00000000-0005-0000-0000-000003000000}"/>
    <cellStyle name="Normal 3" xfId="6" xr:uid="{EBAE41D2-2FFB-40FB-AB41-647C5A8FAA1F}"/>
    <cellStyle name="Percent" xfId="1" builtinId="5"/>
    <cellStyle name="Percent 2" xfId="8" xr:uid="{6769BFC5-D9C3-4F5B-9A86-F0959B5D1C60}"/>
    <cellStyle name="Porcentual 2" xfId="4" xr:uid="{00000000-0005-0000-0000-000005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5B9BD5"/>
      <rgbColor rgb="FF8FAADC"/>
      <rgbColor rgb="FF993366"/>
      <rgbColor rgb="FFF2F2F2"/>
      <rgbColor rgb="FFDAE3F3"/>
      <rgbColor rgb="FF660066"/>
      <rgbColor rgb="FFFF8080"/>
      <rgbColor rgb="FF0066CC"/>
      <rgbColor rgb="FFBDD7EE"/>
      <rgbColor rgb="FF000080"/>
      <rgbColor rgb="FFFF00FF"/>
      <rgbColor rgb="FFFFFF00"/>
      <rgbColor rgb="FF00FFFF"/>
      <rgbColor rgb="FF800080"/>
      <rgbColor rgb="FF800000"/>
      <rgbColor rgb="FF008080"/>
      <rgbColor rgb="FF0000FF"/>
      <rgbColor rgb="FF00CCFF"/>
      <rgbColor rgb="FFD9D9D9"/>
      <rgbColor rgb="FFD6DCE5"/>
      <rgbColor rgb="FFFFFF99"/>
      <rgbColor rgb="FF99CCFF"/>
      <rgbColor rgb="FFFF99CC"/>
      <rgbColor rgb="FFA6A6A6"/>
      <rgbColor rgb="FFFBE5D6"/>
      <rgbColor rgb="FF3366FF"/>
      <rgbColor rgb="FF33CCCC"/>
      <rgbColor rgb="FF99CC00"/>
      <rgbColor rgb="FFFFCC00"/>
      <rgbColor rgb="FFFF9900"/>
      <rgbColor rgb="FFED7D31"/>
      <rgbColor rgb="FF5F5F60"/>
      <rgbColor rgb="FF8497B0"/>
      <rgbColor rgb="FF003366"/>
      <rgbColor rgb="FF339966"/>
      <rgbColor rgb="FF003300"/>
      <rgbColor rgb="FF333300"/>
      <rgbColor rgb="FF993300"/>
      <rgbColor rgb="FF993366"/>
      <rgbColor rgb="FF333399"/>
      <rgbColor rgb="FF595959"/>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20"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spc="-1">
                <a:solidFill>
                  <a:srgbClr val="595959"/>
                </a:solidFill>
                <a:latin typeface="Calibri"/>
              </a:defRPr>
            </a:pPr>
            <a:r>
              <a:rPr lang="es-UY" sz="1400" b="1" spc="-1">
                <a:solidFill>
                  <a:srgbClr val="595959"/>
                </a:solidFill>
                <a:latin typeface="Calibri"/>
              </a:rPr>
              <a:t>Ejecución financiera en miles de USD</a:t>
            </a:r>
          </a:p>
        </c:rich>
      </c:tx>
      <c:overlay val="0"/>
    </c:title>
    <c:autoTitleDeleted val="0"/>
    <c:plotArea>
      <c:layout/>
      <c:barChart>
        <c:barDir val="col"/>
        <c:grouping val="clustered"/>
        <c:varyColors val="0"/>
        <c:ser>
          <c:idx val="0"/>
          <c:order val="0"/>
          <c:tx>
            <c:strRef>
              <c:f>'Gráfico ejec.financiera'!$A$3</c:f>
              <c:strCache>
                <c:ptCount val="1"/>
                <c:pt idx="0">
                  <c:v>PDGS 1 Inversiones + PDGS2 total en USD</c:v>
                </c:pt>
              </c:strCache>
            </c:strRef>
          </c:tx>
          <c:spPr>
            <a:solidFill>
              <a:srgbClr val="5B9BD5"/>
            </a:solidFill>
            <a:ln>
              <a:noFill/>
            </a:ln>
          </c:spPr>
          <c:invertIfNegative val="0"/>
          <c:dLbls>
            <c:spPr>
              <a:noFill/>
              <a:ln>
                <a:noFill/>
              </a:ln>
              <a:effectLst/>
            </c:spPr>
            <c:dLblPos val="outEnd"/>
            <c:showLegendKey val="0"/>
            <c:showVal val="0"/>
            <c:showCatName val="0"/>
            <c:showSerName val="0"/>
            <c:showPercent val="0"/>
            <c:showBubbleSize val="1"/>
            <c:showLeaderLines val="0"/>
            <c:extLst>
              <c:ext xmlns:c15="http://schemas.microsoft.com/office/drawing/2012/chart" uri="{CE6537A1-D6FC-4f65-9D91-7224C49458BB}">
                <c15:showLeaderLines val="0"/>
              </c:ext>
            </c:extLst>
          </c:dLbls>
          <c:cat>
            <c:numRef>
              <c:f>'Gráfico ejec.financiera'!$B$2:$G$2</c:f>
              <c:numCache>
                <c:formatCode>0</c:formatCode>
                <c:ptCount val="6"/>
                <c:pt idx="0">
                  <c:v>2017</c:v>
                </c:pt>
                <c:pt idx="1">
                  <c:v>2018</c:v>
                </c:pt>
                <c:pt idx="2">
                  <c:v>2019</c:v>
                </c:pt>
                <c:pt idx="3">
                  <c:v>2020</c:v>
                </c:pt>
                <c:pt idx="4">
                  <c:v>2021</c:v>
                </c:pt>
                <c:pt idx="5">
                  <c:v>2022</c:v>
                </c:pt>
              </c:numCache>
            </c:numRef>
          </c:cat>
          <c:val>
            <c:numRef>
              <c:f>'Gráfico ejec.financiera'!$B$3:$G$3</c:f>
              <c:numCache>
                <c:formatCode>#,##0</c:formatCode>
                <c:ptCount val="6"/>
                <c:pt idx="0">
                  <c:v>14038.4834872593</c:v>
                </c:pt>
                <c:pt idx="1">
                  <c:v>32519.608813150298</c:v>
                </c:pt>
                <c:pt idx="2">
                  <c:v>31227.930401707799</c:v>
                </c:pt>
                <c:pt idx="3">
                  <c:v>17257.6035053218</c:v>
                </c:pt>
                <c:pt idx="4">
                  <c:v>9939.4768296791899</c:v>
                </c:pt>
                <c:pt idx="5">
                  <c:v>4643.3714035512603</c:v>
                </c:pt>
              </c:numCache>
            </c:numRef>
          </c:val>
          <c:extLst>
            <c:ext xmlns:c16="http://schemas.microsoft.com/office/drawing/2014/chart" uri="{C3380CC4-5D6E-409C-BE32-E72D297353CC}">
              <c16:uniqueId val="{00000000-E11E-4ED4-BEF5-C42DF08C9825}"/>
            </c:ext>
          </c:extLst>
        </c:ser>
        <c:ser>
          <c:idx val="1"/>
          <c:order val="1"/>
          <c:tx>
            <c:strRef>
              <c:f>'Gráfico ejec.financiera'!$A$4</c:f>
              <c:strCache>
                <c:ptCount val="1"/>
                <c:pt idx="0">
                  <c:v>PDGs 2  total en USD</c:v>
                </c:pt>
              </c:strCache>
            </c:strRef>
          </c:tx>
          <c:spPr>
            <a:solidFill>
              <a:srgbClr val="ED7D31"/>
            </a:solidFill>
            <a:ln>
              <a:noFill/>
            </a:ln>
          </c:spPr>
          <c:invertIfNegative val="0"/>
          <c:dLbls>
            <c:spPr>
              <a:noFill/>
              <a:ln>
                <a:noFill/>
              </a:ln>
              <a:effectLst/>
            </c:spPr>
            <c:dLblPos val="outEnd"/>
            <c:showLegendKey val="0"/>
            <c:showVal val="0"/>
            <c:showCatName val="0"/>
            <c:showSerName val="0"/>
            <c:showPercent val="0"/>
            <c:showBubbleSize val="1"/>
            <c:showLeaderLines val="0"/>
            <c:extLst>
              <c:ext xmlns:c15="http://schemas.microsoft.com/office/drawing/2012/chart" uri="{CE6537A1-D6FC-4f65-9D91-7224C49458BB}">
                <c15:showLeaderLines val="0"/>
              </c:ext>
            </c:extLst>
          </c:dLbls>
          <c:cat>
            <c:numRef>
              <c:f>'Gráfico ejec.financiera'!$B$2:$G$2</c:f>
              <c:numCache>
                <c:formatCode>0</c:formatCode>
                <c:ptCount val="6"/>
                <c:pt idx="0">
                  <c:v>2017</c:v>
                </c:pt>
                <c:pt idx="1">
                  <c:v>2018</c:v>
                </c:pt>
                <c:pt idx="2">
                  <c:v>2019</c:v>
                </c:pt>
                <c:pt idx="3">
                  <c:v>2020</c:v>
                </c:pt>
                <c:pt idx="4">
                  <c:v>2021</c:v>
                </c:pt>
                <c:pt idx="5">
                  <c:v>2022</c:v>
                </c:pt>
              </c:numCache>
            </c:numRef>
          </c:cat>
          <c:val>
            <c:numRef>
              <c:f>'Gráfico ejec.financiera'!$B$4:$G$4</c:f>
              <c:numCache>
                <c:formatCode>#,##0</c:formatCode>
                <c:ptCount val="6"/>
                <c:pt idx="0">
                  <c:v>3962.6048331399702</c:v>
                </c:pt>
                <c:pt idx="1">
                  <c:v>22969.012932468399</c:v>
                </c:pt>
                <c:pt idx="2">
                  <c:v>31227.930401707799</c:v>
                </c:pt>
                <c:pt idx="3">
                  <c:v>17257.6035053218</c:v>
                </c:pt>
                <c:pt idx="4">
                  <c:v>9939.4768296791899</c:v>
                </c:pt>
                <c:pt idx="5">
                  <c:v>4643.3714035512603</c:v>
                </c:pt>
              </c:numCache>
            </c:numRef>
          </c:val>
          <c:extLst>
            <c:ext xmlns:c16="http://schemas.microsoft.com/office/drawing/2014/chart" uri="{C3380CC4-5D6E-409C-BE32-E72D297353CC}">
              <c16:uniqueId val="{00000001-E11E-4ED4-BEF5-C42DF08C9825}"/>
            </c:ext>
          </c:extLst>
        </c:ser>
        <c:ser>
          <c:idx val="2"/>
          <c:order val="2"/>
          <c:tx>
            <c:v>concursable</c:v>
          </c:tx>
          <c:invertIfNegative val="0"/>
          <c:val>
            <c:numRef>
              <c:f>'Gráfico ejec.financiera'!#REF!</c:f>
              <c:numCache>
                <c:formatCode>General</c:formatCode>
                <c:ptCount val="1"/>
                <c:pt idx="0">
                  <c:v>1</c:v>
                </c:pt>
              </c:numCache>
            </c:numRef>
          </c:val>
          <c:extLst>
            <c:ext xmlns:c16="http://schemas.microsoft.com/office/drawing/2014/chart" uri="{C3380CC4-5D6E-409C-BE32-E72D297353CC}">
              <c16:uniqueId val="{00000002-E11E-4ED4-BEF5-C42DF08C9825}"/>
            </c:ext>
          </c:extLst>
        </c:ser>
        <c:dLbls>
          <c:showLegendKey val="0"/>
          <c:showVal val="0"/>
          <c:showCatName val="0"/>
          <c:showSerName val="0"/>
          <c:showPercent val="0"/>
          <c:showBubbleSize val="0"/>
        </c:dLbls>
        <c:gapWidth val="219"/>
        <c:overlap val="-27"/>
        <c:axId val="385456464"/>
        <c:axId val="224122576"/>
      </c:barChart>
      <c:catAx>
        <c:axId val="385456464"/>
        <c:scaling>
          <c:orientation val="minMax"/>
        </c:scaling>
        <c:delete val="0"/>
        <c:axPos val="b"/>
        <c:numFmt formatCode="0" sourceLinked="1"/>
        <c:majorTickMark val="none"/>
        <c:minorTickMark val="none"/>
        <c:tickLblPos val="nextTo"/>
        <c:spPr>
          <a:ln w="9360">
            <a:solidFill>
              <a:srgbClr val="D9D9D9"/>
            </a:solidFill>
            <a:round/>
          </a:ln>
        </c:spPr>
        <c:txPr>
          <a:bodyPr/>
          <a:lstStyle/>
          <a:p>
            <a:pPr>
              <a:defRPr sz="900" spc="-1">
                <a:solidFill>
                  <a:srgbClr val="595959"/>
                </a:solidFill>
                <a:latin typeface="Calibri"/>
              </a:defRPr>
            </a:pPr>
            <a:endParaRPr lang="en-US"/>
          </a:p>
        </c:txPr>
        <c:crossAx val="224122576"/>
        <c:crosses val="autoZero"/>
        <c:auto val="1"/>
        <c:lblAlgn val="ctr"/>
        <c:lblOffset val="100"/>
        <c:noMultiLvlLbl val="1"/>
      </c:catAx>
      <c:valAx>
        <c:axId val="224122576"/>
        <c:scaling>
          <c:orientation val="minMax"/>
        </c:scaling>
        <c:delete val="0"/>
        <c:axPos val="l"/>
        <c:majorGridlines>
          <c:spPr>
            <a:ln w="9360">
              <a:solidFill>
                <a:srgbClr val="D9D9D9"/>
              </a:solidFill>
              <a:round/>
            </a:ln>
          </c:spPr>
        </c:majorGridlines>
        <c:numFmt formatCode="#,##0" sourceLinked="0"/>
        <c:majorTickMark val="none"/>
        <c:minorTickMark val="none"/>
        <c:tickLblPos val="nextTo"/>
        <c:spPr>
          <a:ln w="6480">
            <a:noFill/>
          </a:ln>
        </c:spPr>
        <c:txPr>
          <a:bodyPr/>
          <a:lstStyle/>
          <a:p>
            <a:pPr>
              <a:defRPr sz="900" spc="-1">
                <a:solidFill>
                  <a:srgbClr val="595959"/>
                </a:solidFill>
                <a:latin typeface="Calibri"/>
              </a:defRPr>
            </a:pPr>
            <a:endParaRPr lang="en-US"/>
          </a:p>
        </c:txPr>
        <c:crossAx val="385456464"/>
        <c:crosses val="autoZero"/>
        <c:crossBetween val="between"/>
      </c:valAx>
      <c:spPr>
        <a:noFill/>
        <a:ln>
          <a:noFill/>
        </a:ln>
      </c:spPr>
    </c:plotArea>
    <c:legend>
      <c:legendPos val="b"/>
      <c:overlay val="0"/>
      <c:spPr>
        <a:noFill/>
        <a:ln>
          <a:noFill/>
        </a:ln>
      </c:spPr>
    </c:legend>
    <c:plotVisOnly val="1"/>
    <c:dispBlanksAs val="gap"/>
    <c:showDLblsOverMax val="1"/>
  </c:chart>
  <c:spPr>
    <a:solidFill>
      <a:srgbClr val="FFFFFF"/>
    </a:solidFill>
    <a:ln w="9360">
      <a:solidFill>
        <a:srgbClr val="D9D9D9"/>
      </a:solidFill>
      <a:round/>
    </a:ln>
  </c:spPr>
  <c:printSettings>
    <c:headerFooter/>
    <c:pageMargins b="0.75000000000000022" l="0.70000000000000018" r="0.70000000000000018" t="0.75000000000000022" header="0.3000000000000001" footer="0.30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UY"/>
              <a:t>Ejecución</a:t>
            </a:r>
            <a:r>
              <a:rPr lang="es-UY" baseline="0"/>
              <a:t> financiera en miles de USD</a:t>
            </a:r>
            <a:endParaRPr lang="es-UY"/>
          </a:p>
        </c:rich>
      </c:tx>
      <c:overlay val="0"/>
      <c:spPr>
        <a:noFill/>
        <a:ln>
          <a:noFill/>
        </a:ln>
        <a:effectLst/>
      </c:spPr>
    </c:title>
    <c:autoTitleDeleted val="0"/>
    <c:plotArea>
      <c:layout/>
      <c:barChart>
        <c:barDir val="col"/>
        <c:grouping val="stacked"/>
        <c:varyColors val="0"/>
        <c:ser>
          <c:idx val="0"/>
          <c:order val="0"/>
          <c:tx>
            <c:strRef>
              <c:f>'Gráfico ejec.financiera'!$A$28</c:f>
              <c:strCache>
                <c:ptCount val="1"/>
                <c:pt idx="0">
                  <c:v>PDGS1</c:v>
                </c:pt>
              </c:strCache>
            </c:strRef>
          </c:tx>
          <c:spPr>
            <a:solidFill>
              <a:schemeClr val="accent1"/>
            </a:solidFill>
            <a:ln>
              <a:noFill/>
            </a:ln>
            <a:effectLst/>
          </c:spPr>
          <c:invertIfNegative val="0"/>
          <c:cat>
            <c:multiLvlStrRef>
              <c:f>'Gráfico ejec.financiera'!$B$26:$G$27</c:f>
              <c:multiLvlStrCache>
                <c:ptCount val="6"/>
                <c:lvl>
                  <c:pt idx="0">
                    <c:v>2017</c:v>
                  </c:pt>
                  <c:pt idx="1">
                    <c:v>2018</c:v>
                  </c:pt>
                  <c:pt idx="2">
                    <c:v>2019</c:v>
                  </c:pt>
                  <c:pt idx="3">
                    <c:v>2020</c:v>
                  </c:pt>
                  <c:pt idx="4">
                    <c:v>2021</c:v>
                  </c:pt>
                  <c:pt idx="5">
                    <c:v>2022</c:v>
                  </c:pt>
                </c:lvl>
                <c:lvl>
                  <c:pt idx="0">
                    <c:v>Ejecución en miles de USD</c:v>
                  </c:pt>
                </c:lvl>
              </c:multiLvlStrCache>
            </c:multiLvlStrRef>
          </c:cat>
          <c:val>
            <c:numRef>
              <c:f>'Gráfico ejec.financiera'!$B$28:$G$28</c:f>
              <c:numCache>
                <c:formatCode>#,##0</c:formatCode>
                <c:ptCount val="6"/>
                <c:pt idx="0">
                  <c:v>10075.878654119329</c:v>
                </c:pt>
                <c:pt idx="1">
                  <c:v>9550.5958806818999</c:v>
                </c:pt>
                <c:pt idx="2">
                  <c:v>0</c:v>
                </c:pt>
                <c:pt idx="3">
                  <c:v>0</c:v>
                </c:pt>
                <c:pt idx="4">
                  <c:v>0</c:v>
                </c:pt>
                <c:pt idx="5">
                  <c:v>0</c:v>
                </c:pt>
              </c:numCache>
            </c:numRef>
          </c:val>
          <c:extLst>
            <c:ext xmlns:c16="http://schemas.microsoft.com/office/drawing/2014/chart" uri="{C3380CC4-5D6E-409C-BE32-E72D297353CC}">
              <c16:uniqueId val="{00000000-E1E9-4A46-A484-C55C7C0C3F47}"/>
            </c:ext>
          </c:extLst>
        </c:ser>
        <c:ser>
          <c:idx val="1"/>
          <c:order val="1"/>
          <c:tx>
            <c:strRef>
              <c:f>'Gráfico ejec.financiera'!$A$29</c:f>
              <c:strCache>
                <c:ptCount val="1"/>
                <c:pt idx="0">
                  <c:v>PDGS2</c:v>
                </c:pt>
              </c:strCache>
            </c:strRef>
          </c:tx>
          <c:spPr>
            <a:solidFill>
              <a:schemeClr val="accent2"/>
            </a:solidFill>
            <a:ln>
              <a:noFill/>
            </a:ln>
            <a:effectLst/>
          </c:spPr>
          <c:invertIfNegative val="0"/>
          <c:cat>
            <c:multiLvlStrRef>
              <c:f>'Gráfico ejec.financiera'!$B$26:$G$27</c:f>
              <c:multiLvlStrCache>
                <c:ptCount val="6"/>
                <c:lvl>
                  <c:pt idx="0">
                    <c:v>2017</c:v>
                  </c:pt>
                  <c:pt idx="1">
                    <c:v>2018</c:v>
                  </c:pt>
                  <c:pt idx="2">
                    <c:v>2019</c:v>
                  </c:pt>
                  <c:pt idx="3">
                    <c:v>2020</c:v>
                  </c:pt>
                  <c:pt idx="4">
                    <c:v>2021</c:v>
                  </c:pt>
                  <c:pt idx="5">
                    <c:v>2022</c:v>
                  </c:pt>
                </c:lvl>
                <c:lvl>
                  <c:pt idx="0">
                    <c:v>Ejecución en miles de USD</c:v>
                  </c:pt>
                </c:lvl>
              </c:multiLvlStrCache>
            </c:multiLvlStrRef>
          </c:cat>
          <c:val>
            <c:numRef>
              <c:f>'Gráfico ejec.financiera'!$B$29:$G$29</c:f>
              <c:numCache>
                <c:formatCode>#,##0</c:formatCode>
                <c:ptCount val="6"/>
                <c:pt idx="0">
                  <c:v>3962.6048331399702</c:v>
                </c:pt>
                <c:pt idx="1">
                  <c:v>17969.012932468399</c:v>
                </c:pt>
                <c:pt idx="2">
                  <c:v>26227.930401707799</c:v>
                </c:pt>
                <c:pt idx="3">
                  <c:v>17257.6035053218</c:v>
                </c:pt>
                <c:pt idx="4">
                  <c:v>9939.4768296791899</c:v>
                </c:pt>
                <c:pt idx="5">
                  <c:v>4643.3714035512603</c:v>
                </c:pt>
              </c:numCache>
            </c:numRef>
          </c:val>
          <c:extLst>
            <c:ext xmlns:c16="http://schemas.microsoft.com/office/drawing/2014/chart" uri="{C3380CC4-5D6E-409C-BE32-E72D297353CC}">
              <c16:uniqueId val="{00000001-E1E9-4A46-A484-C55C7C0C3F47}"/>
            </c:ext>
          </c:extLst>
        </c:ser>
        <c:ser>
          <c:idx val="2"/>
          <c:order val="2"/>
          <c:tx>
            <c:strRef>
              <c:f>'Gráfico ejec.financiera'!$A$30</c:f>
              <c:strCache>
                <c:ptCount val="1"/>
                <c:pt idx="0">
                  <c:v>FC PDGS2</c:v>
                </c:pt>
              </c:strCache>
            </c:strRef>
          </c:tx>
          <c:spPr>
            <a:solidFill>
              <a:schemeClr val="accent3"/>
            </a:solidFill>
            <a:ln>
              <a:noFill/>
            </a:ln>
            <a:effectLst/>
          </c:spPr>
          <c:invertIfNegative val="0"/>
          <c:cat>
            <c:multiLvlStrRef>
              <c:f>'Gráfico ejec.financiera'!$B$26:$G$27</c:f>
              <c:multiLvlStrCache>
                <c:ptCount val="6"/>
                <c:lvl>
                  <c:pt idx="0">
                    <c:v>2017</c:v>
                  </c:pt>
                  <c:pt idx="1">
                    <c:v>2018</c:v>
                  </c:pt>
                  <c:pt idx="2">
                    <c:v>2019</c:v>
                  </c:pt>
                  <c:pt idx="3">
                    <c:v>2020</c:v>
                  </c:pt>
                  <c:pt idx="4">
                    <c:v>2021</c:v>
                  </c:pt>
                  <c:pt idx="5">
                    <c:v>2022</c:v>
                  </c:pt>
                </c:lvl>
                <c:lvl>
                  <c:pt idx="0">
                    <c:v>Ejecución en miles de USD</c:v>
                  </c:pt>
                </c:lvl>
              </c:multiLvlStrCache>
            </c:multiLvlStrRef>
          </c:cat>
          <c:val>
            <c:numRef>
              <c:f>'Gráfico ejec.financiera'!$B$30:$G$30</c:f>
              <c:numCache>
                <c:formatCode>#,##0</c:formatCode>
                <c:ptCount val="6"/>
                <c:pt idx="1">
                  <c:v>5000</c:v>
                </c:pt>
                <c:pt idx="2">
                  <c:v>5000</c:v>
                </c:pt>
              </c:numCache>
            </c:numRef>
          </c:val>
          <c:extLst>
            <c:ext xmlns:c16="http://schemas.microsoft.com/office/drawing/2014/chart" uri="{C3380CC4-5D6E-409C-BE32-E72D297353CC}">
              <c16:uniqueId val="{00000002-E1E9-4A46-A484-C55C7C0C3F47}"/>
            </c:ext>
          </c:extLst>
        </c:ser>
        <c:dLbls>
          <c:showLegendKey val="0"/>
          <c:showVal val="0"/>
          <c:showCatName val="0"/>
          <c:showSerName val="0"/>
          <c:showPercent val="0"/>
          <c:showBubbleSize val="0"/>
        </c:dLbls>
        <c:gapWidth val="150"/>
        <c:overlap val="100"/>
        <c:axId val="137425360"/>
        <c:axId val="220958232"/>
      </c:barChart>
      <c:catAx>
        <c:axId val="137425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0958232"/>
        <c:crosses val="autoZero"/>
        <c:auto val="1"/>
        <c:lblAlgn val="ctr"/>
        <c:lblOffset val="100"/>
        <c:noMultiLvlLbl val="0"/>
      </c:catAx>
      <c:valAx>
        <c:axId val="2209582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74253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22" l="0.70000000000000018" r="0.70000000000000018" t="0.75000000000000022" header="0.3000000000000001" footer="0.300000000000000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477705</xdr:colOff>
      <xdr:row>6</xdr:row>
      <xdr:rowOff>186630</xdr:rowOff>
    </xdr:from>
    <xdr:to>
      <xdr:col>5</xdr:col>
      <xdr:colOff>343785</xdr:colOff>
      <xdr:row>21</xdr:row>
      <xdr:rowOff>71730</xdr:rowOff>
    </xdr:to>
    <xdr:graphicFrame macro="">
      <xdr:nvGraphicFramePr>
        <xdr:cNvPr id="2" name="Gráfico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481012</xdr:colOff>
      <xdr:row>33</xdr:row>
      <xdr:rowOff>147637</xdr:rowOff>
    </xdr:from>
    <xdr:to>
      <xdr:col>6</xdr:col>
      <xdr:colOff>214312</xdr:colOff>
      <xdr:row>48</xdr:row>
      <xdr:rowOff>33337</xdr:rowOff>
    </xdr:to>
    <xdr:graphicFrame macro="">
      <xdr:nvGraphicFramePr>
        <xdr:cNvPr id="3" name="Gráfico 2">
          <a:extLst>
            <a:ext uri="{FF2B5EF4-FFF2-40B4-BE49-F238E27FC236}">
              <a16:creationId xmlns:a16="http://schemas.microsoft.com/office/drawing/2014/main" id="{00000000-0008-0000-09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0"/>
  <sheetViews>
    <sheetView topLeftCell="D1" workbookViewId="0">
      <selection activeCell="E5" sqref="E5:E15"/>
    </sheetView>
  </sheetViews>
  <sheetFormatPr defaultColWidth="9.140625" defaultRowHeight="15" x14ac:dyDescent="0.25"/>
  <cols>
    <col min="1" max="1" width="30.7109375"/>
    <col min="2" max="2" width="14.140625"/>
    <col min="3" max="3" width="35.140625"/>
    <col min="4" max="4" width="14.5703125"/>
    <col min="5" max="5" width="66" style="1"/>
    <col min="6" max="6" width="13.28515625"/>
    <col min="7" max="7" width="81.5703125"/>
  </cols>
  <sheetData>
    <row r="1" spans="1:7" x14ac:dyDescent="0.25">
      <c r="A1" s="293" t="s">
        <v>0</v>
      </c>
      <c r="B1" s="293"/>
      <c r="C1" s="293"/>
      <c r="D1" s="293"/>
      <c r="E1" s="293"/>
      <c r="F1" s="293"/>
      <c r="G1" s="293"/>
    </row>
    <row r="2" spans="1:7" x14ac:dyDescent="0.25">
      <c r="A2" s="294" t="s">
        <v>1</v>
      </c>
      <c r="B2" s="294" t="s">
        <v>2</v>
      </c>
      <c r="C2" s="294"/>
      <c r="D2" s="295" t="s">
        <v>3</v>
      </c>
      <c r="E2" s="295"/>
      <c r="F2" s="296" t="s">
        <v>4</v>
      </c>
      <c r="G2" s="296"/>
    </row>
    <row r="3" spans="1:7" x14ac:dyDescent="0.25">
      <c r="A3" s="294"/>
      <c r="B3" s="294"/>
      <c r="C3" s="294"/>
      <c r="D3" s="295"/>
      <c r="E3" s="295"/>
      <c r="F3" s="2" t="s">
        <v>5</v>
      </c>
      <c r="G3" s="2" t="s">
        <v>6</v>
      </c>
    </row>
    <row r="4" spans="1:7" s="9" customFormat="1" ht="60" x14ac:dyDescent="0.25">
      <c r="A4" s="3" t="s">
        <v>7</v>
      </c>
      <c r="B4" s="4" t="s">
        <v>8</v>
      </c>
      <c r="C4" s="5" t="s">
        <v>9</v>
      </c>
      <c r="D4" s="6" t="s">
        <v>8</v>
      </c>
      <c r="E4" s="7" t="s">
        <v>10</v>
      </c>
      <c r="F4" s="8" t="s">
        <v>11</v>
      </c>
      <c r="G4" s="8" t="s">
        <v>12</v>
      </c>
    </row>
    <row r="5" spans="1:7" ht="15" customHeight="1" x14ac:dyDescent="0.25">
      <c r="A5" s="291" t="s">
        <v>13</v>
      </c>
      <c r="B5" s="292" t="s">
        <v>14</v>
      </c>
      <c r="C5" s="283" t="s">
        <v>15</v>
      </c>
      <c r="D5" s="284" t="s">
        <v>14</v>
      </c>
      <c r="E5" s="285" t="s">
        <v>16</v>
      </c>
      <c r="F5" s="11" t="s">
        <v>17</v>
      </c>
      <c r="G5" s="11" t="s">
        <v>18</v>
      </c>
    </row>
    <row r="6" spans="1:7" x14ac:dyDescent="0.25">
      <c r="A6" s="291"/>
      <c r="B6" s="292"/>
      <c r="C6" s="283"/>
      <c r="D6" s="284"/>
      <c r="E6" s="285"/>
      <c r="F6" s="12" t="s">
        <v>19</v>
      </c>
      <c r="G6" s="12" t="s">
        <v>20</v>
      </c>
    </row>
    <row r="7" spans="1:7" x14ac:dyDescent="0.25">
      <c r="A7" s="291"/>
      <c r="B7" s="292"/>
      <c r="C7" s="283"/>
      <c r="D7" s="284"/>
      <c r="E7" s="285"/>
      <c r="F7" s="12" t="s">
        <v>21</v>
      </c>
      <c r="G7" s="12" t="s">
        <v>22</v>
      </c>
    </row>
    <row r="8" spans="1:7" x14ac:dyDescent="0.25">
      <c r="A8" s="291"/>
      <c r="B8" s="292"/>
      <c r="C8" s="283"/>
      <c r="D8" s="284"/>
      <c r="E8" s="285"/>
      <c r="F8" s="12" t="s">
        <v>23</v>
      </c>
      <c r="G8" s="12" t="s">
        <v>24</v>
      </c>
    </row>
    <row r="9" spans="1:7" x14ac:dyDescent="0.25">
      <c r="A9" s="291"/>
      <c r="B9" s="292"/>
      <c r="C9" s="283"/>
      <c r="D9" s="284"/>
      <c r="E9" s="285"/>
      <c r="F9" s="12" t="s">
        <v>25</v>
      </c>
      <c r="G9" s="12" t="s">
        <v>26</v>
      </c>
    </row>
    <row r="10" spans="1:7" x14ac:dyDescent="0.25">
      <c r="A10" s="291"/>
      <c r="B10" s="292"/>
      <c r="C10" s="283"/>
      <c r="D10" s="284"/>
      <c r="E10" s="285"/>
      <c r="F10" s="12" t="s">
        <v>27</v>
      </c>
      <c r="G10" s="12" t="s">
        <v>28</v>
      </c>
    </row>
    <row r="11" spans="1:7" x14ac:dyDescent="0.25">
      <c r="A11" s="291"/>
      <c r="B11" s="292"/>
      <c r="C11" s="283"/>
      <c r="D11" s="284"/>
      <c r="E11" s="285"/>
      <c r="F11" s="12" t="s">
        <v>29</v>
      </c>
      <c r="G11" s="12" t="s">
        <v>30</v>
      </c>
    </row>
    <row r="12" spans="1:7" x14ac:dyDescent="0.25">
      <c r="A12" s="291"/>
      <c r="B12" s="292"/>
      <c r="C12" s="283"/>
      <c r="D12" s="284"/>
      <c r="E12" s="285"/>
      <c r="F12" s="12" t="s">
        <v>31</v>
      </c>
      <c r="G12" s="12" t="s">
        <v>32</v>
      </c>
    </row>
    <row r="13" spans="1:7" x14ac:dyDescent="0.25">
      <c r="A13" s="291"/>
      <c r="B13" s="292"/>
      <c r="C13" s="283"/>
      <c r="D13" s="284"/>
      <c r="E13" s="285"/>
      <c r="F13" s="12" t="s">
        <v>33</v>
      </c>
      <c r="G13" s="12" t="s">
        <v>34</v>
      </c>
    </row>
    <row r="14" spans="1:7" x14ac:dyDescent="0.25">
      <c r="A14" s="291"/>
      <c r="B14" s="292"/>
      <c r="C14" s="283"/>
      <c r="D14" s="284"/>
      <c r="E14" s="285"/>
      <c r="F14" s="12" t="s">
        <v>35</v>
      </c>
      <c r="G14" s="12" t="s">
        <v>36</v>
      </c>
    </row>
    <row r="15" spans="1:7" x14ac:dyDescent="0.25">
      <c r="A15" s="291"/>
      <c r="B15" s="292"/>
      <c r="C15" s="283"/>
      <c r="D15" s="284"/>
      <c r="E15" s="285"/>
      <c r="F15" s="13" t="s">
        <v>35</v>
      </c>
      <c r="G15" s="13" t="s">
        <v>37</v>
      </c>
    </row>
    <row r="16" spans="1:7" ht="15" customHeight="1" x14ac:dyDescent="0.25">
      <c r="A16" s="286" t="s">
        <v>38</v>
      </c>
      <c r="B16" s="287" t="s">
        <v>39</v>
      </c>
      <c r="C16" s="288" t="s">
        <v>40</v>
      </c>
      <c r="D16" s="289" t="s">
        <v>41</v>
      </c>
      <c r="E16" s="290" t="s">
        <v>42</v>
      </c>
      <c r="F16" s="14" t="s">
        <v>43</v>
      </c>
      <c r="G16" s="14" t="s">
        <v>44</v>
      </c>
    </row>
    <row r="17" spans="1:7" x14ac:dyDescent="0.25">
      <c r="A17" s="286"/>
      <c r="B17" s="287"/>
      <c r="C17" s="288"/>
      <c r="D17" s="289"/>
      <c r="E17" s="290"/>
      <c r="F17" s="12" t="s">
        <v>45</v>
      </c>
      <c r="G17" s="12" t="s">
        <v>46</v>
      </c>
    </row>
    <row r="18" spans="1:7" x14ac:dyDescent="0.25">
      <c r="A18" s="286"/>
      <c r="B18" s="287"/>
      <c r="C18" s="288"/>
      <c r="D18" s="289"/>
      <c r="E18" s="290"/>
      <c r="F18" s="12" t="s">
        <v>31</v>
      </c>
      <c r="G18" s="12" t="s">
        <v>47</v>
      </c>
    </row>
    <row r="19" spans="1:7" x14ac:dyDescent="0.25">
      <c r="A19" s="286"/>
      <c r="B19" s="287"/>
      <c r="C19" s="288"/>
      <c r="D19" s="289"/>
      <c r="E19" s="290"/>
      <c r="F19" s="12" t="s">
        <v>48</v>
      </c>
      <c r="G19" s="12" t="s">
        <v>49</v>
      </c>
    </row>
    <row r="20" spans="1:7" x14ac:dyDescent="0.25">
      <c r="A20" s="286"/>
      <c r="B20" s="287"/>
      <c r="C20" s="288"/>
      <c r="D20" s="289"/>
      <c r="E20" s="290"/>
      <c r="F20" s="12" t="s">
        <v>48</v>
      </c>
      <c r="G20" s="12" t="s">
        <v>50</v>
      </c>
    </row>
    <row r="21" spans="1:7" x14ac:dyDescent="0.25">
      <c r="A21" s="286"/>
      <c r="B21" s="287"/>
      <c r="C21" s="288"/>
      <c r="D21" s="289"/>
      <c r="E21" s="290"/>
      <c r="F21" s="15" t="s">
        <v>48</v>
      </c>
      <c r="G21" s="15" t="s">
        <v>51</v>
      </c>
    </row>
    <row r="22" spans="1:7" x14ac:dyDescent="0.25">
      <c r="A22" s="286"/>
      <c r="B22" s="287"/>
      <c r="C22" s="288"/>
      <c r="D22" s="289"/>
      <c r="E22" s="290"/>
      <c r="F22" s="15" t="s">
        <v>17</v>
      </c>
      <c r="G22" s="15" t="s">
        <v>52</v>
      </c>
    </row>
    <row r="23" spans="1:7" ht="21" customHeight="1" x14ac:dyDescent="0.25">
      <c r="A23" s="286"/>
      <c r="B23" s="287"/>
      <c r="C23" s="288"/>
      <c r="D23" s="289"/>
      <c r="E23" s="290"/>
      <c r="F23" s="15" t="s">
        <v>17</v>
      </c>
      <c r="G23" s="15" t="s">
        <v>53</v>
      </c>
    </row>
    <row r="24" spans="1:7" ht="13.9" customHeight="1" x14ac:dyDescent="0.25">
      <c r="A24" s="281"/>
      <c r="B24" s="282" t="s">
        <v>54</v>
      </c>
      <c r="C24" s="283" t="s">
        <v>55</v>
      </c>
      <c r="D24" s="284" t="s">
        <v>54</v>
      </c>
      <c r="E24" s="285" t="s">
        <v>56</v>
      </c>
      <c r="F24" s="18" t="s">
        <v>57</v>
      </c>
      <c r="G24" s="19" t="s">
        <v>58</v>
      </c>
    </row>
    <row r="25" spans="1:7" x14ac:dyDescent="0.25">
      <c r="A25" s="281"/>
      <c r="B25" s="282"/>
      <c r="C25" s="283"/>
      <c r="D25" s="284"/>
      <c r="E25" s="285"/>
      <c r="F25" s="20" t="s">
        <v>59</v>
      </c>
      <c r="G25" s="21" t="s">
        <v>60</v>
      </c>
    </row>
    <row r="26" spans="1:7" x14ac:dyDescent="0.25">
      <c r="A26" s="281"/>
      <c r="B26" s="282"/>
      <c r="C26" s="283"/>
      <c r="D26" s="284"/>
      <c r="E26" s="285"/>
      <c r="F26" s="20" t="s">
        <v>61</v>
      </c>
      <c r="G26" s="21" t="s">
        <v>62</v>
      </c>
    </row>
    <row r="27" spans="1:7" x14ac:dyDescent="0.25">
      <c r="A27" s="281"/>
      <c r="B27" s="282"/>
      <c r="C27" s="283"/>
      <c r="D27" s="284"/>
      <c r="E27" s="285"/>
      <c r="F27" s="20" t="s">
        <v>63</v>
      </c>
      <c r="G27" s="21" t="s">
        <v>64</v>
      </c>
    </row>
    <row r="28" spans="1:7" x14ac:dyDescent="0.25">
      <c r="A28" s="281"/>
      <c r="B28" s="282"/>
      <c r="C28" s="283"/>
      <c r="D28" s="284"/>
      <c r="E28" s="285"/>
      <c r="F28" s="20" t="s">
        <v>65</v>
      </c>
      <c r="G28" s="21" t="s">
        <v>66</v>
      </c>
    </row>
    <row r="29" spans="1:7" ht="29.25" customHeight="1" x14ac:dyDescent="0.25">
      <c r="A29" s="281"/>
      <c r="B29" s="282"/>
      <c r="C29" s="283"/>
      <c r="D29" s="284"/>
      <c r="E29" s="285"/>
      <c r="F29" s="22" t="s">
        <v>65</v>
      </c>
      <c r="G29" s="23" t="s">
        <v>67</v>
      </c>
    </row>
    <row r="30" spans="1:7" ht="90" x14ac:dyDescent="0.25">
      <c r="A30" s="16"/>
      <c r="B30" s="17" t="s">
        <v>68</v>
      </c>
      <c r="C30" s="10" t="s">
        <v>69</v>
      </c>
      <c r="D30" s="24"/>
      <c r="E30" s="24"/>
      <c r="F30" s="24" t="s">
        <v>70</v>
      </c>
      <c r="G30" s="25" t="s">
        <v>70</v>
      </c>
    </row>
  </sheetData>
  <mergeCells count="20">
    <mergeCell ref="A1:G1"/>
    <mergeCell ref="A2:A3"/>
    <mergeCell ref="B2:C3"/>
    <mergeCell ref="D2:E3"/>
    <mergeCell ref="F2:G2"/>
    <mergeCell ref="A5:A15"/>
    <mergeCell ref="B5:B15"/>
    <mergeCell ref="C5:C15"/>
    <mergeCell ref="D5:D15"/>
    <mergeCell ref="E5:E15"/>
    <mergeCell ref="A16:A23"/>
    <mergeCell ref="B16:B23"/>
    <mergeCell ref="C16:C23"/>
    <mergeCell ref="D16:D23"/>
    <mergeCell ref="E16:E23"/>
    <mergeCell ref="A24:A29"/>
    <mergeCell ref="B24:B29"/>
    <mergeCell ref="C24:C29"/>
    <mergeCell ref="D24:D29"/>
    <mergeCell ref="E24:E29"/>
  </mergeCells>
  <pageMargins left="0.7" right="0.7" top="0.75" bottom="0.75" header="0.51180555555555496" footer="0.51180555555555496"/>
  <pageSetup paperSize="0" scale="0" firstPageNumber="0" orientation="portrait" usePrinterDefaults="0" horizontalDpi="0" verticalDpi="0"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516A20-44A1-40E7-BAC6-9F0391D32A01}">
  <dimension ref="A1:AW81"/>
  <sheetViews>
    <sheetView topLeftCell="D1" zoomScale="70" zoomScaleNormal="70" workbookViewId="0">
      <selection activeCell="I41" sqref="I41"/>
    </sheetView>
  </sheetViews>
  <sheetFormatPr defaultColWidth="11.28515625" defaultRowHeight="18" x14ac:dyDescent="0.25"/>
  <cols>
    <col min="1" max="1" width="2.28515625" style="204" customWidth="1"/>
    <col min="2" max="2" width="4.5703125" style="204" bestFit="1" customWidth="1"/>
    <col min="3" max="3" width="16.85546875" style="204" bestFit="1" customWidth="1"/>
    <col min="4" max="4" width="58.7109375" style="204" bestFit="1" customWidth="1"/>
    <col min="5" max="5" width="15.140625" style="204" bestFit="1" customWidth="1"/>
    <col min="6" max="6" width="12.85546875" style="251" bestFit="1" customWidth="1"/>
    <col min="7" max="7" width="18" style="204" bestFit="1" customWidth="1"/>
    <col min="8" max="8" width="11.28515625" style="204" customWidth="1"/>
    <col min="9" max="9" width="15" style="204" bestFit="1" customWidth="1"/>
    <col min="10" max="10" width="19.7109375" style="204" bestFit="1" customWidth="1"/>
    <col min="11" max="11" width="15" style="204" customWidth="1"/>
    <col min="12" max="12" width="18.28515625" style="204" customWidth="1"/>
    <col min="13" max="26" width="10.7109375" style="204" customWidth="1"/>
    <col min="27" max="27" width="31.85546875" style="204" customWidth="1"/>
    <col min="28" max="28" width="2.28515625" style="204" customWidth="1"/>
    <col min="29" max="29" width="11.28515625" style="192"/>
    <col min="30" max="30" width="25" style="193" customWidth="1"/>
    <col min="31" max="49" width="11.28515625" style="192"/>
    <col min="50" max="16384" width="11.28515625" style="204"/>
  </cols>
  <sheetData>
    <row r="1" spans="1:49" s="192" customFormat="1" ht="10.5" customHeight="1" x14ac:dyDescent="0.25">
      <c r="A1" s="188"/>
      <c r="B1" s="189"/>
      <c r="C1" s="189"/>
      <c r="D1" s="189"/>
      <c r="E1" s="189"/>
      <c r="F1" s="190"/>
      <c r="G1" s="189"/>
      <c r="H1" s="189"/>
      <c r="I1" s="189"/>
      <c r="J1" s="189"/>
      <c r="K1" s="189"/>
      <c r="L1" s="189"/>
      <c r="M1" s="189"/>
      <c r="N1" s="189"/>
      <c r="O1" s="189"/>
      <c r="P1" s="189"/>
      <c r="Q1" s="189"/>
      <c r="R1" s="189">
        <v>15</v>
      </c>
      <c r="S1" s="189">
        <v>20</v>
      </c>
      <c r="T1" s="189">
        <v>20</v>
      </c>
      <c r="U1" s="189">
        <v>15</v>
      </c>
      <c r="V1" s="189">
        <f>SUM(R1:U1)</f>
        <v>70</v>
      </c>
      <c r="W1" s="189"/>
      <c r="X1" s="189"/>
      <c r="Y1" s="189"/>
      <c r="Z1" s="189"/>
      <c r="AA1" s="189"/>
      <c r="AB1" s="191"/>
      <c r="AD1" s="193"/>
    </row>
    <row r="2" spans="1:49" s="197" customFormat="1" x14ac:dyDescent="0.25">
      <c r="A2" s="194"/>
      <c r="B2" s="312" t="s">
        <v>255</v>
      </c>
      <c r="C2" s="313"/>
      <c r="D2" s="313"/>
      <c r="E2" s="313"/>
      <c r="F2" s="313"/>
      <c r="G2" s="313"/>
      <c r="H2" s="313"/>
      <c r="I2" s="313"/>
      <c r="J2" s="313"/>
      <c r="K2" s="313"/>
      <c r="L2" s="313"/>
      <c r="M2" s="253"/>
      <c r="N2" s="253"/>
      <c r="O2" s="253"/>
      <c r="P2" s="253"/>
      <c r="Q2" s="253"/>
      <c r="R2" s="253"/>
      <c r="S2" s="253"/>
      <c r="T2" s="253"/>
      <c r="U2" s="253"/>
      <c r="V2" s="253"/>
      <c r="W2" s="253"/>
      <c r="X2" s="253"/>
      <c r="Y2" s="253"/>
      <c r="Z2" s="253"/>
      <c r="AA2" s="195"/>
      <c r="AB2" s="196"/>
      <c r="AD2" s="193"/>
    </row>
    <row r="3" spans="1:49" s="192" customFormat="1" x14ac:dyDescent="0.25">
      <c r="A3" s="198"/>
      <c r="B3" s="314" t="s">
        <v>231</v>
      </c>
      <c r="C3" s="315"/>
      <c r="D3" s="315"/>
      <c r="E3" s="315"/>
      <c r="F3" s="315"/>
      <c r="G3" s="315"/>
      <c r="H3" s="315"/>
      <c r="I3" s="315"/>
      <c r="J3" s="315"/>
      <c r="K3" s="315"/>
      <c r="L3" s="315"/>
      <c r="M3" s="315"/>
      <c r="N3" s="315"/>
      <c r="O3" s="315"/>
      <c r="P3" s="315"/>
      <c r="Q3" s="315"/>
      <c r="R3" s="315"/>
      <c r="S3" s="315"/>
      <c r="T3" s="315"/>
      <c r="U3" s="315"/>
      <c r="V3" s="315"/>
      <c r="W3" s="315"/>
      <c r="X3" s="315"/>
      <c r="Y3" s="315"/>
      <c r="Z3" s="315"/>
      <c r="AA3" s="316"/>
      <c r="AB3" s="199"/>
      <c r="AD3" s="193"/>
    </row>
    <row r="4" spans="1:49" s="192" customFormat="1" ht="11.25" customHeight="1" thickBot="1" x14ac:dyDescent="0.3">
      <c r="A4" s="198"/>
      <c r="B4" s="200"/>
      <c r="C4" s="200"/>
      <c r="D4" s="200"/>
      <c r="E4" s="200"/>
      <c r="F4" s="200"/>
      <c r="G4" s="200"/>
      <c r="H4" s="200"/>
      <c r="I4" s="200"/>
      <c r="J4" s="200"/>
      <c r="K4" s="200"/>
      <c r="L4" s="200"/>
      <c r="M4" s="200"/>
      <c r="N4" s="200"/>
      <c r="O4" s="200"/>
      <c r="P4" s="200"/>
      <c r="Q4" s="200"/>
      <c r="R4" s="200"/>
      <c r="S4" s="200"/>
      <c r="T4" s="200"/>
      <c r="U4" s="200"/>
      <c r="V4" s="200"/>
      <c r="W4" s="200"/>
      <c r="X4" s="200"/>
      <c r="Y4" s="200"/>
      <c r="Z4" s="200"/>
      <c r="AA4" s="200"/>
      <c r="AB4" s="199"/>
      <c r="AD4" s="193"/>
    </row>
    <row r="5" spans="1:49" s="197" customFormat="1" ht="24" thickBot="1" x14ac:dyDescent="0.3">
      <c r="A5" s="194"/>
      <c r="B5" s="317" t="s">
        <v>292</v>
      </c>
      <c r="C5" s="318"/>
      <c r="D5" s="318"/>
      <c r="E5" s="318"/>
      <c r="F5" s="318"/>
      <c r="G5" s="318"/>
      <c r="H5" s="318"/>
      <c r="I5" s="318"/>
      <c r="J5" s="318"/>
      <c r="K5" s="318"/>
      <c r="L5" s="318"/>
      <c r="M5" s="318"/>
      <c r="N5" s="318"/>
      <c r="O5" s="318"/>
      <c r="P5" s="318"/>
      <c r="Q5" s="318"/>
      <c r="R5" s="318"/>
      <c r="S5" s="318"/>
      <c r="T5" s="318"/>
      <c r="U5" s="318"/>
      <c r="V5" s="318"/>
      <c r="W5" s="318"/>
      <c r="X5" s="318"/>
      <c r="Y5" s="318"/>
      <c r="Z5" s="318"/>
      <c r="AA5" s="319"/>
      <c r="AB5" s="196"/>
      <c r="AD5" s="201"/>
    </row>
    <row r="6" spans="1:49" ht="35.25" customHeight="1" x14ac:dyDescent="0.25">
      <c r="A6" s="198"/>
      <c r="B6" s="320" t="s">
        <v>257</v>
      </c>
      <c r="C6" s="320" t="s">
        <v>258</v>
      </c>
      <c r="D6" s="322" t="s">
        <v>259</v>
      </c>
      <c r="E6" s="324" t="s">
        <v>260</v>
      </c>
      <c r="F6" s="322" t="s">
        <v>261</v>
      </c>
      <c r="G6" s="326" t="s">
        <v>262</v>
      </c>
      <c r="H6" s="322" t="s">
        <v>263</v>
      </c>
      <c r="I6" s="322"/>
      <c r="J6" s="322" t="s">
        <v>264</v>
      </c>
      <c r="K6" s="322"/>
      <c r="L6" s="329" t="s">
        <v>265</v>
      </c>
      <c r="M6" s="342">
        <v>2019</v>
      </c>
      <c r="N6" s="343"/>
      <c r="O6" s="343"/>
      <c r="P6" s="344"/>
      <c r="Q6" s="342">
        <v>2020</v>
      </c>
      <c r="R6" s="343"/>
      <c r="S6" s="343"/>
      <c r="T6" s="343"/>
      <c r="U6" s="343"/>
      <c r="V6" s="343"/>
      <c r="W6" s="343"/>
      <c r="X6" s="344"/>
      <c r="Y6" s="338" t="s">
        <v>293</v>
      </c>
      <c r="Z6" s="339"/>
      <c r="AA6" s="331" t="s">
        <v>78</v>
      </c>
      <c r="AB6" s="203"/>
    </row>
    <row r="7" spans="1:49" s="207" customFormat="1" ht="39.75" customHeight="1" thickBot="1" x14ac:dyDescent="0.3">
      <c r="A7" s="198"/>
      <c r="B7" s="321"/>
      <c r="C7" s="321"/>
      <c r="D7" s="323"/>
      <c r="E7" s="325"/>
      <c r="F7" s="323"/>
      <c r="G7" s="327"/>
      <c r="H7" s="254" t="s">
        <v>266</v>
      </c>
      <c r="I7" s="254" t="s">
        <v>267</v>
      </c>
      <c r="J7" s="254" t="s">
        <v>268</v>
      </c>
      <c r="K7" s="254" t="s">
        <v>269</v>
      </c>
      <c r="L7" s="330"/>
      <c r="M7" s="345" t="s">
        <v>288</v>
      </c>
      <c r="N7" s="346"/>
      <c r="O7" s="345" t="s">
        <v>289</v>
      </c>
      <c r="P7" s="346"/>
      <c r="Q7" s="340" t="s">
        <v>290</v>
      </c>
      <c r="R7" s="341"/>
      <c r="S7" s="340" t="s">
        <v>291</v>
      </c>
      <c r="T7" s="341"/>
      <c r="U7" s="340" t="s">
        <v>288</v>
      </c>
      <c r="V7" s="341"/>
      <c r="W7" s="340" t="s">
        <v>289</v>
      </c>
      <c r="X7" s="341"/>
      <c r="Y7" s="340"/>
      <c r="Z7" s="341"/>
      <c r="AA7" s="332"/>
      <c r="AB7" s="206"/>
      <c r="AC7" s="192"/>
      <c r="AD7" s="193"/>
      <c r="AE7" s="192"/>
      <c r="AF7" s="192"/>
      <c r="AG7" s="192"/>
      <c r="AH7" s="192"/>
      <c r="AI7" s="192"/>
      <c r="AJ7" s="192"/>
      <c r="AK7" s="192"/>
      <c r="AL7" s="192"/>
      <c r="AM7" s="192"/>
      <c r="AN7" s="192"/>
      <c r="AO7" s="192"/>
      <c r="AP7" s="192"/>
      <c r="AQ7" s="192"/>
      <c r="AR7" s="192"/>
      <c r="AS7" s="192"/>
      <c r="AT7" s="192"/>
      <c r="AU7" s="192"/>
      <c r="AV7" s="192"/>
      <c r="AW7" s="192"/>
    </row>
    <row r="8" spans="1:49" s="207" customFormat="1" ht="20.25" customHeight="1" thickBot="1" x14ac:dyDescent="0.3">
      <c r="A8" s="198"/>
      <c r="B8" s="259"/>
      <c r="C8" s="259"/>
      <c r="D8" s="259"/>
      <c r="E8" s="260"/>
      <c r="F8" s="259"/>
      <c r="G8" s="259"/>
      <c r="H8" s="261"/>
      <c r="I8" s="261"/>
      <c r="J8" s="261"/>
      <c r="K8" s="261"/>
      <c r="L8" s="259"/>
      <c r="M8" s="254" t="s">
        <v>266</v>
      </c>
      <c r="N8" s="263" t="s">
        <v>267</v>
      </c>
      <c r="O8" s="254" t="s">
        <v>266</v>
      </c>
      <c r="P8" s="263" t="s">
        <v>267</v>
      </c>
      <c r="Q8" s="254" t="s">
        <v>266</v>
      </c>
      <c r="R8" s="263" t="s">
        <v>267</v>
      </c>
      <c r="S8" s="254" t="s">
        <v>266</v>
      </c>
      <c r="T8" s="263" t="s">
        <v>267</v>
      </c>
      <c r="U8" s="254" t="s">
        <v>266</v>
      </c>
      <c r="V8" s="263" t="s">
        <v>267</v>
      </c>
      <c r="W8" s="254" t="s">
        <v>266</v>
      </c>
      <c r="X8" s="263" t="s">
        <v>267</v>
      </c>
      <c r="Y8" s="254" t="s">
        <v>266</v>
      </c>
      <c r="Z8" s="263" t="s">
        <v>267</v>
      </c>
      <c r="AA8" s="259"/>
      <c r="AB8" s="206"/>
      <c r="AC8" s="192"/>
      <c r="AD8" s="193"/>
      <c r="AE8" s="192"/>
      <c r="AF8" s="192"/>
      <c r="AG8" s="192"/>
      <c r="AH8" s="192"/>
      <c r="AI8" s="192"/>
      <c r="AJ8" s="192"/>
      <c r="AK8" s="192"/>
      <c r="AL8" s="192"/>
      <c r="AM8" s="192"/>
      <c r="AN8" s="192"/>
      <c r="AO8" s="192"/>
      <c r="AP8" s="192"/>
      <c r="AQ8" s="192"/>
      <c r="AR8" s="192"/>
      <c r="AS8" s="192"/>
      <c r="AT8" s="192"/>
      <c r="AU8" s="192"/>
      <c r="AV8" s="192"/>
      <c r="AW8" s="192"/>
    </row>
    <row r="9" spans="1:49" s="207" customFormat="1" ht="5.25" customHeight="1" x14ac:dyDescent="0.25">
      <c r="A9" s="198"/>
      <c r="B9" s="208"/>
      <c r="C9" s="208"/>
      <c r="D9" s="209"/>
      <c r="E9" s="210"/>
      <c r="F9" s="208"/>
      <c r="G9" s="208"/>
      <c r="H9" s="211"/>
      <c r="I9" s="211"/>
      <c r="J9" s="212"/>
      <c r="K9" s="212"/>
      <c r="L9" s="208"/>
      <c r="M9" s="208"/>
      <c r="N9" s="208"/>
      <c r="O9" s="208"/>
      <c r="P9" s="208"/>
      <c r="Q9" s="208"/>
      <c r="R9" s="208"/>
      <c r="S9" s="208"/>
      <c r="T9" s="208"/>
      <c r="U9" s="208"/>
      <c r="V9" s="208"/>
      <c r="W9" s="208"/>
      <c r="X9" s="264"/>
      <c r="Y9" s="208"/>
      <c r="Z9" s="208"/>
      <c r="AA9" s="208"/>
      <c r="AB9" s="206"/>
      <c r="AC9" s="192"/>
      <c r="AD9" s="193"/>
      <c r="AE9" s="192"/>
      <c r="AF9" s="192"/>
      <c r="AG9" s="192"/>
      <c r="AH9" s="192"/>
      <c r="AI9" s="192"/>
      <c r="AJ9" s="192"/>
      <c r="AK9" s="192"/>
      <c r="AL9" s="192"/>
      <c r="AM9" s="192"/>
      <c r="AN9" s="192"/>
      <c r="AO9" s="192"/>
      <c r="AP9" s="192"/>
      <c r="AQ9" s="192"/>
      <c r="AR9" s="192"/>
      <c r="AS9" s="192"/>
      <c r="AT9" s="192"/>
      <c r="AU9" s="192"/>
      <c r="AV9" s="192"/>
      <c r="AW9" s="192"/>
    </row>
    <row r="10" spans="1:49" s="217" customFormat="1" ht="16.5" customHeight="1" x14ac:dyDescent="0.25">
      <c r="A10" s="198"/>
      <c r="B10" s="336" t="s">
        <v>270</v>
      </c>
      <c r="C10" s="336"/>
      <c r="D10" s="337"/>
      <c r="E10" s="213"/>
      <c r="F10" s="214"/>
      <c r="G10" s="214"/>
      <c r="H10" s="214"/>
      <c r="I10" s="214"/>
      <c r="J10" s="214"/>
      <c r="K10" s="214"/>
      <c r="L10" s="214"/>
      <c r="M10" s="214"/>
      <c r="N10" s="214"/>
      <c r="O10" s="214"/>
      <c r="P10" s="214"/>
      <c r="Q10" s="214"/>
      <c r="R10" s="214"/>
      <c r="S10" s="214"/>
      <c r="T10" s="214"/>
      <c r="U10" s="214"/>
      <c r="V10" s="214"/>
      <c r="W10" s="214"/>
      <c r="X10" s="214"/>
      <c r="Y10" s="214"/>
      <c r="Z10" s="214"/>
      <c r="AA10" s="214"/>
      <c r="AB10" s="203"/>
      <c r="AC10" s="215"/>
      <c r="AD10" s="216"/>
      <c r="AE10" s="215"/>
      <c r="AF10" s="215"/>
      <c r="AG10" s="215"/>
      <c r="AH10" s="215"/>
      <c r="AI10" s="215"/>
      <c r="AJ10" s="215"/>
      <c r="AK10" s="215"/>
      <c r="AL10" s="215"/>
      <c r="AM10" s="215"/>
      <c r="AN10" s="215"/>
      <c r="AO10" s="215"/>
      <c r="AP10" s="215"/>
      <c r="AQ10" s="215"/>
      <c r="AR10" s="215"/>
      <c r="AS10" s="215"/>
      <c r="AT10" s="215"/>
      <c r="AU10" s="215"/>
      <c r="AV10" s="215"/>
      <c r="AW10" s="215"/>
    </row>
    <row r="11" spans="1:49" s="215" customFormat="1" x14ac:dyDescent="0.2">
      <c r="A11" s="198"/>
      <c r="B11" s="218">
        <v>1</v>
      </c>
      <c r="C11" s="219" t="s">
        <v>271</v>
      </c>
      <c r="D11" s="220" t="str">
        <f>PEP!C8</f>
        <v>R4 Camino del Tala - Baygorria_Tr1</v>
      </c>
      <c r="E11" s="221">
        <f>PEP!J8</f>
        <v>3120000</v>
      </c>
      <c r="F11" s="222" t="s">
        <v>233</v>
      </c>
      <c r="G11" s="223" t="s">
        <v>272</v>
      </c>
      <c r="H11" s="277">
        <f>PEP!K8</f>
        <v>0.83538666602160827</v>
      </c>
      <c r="I11" s="277">
        <f>100%-H11</f>
        <v>0.16461333397839173</v>
      </c>
      <c r="J11" s="224" t="s">
        <v>284</v>
      </c>
      <c r="K11" s="224" t="s">
        <v>285</v>
      </c>
      <c r="L11" s="218" t="s">
        <v>273</v>
      </c>
      <c r="M11" s="221">
        <f>PEP!O8*0.25</f>
        <v>62820.324776175999</v>
      </c>
      <c r="N11" s="221">
        <f>PEP!P8*0.25</f>
        <v>12378.774432993177</v>
      </c>
      <c r="O11" s="221">
        <f>PEP!O8*0.75</f>
        <v>188460.97432852798</v>
      </c>
      <c r="P11" s="221">
        <f>PEP!P8*0.75</f>
        <v>37136.323298979536</v>
      </c>
      <c r="Q11" s="221">
        <f>PEP!Q8*15/70</f>
        <v>433593.05670861335</v>
      </c>
      <c r="R11" s="221">
        <f>PEP!R8*15/70</f>
        <v>85439.714994015114</v>
      </c>
      <c r="S11" s="221">
        <f>PEP!Q8*20/70</f>
        <v>578124.07561148447</v>
      </c>
      <c r="T11" s="221">
        <f>PEP!R8*20/70</f>
        <v>113919.61999202015</v>
      </c>
      <c r="U11" s="221">
        <f>PEP!Q8*20/70</f>
        <v>578124.07561148447</v>
      </c>
      <c r="V11" s="221">
        <f>PEP!R8*20/70</f>
        <v>113919.61999202015</v>
      </c>
      <c r="W11" s="221">
        <f>PEP!Q8*15/70</f>
        <v>433593.05670861335</v>
      </c>
      <c r="X11" s="221">
        <f>PEP!R8*15/70</f>
        <v>85439.714994015114</v>
      </c>
      <c r="Y11" s="258">
        <f>$E11*$H11-M11-O11-Q11-S11-U11-W11</f>
        <v>331690.83424251812</v>
      </c>
      <c r="Z11" s="258">
        <f>$E11*$I11-N11-P11-R11-T11-V11-X11</f>
        <v>65359.834308538935</v>
      </c>
      <c r="AA11" s="218"/>
      <c r="AB11" s="199"/>
      <c r="AD11" s="262">
        <f>SUM(M11:Z11)-E11</f>
        <v>0</v>
      </c>
    </row>
    <row r="12" spans="1:49" s="215" customFormat="1" x14ac:dyDescent="0.2">
      <c r="A12" s="198"/>
      <c r="B12" s="218">
        <v>2</v>
      </c>
      <c r="C12" s="219" t="s">
        <v>271</v>
      </c>
      <c r="D12" s="220" t="str">
        <f>PEP!C9</f>
        <v>R4 Baygorria - Ruta 20_Tr2</v>
      </c>
      <c r="E12" s="225">
        <f>PEP!J9</f>
        <v>5700000</v>
      </c>
      <c r="F12" s="222" t="s">
        <v>233</v>
      </c>
      <c r="G12" s="223" t="s">
        <v>272</v>
      </c>
      <c r="H12" s="277">
        <f>PEP!K9</f>
        <v>0.83538666602160827</v>
      </c>
      <c r="I12" s="277">
        <f t="shared" ref="I12:I21" si="0">100%-H12</f>
        <v>0.16461333397839173</v>
      </c>
      <c r="J12" s="224" t="s">
        <v>284</v>
      </c>
      <c r="K12" s="224" t="s">
        <v>285</v>
      </c>
      <c r="L12" s="218" t="s">
        <v>273</v>
      </c>
      <c r="M12" s="225">
        <f>PEP!O9*0.25</f>
        <v>114767.90103339846</v>
      </c>
      <c r="N12" s="225">
        <f>PEP!P9*0.25</f>
        <v>22615.068675660612</v>
      </c>
      <c r="O12" s="225">
        <f>PEP!O9*0.75</f>
        <v>344303.70310019539</v>
      </c>
      <c r="P12" s="225">
        <f>PEP!P9*0.75</f>
        <v>67845.206026981832</v>
      </c>
      <c r="Q12" s="225">
        <f>PEP!Q9*15/70</f>
        <v>792141.16129458218</v>
      </c>
      <c r="R12" s="225">
        <f>PEP!R9*15/70</f>
        <v>156091.78700829684</v>
      </c>
      <c r="S12" s="225">
        <f>PEP!Q9*20/70</f>
        <v>1056188.2150594429</v>
      </c>
      <c r="T12" s="225">
        <f>PEP!R9*20/70</f>
        <v>208122.3826777291</v>
      </c>
      <c r="U12" s="225">
        <f>PEP!Q9*20/70</f>
        <v>1056188.2150594429</v>
      </c>
      <c r="V12" s="225">
        <f>PEP!R9*20/70</f>
        <v>208122.3826777291</v>
      </c>
      <c r="W12" s="225">
        <f>PEP!Q9*15/70</f>
        <v>792141.16129458218</v>
      </c>
      <c r="X12" s="258">
        <f>PEP!R9*15/70</f>
        <v>156091.78700829684</v>
      </c>
      <c r="Y12" s="258">
        <f t="shared" ref="Y12:Y20" si="1">$E12*$H12-M12-O12-Q12-S12-U12-W12</f>
        <v>605973.63948152319</v>
      </c>
      <c r="Z12" s="258">
        <f t="shared" ref="Z12:Z20" si="2">$E12*$I12-N12-P12-R12-T12-V12-X12</f>
        <v>119407.38960213852</v>
      </c>
      <c r="AA12" s="218"/>
      <c r="AB12" s="199"/>
      <c r="AD12" s="262">
        <f t="shared" ref="AD12:AD21" si="3">SUM(M12:Z12)-E12</f>
        <v>0</v>
      </c>
    </row>
    <row r="13" spans="1:49" s="215" customFormat="1" x14ac:dyDescent="0.2">
      <c r="A13" s="198"/>
      <c r="B13" s="218">
        <v>3</v>
      </c>
      <c r="C13" s="219" t="s">
        <v>271</v>
      </c>
      <c r="D13" s="220" t="str">
        <f>PEP!C10</f>
        <v>R41 R6 (0k000) - 22k080 _Tr1</v>
      </c>
      <c r="E13" s="225">
        <f>PEP!J10</f>
        <v>7186359.2493297588</v>
      </c>
      <c r="F13" s="222" t="s">
        <v>233</v>
      </c>
      <c r="G13" s="223" t="s">
        <v>272</v>
      </c>
      <c r="H13" s="277">
        <f>PEP!K10</f>
        <v>0.83538666602160827</v>
      </c>
      <c r="I13" s="277">
        <f t="shared" si="0"/>
        <v>0.16461333397839173</v>
      </c>
      <c r="J13" s="224" t="s">
        <v>284</v>
      </c>
      <c r="K13" s="224" t="s">
        <v>285</v>
      </c>
      <c r="L13" s="218" t="s">
        <v>273</v>
      </c>
      <c r="M13" s="225">
        <f>PEP!O10*0.25</f>
        <v>144695.32756447815</v>
      </c>
      <c r="N13" s="225">
        <f>PEP!P10*0.25</f>
        <v>28512.282096765146</v>
      </c>
      <c r="O13" s="225">
        <f>PEP!O10*0.75</f>
        <v>434085.98269343446</v>
      </c>
      <c r="P13" s="225">
        <f>PEP!P10*0.75</f>
        <v>85536.846290295434</v>
      </c>
      <c r="Q13" s="225">
        <f>PEP!Q10*15/70</f>
        <v>998703.67741125205</v>
      </c>
      <c r="R13" s="225">
        <f>PEP!R10*15/70</f>
        <v>196795.02759850607</v>
      </c>
      <c r="S13" s="225">
        <f>PEP!Q10*20/70</f>
        <v>1331604.9032150027</v>
      </c>
      <c r="T13" s="225">
        <f>PEP!R10*20/70</f>
        <v>262393.37013134145</v>
      </c>
      <c r="U13" s="225">
        <f>PEP!Q10*20/70</f>
        <v>1331604.9032150027</v>
      </c>
      <c r="V13" s="225">
        <f>PEP!R10*20/70</f>
        <v>262393.37013134145</v>
      </c>
      <c r="W13" s="225">
        <f>PEP!Q10*15/70</f>
        <v>998703.67741125205</v>
      </c>
      <c r="X13" s="258">
        <f>PEP!R10*15/70</f>
        <v>196795.02759850607</v>
      </c>
      <c r="Y13" s="258">
        <f t="shared" si="1"/>
        <v>763990.22262071318</v>
      </c>
      <c r="Z13" s="258">
        <f t="shared" si="2"/>
        <v>150544.63135186821</v>
      </c>
      <c r="AA13" s="218"/>
      <c r="AB13" s="199"/>
      <c r="AD13" s="262">
        <f t="shared" si="3"/>
        <v>0</v>
      </c>
    </row>
    <row r="14" spans="1:49" s="215" customFormat="1" x14ac:dyDescent="0.2">
      <c r="A14" s="198"/>
      <c r="B14" s="218">
        <v>4</v>
      </c>
      <c r="C14" s="219" t="s">
        <v>271</v>
      </c>
      <c r="D14" s="220" t="str">
        <f>PEP!C11</f>
        <v>R41  22k080 - Ruta 7 (38K300)_Tr2</v>
      </c>
      <c r="E14" s="225">
        <f>PEP!J11</f>
        <v>4953640.7506702412</v>
      </c>
      <c r="F14" s="222" t="s">
        <v>233</v>
      </c>
      <c r="G14" s="223" t="s">
        <v>272</v>
      </c>
      <c r="H14" s="277">
        <f>PEP!K11</f>
        <v>0.83538666602160827</v>
      </c>
      <c r="I14" s="277">
        <f t="shared" si="0"/>
        <v>0.16461333397839173</v>
      </c>
      <c r="J14" s="224" t="s">
        <v>284</v>
      </c>
      <c r="K14" s="224" t="s">
        <v>285</v>
      </c>
      <c r="L14" s="218" t="s">
        <v>273</v>
      </c>
      <c r="M14" s="225">
        <f>PEP!O11*0.25</f>
        <v>99740.166917181035</v>
      </c>
      <c r="N14" s="225">
        <f>PEP!P11*0.25</f>
        <v>19653.846626483952</v>
      </c>
      <c r="O14" s="225">
        <f>PEP!O11*0.75</f>
        <v>299220.50075154309</v>
      </c>
      <c r="P14" s="225">
        <f>PEP!P11*0.75</f>
        <v>58961.539879451855</v>
      </c>
      <c r="Q14" s="225">
        <f>PEP!Q11*15/70</f>
        <v>688418.02401264745</v>
      </c>
      <c r="R14" s="225">
        <f>PEP!R11*15/70</f>
        <v>135653.09420512969</v>
      </c>
      <c r="S14" s="225">
        <f>PEP!Q11*20/70</f>
        <v>917890.69868352998</v>
      </c>
      <c r="T14" s="225">
        <f>PEP!R11*20/70</f>
        <v>180870.79227350623</v>
      </c>
      <c r="U14" s="225">
        <f>PEP!Q11*20/70</f>
        <v>917890.69868352998</v>
      </c>
      <c r="V14" s="225">
        <f>PEP!R11*20/70</f>
        <v>180870.79227350623</v>
      </c>
      <c r="W14" s="225">
        <f>PEP!Q11*15/70</f>
        <v>688418.02401264745</v>
      </c>
      <c r="X14" s="258">
        <f>PEP!R11*15/70</f>
        <v>135653.09420512969</v>
      </c>
      <c r="Y14" s="258">
        <f t="shared" si="1"/>
        <v>526627.31831011001</v>
      </c>
      <c r="Z14" s="258">
        <f t="shared" si="2"/>
        <v>103772.15983584392</v>
      </c>
      <c r="AA14" s="218"/>
      <c r="AB14" s="199"/>
      <c r="AD14" s="262">
        <f t="shared" si="3"/>
        <v>0</v>
      </c>
    </row>
    <row r="15" spans="1:49" s="215" customFormat="1" x14ac:dyDescent="0.2">
      <c r="A15" s="198"/>
      <c r="B15" s="218">
        <v>5</v>
      </c>
      <c r="C15" s="219" t="s">
        <v>271</v>
      </c>
      <c r="D15" s="220" t="str">
        <f>PEP!C12</f>
        <v>R43  Ruta 5 (306K600) - Ruta 59 (28k600)_Tr1</v>
      </c>
      <c r="E15" s="225">
        <f>PEP!J12</f>
        <v>9477230.7989423275</v>
      </c>
      <c r="F15" s="222" t="s">
        <v>233</v>
      </c>
      <c r="G15" s="223" t="s">
        <v>272</v>
      </c>
      <c r="H15" s="277">
        <f>PEP!K12</f>
        <v>0.83538666602160827</v>
      </c>
      <c r="I15" s="277">
        <f t="shared" si="0"/>
        <v>0.16461333397839173</v>
      </c>
      <c r="J15" s="224" t="s">
        <v>284</v>
      </c>
      <c r="K15" s="224" t="s">
        <v>287</v>
      </c>
      <c r="L15" s="218" t="s">
        <v>273</v>
      </c>
      <c r="M15" s="225">
        <f>PEP!O12*0.25</f>
        <v>190821.38357959452</v>
      </c>
      <c r="N15" s="225">
        <f>PEP!P12*0.25</f>
        <v>37601.443047923989</v>
      </c>
      <c r="O15" s="225">
        <f>PEP!O12*0.75</f>
        <v>572464.15073878353</v>
      </c>
      <c r="P15" s="225">
        <f>PEP!P12*0.75</f>
        <v>112804.32914377196</v>
      </c>
      <c r="Q15" s="225">
        <f>PEP!Q12*15/70</f>
        <v>1369410.2510590665</v>
      </c>
      <c r="R15" s="225">
        <f>PEP!R12*15/70</f>
        <v>269842.93163854338</v>
      </c>
      <c r="S15" s="225">
        <f>PEP!Q12*20/70</f>
        <v>1825880.334745422</v>
      </c>
      <c r="T15" s="225">
        <f>PEP!R12*20/70</f>
        <v>359790.5755180578</v>
      </c>
      <c r="U15" s="225">
        <f>PEP!Q12*20/70</f>
        <v>1825880.334745422</v>
      </c>
      <c r="V15" s="225">
        <f>PEP!R12*20/70</f>
        <v>359790.5755180578</v>
      </c>
      <c r="W15" s="225">
        <f>PEP!Q12*15/70</f>
        <v>1369410.2510590665</v>
      </c>
      <c r="X15" s="258">
        <f>PEP!R12*15/70</f>
        <v>269842.93163854338</v>
      </c>
      <c r="Y15" s="258">
        <f t="shared" si="1"/>
        <v>763285.53431837913</v>
      </c>
      <c r="Z15" s="258">
        <f t="shared" si="2"/>
        <v>150405.77219169529</v>
      </c>
      <c r="AA15" s="218"/>
      <c r="AB15" s="199"/>
      <c r="AD15" s="262">
        <f t="shared" si="3"/>
        <v>0</v>
      </c>
    </row>
    <row r="16" spans="1:49" s="215" customFormat="1" x14ac:dyDescent="0.2">
      <c r="A16" s="198"/>
      <c r="B16" s="218">
        <v>6</v>
      </c>
      <c r="C16" s="219" t="s">
        <v>271</v>
      </c>
      <c r="D16" s="220" t="str">
        <f>PEP!C13</f>
        <v>R43  28k600 - San Gregorio (54k600)_Tr2</v>
      </c>
      <c r="E16" s="225">
        <f>PEP!J13</f>
        <v>7830271.135228605</v>
      </c>
      <c r="F16" s="222" t="s">
        <v>233</v>
      </c>
      <c r="G16" s="223" t="s">
        <v>272</v>
      </c>
      <c r="H16" s="277">
        <f>PEP!K13</f>
        <v>0.83538666602160827</v>
      </c>
      <c r="I16" s="277">
        <f t="shared" si="0"/>
        <v>0.16461333397839173</v>
      </c>
      <c r="J16" s="224" t="s">
        <v>284</v>
      </c>
      <c r="K16" s="224" t="s">
        <v>287</v>
      </c>
      <c r="L16" s="218" t="s">
        <v>273</v>
      </c>
      <c r="M16" s="225">
        <f>PEP!O13*0.25</f>
        <v>157660.31275659529</v>
      </c>
      <c r="N16" s="225">
        <f>PEP!P13*0.25</f>
        <v>31067.038503901385</v>
      </c>
      <c r="O16" s="225">
        <f>PEP!O13*0.75</f>
        <v>472980.93826978584</v>
      </c>
      <c r="P16" s="225">
        <f>PEP!P13*0.75</f>
        <v>93201.115511704149</v>
      </c>
      <c r="Q16" s="225">
        <f>PEP!Q13*15/70</f>
        <v>1131433.1990680923</v>
      </c>
      <c r="R16" s="225">
        <f>PEP!R13*15/70</f>
        <v>222949.44203432905</v>
      </c>
      <c r="S16" s="225">
        <f>PEP!Q13*20/70</f>
        <v>1508577.5987574563</v>
      </c>
      <c r="T16" s="225">
        <f>PEP!R13*20/70</f>
        <v>297265.92271243874</v>
      </c>
      <c r="U16" s="225">
        <f>PEP!Q13*20/70</f>
        <v>1508577.5987574563</v>
      </c>
      <c r="V16" s="225">
        <f>PEP!R13*20/70</f>
        <v>297265.92271243874</v>
      </c>
      <c r="W16" s="225">
        <f>PEP!Q13*15/70</f>
        <v>1131433.1990680923</v>
      </c>
      <c r="X16" s="258">
        <f>PEP!R13*15/70</f>
        <v>222949.44203432905</v>
      </c>
      <c r="Y16" s="258">
        <f t="shared" si="1"/>
        <v>630641.25102638011</v>
      </c>
      <c r="Z16" s="258">
        <f t="shared" si="2"/>
        <v>124268.1540156058</v>
      </c>
      <c r="AA16" s="218"/>
      <c r="AB16" s="199"/>
      <c r="AD16" s="262">
        <f t="shared" si="3"/>
        <v>0</v>
      </c>
    </row>
    <row r="17" spans="1:49" s="215" customFormat="1" x14ac:dyDescent="0.2">
      <c r="A17" s="198"/>
      <c r="B17" s="218">
        <v>7</v>
      </c>
      <c r="C17" s="219" t="s">
        <v>271</v>
      </c>
      <c r="D17" s="220" t="str">
        <f>PEP!C14</f>
        <v xml:space="preserve">R90  Ruta 25 (71K700) - Guichon </v>
      </c>
      <c r="E17" s="225">
        <f>PEP!J14</f>
        <v>8355245.0918651223</v>
      </c>
      <c r="F17" s="222" t="s">
        <v>233</v>
      </c>
      <c r="G17" s="223" t="s">
        <v>272</v>
      </c>
      <c r="H17" s="277">
        <f>PEP!K14</f>
        <v>0.83538666602160827</v>
      </c>
      <c r="I17" s="277">
        <f t="shared" si="0"/>
        <v>0.16461333397839173</v>
      </c>
      <c r="J17" s="224" t="s">
        <v>284</v>
      </c>
      <c r="K17" s="224" t="s">
        <v>285</v>
      </c>
      <c r="L17" s="218" t="s">
        <v>273</v>
      </c>
      <c r="M17" s="225">
        <f>PEP!O14*0.25</f>
        <v>168230.51610753764</v>
      </c>
      <c r="N17" s="225">
        <f>PEP!P14*0.25</f>
        <v>33149.902027106335</v>
      </c>
      <c r="O17" s="225">
        <f>PEP!O14*0.75</f>
        <v>504691.54832261289</v>
      </c>
      <c r="P17" s="225">
        <f>PEP!P14*0.75</f>
        <v>99449.706081319004</v>
      </c>
      <c r="Q17" s="225">
        <f>PEP!Q14*15/70</f>
        <v>1161146.2368369992</v>
      </c>
      <c r="R17" s="225">
        <f>PEP!R14*15/70</f>
        <v>228804.41004939107</v>
      </c>
      <c r="S17" s="225">
        <f>PEP!Q14*20/70</f>
        <v>1548194.9824493323</v>
      </c>
      <c r="T17" s="225">
        <f>PEP!R14*20/70</f>
        <v>305072.54673252144</v>
      </c>
      <c r="U17" s="225">
        <f>PEP!Q14*20/70</f>
        <v>1548194.9824493323</v>
      </c>
      <c r="V17" s="225">
        <f>PEP!R14*20/70</f>
        <v>305072.54673252144</v>
      </c>
      <c r="W17" s="225">
        <f>PEP!Q14*15/70</f>
        <v>1161146.2368369992</v>
      </c>
      <c r="X17" s="258">
        <f>PEP!R14*15/70</f>
        <v>228804.41004939107</v>
      </c>
      <c r="Y17" s="258">
        <f t="shared" si="1"/>
        <v>888255.83808379667</v>
      </c>
      <c r="Z17" s="258">
        <f t="shared" si="2"/>
        <v>175031.22910626125</v>
      </c>
      <c r="AA17" s="218"/>
      <c r="AB17" s="199"/>
      <c r="AD17" s="262">
        <f t="shared" si="3"/>
        <v>0</v>
      </c>
    </row>
    <row r="18" spans="1:49" s="215" customFormat="1" x14ac:dyDescent="0.2">
      <c r="A18" s="198"/>
      <c r="B18" s="218">
        <v>8</v>
      </c>
      <c r="C18" s="219" t="s">
        <v>271</v>
      </c>
      <c r="D18" s="220" t="str">
        <f>PEP!C15</f>
        <v>R90  Piedra Colorada - R25</v>
      </c>
      <c r="E18" s="225">
        <f>PEP!J15</f>
        <v>4666408.8738503121</v>
      </c>
      <c r="F18" s="222" t="s">
        <v>233</v>
      </c>
      <c r="G18" s="223" t="s">
        <v>272</v>
      </c>
      <c r="H18" s="277">
        <f>PEP!K15</f>
        <v>0.83538666602160827</v>
      </c>
      <c r="I18" s="277">
        <f t="shared" si="0"/>
        <v>0.16461333397839173</v>
      </c>
      <c r="J18" s="224" t="s">
        <v>284</v>
      </c>
      <c r="K18" s="224" t="s">
        <v>285</v>
      </c>
      <c r="L18" s="218" t="s">
        <v>273</v>
      </c>
      <c r="M18" s="225">
        <f>PEP!O15*0.25</f>
        <v>93956.833651828943</v>
      </c>
      <c r="N18" s="225">
        <f>PEP!P15*0.25</f>
        <v>18514.238096638055</v>
      </c>
      <c r="O18" s="225">
        <f>PEP!O15*0.75</f>
        <v>281870.50095548684</v>
      </c>
      <c r="P18" s="225">
        <f>PEP!P15*0.75</f>
        <v>55542.714289914162</v>
      </c>
      <c r="Q18" s="225">
        <f>PEP!Q15*15/70</f>
        <v>648500.79726440867</v>
      </c>
      <c r="R18" s="225">
        <f>PEP!R15*15/70</f>
        <v>127787.38597029285</v>
      </c>
      <c r="S18" s="225">
        <f>PEP!Q15*20/70</f>
        <v>864667.72968587826</v>
      </c>
      <c r="T18" s="225">
        <f>PEP!R15*20/70</f>
        <v>170383.18129372381</v>
      </c>
      <c r="U18" s="225">
        <f>PEP!Q15*20/70</f>
        <v>864667.72968587826</v>
      </c>
      <c r="V18" s="225">
        <f>PEP!R15*20/70</f>
        <v>170383.18129372381</v>
      </c>
      <c r="W18" s="225">
        <f>PEP!Q15*15/70</f>
        <v>648500.79726440867</v>
      </c>
      <c r="X18" s="258">
        <f>PEP!R15*15/70</f>
        <v>127787.38597029285</v>
      </c>
      <c r="Y18" s="258">
        <f t="shared" si="1"/>
        <v>496091.36291157</v>
      </c>
      <c r="Z18" s="258">
        <f t="shared" si="2"/>
        <v>97755.035516266827</v>
      </c>
      <c r="AA18" s="218"/>
      <c r="AB18" s="199"/>
      <c r="AD18" s="262">
        <f t="shared" si="3"/>
        <v>0</v>
      </c>
    </row>
    <row r="19" spans="1:49" s="215" customFormat="1" x14ac:dyDescent="0.2">
      <c r="A19" s="198"/>
      <c r="B19" s="218">
        <v>9</v>
      </c>
      <c r="C19" s="219" t="s">
        <v>271</v>
      </c>
      <c r="D19" s="220" t="str">
        <f>PEP!C16</f>
        <v>R59  0k000 - 19k380 _Tr1</v>
      </c>
      <c r="E19" s="225">
        <f>PEP!J16</f>
        <v>6207899</v>
      </c>
      <c r="F19" s="222" t="s">
        <v>233</v>
      </c>
      <c r="G19" s="223" t="s">
        <v>272</v>
      </c>
      <c r="H19" s="277">
        <f>PEP!K16</f>
        <v>0.83538666602160827</v>
      </c>
      <c r="I19" s="277">
        <f t="shared" si="0"/>
        <v>0.16461333397839173</v>
      </c>
      <c r="J19" s="224" t="s">
        <v>284</v>
      </c>
      <c r="K19" s="224" t="s">
        <v>285</v>
      </c>
      <c r="L19" s="218" t="s">
        <v>273</v>
      </c>
      <c r="M19" s="225">
        <f>PEP!O16*0.25</f>
        <v>124994.30492233917</v>
      </c>
      <c r="N19" s="225">
        <f>PEP!P16*0.25</f>
        <v>24630.186353783312</v>
      </c>
      <c r="O19" s="225">
        <f>PEP!O16*0.75</f>
        <v>374982.91476701753</v>
      </c>
      <c r="P19" s="225">
        <f>PEP!P16*0.75</f>
        <v>73890.559061349937</v>
      </c>
      <c r="Q19" s="225">
        <f>PEP!Q16*15/70</f>
        <v>862724.96895780263</v>
      </c>
      <c r="R19" s="225">
        <f>PEP!R16*15/70</f>
        <v>170000.3593819332</v>
      </c>
      <c r="S19" s="225">
        <f>PEP!Q16*20/70</f>
        <v>1150299.9586104036</v>
      </c>
      <c r="T19" s="225">
        <f>PEP!R16*20/70</f>
        <v>226667.14584257759</v>
      </c>
      <c r="U19" s="225">
        <f>PEP!Q16*20/70</f>
        <v>1150299.9586104036</v>
      </c>
      <c r="V19" s="225">
        <f>PEP!R16*20/70</f>
        <v>226667.14584257759</v>
      </c>
      <c r="W19" s="225">
        <f>PEP!Q16*15/70</f>
        <v>862724.96895780263</v>
      </c>
      <c r="X19" s="258">
        <f>PEP!R16*15/70</f>
        <v>170000.3593819332</v>
      </c>
      <c r="Y19" s="258">
        <f t="shared" si="1"/>
        <v>659968.97378310596</v>
      </c>
      <c r="Z19" s="258">
        <f t="shared" si="2"/>
        <v>130047.19552696918</v>
      </c>
      <c r="AA19" s="218"/>
      <c r="AB19" s="199"/>
      <c r="AD19" s="262">
        <f t="shared" si="3"/>
        <v>0</v>
      </c>
    </row>
    <row r="20" spans="1:49" s="215" customFormat="1" x14ac:dyDescent="0.2">
      <c r="A20" s="198"/>
      <c r="B20" s="218">
        <v>10</v>
      </c>
      <c r="C20" s="219" t="s">
        <v>271</v>
      </c>
      <c r="D20" s="220" t="str">
        <f>PEP!C17</f>
        <v>R59  19k380 - 39K350_Tr2</v>
      </c>
      <c r="E20" s="225">
        <f>PEP!J17</f>
        <v>6605102</v>
      </c>
      <c r="F20" s="222" t="s">
        <v>233</v>
      </c>
      <c r="G20" s="223" t="s">
        <v>272</v>
      </c>
      <c r="H20" s="277">
        <f>PEP!K17</f>
        <v>0.83538666602160827</v>
      </c>
      <c r="I20" s="277">
        <f t="shared" si="0"/>
        <v>0.16461333397839173</v>
      </c>
      <c r="J20" s="224" t="s">
        <v>284</v>
      </c>
      <c r="K20" s="224" t="s">
        <v>285</v>
      </c>
      <c r="L20" s="218" t="s">
        <v>273</v>
      </c>
      <c r="M20" s="225">
        <f>PEP!O17*0.25</f>
        <v>132991.87590377234</v>
      </c>
      <c r="N20" s="225">
        <f>PEP!P17*0.25</f>
        <v>26206.111463112855</v>
      </c>
      <c r="O20" s="225">
        <f>PEP!O17*0.75</f>
        <v>398975.62771131704</v>
      </c>
      <c r="P20" s="225">
        <f>PEP!P17*0.75</f>
        <v>78618.334389338561</v>
      </c>
      <c r="Q20" s="225">
        <f>PEP!Q17*15/70</f>
        <v>917925.11732441513</v>
      </c>
      <c r="R20" s="225">
        <f>PEP!R17*15/70</f>
        <v>180877.57448282029</v>
      </c>
      <c r="S20" s="225">
        <f>PEP!Q17*20/70</f>
        <v>1223900.1564325537</v>
      </c>
      <c r="T20" s="225">
        <f>PEP!R17*20/70</f>
        <v>241170.09931042706</v>
      </c>
      <c r="U20" s="225">
        <f>PEP!Q17*20/70</f>
        <v>1223900.1564325537</v>
      </c>
      <c r="V20" s="225">
        <f>PEP!R17*20/70</f>
        <v>241170.09931042706</v>
      </c>
      <c r="W20" s="225">
        <f>PEP!Q17*15/70</f>
        <v>917925.11732441513</v>
      </c>
      <c r="X20" s="258">
        <f>PEP!R17*15/70</f>
        <v>180877.57448282029</v>
      </c>
      <c r="Y20" s="258">
        <f t="shared" si="1"/>
        <v>702196.08738362975</v>
      </c>
      <c r="Z20" s="258">
        <f t="shared" si="2"/>
        <v>138368.06804839725</v>
      </c>
      <c r="AA20" s="218"/>
      <c r="AB20" s="199"/>
      <c r="AD20" s="262">
        <f t="shared" si="3"/>
        <v>0</v>
      </c>
    </row>
    <row r="21" spans="1:49" s="215" customFormat="1" x14ac:dyDescent="0.2">
      <c r="A21" s="198"/>
      <c r="B21" s="218">
        <v>11</v>
      </c>
      <c r="C21" s="219" t="s">
        <v>271</v>
      </c>
      <c r="D21" s="220" t="str">
        <f>PEP!C20</f>
        <v>R5 Puente Río Yí</v>
      </c>
      <c r="E21" s="226">
        <f>PEP!J20</f>
        <v>9861366.0599999987</v>
      </c>
      <c r="F21" s="222" t="s">
        <v>233</v>
      </c>
      <c r="G21" s="223" t="s">
        <v>272</v>
      </c>
      <c r="H21" s="277">
        <f>PEP!K18</f>
        <v>0.83538666602160827</v>
      </c>
      <c r="I21" s="277">
        <f t="shared" si="0"/>
        <v>0.16461333397839173</v>
      </c>
      <c r="J21" s="224" t="s">
        <v>278</v>
      </c>
      <c r="K21" s="224" t="s">
        <v>286</v>
      </c>
      <c r="L21" s="218" t="s">
        <v>279</v>
      </c>
      <c r="M21" s="226">
        <v>0</v>
      </c>
      <c r="N21" s="226">
        <v>0</v>
      </c>
      <c r="O21" s="226">
        <v>0</v>
      </c>
      <c r="P21" s="226">
        <v>0</v>
      </c>
      <c r="Q21" s="225">
        <f>PEP!Q20*15/70</f>
        <v>176529.72247032946</v>
      </c>
      <c r="R21" s="225">
        <f>PEP!R20*15/70</f>
        <v>34785.264529670516</v>
      </c>
      <c r="S21" s="225">
        <f>PEP!Q20*20/70</f>
        <v>235372.96329377263</v>
      </c>
      <c r="T21" s="225">
        <f>PEP!R20*20/70</f>
        <v>46380.35270622735</v>
      </c>
      <c r="U21" s="225">
        <f>PEP!Q20*20/70</f>
        <v>235372.96329377263</v>
      </c>
      <c r="V21" s="225">
        <f>PEP!R20*20/70</f>
        <v>46380.35270622735</v>
      </c>
      <c r="W21" s="225">
        <f>PEP!Q20*15/70</f>
        <v>176529.72247032946</v>
      </c>
      <c r="X21" s="258">
        <f>PEP!R20*15/70</f>
        <v>34785.264529670516</v>
      </c>
      <c r="Y21" s="226">
        <f>$E21*$H21-M21-O21-Q21-S21-U21-W21</f>
        <v>7414248.3437538389</v>
      </c>
      <c r="Z21" s="226">
        <f t="shared" ref="Z21" si="4">$E21*$I21-N21-P21-R21-T21-V21-X21</f>
        <v>1460981.1102461608</v>
      </c>
      <c r="AA21" s="218"/>
      <c r="AB21" s="199"/>
      <c r="AD21" s="262">
        <f t="shared" si="3"/>
        <v>0</v>
      </c>
    </row>
    <row r="22" spans="1:49" s="231" customFormat="1" ht="20.100000000000001" customHeight="1" x14ac:dyDescent="0.25">
      <c r="A22" s="198"/>
      <c r="B22" s="227"/>
      <c r="C22" s="227"/>
      <c r="D22" s="228" t="s">
        <v>274</v>
      </c>
      <c r="E22" s="229">
        <f>SUM(E11:E21)</f>
        <v>73963522.959886372</v>
      </c>
      <c r="F22" s="227"/>
      <c r="G22" s="227"/>
      <c r="H22" s="255"/>
      <c r="I22" s="255"/>
      <c r="J22" s="230"/>
      <c r="K22" s="230"/>
      <c r="L22" s="227"/>
      <c r="M22" s="208"/>
      <c r="N22" s="208"/>
      <c r="O22" s="208"/>
      <c r="P22" s="208"/>
      <c r="Q22" s="208"/>
      <c r="R22" s="208"/>
      <c r="S22" s="208"/>
      <c r="T22" s="208"/>
      <c r="U22" s="208"/>
      <c r="V22" s="208"/>
      <c r="W22" s="208"/>
      <c r="X22" s="208"/>
      <c r="Y22" s="208"/>
      <c r="Z22" s="208"/>
      <c r="AA22" s="208"/>
      <c r="AB22" s="206"/>
      <c r="AC22" s="215"/>
      <c r="AD22" s="216"/>
      <c r="AE22" s="215"/>
      <c r="AF22" s="215"/>
      <c r="AG22" s="215"/>
      <c r="AH22" s="215"/>
      <c r="AI22" s="215"/>
      <c r="AJ22" s="215"/>
      <c r="AK22" s="215"/>
      <c r="AL22" s="215"/>
      <c r="AM22" s="215"/>
      <c r="AN22" s="215"/>
      <c r="AO22" s="215"/>
      <c r="AP22" s="215"/>
      <c r="AQ22" s="215"/>
      <c r="AR22" s="215"/>
      <c r="AS22" s="215"/>
      <c r="AT22" s="215"/>
      <c r="AU22" s="215"/>
      <c r="AV22" s="215"/>
      <c r="AW22" s="215"/>
    </row>
    <row r="23" spans="1:49" s="231" customFormat="1" ht="4.5" customHeight="1" x14ac:dyDescent="0.25">
      <c r="A23" s="198"/>
      <c r="B23" s="208"/>
      <c r="C23" s="208"/>
      <c r="D23" s="209"/>
      <c r="E23" s="210"/>
      <c r="F23" s="208"/>
      <c r="G23" s="208"/>
      <c r="H23" s="256"/>
      <c r="I23" s="256"/>
      <c r="J23" s="212"/>
      <c r="K23" s="212"/>
      <c r="L23" s="208"/>
      <c r="M23" s="208"/>
      <c r="N23" s="208"/>
      <c r="O23" s="208"/>
      <c r="P23" s="208"/>
      <c r="Q23" s="208"/>
      <c r="R23" s="208"/>
      <c r="S23" s="208"/>
      <c r="T23" s="208"/>
      <c r="U23" s="208"/>
      <c r="V23" s="208"/>
      <c r="W23" s="208"/>
      <c r="X23" s="208"/>
      <c r="Y23" s="208"/>
      <c r="Z23" s="208"/>
      <c r="AA23" s="208"/>
      <c r="AB23" s="206"/>
      <c r="AC23" s="215"/>
      <c r="AD23" s="216"/>
      <c r="AE23" s="215"/>
      <c r="AF23" s="215"/>
      <c r="AG23" s="215"/>
      <c r="AH23" s="215"/>
      <c r="AI23" s="215"/>
      <c r="AJ23" s="215"/>
      <c r="AK23" s="215"/>
      <c r="AL23" s="215"/>
      <c r="AM23" s="215"/>
      <c r="AN23" s="215"/>
      <c r="AO23" s="215"/>
      <c r="AP23" s="215"/>
      <c r="AQ23" s="215"/>
      <c r="AR23" s="215"/>
      <c r="AS23" s="215"/>
      <c r="AT23" s="215"/>
      <c r="AU23" s="215"/>
      <c r="AV23" s="215"/>
      <c r="AW23" s="215"/>
    </row>
    <row r="24" spans="1:49" s="231" customFormat="1" ht="20.25" customHeight="1" x14ac:dyDescent="0.25">
      <c r="A24" s="198"/>
      <c r="B24" s="208"/>
      <c r="C24" s="208"/>
      <c r="D24" s="209"/>
      <c r="E24" s="210"/>
      <c r="F24" s="208"/>
      <c r="G24" s="208"/>
      <c r="H24" s="256"/>
      <c r="I24" s="256"/>
      <c r="J24" s="212"/>
      <c r="K24" s="212"/>
      <c r="L24" s="208"/>
      <c r="M24" s="208"/>
      <c r="N24" s="208"/>
      <c r="O24" s="208"/>
      <c r="P24" s="208"/>
      <c r="Q24" s="208"/>
      <c r="R24" s="208"/>
      <c r="S24" s="208"/>
      <c r="T24" s="208"/>
      <c r="U24" s="208"/>
      <c r="V24" s="208"/>
      <c r="W24" s="208"/>
      <c r="X24" s="208"/>
      <c r="Y24" s="208"/>
      <c r="Z24" s="208"/>
      <c r="AA24" s="208"/>
      <c r="AB24" s="206"/>
      <c r="AC24" s="215"/>
      <c r="AD24" s="216"/>
      <c r="AE24" s="215"/>
      <c r="AF24" s="215"/>
      <c r="AG24" s="215"/>
      <c r="AH24" s="215"/>
      <c r="AI24" s="215"/>
      <c r="AJ24" s="215"/>
      <c r="AK24" s="215"/>
      <c r="AL24" s="215"/>
      <c r="AM24" s="215"/>
      <c r="AN24" s="215"/>
      <c r="AO24" s="215"/>
      <c r="AP24" s="215"/>
      <c r="AQ24" s="215"/>
      <c r="AR24" s="215"/>
      <c r="AS24" s="215"/>
      <c r="AT24" s="215"/>
      <c r="AU24" s="215"/>
      <c r="AV24" s="215"/>
      <c r="AW24" s="215"/>
    </row>
    <row r="25" spans="1:49" s="217" customFormat="1" ht="16.5" customHeight="1" x14ac:dyDescent="0.25">
      <c r="A25" s="198"/>
      <c r="B25" s="336" t="s">
        <v>275</v>
      </c>
      <c r="C25" s="336"/>
      <c r="D25" s="337"/>
      <c r="E25" s="213"/>
      <c r="F25" s="214"/>
      <c r="G25" s="214"/>
      <c r="H25" s="214"/>
      <c r="I25" s="214"/>
      <c r="J25" s="214"/>
      <c r="K25" s="214"/>
      <c r="L25" s="214"/>
      <c r="M25" s="214"/>
      <c r="N25" s="214"/>
      <c r="O25" s="214"/>
      <c r="P25" s="214"/>
      <c r="Q25" s="214"/>
      <c r="R25" s="214"/>
      <c r="S25" s="214"/>
      <c r="T25" s="214"/>
      <c r="U25" s="214"/>
      <c r="V25" s="214"/>
      <c r="W25" s="214"/>
      <c r="X25" s="214"/>
      <c r="Y25" s="214"/>
      <c r="Z25" s="214"/>
      <c r="AA25" s="214"/>
      <c r="AB25" s="203"/>
      <c r="AC25" s="215"/>
      <c r="AD25" s="216"/>
      <c r="AE25" s="215"/>
      <c r="AF25" s="215"/>
      <c r="AG25" s="215"/>
      <c r="AH25" s="215"/>
      <c r="AI25" s="215"/>
      <c r="AJ25" s="215"/>
      <c r="AK25" s="215"/>
      <c r="AL25" s="215"/>
      <c r="AM25" s="215"/>
      <c r="AN25" s="215"/>
      <c r="AO25" s="215"/>
      <c r="AP25" s="215"/>
      <c r="AQ25" s="215"/>
      <c r="AR25" s="215"/>
      <c r="AS25" s="215"/>
      <c r="AT25" s="215"/>
      <c r="AU25" s="215"/>
      <c r="AV25" s="215"/>
      <c r="AW25" s="215"/>
    </row>
    <row r="26" spans="1:49" s="231" customFormat="1" ht="20.25" customHeight="1" x14ac:dyDescent="0.2">
      <c r="A26" s="198"/>
      <c r="B26" s="232">
        <v>1</v>
      </c>
      <c r="C26" s="232" t="s">
        <v>276</v>
      </c>
      <c r="D26" s="162" t="str">
        <f>PEP!C23</f>
        <v>Informatización del sistema de supervisión de obras</v>
      </c>
      <c r="E26" s="221">
        <f>PEP!J23</f>
        <v>250000</v>
      </c>
      <c r="F26" s="222" t="s">
        <v>228</v>
      </c>
      <c r="G26" s="223" t="s">
        <v>277</v>
      </c>
      <c r="H26" s="277">
        <f>PEP!K23</f>
        <v>0.83538699302451858</v>
      </c>
      <c r="I26" s="277">
        <f>100%-H26</f>
        <v>0.16461300697548142</v>
      </c>
      <c r="J26" s="233" t="s">
        <v>278</v>
      </c>
      <c r="K26" s="233" t="s">
        <v>294</v>
      </c>
      <c r="L26" s="232" t="s">
        <v>279</v>
      </c>
      <c r="M26" s="221">
        <v>0</v>
      </c>
      <c r="N26" s="221">
        <v>0</v>
      </c>
      <c r="O26" s="221">
        <v>0</v>
      </c>
      <c r="P26" s="221">
        <v>0</v>
      </c>
      <c r="Q26" s="221">
        <v>0</v>
      </c>
      <c r="R26" s="221">
        <v>0</v>
      </c>
      <c r="S26" s="221">
        <v>0</v>
      </c>
      <c r="T26" s="221">
        <v>0</v>
      </c>
      <c r="U26" s="221">
        <f>$E26*$H26*0.1</f>
        <v>20884.674825612965</v>
      </c>
      <c r="V26" s="221">
        <f>$E26*$I26*0.1</f>
        <v>4115.325174387036</v>
      </c>
      <c r="W26" s="221">
        <f>$E26*$H26*0.4</f>
        <v>83538.69930245186</v>
      </c>
      <c r="X26" s="221">
        <f>$E26*$I26*0.4</f>
        <v>16461.300697548144</v>
      </c>
      <c r="Y26" s="258">
        <f>$E26*$H26-M26-O26-Q26-S26-U26-W26</f>
        <v>104423.37412806484</v>
      </c>
      <c r="Z26" s="258">
        <f>$E26*$I26-N26-P26-R26-T26-V26-X26</f>
        <v>20576.625871935179</v>
      </c>
      <c r="AA26" s="232"/>
      <c r="AB26" s="206"/>
      <c r="AC26" s="215"/>
      <c r="AD26" s="262">
        <f t="shared" ref="AD26:AD29" si="5">SUM(M26:Z26)-E26</f>
        <v>0</v>
      </c>
      <c r="AE26" s="215"/>
      <c r="AF26" s="215"/>
      <c r="AG26" s="215"/>
      <c r="AH26" s="215"/>
      <c r="AI26" s="215"/>
      <c r="AJ26" s="215"/>
      <c r="AK26" s="215"/>
      <c r="AL26" s="215"/>
      <c r="AM26" s="215"/>
      <c r="AN26" s="215"/>
      <c r="AO26" s="215"/>
      <c r="AP26" s="215"/>
      <c r="AQ26" s="215"/>
      <c r="AR26" s="215"/>
      <c r="AS26" s="215"/>
      <c r="AT26" s="215"/>
      <c r="AU26" s="215"/>
      <c r="AV26" s="215"/>
      <c r="AW26" s="215"/>
    </row>
    <row r="27" spans="1:49" s="231" customFormat="1" ht="20.25" customHeight="1" x14ac:dyDescent="0.2">
      <c r="A27" s="198"/>
      <c r="B27" s="234">
        <v>2</v>
      </c>
      <c r="C27" s="234" t="s">
        <v>276</v>
      </c>
      <c r="D27" s="162" t="str">
        <f>PEP!C24</f>
        <v>Compra e instalación de laboratorio</v>
      </c>
      <c r="E27" s="225">
        <f>PEP!J24</f>
        <v>250000</v>
      </c>
      <c r="F27" s="222" t="s">
        <v>228</v>
      </c>
      <c r="G27" s="223" t="s">
        <v>277</v>
      </c>
      <c r="H27" s="277">
        <f>PEP!K24</f>
        <v>0.83538699302451858</v>
      </c>
      <c r="I27" s="277">
        <f t="shared" ref="I27:I29" si="6">100%-H27</f>
        <v>0.16461300697548142</v>
      </c>
      <c r="J27" s="235" t="s">
        <v>278</v>
      </c>
      <c r="K27" s="235" t="s">
        <v>294</v>
      </c>
      <c r="L27" s="234" t="s">
        <v>279</v>
      </c>
      <c r="M27" s="225">
        <v>0</v>
      </c>
      <c r="N27" s="225">
        <v>0</v>
      </c>
      <c r="O27" s="225">
        <v>0</v>
      </c>
      <c r="P27" s="225">
        <v>0</v>
      </c>
      <c r="Q27" s="225">
        <v>0</v>
      </c>
      <c r="R27" s="225">
        <v>0</v>
      </c>
      <c r="S27" s="225">
        <v>0</v>
      </c>
      <c r="T27" s="225">
        <v>0</v>
      </c>
      <c r="U27" s="225">
        <f t="shared" ref="U27:U29" si="7">$E27*$H27*0.1</f>
        <v>20884.674825612965</v>
      </c>
      <c r="V27" s="225">
        <f t="shared" ref="V27:V29" si="8">$E27*$I27*0.1</f>
        <v>4115.325174387036</v>
      </c>
      <c r="W27" s="225">
        <f t="shared" ref="W27:W29" si="9">$E27*$H27*0.4</f>
        <v>83538.69930245186</v>
      </c>
      <c r="X27" s="225">
        <f t="shared" ref="X27:X29" si="10">$E27*$I27*0.4</f>
        <v>16461.300697548144</v>
      </c>
      <c r="Y27" s="258">
        <f t="shared" ref="Y27:Y29" si="11">$E27*$H27-M27-O27-Q27-S27-U27-W27</f>
        <v>104423.37412806484</v>
      </c>
      <c r="Z27" s="258">
        <f t="shared" ref="Z27:Z29" si="12">$E27*$I27-N27-P27-R27-T27-V27-X27</f>
        <v>20576.625871935179</v>
      </c>
      <c r="AA27" s="234"/>
      <c r="AB27" s="206"/>
      <c r="AC27" s="215"/>
      <c r="AD27" s="262">
        <f t="shared" si="5"/>
        <v>0</v>
      </c>
      <c r="AE27" s="215"/>
      <c r="AF27" s="215"/>
      <c r="AG27" s="215"/>
      <c r="AH27" s="215"/>
      <c r="AI27" s="215"/>
      <c r="AJ27" s="215"/>
      <c r="AK27" s="215"/>
      <c r="AL27" s="215"/>
      <c r="AM27" s="215"/>
      <c r="AN27" s="215"/>
      <c r="AO27" s="215"/>
      <c r="AP27" s="215"/>
      <c r="AQ27" s="215"/>
      <c r="AR27" s="215"/>
      <c r="AS27" s="215"/>
      <c r="AT27" s="215"/>
      <c r="AU27" s="215"/>
      <c r="AV27" s="215"/>
      <c r="AW27" s="215"/>
    </row>
    <row r="28" spans="1:49" s="207" customFormat="1" x14ac:dyDescent="0.2">
      <c r="A28" s="198"/>
      <c r="B28" s="234">
        <v>3</v>
      </c>
      <c r="C28" s="234" t="s">
        <v>276</v>
      </c>
      <c r="D28" s="162" t="str">
        <f>PEP!C25</f>
        <v>Capacitación en supervisión de obra</v>
      </c>
      <c r="E28" s="225">
        <f>PEP!J25</f>
        <v>100000</v>
      </c>
      <c r="F28" s="222" t="s">
        <v>228</v>
      </c>
      <c r="G28" s="223" t="s">
        <v>277</v>
      </c>
      <c r="H28" s="277">
        <f>PEP!K25</f>
        <v>0.83538699302451858</v>
      </c>
      <c r="I28" s="277">
        <f t="shared" si="6"/>
        <v>0.16461300697548142</v>
      </c>
      <c r="J28" s="235" t="s">
        <v>278</v>
      </c>
      <c r="K28" s="235" t="s">
        <v>294</v>
      </c>
      <c r="L28" s="234" t="s">
        <v>279</v>
      </c>
      <c r="M28" s="225">
        <v>0</v>
      </c>
      <c r="N28" s="225">
        <v>0</v>
      </c>
      <c r="O28" s="225">
        <v>0</v>
      </c>
      <c r="P28" s="225">
        <v>0</v>
      </c>
      <c r="Q28" s="225">
        <v>0</v>
      </c>
      <c r="R28" s="225">
        <v>0</v>
      </c>
      <c r="S28" s="225">
        <v>0</v>
      </c>
      <c r="T28" s="225">
        <v>0</v>
      </c>
      <c r="U28" s="225">
        <f t="shared" si="7"/>
        <v>8353.869930245186</v>
      </c>
      <c r="V28" s="225">
        <f t="shared" si="8"/>
        <v>1646.1300697548145</v>
      </c>
      <c r="W28" s="225">
        <f t="shared" si="9"/>
        <v>33415.479720980744</v>
      </c>
      <c r="X28" s="258">
        <f t="shared" si="10"/>
        <v>6584.5202790192579</v>
      </c>
      <c r="Y28" s="258">
        <f t="shared" si="11"/>
        <v>41769.34965122593</v>
      </c>
      <c r="Z28" s="258">
        <f t="shared" si="12"/>
        <v>8230.650348774072</v>
      </c>
      <c r="AA28" s="234"/>
      <c r="AB28" s="206"/>
      <c r="AC28" s="192"/>
      <c r="AD28" s="262">
        <f t="shared" si="5"/>
        <v>0</v>
      </c>
      <c r="AE28" s="192"/>
      <c r="AF28" s="192"/>
      <c r="AG28" s="192"/>
      <c r="AH28" s="192"/>
      <c r="AI28" s="192"/>
      <c r="AJ28" s="192"/>
      <c r="AK28" s="192"/>
      <c r="AL28" s="192"/>
      <c r="AM28" s="192"/>
      <c r="AN28" s="192"/>
      <c r="AO28" s="192"/>
      <c r="AP28" s="192"/>
      <c r="AQ28" s="192"/>
      <c r="AR28" s="192"/>
      <c r="AS28" s="192"/>
      <c r="AT28" s="192"/>
      <c r="AU28" s="192"/>
      <c r="AV28" s="192"/>
      <c r="AW28" s="192"/>
    </row>
    <row r="29" spans="1:49" s="207" customFormat="1" x14ac:dyDescent="0.25">
      <c r="A29" s="198"/>
      <c r="B29" s="236">
        <v>4</v>
      </c>
      <c r="C29" s="236" t="s">
        <v>276</v>
      </c>
      <c r="D29" s="162" t="str">
        <f>PEP!C26</f>
        <v>Consultoría para implementación de Plan de Género e Inclusión</v>
      </c>
      <c r="E29" s="226">
        <f>PEP!J26</f>
        <v>100000</v>
      </c>
      <c r="F29" s="278" t="s">
        <v>228</v>
      </c>
      <c r="G29" s="279" t="s">
        <v>277</v>
      </c>
      <c r="H29" s="277">
        <f>PEP!K26</f>
        <v>0.83538699302451858</v>
      </c>
      <c r="I29" s="277">
        <f t="shared" si="6"/>
        <v>0.16461300697548142</v>
      </c>
      <c r="J29" s="237" t="s">
        <v>278</v>
      </c>
      <c r="K29" s="237" t="s">
        <v>294</v>
      </c>
      <c r="L29" s="236" t="s">
        <v>279</v>
      </c>
      <c r="M29" s="226">
        <v>0</v>
      </c>
      <c r="N29" s="226">
        <v>0</v>
      </c>
      <c r="O29" s="226">
        <v>0</v>
      </c>
      <c r="P29" s="226">
        <v>0</v>
      </c>
      <c r="Q29" s="226">
        <v>0</v>
      </c>
      <c r="R29" s="226">
        <v>0</v>
      </c>
      <c r="S29" s="226">
        <v>0</v>
      </c>
      <c r="T29" s="226">
        <v>0</v>
      </c>
      <c r="U29" s="226">
        <f t="shared" si="7"/>
        <v>8353.869930245186</v>
      </c>
      <c r="V29" s="226">
        <f t="shared" si="8"/>
        <v>1646.1300697548145</v>
      </c>
      <c r="W29" s="226">
        <f t="shared" si="9"/>
        <v>33415.479720980744</v>
      </c>
      <c r="X29" s="226">
        <f t="shared" si="10"/>
        <v>6584.5202790192579</v>
      </c>
      <c r="Y29" s="226">
        <f t="shared" si="11"/>
        <v>41769.34965122593</v>
      </c>
      <c r="Z29" s="226">
        <f t="shared" si="12"/>
        <v>8230.650348774072</v>
      </c>
      <c r="AA29" s="236"/>
      <c r="AB29" s="206"/>
      <c r="AC29" s="192"/>
      <c r="AD29" s="262">
        <f t="shared" si="5"/>
        <v>0</v>
      </c>
      <c r="AE29" s="192"/>
      <c r="AF29" s="192"/>
      <c r="AG29" s="192"/>
      <c r="AH29" s="192"/>
      <c r="AI29" s="192"/>
      <c r="AJ29" s="192"/>
      <c r="AK29" s="192"/>
      <c r="AL29" s="192"/>
      <c r="AM29" s="192"/>
      <c r="AN29" s="192"/>
      <c r="AO29" s="192"/>
      <c r="AP29" s="192"/>
      <c r="AQ29" s="192"/>
      <c r="AR29" s="192"/>
      <c r="AS29" s="192"/>
      <c r="AT29" s="192"/>
      <c r="AU29" s="192"/>
      <c r="AV29" s="192"/>
      <c r="AW29" s="192"/>
    </row>
    <row r="30" spans="1:49" s="207" customFormat="1" x14ac:dyDescent="0.25">
      <c r="A30" s="198"/>
      <c r="B30" s="208"/>
      <c r="C30" s="208"/>
      <c r="D30" s="228" t="s">
        <v>280</v>
      </c>
      <c r="E30" s="229">
        <f>SUM(E26:E29)</f>
        <v>700000</v>
      </c>
      <c r="F30" s="208"/>
      <c r="G30" s="208"/>
      <c r="H30" s="211"/>
      <c r="I30" s="211"/>
      <c r="J30" s="212"/>
      <c r="K30" s="212"/>
      <c r="L30" s="208"/>
      <c r="M30" s="208"/>
      <c r="N30" s="208"/>
      <c r="O30" s="208"/>
      <c r="P30" s="208"/>
      <c r="Q30" s="208"/>
      <c r="R30" s="208"/>
      <c r="S30" s="208"/>
      <c r="T30" s="208"/>
      <c r="U30" s="208"/>
      <c r="V30" s="208"/>
      <c r="W30" s="208"/>
      <c r="X30" s="208"/>
      <c r="Y30" s="208"/>
      <c r="Z30" s="208"/>
      <c r="AA30" s="208"/>
      <c r="AB30" s="206"/>
      <c r="AC30" s="192"/>
      <c r="AD30" s="193"/>
      <c r="AE30" s="192"/>
      <c r="AF30" s="192"/>
      <c r="AG30" s="192"/>
      <c r="AH30" s="192"/>
      <c r="AI30" s="192"/>
      <c r="AJ30" s="192"/>
      <c r="AK30" s="192"/>
      <c r="AL30" s="192"/>
      <c r="AM30" s="192"/>
      <c r="AN30" s="192"/>
      <c r="AO30" s="192"/>
      <c r="AP30" s="192"/>
      <c r="AQ30" s="192"/>
      <c r="AR30" s="192"/>
      <c r="AS30" s="192"/>
      <c r="AT30" s="192"/>
      <c r="AU30" s="192"/>
      <c r="AV30" s="192"/>
      <c r="AW30" s="192"/>
    </row>
    <row r="31" spans="1:49" s="207" customFormat="1" ht="18.75" thickBot="1" x14ac:dyDescent="0.3">
      <c r="A31" s="198"/>
      <c r="B31" s="208"/>
      <c r="C31" s="208"/>
      <c r="D31" s="209"/>
      <c r="E31" s="210"/>
      <c r="F31" s="208"/>
      <c r="G31" s="208"/>
      <c r="H31" s="211"/>
      <c r="I31" s="211"/>
      <c r="J31" s="212"/>
      <c r="K31" s="212"/>
      <c r="L31" s="208"/>
      <c r="M31" s="208"/>
      <c r="N31" s="208"/>
      <c r="O31" s="208"/>
      <c r="P31" s="208"/>
      <c r="Q31" s="208"/>
      <c r="R31" s="208"/>
      <c r="S31" s="208"/>
      <c r="T31" s="208"/>
      <c r="U31" s="208"/>
      <c r="V31" s="208"/>
      <c r="W31" s="208"/>
      <c r="X31" s="208"/>
      <c r="Y31" s="208"/>
      <c r="Z31" s="208"/>
      <c r="AA31" s="208"/>
      <c r="AB31" s="206"/>
      <c r="AC31" s="192"/>
      <c r="AD31" s="193"/>
      <c r="AE31" s="192"/>
      <c r="AF31" s="192"/>
      <c r="AG31" s="192"/>
      <c r="AH31" s="192"/>
      <c r="AI31" s="192"/>
      <c r="AJ31" s="192"/>
      <c r="AK31" s="192"/>
      <c r="AL31" s="192"/>
      <c r="AM31" s="192"/>
      <c r="AN31" s="192"/>
      <c r="AO31" s="192"/>
      <c r="AP31" s="192"/>
      <c r="AQ31" s="192"/>
      <c r="AR31" s="192"/>
      <c r="AS31" s="192"/>
      <c r="AT31" s="192"/>
      <c r="AU31" s="192"/>
      <c r="AV31" s="192"/>
      <c r="AW31" s="192"/>
    </row>
    <row r="32" spans="1:49" s="207" customFormat="1" ht="26.25" customHeight="1" thickBot="1" x14ac:dyDescent="0.3">
      <c r="A32" s="198"/>
      <c r="B32" s="238"/>
      <c r="C32" s="238"/>
      <c r="D32" s="239" t="s">
        <v>281</v>
      </c>
      <c r="E32" s="240">
        <f>E22+E30</f>
        <v>74663522.959886372</v>
      </c>
      <c r="F32" s="241"/>
      <c r="G32" s="241"/>
      <c r="H32" s="242"/>
      <c r="I32" s="242"/>
      <c r="J32" s="243"/>
      <c r="K32" s="243"/>
      <c r="L32" s="238"/>
      <c r="M32" s="238"/>
      <c r="N32" s="238"/>
      <c r="O32" s="238"/>
      <c r="P32" s="238"/>
      <c r="Q32" s="238"/>
      <c r="R32" s="238"/>
      <c r="S32" s="238"/>
      <c r="T32" s="238"/>
      <c r="U32" s="238"/>
      <c r="V32" s="238"/>
      <c r="W32" s="238"/>
      <c r="X32" s="238"/>
      <c r="Y32" s="238"/>
      <c r="Z32" s="238"/>
      <c r="AA32" s="238"/>
      <c r="AB32" s="206"/>
      <c r="AC32" s="192"/>
      <c r="AD32" s="193"/>
      <c r="AE32" s="192"/>
      <c r="AF32" s="192"/>
      <c r="AG32" s="192"/>
      <c r="AH32" s="192"/>
      <c r="AI32" s="192"/>
      <c r="AJ32" s="192"/>
      <c r="AK32" s="192"/>
      <c r="AL32" s="192"/>
      <c r="AM32" s="192"/>
      <c r="AN32" s="192"/>
      <c r="AO32" s="192"/>
      <c r="AP32" s="192"/>
      <c r="AQ32" s="192"/>
      <c r="AR32" s="192"/>
      <c r="AS32" s="192"/>
      <c r="AT32" s="192"/>
      <c r="AU32" s="192"/>
      <c r="AV32" s="192"/>
      <c r="AW32" s="192"/>
    </row>
    <row r="33" spans="1:30" s="192" customFormat="1" ht="15" customHeight="1" x14ac:dyDescent="0.25">
      <c r="A33" s="198"/>
      <c r="B33" s="208"/>
      <c r="C33" s="208"/>
      <c r="D33" s="209"/>
      <c r="E33" s="210"/>
      <c r="F33" s="208"/>
      <c r="G33" s="208"/>
      <c r="H33" s="211"/>
      <c r="I33" s="211"/>
      <c r="J33" s="212"/>
      <c r="K33" s="212"/>
      <c r="L33" s="208"/>
      <c r="M33" s="208"/>
      <c r="N33" s="208"/>
      <c r="O33" s="208"/>
      <c r="P33" s="208"/>
      <c r="Q33" s="208"/>
      <c r="R33" s="208"/>
      <c r="S33" s="208"/>
      <c r="T33" s="208"/>
      <c r="U33" s="208"/>
      <c r="V33" s="208"/>
      <c r="W33" s="208"/>
      <c r="X33" s="208"/>
      <c r="Y33" s="208"/>
      <c r="Z33" s="208"/>
      <c r="AA33" s="208"/>
      <c r="AB33" s="199"/>
      <c r="AD33" s="193"/>
    </row>
    <row r="34" spans="1:30" s="192" customFormat="1" ht="6" customHeight="1" x14ac:dyDescent="0.25">
      <c r="A34" s="198"/>
      <c r="B34" s="215"/>
      <c r="C34" s="215"/>
      <c r="D34" s="215"/>
      <c r="E34" s="215"/>
      <c r="F34" s="244"/>
      <c r="G34" s="215"/>
      <c r="H34" s="215"/>
      <c r="I34" s="215"/>
      <c r="J34" s="215"/>
      <c r="K34" s="215"/>
      <c r="L34" s="215"/>
      <c r="M34" s="215"/>
      <c r="N34" s="215"/>
      <c r="O34" s="215"/>
      <c r="P34" s="215"/>
      <c r="Q34" s="215"/>
      <c r="R34" s="215"/>
      <c r="S34" s="215"/>
      <c r="T34" s="215"/>
      <c r="U34" s="215"/>
      <c r="V34" s="215"/>
      <c r="W34" s="215"/>
      <c r="X34" s="215"/>
      <c r="Y34" s="215"/>
      <c r="Z34" s="215"/>
      <c r="AA34" s="215"/>
      <c r="AB34" s="199"/>
      <c r="AD34" s="193"/>
    </row>
    <row r="35" spans="1:30" s="192" customFormat="1" ht="36.75" customHeight="1" x14ac:dyDescent="0.25">
      <c r="A35" s="198"/>
      <c r="B35" s="328" t="s">
        <v>282</v>
      </c>
      <c r="C35" s="328"/>
      <c r="D35" s="328"/>
      <c r="E35" s="328"/>
      <c r="F35" s="328"/>
      <c r="G35" s="328"/>
      <c r="H35" s="328"/>
      <c r="I35" s="328"/>
      <c r="J35" s="328"/>
      <c r="K35" s="328"/>
      <c r="L35" s="328"/>
      <c r="M35" s="252"/>
      <c r="N35" s="252"/>
      <c r="O35" s="252"/>
      <c r="P35" s="252"/>
      <c r="Q35" s="252"/>
      <c r="R35" s="252"/>
      <c r="S35" s="252"/>
      <c r="T35" s="252"/>
      <c r="U35" s="252"/>
      <c r="V35" s="252"/>
      <c r="W35" s="252"/>
      <c r="X35" s="252"/>
      <c r="Y35" s="252"/>
      <c r="Z35" s="252"/>
      <c r="AA35" s="252"/>
      <c r="AB35" s="199"/>
      <c r="AD35" s="193"/>
    </row>
    <row r="36" spans="1:30" s="192" customFormat="1" ht="17.25" customHeight="1" x14ac:dyDescent="0.25">
      <c r="A36" s="198"/>
      <c r="B36" s="328" t="s">
        <v>283</v>
      </c>
      <c r="C36" s="328"/>
      <c r="D36" s="328"/>
      <c r="E36" s="328"/>
      <c r="F36" s="328"/>
      <c r="G36" s="328"/>
      <c r="H36" s="328"/>
      <c r="I36" s="328"/>
      <c r="J36" s="328"/>
      <c r="K36" s="328"/>
      <c r="L36" s="328"/>
      <c r="M36" s="252"/>
      <c r="N36" s="252"/>
      <c r="O36" s="252"/>
      <c r="P36" s="252"/>
      <c r="Q36" s="252"/>
      <c r="R36" s="252"/>
      <c r="S36" s="252"/>
      <c r="T36" s="252"/>
      <c r="U36" s="252"/>
      <c r="V36" s="252"/>
      <c r="W36" s="252"/>
      <c r="X36" s="252"/>
      <c r="Y36" s="252"/>
      <c r="Z36" s="252"/>
      <c r="AA36" s="252"/>
      <c r="AB36" s="199"/>
      <c r="AD36" s="193"/>
    </row>
    <row r="37" spans="1:30" s="192" customFormat="1" ht="7.5" customHeight="1" thickBot="1" x14ac:dyDescent="0.3">
      <c r="A37" s="246"/>
      <c r="B37" s="247"/>
      <c r="C37" s="247"/>
      <c r="D37" s="247"/>
      <c r="E37" s="247"/>
      <c r="F37" s="248"/>
      <c r="G37" s="247"/>
      <c r="H37" s="247"/>
      <c r="I37" s="247"/>
      <c r="J37" s="247"/>
      <c r="K37" s="247"/>
      <c r="L37" s="247"/>
      <c r="M37" s="247"/>
      <c r="N37" s="247"/>
      <c r="O37" s="247"/>
      <c r="P37" s="247"/>
      <c r="Q37" s="247"/>
      <c r="R37" s="247"/>
      <c r="S37" s="247"/>
      <c r="T37" s="247"/>
      <c r="U37" s="247"/>
      <c r="V37" s="247"/>
      <c r="W37" s="247"/>
      <c r="X37" s="247"/>
      <c r="Y37" s="247"/>
      <c r="Z37" s="247"/>
      <c r="AA37" s="247"/>
      <c r="AB37" s="249"/>
      <c r="AD37" s="193"/>
    </row>
    <row r="38" spans="1:30" s="192" customFormat="1" x14ac:dyDescent="0.25">
      <c r="F38" s="250"/>
      <c r="AD38" s="193"/>
    </row>
    <row r="39" spans="1:30" s="192" customFormat="1" x14ac:dyDescent="0.25">
      <c r="F39" s="250"/>
      <c r="AD39" s="193"/>
    </row>
    <row r="40" spans="1:30" s="192" customFormat="1" x14ac:dyDescent="0.25">
      <c r="E40" s="280">
        <f>+PEP!W18</f>
        <v>6649327.0401136279</v>
      </c>
      <c r="F40" s="250"/>
      <c r="AD40" s="193"/>
    </row>
    <row r="41" spans="1:30" s="192" customFormat="1" x14ac:dyDescent="0.25">
      <c r="E41" s="280">
        <f>+PEP!W27</f>
        <v>497000</v>
      </c>
      <c r="F41" s="250"/>
      <c r="AD41" s="193"/>
    </row>
    <row r="42" spans="1:30" s="192" customFormat="1" x14ac:dyDescent="0.25">
      <c r="E42" s="280">
        <f>+PEP!W28</f>
        <v>183000</v>
      </c>
      <c r="F42" s="250"/>
      <c r="AD42" s="193"/>
    </row>
    <row r="43" spans="1:30" s="192" customFormat="1" x14ac:dyDescent="0.25">
      <c r="E43" s="280">
        <f>+PEP!W31</f>
        <v>1507100</v>
      </c>
      <c r="F43" s="250"/>
      <c r="AD43" s="193"/>
    </row>
    <row r="44" spans="1:30" s="192" customFormat="1" x14ac:dyDescent="0.25">
      <c r="E44" s="280">
        <f>SUM(E40:E43)+E32</f>
        <v>83499950</v>
      </c>
      <c r="F44" s="250"/>
      <c r="AD44" s="193"/>
    </row>
    <row r="45" spans="1:30" s="192" customFormat="1" x14ac:dyDescent="0.25">
      <c r="F45" s="250"/>
      <c r="AD45" s="193"/>
    </row>
    <row r="46" spans="1:30" s="192" customFormat="1" x14ac:dyDescent="0.25">
      <c r="F46" s="250"/>
      <c r="AD46" s="193"/>
    </row>
    <row r="47" spans="1:30" s="192" customFormat="1" x14ac:dyDescent="0.25">
      <c r="F47" s="250"/>
      <c r="AD47" s="193"/>
    </row>
    <row r="48" spans="1:30" s="192" customFormat="1" x14ac:dyDescent="0.25">
      <c r="F48" s="250"/>
      <c r="AD48" s="193"/>
    </row>
    <row r="49" spans="6:30" s="192" customFormat="1" x14ac:dyDescent="0.25">
      <c r="F49" s="250"/>
      <c r="AD49" s="193"/>
    </row>
    <row r="50" spans="6:30" s="192" customFormat="1" x14ac:dyDescent="0.25">
      <c r="F50" s="250"/>
      <c r="AD50" s="193"/>
    </row>
    <row r="51" spans="6:30" s="192" customFormat="1" x14ac:dyDescent="0.25">
      <c r="F51" s="250"/>
      <c r="AD51" s="193"/>
    </row>
    <row r="52" spans="6:30" s="192" customFormat="1" x14ac:dyDescent="0.25">
      <c r="F52" s="250"/>
      <c r="AD52" s="193"/>
    </row>
    <row r="53" spans="6:30" s="192" customFormat="1" x14ac:dyDescent="0.25">
      <c r="F53" s="250"/>
      <c r="AD53" s="193"/>
    </row>
    <row r="54" spans="6:30" s="192" customFormat="1" x14ac:dyDescent="0.25">
      <c r="F54" s="250"/>
      <c r="AD54" s="193"/>
    </row>
    <row r="55" spans="6:30" s="192" customFormat="1" x14ac:dyDescent="0.25">
      <c r="F55" s="250"/>
      <c r="AD55" s="193"/>
    </row>
    <row r="56" spans="6:30" s="192" customFormat="1" x14ac:dyDescent="0.25">
      <c r="F56" s="250"/>
      <c r="AD56" s="193"/>
    </row>
    <row r="57" spans="6:30" s="192" customFormat="1" x14ac:dyDescent="0.25">
      <c r="F57" s="250"/>
      <c r="AD57" s="193"/>
    </row>
    <row r="58" spans="6:30" s="192" customFormat="1" x14ac:dyDescent="0.25">
      <c r="F58" s="250"/>
      <c r="AD58" s="193"/>
    </row>
    <row r="59" spans="6:30" s="192" customFormat="1" x14ac:dyDescent="0.25">
      <c r="F59" s="250"/>
      <c r="AD59" s="193"/>
    </row>
    <row r="60" spans="6:30" s="192" customFormat="1" x14ac:dyDescent="0.25">
      <c r="F60" s="250"/>
      <c r="AD60" s="193"/>
    </row>
    <row r="61" spans="6:30" s="192" customFormat="1" x14ac:dyDescent="0.25">
      <c r="F61" s="250"/>
      <c r="AD61" s="193"/>
    </row>
    <row r="62" spans="6:30" s="192" customFormat="1" x14ac:dyDescent="0.25">
      <c r="F62" s="250"/>
      <c r="AD62" s="193"/>
    </row>
    <row r="63" spans="6:30" s="192" customFormat="1" x14ac:dyDescent="0.25">
      <c r="F63" s="250"/>
      <c r="AD63" s="193"/>
    </row>
    <row r="64" spans="6:30" s="192" customFormat="1" x14ac:dyDescent="0.25">
      <c r="F64" s="250"/>
      <c r="AD64" s="193"/>
    </row>
    <row r="65" spans="6:30" s="192" customFormat="1" x14ac:dyDescent="0.25">
      <c r="F65" s="250"/>
      <c r="AD65" s="193"/>
    </row>
    <row r="66" spans="6:30" s="192" customFormat="1" x14ac:dyDescent="0.25">
      <c r="F66" s="250"/>
      <c r="AD66" s="193"/>
    </row>
    <row r="67" spans="6:30" s="192" customFormat="1" x14ac:dyDescent="0.25">
      <c r="F67" s="250"/>
      <c r="AD67" s="193"/>
    </row>
    <row r="68" spans="6:30" s="192" customFormat="1" x14ac:dyDescent="0.25">
      <c r="F68" s="250"/>
      <c r="AD68" s="193"/>
    </row>
    <row r="69" spans="6:30" s="192" customFormat="1" x14ac:dyDescent="0.25">
      <c r="F69" s="250"/>
      <c r="AD69" s="193"/>
    </row>
    <row r="70" spans="6:30" s="192" customFormat="1" x14ac:dyDescent="0.25">
      <c r="F70" s="250"/>
      <c r="AD70" s="193"/>
    </row>
    <row r="71" spans="6:30" s="192" customFormat="1" x14ac:dyDescent="0.25">
      <c r="F71" s="250"/>
      <c r="AD71" s="193"/>
    </row>
    <row r="72" spans="6:30" s="192" customFormat="1" x14ac:dyDescent="0.25">
      <c r="F72" s="250"/>
      <c r="AD72" s="193"/>
    </row>
    <row r="73" spans="6:30" s="192" customFormat="1" x14ac:dyDescent="0.25">
      <c r="F73" s="250"/>
      <c r="AD73" s="193"/>
    </row>
    <row r="74" spans="6:30" s="192" customFormat="1" x14ac:dyDescent="0.25">
      <c r="F74" s="250"/>
      <c r="AD74" s="193"/>
    </row>
    <row r="75" spans="6:30" s="192" customFormat="1" x14ac:dyDescent="0.25">
      <c r="F75" s="250"/>
      <c r="AD75" s="193"/>
    </row>
    <row r="76" spans="6:30" s="192" customFormat="1" x14ac:dyDescent="0.25">
      <c r="F76" s="250"/>
      <c r="AD76" s="193"/>
    </row>
    <row r="77" spans="6:30" s="192" customFormat="1" x14ac:dyDescent="0.25">
      <c r="F77" s="250"/>
      <c r="AD77" s="193"/>
    </row>
    <row r="78" spans="6:30" s="192" customFormat="1" x14ac:dyDescent="0.25">
      <c r="F78" s="250"/>
      <c r="AD78" s="193"/>
    </row>
    <row r="79" spans="6:30" s="192" customFormat="1" x14ac:dyDescent="0.25">
      <c r="F79" s="250"/>
      <c r="AD79" s="193"/>
    </row>
    <row r="80" spans="6:30" s="192" customFormat="1" x14ac:dyDescent="0.25">
      <c r="F80" s="250"/>
      <c r="AD80" s="193"/>
    </row>
    <row r="81" spans="6:30" s="192" customFormat="1" x14ac:dyDescent="0.25">
      <c r="F81" s="250"/>
      <c r="AD81" s="193"/>
    </row>
  </sheetData>
  <mergeCells count="26">
    <mergeCell ref="B36:L36"/>
    <mergeCell ref="M6:P6"/>
    <mergeCell ref="Q6:X6"/>
    <mergeCell ref="M7:N7"/>
    <mergeCell ref="O7:P7"/>
    <mergeCell ref="Q7:R7"/>
    <mergeCell ref="S7:T7"/>
    <mergeCell ref="U7:V7"/>
    <mergeCell ref="J6:K6"/>
    <mergeCell ref="L6:L7"/>
    <mergeCell ref="B10:D10"/>
    <mergeCell ref="B25:D25"/>
    <mergeCell ref="B35:L35"/>
    <mergeCell ref="W7:X7"/>
    <mergeCell ref="Y6:Z7"/>
    <mergeCell ref="B2:L2"/>
    <mergeCell ref="B3:AA3"/>
    <mergeCell ref="B5:AA5"/>
    <mergeCell ref="B6:B7"/>
    <mergeCell ref="C6:C7"/>
    <mergeCell ref="D6:D7"/>
    <mergeCell ref="E6:E7"/>
    <mergeCell ref="F6:F7"/>
    <mergeCell ref="G6:G7"/>
    <mergeCell ref="H6:I6"/>
    <mergeCell ref="AA6:AA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3"/>
  <sheetViews>
    <sheetView zoomScale="90" zoomScaleNormal="90" workbookViewId="0">
      <selection activeCell="E5" sqref="E5:E15"/>
    </sheetView>
  </sheetViews>
  <sheetFormatPr defaultColWidth="9.140625" defaultRowHeight="15" x14ac:dyDescent="0.25"/>
  <cols>
    <col min="1" max="1" width="42.42578125" style="1"/>
    <col min="2" max="2" width="39.85546875" style="1"/>
    <col min="3" max="3" width="18.7109375" style="1"/>
    <col min="4" max="4" width="34.140625" style="1"/>
    <col min="5" max="5" width="52.140625" style="1"/>
    <col min="6" max="7" width="10.28515625"/>
    <col min="8" max="8" width="45.5703125"/>
    <col min="9" max="1025" width="10.28515625"/>
  </cols>
  <sheetData>
    <row r="1" spans="1:7" x14ac:dyDescent="0.25">
      <c r="A1" s="297" t="s">
        <v>71</v>
      </c>
      <c r="B1" s="297"/>
      <c r="C1" s="297"/>
      <c r="D1" s="297"/>
      <c r="E1" s="297"/>
    </row>
    <row r="2" spans="1:7" ht="7.5" customHeight="1" x14ac:dyDescent="0.25">
      <c r="A2" s="26"/>
      <c r="B2" s="27"/>
      <c r="C2" s="27"/>
      <c r="D2" s="27"/>
      <c r="E2" s="28"/>
    </row>
    <row r="3" spans="1:7" ht="45.75" customHeight="1" x14ac:dyDescent="0.25">
      <c r="A3" s="29" t="s">
        <v>72</v>
      </c>
      <c r="B3" s="298" t="s">
        <v>73</v>
      </c>
      <c r="C3" s="298"/>
      <c r="D3" s="298"/>
      <c r="E3" s="298"/>
    </row>
    <row r="4" spans="1:7" ht="3.75" customHeight="1" x14ac:dyDescent="0.25">
      <c r="A4" s="30"/>
      <c r="B4" s="31"/>
      <c r="C4" s="31"/>
      <c r="D4" s="31"/>
      <c r="E4" s="31"/>
    </row>
    <row r="5" spans="1:7" x14ac:dyDescent="0.25">
      <c r="A5" s="32" t="s">
        <v>74</v>
      </c>
      <c r="B5" s="33" t="s">
        <v>75</v>
      </c>
      <c r="C5" s="33" t="s">
        <v>76</v>
      </c>
      <c r="D5" s="33" t="s">
        <v>77</v>
      </c>
      <c r="E5" s="33" t="s">
        <v>78</v>
      </c>
    </row>
    <row r="6" spans="1:7" ht="60" customHeight="1" x14ac:dyDescent="0.25">
      <c r="A6" s="34" t="s">
        <v>79</v>
      </c>
      <c r="B6" s="35" t="s">
        <v>80</v>
      </c>
      <c r="C6" s="35"/>
      <c r="D6" s="35" t="s">
        <v>81</v>
      </c>
      <c r="E6" s="36" t="s">
        <v>82</v>
      </c>
    </row>
    <row r="7" spans="1:7" ht="40.5" customHeight="1" x14ac:dyDescent="0.25">
      <c r="A7" s="37" t="s">
        <v>83</v>
      </c>
      <c r="B7" s="38" t="s">
        <v>75</v>
      </c>
      <c r="C7" s="38" t="s">
        <v>76</v>
      </c>
      <c r="D7" s="38" t="s">
        <v>77</v>
      </c>
      <c r="E7" s="38" t="s">
        <v>78</v>
      </c>
    </row>
    <row r="8" spans="1:7" ht="57.75" customHeight="1" x14ac:dyDescent="0.25">
      <c r="A8" s="39" t="s">
        <v>84</v>
      </c>
      <c r="B8" s="39" t="s">
        <v>85</v>
      </c>
      <c r="C8" s="39">
        <v>0</v>
      </c>
      <c r="D8" s="40" t="s">
        <v>86</v>
      </c>
      <c r="E8" s="41" t="s">
        <v>87</v>
      </c>
    </row>
    <row r="9" spans="1:7" ht="75.75" customHeight="1" x14ac:dyDescent="0.25">
      <c r="A9" s="42" t="s">
        <v>88</v>
      </c>
      <c r="B9" s="35" t="s">
        <v>89</v>
      </c>
      <c r="C9" s="36" t="s">
        <v>90</v>
      </c>
      <c r="D9" s="36" t="s">
        <v>90</v>
      </c>
      <c r="E9" s="35" t="s">
        <v>91</v>
      </c>
    </row>
    <row r="10" spans="1:7" ht="29.25" customHeight="1" x14ac:dyDescent="0.25">
      <c r="A10" s="299" t="s">
        <v>92</v>
      </c>
      <c r="B10" s="299" t="s">
        <v>93</v>
      </c>
      <c r="C10" s="299" t="s">
        <v>94</v>
      </c>
      <c r="D10" s="299" t="s">
        <v>95</v>
      </c>
      <c r="E10" s="299" t="s">
        <v>96</v>
      </c>
    </row>
    <row r="11" spans="1:7" x14ac:dyDescent="0.25">
      <c r="A11" s="299"/>
      <c r="B11" s="299"/>
      <c r="C11" s="299"/>
      <c r="D11" s="299"/>
      <c r="E11" s="299"/>
    </row>
    <row r="12" spans="1:7" ht="93.75" customHeight="1" x14ac:dyDescent="0.25">
      <c r="A12" s="34" t="s">
        <v>97</v>
      </c>
      <c r="B12" s="35" t="s">
        <v>98</v>
      </c>
      <c r="C12" s="35" t="s">
        <v>99</v>
      </c>
      <c r="D12" s="35" t="s">
        <v>100</v>
      </c>
      <c r="E12" s="36" t="s">
        <v>101</v>
      </c>
      <c r="F12" s="43"/>
      <c r="G12" s="44"/>
    </row>
    <row r="13" spans="1:7" ht="45" x14ac:dyDescent="0.25">
      <c r="A13" s="42" t="s">
        <v>102</v>
      </c>
      <c r="B13" s="36" t="s">
        <v>103</v>
      </c>
      <c r="C13" s="36" t="s">
        <v>104</v>
      </c>
      <c r="D13" s="45">
        <v>0.1</v>
      </c>
      <c r="E13" s="36" t="s">
        <v>105</v>
      </c>
      <c r="F13" s="43"/>
      <c r="G13" s="44"/>
    </row>
  </sheetData>
  <mergeCells count="7">
    <mergeCell ref="A1:E1"/>
    <mergeCell ref="B3:E3"/>
    <mergeCell ref="A10:A11"/>
    <mergeCell ref="B10:B11"/>
    <mergeCell ref="C10:C11"/>
    <mergeCell ref="D10:D11"/>
    <mergeCell ref="E10:E11"/>
  </mergeCells>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J17"/>
  <sheetViews>
    <sheetView topLeftCell="A7" workbookViewId="0">
      <selection activeCell="E5" sqref="E5:E15"/>
    </sheetView>
  </sheetViews>
  <sheetFormatPr defaultColWidth="9.140625" defaultRowHeight="15" x14ac:dyDescent="0.25"/>
  <cols>
    <col min="1" max="1" width="54.7109375"/>
    <col min="2" max="2" width="10.42578125"/>
    <col min="3" max="3" width="9.85546875"/>
    <col min="4" max="6" width="10.42578125"/>
    <col min="7" max="8" width="11"/>
    <col min="9" max="9" width="10.42578125"/>
    <col min="10" max="10" width="31.85546875"/>
    <col min="11" max="1025" width="10.42578125"/>
  </cols>
  <sheetData>
    <row r="2" spans="1:10" s="1" customFormat="1" ht="37.5" customHeight="1" x14ac:dyDescent="0.25">
      <c r="A2" s="46" t="s">
        <v>106</v>
      </c>
      <c r="B2" s="47" t="s">
        <v>76</v>
      </c>
      <c r="C2" s="48" t="s">
        <v>107</v>
      </c>
      <c r="D2" s="47">
        <v>2018</v>
      </c>
      <c r="E2" s="47">
        <v>2019</v>
      </c>
      <c r="F2" s="47">
        <v>2020</v>
      </c>
      <c r="G2" s="47">
        <v>2021</v>
      </c>
      <c r="H2" s="48" t="s">
        <v>108</v>
      </c>
      <c r="I2" s="47" t="s">
        <v>77</v>
      </c>
      <c r="J2" s="47" t="s">
        <v>78</v>
      </c>
    </row>
    <row r="3" spans="1:10" ht="37.5" customHeight="1" x14ac:dyDescent="0.25">
      <c r="A3" s="300" t="s">
        <v>109</v>
      </c>
      <c r="B3" s="300"/>
      <c r="C3" s="300"/>
      <c r="D3" s="300"/>
      <c r="E3" s="300"/>
      <c r="F3" s="300"/>
      <c r="G3" s="300"/>
      <c r="H3" s="300"/>
      <c r="I3" s="300"/>
      <c r="J3" s="300"/>
    </row>
    <row r="4" spans="1:10" ht="49.5" customHeight="1" x14ac:dyDescent="0.25">
      <c r="A4" s="49" t="s">
        <v>110</v>
      </c>
      <c r="B4" s="50">
        <v>0</v>
      </c>
      <c r="C4" s="50">
        <v>0</v>
      </c>
      <c r="D4" s="50">
        <v>3</v>
      </c>
      <c r="E4" s="50">
        <v>15</v>
      </c>
      <c r="F4" s="50">
        <v>0</v>
      </c>
      <c r="G4" s="50">
        <v>0</v>
      </c>
      <c r="H4" s="50">
        <v>0</v>
      </c>
      <c r="I4" s="50">
        <f>+C4+D4+E4+F4+G4+H4</f>
        <v>18</v>
      </c>
      <c r="J4" s="50" t="s">
        <v>111</v>
      </c>
    </row>
    <row r="5" spans="1:10" ht="49.5" customHeight="1" x14ac:dyDescent="0.25">
      <c r="A5" s="49" t="s">
        <v>112</v>
      </c>
      <c r="B5" s="50">
        <v>0</v>
      </c>
      <c r="C5" s="50">
        <v>0</v>
      </c>
      <c r="D5" s="50">
        <v>0</v>
      </c>
      <c r="E5" s="50">
        <v>0</v>
      </c>
      <c r="F5" s="50">
        <v>7</v>
      </c>
      <c r="G5" s="50">
        <v>8</v>
      </c>
      <c r="H5" s="50">
        <v>3</v>
      </c>
      <c r="I5" s="50">
        <f>+C5+D5+E5+F5+G5+H5</f>
        <v>18</v>
      </c>
      <c r="J5" s="50"/>
    </row>
    <row r="6" spans="1:10" ht="49.5" customHeight="1" x14ac:dyDescent="0.25">
      <c r="A6" s="49" t="s">
        <v>113</v>
      </c>
      <c r="B6" s="50">
        <v>0</v>
      </c>
      <c r="C6" s="50">
        <v>1</v>
      </c>
      <c r="D6" s="50">
        <v>2</v>
      </c>
      <c r="E6" s="50">
        <v>3</v>
      </c>
      <c r="F6" s="50">
        <v>3</v>
      </c>
      <c r="G6" s="50">
        <v>0</v>
      </c>
      <c r="H6" s="50">
        <v>0</v>
      </c>
      <c r="I6" s="50">
        <v>9</v>
      </c>
      <c r="J6" s="50"/>
    </row>
    <row r="7" spans="1:10" ht="49.5" customHeight="1" x14ac:dyDescent="0.25">
      <c r="A7" s="49" t="s">
        <v>114</v>
      </c>
      <c r="B7" s="50">
        <v>0</v>
      </c>
      <c r="C7" s="50">
        <v>0</v>
      </c>
      <c r="D7" s="50">
        <v>3</v>
      </c>
      <c r="E7" s="50">
        <v>4</v>
      </c>
      <c r="F7" s="50">
        <v>4</v>
      </c>
      <c r="G7" s="50">
        <v>4</v>
      </c>
      <c r="H7" s="50">
        <v>3</v>
      </c>
      <c r="I7" s="50">
        <f t="shared" ref="I7:I12" si="0">+C7+D7+E7+F7+G7+H7</f>
        <v>18</v>
      </c>
      <c r="J7" s="50"/>
    </row>
    <row r="8" spans="1:10" ht="49.5" customHeight="1" x14ac:dyDescent="0.25">
      <c r="A8" s="49" t="s">
        <v>115</v>
      </c>
      <c r="B8" s="50">
        <v>0</v>
      </c>
      <c r="C8" s="50">
        <v>0</v>
      </c>
      <c r="D8" s="50">
        <v>3</v>
      </c>
      <c r="E8" s="50">
        <v>4</v>
      </c>
      <c r="F8" s="50">
        <v>4</v>
      </c>
      <c r="G8" s="50">
        <v>4</v>
      </c>
      <c r="H8" s="50">
        <v>3</v>
      </c>
      <c r="I8" s="50">
        <f t="shared" si="0"/>
        <v>18</v>
      </c>
      <c r="J8" s="50"/>
    </row>
    <row r="9" spans="1:10" ht="49.5" customHeight="1" x14ac:dyDescent="0.25">
      <c r="A9" s="49" t="s">
        <v>116</v>
      </c>
      <c r="B9" s="50">
        <v>0</v>
      </c>
      <c r="C9" s="50">
        <v>0</v>
      </c>
      <c r="D9" s="50">
        <v>1</v>
      </c>
      <c r="E9" s="50">
        <v>0</v>
      </c>
      <c r="F9" s="50">
        <v>0</v>
      </c>
      <c r="G9" s="50">
        <v>0</v>
      </c>
      <c r="H9" s="50">
        <v>0</v>
      </c>
      <c r="I9" s="50">
        <f t="shared" si="0"/>
        <v>1</v>
      </c>
      <c r="J9" s="50"/>
    </row>
    <row r="10" spans="1:10" ht="49.5" customHeight="1" x14ac:dyDescent="0.25">
      <c r="A10" s="49" t="s">
        <v>117</v>
      </c>
      <c r="B10" s="50">
        <v>0</v>
      </c>
      <c r="C10" s="50">
        <v>1</v>
      </c>
      <c r="D10" s="50">
        <v>3</v>
      </c>
      <c r="E10" s="50">
        <v>3</v>
      </c>
      <c r="F10" s="50">
        <v>3</v>
      </c>
      <c r="G10" s="50">
        <v>4</v>
      </c>
      <c r="H10" s="50">
        <v>4</v>
      </c>
      <c r="I10" s="50">
        <f t="shared" si="0"/>
        <v>18</v>
      </c>
      <c r="J10" s="50"/>
    </row>
    <row r="11" spans="1:10" ht="49.5" customHeight="1" x14ac:dyDescent="0.25">
      <c r="A11" s="49" t="s">
        <v>118</v>
      </c>
      <c r="B11" s="50">
        <v>0</v>
      </c>
      <c r="C11" s="50">
        <v>3</v>
      </c>
      <c r="D11" s="50">
        <v>3</v>
      </c>
      <c r="E11" s="50">
        <v>3</v>
      </c>
      <c r="F11" s="50">
        <v>3</v>
      </c>
      <c r="G11" s="50">
        <v>3</v>
      </c>
      <c r="H11" s="50">
        <v>3</v>
      </c>
      <c r="I11" s="50">
        <f t="shared" si="0"/>
        <v>18</v>
      </c>
      <c r="J11" s="50"/>
    </row>
    <row r="12" spans="1:10" ht="49.5" customHeight="1" x14ac:dyDescent="0.25">
      <c r="A12" s="49" t="s">
        <v>119</v>
      </c>
      <c r="B12" s="50">
        <v>0</v>
      </c>
      <c r="C12" s="50">
        <v>0</v>
      </c>
      <c r="D12" s="50">
        <v>1</v>
      </c>
      <c r="E12" s="50">
        <v>0</v>
      </c>
      <c r="F12" s="50">
        <v>1</v>
      </c>
      <c r="G12" s="50">
        <v>0</v>
      </c>
      <c r="H12" s="50">
        <v>1</v>
      </c>
      <c r="I12" s="50">
        <f t="shared" si="0"/>
        <v>3</v>
      </c>
      <c r="J12" s="50"/>
    </row>
    <row r="13" spans="1:10" ht="37.5" customHeight="1" x14ac:dyDescent="0.25">
      <c r="A13" s="300" t="s">
        <v>120</v>
      </c>
      <c r="B13" s="300"/>
      <c r="C13" s="300"/>
      <c r="D13" s="300"/>
      <c r="E13" s="300"/>
      <c r="F13" s="300"/>
      <c r="G13" s="300"/>
      <c r="H13" s="300"/>
      <c r="I13" s="300"/>
      <c r="J13" s="300"/>
    </row>
    <row r="14" spans="1:10" ht="37.5" customHeight="1" x14ac:dyDescent="0.25">
      <c r="A14" s="49" t="s">
        <v>121</v>
      </c>
      <c r="B14" s="50">
        <v>0</v>
      </c>
      <c r="C14" s="50">
        <v>9</v>
      </c>
      <c r="D14" s="50">
        <v>8</v>
      </c>
      <c r="E14" s="50">
        <v>3</v>
      </c>
      <c r="F14" s="50">
        <v>0</v>
      </c>
      <c r="G14" s="50">
        <v>0</v>
      </c>
      <c r="H14" s="50">
        <v>0</v>
      </c>
      <c r="I14" s="50">
        <v>20</v>
      </c>
      <c r="J14" s="50" t="s">
        <v>122</v>
      </c>
    </row>
    <row r="15" spans="1:10" ht="37.5" customHeight="1" x14ac:dyDescent="0.25">
      <c r="A15" s="49" t="s">
        <v>123</v>
      </c>
      <c r="B15" s="50">
        <v>0</v>
      </c>
      <c r="C15" s="50">
        <v>2</v>
      </c>
      <c r="D15" s="50">
        <v>4</v>
      </c>
      <c r="E15" s="50">
        <v>4</v>
      </c>
      <c r="F15" s="50">
        <v>4</v>
      </c>
      <c r="G15" s="50">
        <v>4</v>
      </c>
      <c r="H15" s="50">
        <v>2</v>
      </c>
      <c r="I15" s="50">
        <f>+H15+G15+F15+E15+D15+C15</f>
        <v>20</v>
      </c>
      <c r="J15" s="50" t="s">
        <v>122</v>
      </c>
    </row>
    <row r="16" spans="1:10" ht="37.5" customHeight="1" x14ac:dyDescent="0.25">
      <c r="A16" s="49" t="s">
        <v>124</v>
      </c>
      <c r="B16" s="50">
        <v>0</v>
      </c>
      <c r="C16" s="50">
        <v>0</v>
      </c>
      <c r="D16" s="50">
        <v>4</v>
      </c>
      <c r="E16" s="50">
        <v>5</v>
      </c>
      <c r="F16" s="50">
        <v>9</v>
      </c>
      <c r="G16" s="50">
        <v>9</v>
      </c>
      <c r="H16" s="50">
        <v>6</v>
      </c>
      <c r="I16" s="50">
        <f>+H16+G16+F16+E16+D16+C16</f>
        <v>33</v>
      </c>
      <c r="J16" s="50" t="s">
        <v>122</v>
      </c>
    </row>
    <row r="17" spans="1:10" ht="37.5" customHeight="1" x14ac:dyDescent="0.25">
      <c r="A17" s="49" t="s">
        <v>125</v>
      </c>
      <c r="B17" s="50">
        <v>0</v>
      </c>
      <c r="C17" s="50">
        <v>0</v>
      </c>
      <c r="D17" s="50">
        <v>0</v>
      </c>
      <c r="E17" s="50">
        <v>8</v>
      </c>
      <c r="F17" s="50">
        <v>0</v>
      </c>
      <c r="G17" s="50">
        <v>0</v>
      </c>
      <c r="H17" s="50">
        <v>0</v>
      </c>
      <c r="I17" s="50">
        <v>0</v>
      </c>
      <c r="J17" s="50"/>
    </row>
  </sheetData>
  <mergeCells count="2">
    <mergeCell ref="A3:J3"/>
    <mergeCell ref="A13:J13"/>
  </mergeCells>
  <pageMargins left="0.7" right="0.7" top="0.75" bottom="0.75" header="0.51180555555555496" footer="0.51180555555555496"/>
  <pageSetup paperSize="0" scale="0" firstPageNumber="0" orientation="portrait" usePrinterDefaults="0" horizontalDpi="0" verticalDpi="0"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18"/>
  <sheetViews>
    <sheetView zoomScale="90" zoomScaleNormal="90" workbookViewId="0">
      <selection activeCell="E5" sqref="E5:E15"/>
    </sheetView>
  </sheetViews>
  <sheetFormatPr defaultColWidth="9.140625" defaultRowHeight="15" x14ac:dyDescent="0.25"/>
  <cols>
    <col min="1" max="1" width="6.28515625"/>
    <col min="2" max="2" width="52.5703125"/>
    <col min="3" max="3" width="13.42578125"/>
    <col min="4" max="4" width="12.140625"/>
    <col min="5" max="5" width="11.5703125"/>
    <col min="6" max="1025" width="10.28515625"/>
  </cols>
  <sheetData>
    <row r="1" spans="1:8" x14ac:dyDescent="0.25">
      <c r="B1" s="9"/>
    </row>
    <row r="3" spans="1:8" ht="34.5" customHeight="1" x14ac:dyDescent="0.25">
      <c r="A3" s="51"/>
      <c r="B3" s="51"/>
      <c r="C3" s="52" t="s">
        <v>126</v>
      </c>
      <c r="D3" s="52" t="s">
        <v>127</v>
      </c>
      <c r="E3" s="53" t="s">
        <v>128</v>
      </c>
    </row>
    <row r="4" spans="1:8" ht="36" customHeight="1" x14ac:dyDescent="0.25">
      <c r="A4" s="301" t="s">
        <v>129</v>
      </c>
      <c r="B4" s="301"/>
      <c r="C4" s="54" t="e">
        <f>+C5+C8+C15+C18</f>
        <v>#REF!</v>
      </c>
      <c r="D4" s="54">
        <v>75000000</v>
      </c>
      <c r="E4" s="55">
        <v>15000000</v>
      </c>
      <c r="F4" s="56"/>
    </row>
    <row r="5" spans="1:8" ht="28.5" x14ac:dyDescent="0.25">
      <c r="A5" s="57">
        <v>1</v>
      </c>
      <c r="B5" s="58" t="s">
        <v>130</v>
      </c>
      <c r="C5" s="59" t="e">
        <f>+#REF!</f>
        <v>#REF!</v>
      </c>
      <c r="D5" s="59" t="e">
        <f t="shared" ref="D5:D18" si="0">+C5*($D$4/$C$4)</f>
        <v>#REF!</v>
      </c>
      <c r="E5" s="60" t="e">
        <f t="shared" ref="E5:E18" si="1">+C5*($E$4/$C$4)</f>
        <v>#REF!</v>
      </c>
      <c r="F5" s="56"/>
    </row>
    <row r="6" spans="1:8" ht="29.25" customHeight="1" x14ac:dyDescent="0.25">
      <c r="A6" s="61" t="s">
        <v>131</v>
      </c>
      <c r="B6" s="62" t="s">
        <v>218</v>
      </c>
      <c r="C6" s="63" t="e">
        <f>+#REF!</f>
        <v>#REF!</v>
      </c>
      <c r="D6" s="63" t="e">
        <f t="shared" si="0"/>
        <v>#REF!</v>
      </c>
      <c r="E6" s="63" t="e">
        <f t="shared" si="1"/>
        <v>#REF!</v>
      </c>
      <c r="F6" s="56"/>
    </row>
    <row r="7" spans="1:8" x14ac:dyDescent="0.25">
      <c r="A7" s="61" t="s">
        <v>132</v>
      </c>
      <c r="B7" s="62" t="s">
        <v>219</v>
      </c>
      <c r="C7" s="63" t="e">
        <f>+#REF!</f>
        <v>#REF!</v>
      </c>
      <c r="D7" s="63" t="e">
        <f t="shared" si="0"/>
        <v>#REF!</v>
      </c>
      <c r="E7" s="63" t="e">
        <f t="shared" si="1"/>
        <v>#REF!</v>
      </c>
      <c r="F7" s="56"/>
      <c r="H7" s="56"/>
    </row>
    <row r="8" spans="1:8" x14ac:dyDescent="0.25">
      <c r="A8" s="57">
        <v>2</v>
      </c>
      <c r="B8" s="58" t="s">
        <v>133</v>
      </c>
      <c r="C8" s="59" t="e">
        <f>+#REF!</f>
        <v>#REF!</v>
      </c>
      <c r="D8" s="59" t="e">
        <f t="shared" si="0"/>
        <v>#REF!</v>
      </c>
      <c r="E8" s="59" t="e">
        <f t="shared" si="1"/>
        <v>#REF!</v>
      </c>
      <c r="F8" s="56"/>
      <c r="G8" s="56"/>
    </row>
    <row r="9" spans="1:8" x14ac:dyDescent="0.25">
      <c r="A9" s="61" t="s">
        <v>134</v>
      </c>
      <c r="B9" s="62" t="s">
        <v>135</v>
      </c>
      <c r="C9" s="63" t="e">
        <f>+#REF!</f>
        <v>#REF!</v>
      </c>
      <c r="D9" s="63" t="e">
        <f t="shared" si="0"/>
        <v>#REF!</v>
      </c>
      <c r="E9" s="63" t="e">
        <f t="shared" si="1"/>
        <v>#REF!</v>
      </c>
      <c r="F9" s="56"/>
    </row>
    <row r="10" spans="1:8" x14ac:dyDescent="0.25">
      <c r="A10" s="61" t="s">
        <v>136</v>
      </c>
      <c r="B10" s="64" t="s">
        <v>137</v>
      </c>
      <c r="C10" s="65" t="e">
        <f>+#REF!</f>
        <v>#REF!</v>
      </c>
      <c r="D10" s="65" t="e">
        <f t="shared" si="0"/>
        <v>#REF!</v>
      </c>
      <c r="E10" s="65" t="e">
        <f t="shared" si="1"/>
        <v>#REF!</v>
      </c>
      <c r="F10" s="56"/>
    </row>
    <row r="11" spans="1:8" hidden="1" x14ac:dyDescent="0.25">
      <c r="A11" s="61" t="s">
        <v>138</v>
      </c>
      <c r="B11" s="62" t="s">
        <v>139</v>
      </c>
      <c r="C11" s="63" t="e">
        <f>+#REF!</f>
        <v>#REF!</v>
      </c>
      <c r="D11" s="63" t="e">
        <f t="shared" si="0"/>
        <v>#REF!</v>
      </c>
      <c r="E11" s="63" t="e">
        <f t="shared" si="1"/>
        <v>#REF!</v>
      </c>
      <c r="F11" s="56"/>
    </row>
    <row r="12" spans="1:8" hidden="1" x14ac:dyDescent="0.25">
      <c r="A12" s="61" t="s">
        <v>140</v>
      </c>
      <c r="B12" s="62" t="s">
        <v>141</v>
      </c>
      <c r="C12" s="63" t="e">
        <f>+#REF!</f>
        <v>#REF!</v>
      </c>
      <c r="D12" s="63" t="e">
        <f t="shared" si="0"/>
        <v>#REF!</v>
      </c>
      <c r="E12" s="63" t="e">
        <f t="shared" si="1"/>
        <v>#REF!</v>
      </c>
      <c r="F12" s="56"/>
    </row>
    <row r="13" spans="1:8" hidden="1" x14ac:dyDescent="0.25">
      <c r="A13" s="61" t="s">
        <v>142</v>
      </c>
      <c r="B13" s="62" t="s">
        <v>143</v>
      </c>
      <c r="C13" s="63" t="e">
        <f>+#REF!</f>
        <v>#REF!</v>
      </c>
      <c r="D13" s="63" t="e">
        <f t="shared" si="0"/>
        <v>#REF!</v>
      </c>
      <c r="E13" s="63" t="e">
        <f t="shared" si="1"/>
        <v>#REF!</v>
      </c>
      <c r="F13" s="56"/>
    </row>
    <row r="14" spans="1:8" ht="30" x14ac:dyDescent="0.25">
      <c r="A14" s="61" t="s">
        <v>144</v>
      </c>
      <c r="B14" s="62" t="s">
        <v>145</v>
      </c>
      <c r="C14" s="63" t="e">
        <f>+#REF!</f>
        <v>#REF!</v>
      </c>
      <c r="D14" s="63" t="e">
        <f t="shared" si="0"/>
        <v>#REF!</v>
      </c>
      <c r="E14" s="63" t="e">
        <f t="shared" si="1"/>
        <v>#REF!</v>
      </c>
      <c r="F14" s="56"/>
    </row>
    <row r="15" spans="1:8" ht="28.5" x14ac:dyDescent="0.25">
      <c r="A15" s="57">
        <v>3</v>
      </c>
      <c r="B15" s="58" t="s">
        <v>146</v>
      </c>
      <c r="C15" s="59" t="e">
        <f>+#REF!</f>
        <v>#REF!</v>
      </c>
      <c r="D15" s="59" t="e">
        <f t="shared" si="0"/>
        <v>#REF!</v>
      </c>
      <c r="E15" s="59" t="e">
        <f t="shared" si="1"/>
        <v>#REF!</v>
      </c>
      <c r="F15" s="56"/>
      <c r="H15" s="56"/>
    </row>
    <row r="16" spans="1:8" x14ac:dyDescent="0.25">
      <c r="A16" s="61" t="s">
        <v>147</v>
      </c>
      <c r="B16" s="66" t="s">
        <v>148</v>
      </c>
      <c r="C16" s="63" t="e">
        <f>+#REF!</f>
        <v>#REF!</v>
      </c>
      <c r="D16" s="63" t="e">
        <f t="shared" si="0"/>
        <v>#REF!</v>
      </c>
      <c r="E16" s="63" t="e">
        <f t="shared" si="1"/>
        <v>#REF!</v>
      </c>
      <c r="F16" s="56"/>
      <c r="G16" s="56"/>
    </row>
    <row r="17" spans="1:6" x14ac:dyDescent="0.25">
      <c r="A17" s="61" t="s">
        <v>149</v>
      </c>
      <c r="B17" s="66" t="s">
        <v>150</v>
      </c>
      <c r="C17" s="63" t="e">
        <f>+#REF!</f>
        <v>#REF!</v>
      </c>
      <c r="D17" s="63" t="e">
        <f t="shared" si="0"/>
        <v>#REF!</v>
      </c>
      <c r="E17" s="63" t="e">
        <f t="shared" si="1"/>
        <v>#REF!</v>
      </c>
      <c r="F17" s="56"/>
    </row>
    <row r="18" spans="1:6" x14ac:dyDescent="0.25">
      <c r="A18" s="57">
        <v>4</v>
      </c>
      <c r="B18" s="67" t="s">
        <v>151</v>
      </c>
      <c r="C18" s="59" t="e">
        <f>+#REF!</f>
        <v>#REF!</v>
      </c>
      <c r="D18" s="59" t="e">
        <f t="shared" si="0"/>
        <v>#REF!</v>
      </c>
      <c r="E18" s="59" t="e">
        <f t="shared" si="1"/>
        <v>#REF!</v>
      </c>
      <c r="F18" s="56"/>
    </row>
  </sheetData>
  <mergeCells count="1">
    <mergeCell ref="A4:B4"/>
  </mergeCells>
  <pageMargins left="0.7" right="0.7" top="0.75" bottom="0.75" header="0.51180555555555496" footer="0.51180555555555496"/>
  <pageSetup paperSize="0" scale="0" firstPageNumber="0" orientation="portrait" usePrinterDefaults="0"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38"/>
  <sheetViews>
    <sheetView zoomScale="90" zoomScaleNormal="90" workbookViewId="0">
      <selection activeCell="E5" sqref="E5:E15"/>
    </sheetView>
  </sheetViews>
  <sheetFormatPr defaultColWidth="9.140625" defaultRowHeight="15" x14ac:dyDescent="0.25"/>
  <cols>
    <col min="1" max="1" width="75.7109375"/>
    <col min="2" max="2" width="32.42578125"/>
    <col min="3" max="3" width="18.28515625"/>
    <col min="4" max="4" width="21.140625"/>
    <col min="5" max="5" width="11"/>
    <col min="6" max="6" width="33.5703125"/>
    <col min="7" max="1025" width="10.28515625"/>
  </cols>
  <sheetData>
    <row r="1" spans="1:6" x14ac:dyDescent="0.25">
      <c r="A1" s="9" t="s">
        <v>152</v>
      </c>
      <c r="B1" s="9"/>
    </row>
    <row r="3" spans="1:6" x14ac:dyDescent="0.25">
      <c r="A3" s="68" t="s">
        <v>148</v>
      </c>
      <c r="B3" s="69" t="s">
        <v>153</v>
      </c>
      <c r="C3" s="70" t="s">
        <v>154</v>
      </c>
      <c r="D3" s="70" t="s">
        <v>155</v>
      </c>
      <c r="E3" s="70" t="s">
        <v>156</v>
      </c>
      <c r="F3" s="69" t="s">
        <v>157</v>
      </c>
    </row>
    <row r="4" spans="1:6" x14ac:dyDescent="0.25">
      <c r="A4" s="71" t="s">
        <v>158</v>
      </c>
      <c r="B4" s="72">
        <v>128232</v>
      </c>
      <c r="C4" s="72">
        <f t="shared" ref="C4:C16" si="0">+B4*12</f>
        <v>1538784</v>
      </c>
      <c r="D4" s="72">
        <f t="shared" ref="D4:D16" si="1">+C4/31</f>
        <v>49638.193548387098</v>
      </c>
      <c r="E4" s="72">
        <v>769.23076923076906</v>
      </c>
      <c r="F4" s="72">
        <f t="shared" ref="F4:F16" si="2">+D4*5+E4</f>
        <v>248960.19851116627</v>
      </c>
    </row>
    <row r="5" spans="1:6" x14ac:dyDescent="0.25">
      <c r="A5" s="71" t="s">
        <v>159</v>
      </c>
      <c r="B5" s="72">
        <v>101970.785664</v>
      </c>
      <c r="C5" s="72">
        <f t="shared" si="0"/>
        <v>1223649.4279680001</v>
      </c>
      <c r="D5" s="72">
        <f t="shared" si="1"/>
        <v>39472.562192516132</v>
      </c>
      <c r="E5" s="72">
        <v>769.23076923076906</v>
      </c>
      <c r="F5" s="72">
        <f t="shared" si="2"/>
        <v>198132.04173181145</v>
      </c>
    </row>
    <row r="6" spans="1:6" ht="17.25" customHeight="1" x14ac:dyDescent="0.25">
      <c r="A6" s="71" t="s">
        <v>160</v>
      </c>
      <c r="B6" s="72">
        <v>101970.785664</v>
      </c>
      <c r="C6" s="72">
        <f t="shared" si="0"/>
        <v>1223649.4279680001</v>
      </c>
      <c r="D6" s="72">
        <f t="shared" si="1"/>
        <v>39472.562192516132</v>
      </c>
      <c r="E6" s="72">
        <v>769.23076923076906</v>
      </c>
      <c r="F6" s="72">
        <f t="shared" si="2"/>
        <v>198132.04173181145</v>
      </c>
    </row>
    <row r="7" spans="1:6" x14ac:dyDescent="0.25">
      <c r="A7" s="71" t="s">
        <v>161</v>
      </c>
      <c r="B7" s="72">
        <v>101970.785664</v>
      </c>
      <c r="C7" s="72">
        <f t="shared" si="0"/>
        <v>1223649.4279680001</v>
      </c>
      <c r="D7" s="72">
        <f t="shared" si="1"/>
        <v>39472.562192516132</v>
      </c>
      <c r="E7" s="72">
        <v>769.23076923076906</v>
      </c>
      <c r="F7" s="72">
        <f t="shared" si="2"/>
        <v>198132.04173181145</v>
      </c>
    </row>
    <row r="8" spans="1:6" x14ac:dyDescent="0.25">
      <c r="A8" s="71" t="s">
        <v>162</v>
      </c>
      <c r="B8" s="73">
        <v>93799.338879999996</v>
      </c>
      <c r="C8" s="72">
        <f t="shared" si="0"/>
        <v>1125592.0665599999</v>
      </c>
      <c r="D8" s="72">
        <f t="shared" si="1"/>
        <v>36309.421501935482</v>
      </c>
      <c r="E8" s="72">
        <v>769.23076923076906</v>
      </c>
      <c r="F8" s="72">
        <f t="shared" si="2"/>
        <v>182316.3382789082</v>
      </c>
    </row>
    <row r="9" spans="1:6" x14ac:dyDescent="0.25">
      <c r="A9" s="71" t="s">
        <v>163</v>
      </c>
      <c r="B9" s="73">
        <v>58589</v>
      </c>
      <c r="C9" s="72">
        <f t="shared" si="0"/>
        <v>703068</v>
      </c>
      <c r="D9" s="72">
        <f t="shared" si="1"/>
        <v>22679.612903225807</v>
      </c>
      <c r="E9" s="72">
        <v>769.23076923076906</v>
      </c>
      <c r="F9" s="72">
        <f t="shared" si="2"/>
        <v>114167.2952853598</v>
      </c>
    </row>
    <row r="10" spans="1:6" x14ac:dyDescent="0.25">
      <c r="A10" s="71" t="s">
        <v>164</v>
      </c>
      <c r="B10" s="73">
        <v>58589</v>
      </c>
      <c r="C10" s="72">
        <f t="shared" si="0"/>
        <v>703068</v>
      </c>
      <c r="D10" s="72">
        <f t="shared" si="1"/>
        <v>22679.612903225807</v>
      </c>
      <c r="E10" s="72">
        <v>769.23076923076906</v>
      </c>
      <c r="F10" s="72">
        <f t="shared" si="2"/>
        <v>114167.2952853598</v>
      </c>
    </row>
    <row r="11" spans="1:6" x14ac:dyDescent="0.25">
      <c r="A11" s="71" t="s">
        <v>165</v>
      </c>
      <c r="B11" s="73">
        <v>93799.338879999996</v>
      </c>
      <c r="C11" s="72">
        <f t="shared" si="0"/>
        <v>1125592.0665599999</v>
      </c>
      <c r="D11" s="72">
        <f t="shared" si="1"/>
        <v>36309.421501935482</v>
      </c>
      <c r="E11" s="72">
        <v>769.23076923076906</v>
      </c>
      <c r="F11" s="72">
        <f t="shared" si="2"/>
        <v>182316.3382789082</v>
      </c>
    </row>
    <row r="12" spans="1:6" x14ac:dyDescent="0.25">
      <c r="A12" s="71" t="s">
        <v>166</v>
      </c>
      <c r="B12" s="73">
        <v>93799.338879999996</v>
      </c>
      <c r="C12" s="72">
        <f t="shared" si="0"/>
        <v>1125592.0665599999</v>
      </c>
      <c r="D12" s="72">
        <f t="shared" si="1"/>
        <v>36309.421501935482</v>
      </c>
      <c r="E12" s="72">
        <v>769.23076923076906</v>
      </c>
      <c r="F12" s="72">
        <f t="shared" si="2"/>
        <v>182316.3382789082</v>
      </c>
    </row>
    <row r="13" spans="1:6" x14ac:dyDescent="0.25">
      <c r="A13" s="71" t="s">
        <v>167</v>
      </c>
      <c r="B13" s="73">
        <v>58589</v>
      </c>
      <c r="C13" s="72">
        <f t="shared" si="0"/>
        <v>703068</v>
      </c>
      <c r="D13" s="72">
        <f t="shared" si="1"/>
        <v>22679.612903225807</v>
      </c>
      <c r="E13" s="72">
        <v>769.23076923076906</v>
      </c>
      <c r="F13" s="72">
        <f t="shared" si="2"/>
        <v>114167.2952853598</v>
      </c>
    </row>
    <row r="14" spans="1:6" x14ac:dyDescent="0.25">
      <c r="A14" s="71" t="s">
        <v>168</v>
      </c>
      <c r="B14" s="73">
        <v>93799.338879999996</v>
      </c>
      <c r="C14" s="72">
        <f t="shared" si="0"/>
        <v>1125592.0665599999</v>
      </c>
      <c r="D14" s="72">
        <f t="shared" si="1"/>
        <v>36309.421501935482</v>
      </c>
      <c r="E14" s="72">
        <v>769.23076923076906</v>
      </c>
      <c r="F14" s="72">
        <f t="shared" si="2"/>
        <v>182316.3382789082</v>
      </c>
    </row>
    <row r="15" spans="1:6" x14ac:dyDescent="0.25">
      <c r="A15" s="71" t="s">
        <v>169</v>
      </c>
      <c r="B15" s="73">
        <v>58589</v>
      </c>
      <c r="C15" s="72">
        <f t="shared" si="0"/>
        <v>703068</v>
      </c>
      <c r="D15" s="74">
        <f t="shared" si="1"/>
        <v>22679.612903225807</v>
      </c>
      <c r="E15" s="72">
        <v>769.23076923076906</v>
      </c>
      <c r="F15" s="72">
        <f t="shared" si="2"/>
        <v>114167.2952853598</v>
      </c>
    </row>
    <row r="16" spans="1:6" x14ac:dyDescent="0.25">
      <c r="A16" s="71" t="s">
        <v>170</v>
      </c>
      <c r="B16" s="73">
        <v>58589</v>
      </c>
      <c r="C16" s="72">
        <f t="shared" si="0"/>
        <v>703068</v>
      </c>
      <c r="D16" s="72">
        <f t="shared" si="1"/>
        <v>22679.612903225807</v>
      </c>
      <c r="E16" s="72">
        <v>769.23076923076906</v>
      </c>
      <c r="F16" s="72">
        <f t="shared" si="2"/>
        <v>114167.2952853598</v>
      </c>
    </row>
    <row r="17" spans="1:8" x14ac:dyDescent="0.25">
      <c r="C17" s="56"/>
      <c r="D17" s="75" t="s">
        <v>171</v>
      </c>
      <c r="E17" s="76"/>
      <c r="F17" s="77">
        <f>SUM(F4:F16)</f>
        <v>2143458.1532490323</v>
      </c>
      <c r="G17" s="56"/>
    </row>
    <row r="19" spans="1:8" x14ac:dyDescent="0.25">
      <c r="A19" s="69" t="s">
        <v>172</v>
      </c>
      <c r="B19" s="69" t="s">
        <v>153</v>
      </c>
      <c r="C19" s="70" t="s">
        <v>154</v>
      </c>
      <c r="D19" s="70" t="s">
        <v>155</v>
      </c>
      <c r="E19" s="70" t="s">
        <v>156</v>
      </c>
      <c r="F19" s="69" t="s">
        <v>157</v>
      </c>
    </row>
    <row r="20" spans="1:8" x14ac:dyDescent="0.25">
      <c r="A20" s="78" t="s">
        <v>173</v>
      </c>
      <c r="B20" s="79">
        <f>+B14</f>
        <v>93799.338879999996</v>
      </c>
      <c r="C20" s="72">
        <f t="shared" ref="C20:C25" si="3">+B20*12</f>
        <v>1125592.0665599999</v>
      </c>
      <c r="D20" s="72">
        <f t="shared" ref="D20:D25" si="4">+C20/31</f>
        <v>36309.421501935482</v>
      </c>
      <c r="E20" s="72">
        <f t="shared" ref="E20:E25" si="5">40000/6</f>
        <v>6666.666666666667</v>
      </c>
      <c r="F20" s="72">
        <f t="shared" ref="F20:F25" si="6">+D20*5+E20</f>
        <v>188213.77417634407</v>
      </c>
      <c r="G20" t="s">
        <v>174</v>
      </c>
    </row>
    <row r="21" spans="1:8" x14ac:dyDescent="0.25">
      <c r="A21" s="78" t="s">
        <v>175</v>
      </c>
      <c r="B21" s="79">
        <f>+B20</f>
        <v>93799.338879999996</v>
      </c>
      <c r="C21" s="72">
        <f t="shared" si="3"/>
        <v>1125592.0665599999</v>
      </c>
      <c r="D21" s="72">
        <f t="shared" si="4"/>
        <v>36309.421501935482</v>
      </c>
      <c r="E21" s="72">
        <f t="shared" si="5"/>
        <v>6666.666666666667</v>
      </c>
      <c r="F21" s="72">
        <f t="shared" si="6"/>
        <v>188213.77417634407</v>
      </c>
      <c r="G21" t="s">
        <v>176</v>
      </c>
    </row>
    <row r="22" spans="1:8" x14ac:dyDescent="0.25">
      <c r="A22" s="78" t="s">
        <v>177</v>
      </c>
      <c r="B22" s="79">
        <f>+B21</f>
        <v>93799.338879999996</v>
      </c>
      <c r="C22" s="72">
        <f t="shared" si="3"/>
        <v>1125592.0665599999</v>
      </c>
      <c r="D22" s="72">
        <f t="shared" si="4"/>
        <v>36309.421501935482</v>
      </c>
      <c r="E22" s="72">
        <f t="shared" si="5"/>
        <v>6666.666666666667</v>
      </c>
      <c r="F22" s="72">
        <f t="shared" si="6"/>
        <v>188213.77417634407</v>
      </c>
      <c r="G22" t="s">
        <v>178</v>
      </c>
    </row>
    <row r="23" spans="1:8" x14ac:dyDescent="0.25">
      <c r="A23" s="78" t="s">
        <v>179</v>
      </c>
      <c r="B23" s="79">
        <f>+B22</f>
        <v>93799.338879999996</v>
      </c>
      <c r="C23" s="72">
        <f t="shared" si="3"/>
        <v>1125592.0665599999</v>
      </c>
      <c r="D23" s="72">
        <f t="shared" si="4"/>
        <v>36309.421501935482</v>
      </c>
      <c r="E23" s="72">
        <f t="shared" si="5"/>
        <v>6666.666666666667</v>
      </c>
      <c r="F23" s="72">
        <f t="shared" si="6"/>
        <v>188213.77417634407</v>
      </c>
      <c r="G23" t="s">
        <v>180</v>
      </c>
    </row>
    <row r="24" spans="1:8" x14ac:dyDescent="0.25">
      <c r="A24" s="78" t="s">
        <v>181</v>
      </c>
      <c r="B24" s="79">
        <f>+B23</f>
        <v>93799.338879999996</v>
      </c>
      <c r="C24" s="72">
        <f t="shared" si="3"/>
        <v>1125592.0665599999</v>
      </c>
      <c r="D24" s="72">
        <f t="shared" si="4"/>
        <v>36309.421501935482</v>
      </c>
      <c r="E24" s="72">
        <f t="shared" si="5"/>
        <v>6666.666666666667</v>
      </c>
      <c r="F24" s="72">
        <f t="shared" si="6"/>
        <v>188213.77417634407</v>
      </c>
      <c r="G24" t="s">
        <v>174</v>
      </c>
    </row>
    <row r="25" spans="1:8" x14ac:dyDescent="0.25">
      <c r="A25" s="78" t="s">
        <v>182</v>
      </c>
      <c r="B25" s="79">
        <f>+B22</f>
        <v>93799.338879999996</v>
      </c>
      <c r="C25" s="72">
        <f t="shared" si="3"/>
        <v>1125592.0665599999</v>
      </c>
      <c r="D25" s="72">
        <f t="shared" si="4"/>
        <v>36309.421501935482</v>
      </c>
      <c r="E25" s="72">
        <f t="shared" si="5"/>
        <v>6666.666666666667</v>
      </c>
      <c r="F25" s="72">
        <f t="shared" si="6"/>
        <v>188213.77417634407</v>
      </c>
      <c r="G25" t="s">
        <v>176</v>
      </c>
      <c r="H25" s="56"/>
    </row>
    <row r="26" spans="1:8" ht="12.6" customHeight="1" x14ac:dyDescent="0.25">
      <c r="D26" s="75" t="s">
        <v>171</v>
      </c>
      <c r="E26" s="76"/>
      <c r="F26" s="77">
        <f>+F25+F22+F21+F20+F23+F24</f>
        <v>1129282.6450580645</v>
      </c>
      <c r="G26" s="56"/>
    </row>
    <row r="28" spans="1:8" x14ac:dyDescent="0.25">
      <c r="A28" s="69" t="s">
        <v>183</v>
      </c>
      <c r="B28" s="69" t="s">
        <v>153</v>
      </c>
      <c r="C28" s="70" t="s">
        <v>154</v>
      </c>
      <c r="D28" s="70" t="s">
        <v>155</v>
      </c>
      <c r="E28" s="70" t="s">
        <v>156</v>
      </c>
      <c r="F28" s="69" t="s">
        <v>157</v>
      </c>
    </row>
    <row r="29" spans="1:8" x14ac:dyDescent="0.25">
      <c r="A29" s="78" t="s">
        <v>184</v>
      </c>
      <c r="B29" s="79">
        <v>93799.338879999996</v>
      </c>
      <c r="C29" s="72">
        <v>1125592.0665599999</v>
      </c>
      <c r="D29" s="72">
        <v>36309.421501935503</v>
      </c>
      <c r="E29" s="72">
        <f t="shared" ref="E29:E35" si="7">100000/7</f>
        <v>14285.714285714286</v>
      </c>
      <c r="F29" s="72">
        <f t="shared" ref="F29:F35" si="8">+D29*5+E29</f>
        <v>195832.82179539182</v>
      </c>
      <c r="G29" t="s">
        <v>185</v>
      </c>
    </row>
    <row r="30" spans="1:8" x14ac:dyDescent="0.25">
      <c r="A30" s="78" t="s">
        <v>184</v>
      </c>
      <c r="B30" s="79">
        <v>93799.338879999996</v>
      </c>
      <c r="C30" s="72">
        <v>1125592.0665599999</v>
      </c>
      <c r="D30" s="72">
        <v>36309.421501935503</v>
      </c>
      <c r="E30" s="72">
        <f t="shared" si="7"/>
        <v>14285.714285714286</v>
      </c>
      <c r="F30" s="72">
        <f t="shared" si="8"/>
        <v>195832.82179539182</v>
      </c>
      <c r="G30" t="s">
        <v>185</v>
      </c>
    </row>
    <row r="31" spans="1:8" x14ac:dyDescent="0.25">
      <c r="A31" s="78" t="s">
        <v>184</v>
      </c>
      <c r="B31" s="79">
        <v>93799.338879999996</v>
      </c>
      <c r="C31" s="72">
        <v>1125592.0665599999</v>
      </c>
      <c r="D31" s="72">
        <v>36309.421501935503</v>
      </c>
      <c r="E31" s="72">
        <f t="shared" si="7"/>
        <v>14285.714285714286</v>
      </c>
      <c r="F31" s="72">
        <f t="shared" si="8"/>
        <v>195832.82179539182</v>
      </c>
      <c r="G31" t="s">
        <v>185</v>
      </c>
    </row>
    <row r="32" spans="1:8" x14ac:dyDescent="0.25">
      <c r="A32" s="78" t="s">
        <v>184</v>
      </c>
      <c r="B32" s="79">
        <v>93799.338879999996</v>
      </c>
      <c r="C32" s="72">
        <v>1125592.0665599999</v>
      </c>
      <c r="D32" s="72">
        <v>36309.421501935503</v>
      </c>
      <c r="E32" s="72">
        <f t="shared" si="7"/>
        <v>14285.714285714286</v>
      </c>
      <c r="F32" s="72">
        <f t="shared" si="8"/>
        <v>195832.82179539182</v>
      </c>
      <c r="G32" t="s">
        <v>185</v>
      </c>
    </row>
    <row r="33" spans="1:8" x14ac:dyDescent="0.25">
      <c r="A33" s="78" t="s">
        <v>184</v>
      </c>
      <c r="B33" s="79">
        <v>93799.338879999996</v>
      </c>
      <c r="C33" s="72">
        <v>1125592.0665599999</v>
      </c>
      <c r="D33" s="72">
        <v>36309.421501935503</v>
      </c>
      <c r="E33" s="72">
        <f t="shared" si="7"/>
        <v>14285.714285714286</v>
      </c>
      <c r="F33" s="72">
        <f t="shared" si="8"/>
        <v>195832.82179539182</v>
      </c>
      <c r="G33" t="s">
        <v>185</v>
      </c>
    </row>
    <row r="34" spans="1:8" x14ac:dyDescent="0.25">
      <c r="A34" s="78" t="s">
        <v>184</v>
      </c>
      <c r="B34" s="79">
        <v>93799.338879999996</v>
      </c>
      <c r="C34" s="72">
        <v>1125592.0665599999</v>
      </c>
      <c r="D34" s="72">
        <v>36309.421501935503</v>
      </c>
      <c r="E34" s="72">
        <f t="shared" si="7"/>
        <v>14285.714285714286</v>
      </c>
      <c r="F34" s="72">
        <f t="shared" si="8"/>
        <v>195832.82179539182</v>
      </c>
      <c r="G34" t="s">
        <v>185</v>
      </c>
    </row>
    <row r="35" spans="1:8" x14ac:dyDescent="0.25">
      <c r="A35" s="78" t="s">
        <v>184</v>
      </c>
      <c r="B35" s="79">
        <v>93799.338879999996</v>
      </c>
      <c r="C35" s="72">
        <v>1125592.0665599999</v>
      </c>
      <c r="D35" s="72">
        <v>36309.421501935503</v>
      </c>
      <c r="E35" s="72">
        <f t="shared" si="7"/>
        <v>14285.714285714286</v>
      </c>
      <c r="F35" s="72">
        <f t="shared" si="8"/>
        <v>195832.82179539182</v>
      </c>
      <c r="G35" t="s">
        <v>185</v>
      </c>
    </row>
    <row r="36" spans="1:8" x14ac:dyDescent="0.25">
      <c r="D36" s="80" t="s">
        <v>171</v>
      </c>
      <c r="E36" s="81"/>
      <c r="F36" s="82">
        <f>SUM(F29:F35)</f>
        <v>1370829.7525677427</v>
      </c>
      <c r="G36" s="56"/>
      <c r="H36" s="56"/>
    </row>
    <row r="38" spans="1:8" x14ac:dyDescent="0.25">
      <c r="D38" s="75" t="s">
        <v>186</v>
      </c>
      <c r="E38" s="76"/>
      <c r="F38" s="77">
        <f>+F36+F26+F17</f>
        <v>4643570.5508748395</v>
      </c>
      <c r="H38" s="56"/>
    </row>
  </sheetData>
  <pageMargins left="0.7" right="0.7" top="0.75" bottom="0.75" header="0.51180555555555496" footer="0.51180555555555496"/>
  <pageSetup paperSize="0" scale="0" firstPageNumber="0" orientation="portrait" usePrinterDefaults="0" horizontalDpi="0" verticalDpi="0"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E34"/>
  <sheetViews>
    <sheetView tabSelected="1" topLeftCell="B1" zoomScaleNormal="100" workbookViewId="0">
      <pane ySplit="7" topLeftCell="A11" activePane="bottomLeft" state="frozen"/>
      <selection pane="bottomLeft" activeCell="C36" sqref="C36"/>
    </sheetView>
  </sheetViews>
  <sheetFormatPr defaultColWidth="11.5703125" defaultRowHeight="15" x14ac:dyDescent="0.25"/>
  <cols>
    <col min="1" max="1" width="8.85546875" style="108" customWidth="1"/>
    <col min="2" max="2" width="15.85546875" style="108" customWidth="1"/>
    <col min="3" max="3" width="57.7109375" style="108" customWidth="1"/>
    <col min="4" max="4" width="43.85546875" style="108" customWidth="1"/>
    <col min="5" max="9" width="11.5703125" style="108" customWidth="1"/>
    <col min="10" max="10" width="17.28515625" style="108" customWidth="1"/>
    <col min="11" max="12" width="11.5703125" style="108" customWidth="1"/>
    <col min="13" max="13" width="9.140625" style="108" customWidth="1"/>
    <col min="14" max="14" width="12.140625" style="147" bestFit="1" customWidth="1"/>
    <col min="15" max="15" width="10.140625" style="108" bestFit="1" customWidth="1"/>
    <col min="16" max="16" width="10.140625" style="108" customWidth="1"/>
    <col min="17" max="18" width="12.140625" style="108" customWidth="1"/>
    <col min="19" max="19" width="9.28515625" style="108" bestFit="1" customWidth="1"/>
    <col min="20" max="20" width="9.28515625" style="108" customWidth="1"/>
    <col min="21" max="21" width="9.28515625" style="108" bestFit="1" customWidth="1"/>
    <col min="22" max="22" width="9.28515625" style="108" customWidth="1"/>
    <col min="23" max="23" width="12.140625" style="108" customWidth="1"/>
    <col min="24" max="16384" width="11.5703125" style="108"/>
  </cols>
  <sheetData>
    <row r="1" spans="1:25" ht="15.75" thickBot="1" x14ac:dyDescent="0.3">
      <c r="A1" s="305" t="s">
        <v>231</v>
      </c>
      <c r="B1" s="305"/>
      <c r="C1" s="305"/>
      <c r="D1" s="305"/>
      <c r="E1" s="305"/>
      <c r="F1" s="305"/>
      <c r="G1" s="305"/>
      <c r="H1" s="305"/>
      <c r="I1" s="305"/>
      <c r="J1" s="305"/>
      <c r="K1" s="305"/>
      <c r="L1" s="305"/>
      <c r="M1" s="305"/>
      <c r="N1" s="305"/>
      <c r="O1" s="305"/>
      <c r="P1" s="305"/>
      <c r="Q1" s="305"/>
      <c r="R1" s="305"/>
      <c r="S1" s="305"/>
      <c r="T1" s="305"/>
      <c r="U1" s="305"/>
      <c r="V1" s="305"/>
      <c r="W1" s="305"/>
    </row>
    <row r="2" spans="1:25" x14ac:dyDescent="0.25">
      <c r="A2" s="306"/>
      <c r="B2" s="306"/>
      <c r="C2" s="306"/>
      <c r="D2" s="306"/>
      <c r="E2" s="306"/>
      <c r="F2" s="306"/>
      <c r="G2" s="306"/>
      <c r="H2" s="306"/>
      <c r="I2" s="306"/>
      <c r="J2" s="306"/>
      <c r="K2" s="306"/>
      <c r="L2" s="306"/>
      <c r="M2" s="306"/>
      <c r="N2" s="306"/>
      <c r="O2" s="306"/>
      <c r="P2" s="306"/>
      <c r="Q2" s="306"/>
      <c r="R2" s="306"/>
      <c r="S2" s="306"/>
      <c r="T2" s="306"/>
      <c r="U2" s="306"/>
      <c r="V2" s="306"/>
      <c r="W2" s="306"/>
    </row>
    <row r="3" spans="1:25" ht="24" customHeight="1" x14ac:dyDescent="0.25">
      <c r="A3" s="302" t="s">
        <v>187</v>
      </c>
      <c r="B3" s="303"/>
      <c r="C3" s="302" t="s">
        <v>188</v>
      </c>
      <c r="D3" s="127"/>
      <c r="E3" s="303" t="s">
        <v>189</v>
      </c>
      <c r="F3" s="302" t="s">
        <v>190</v>
      </c>
      <c r="G3" s="302" t="s">
        <v>191</v>
      </c>
      <c r="H3" s="302" t="s">
        <v>192</v>
      </c>
      <c r="I3" s="302"/>
      <c r="J3" s="302" t="s">
        <v>193</v>
      </c>
      <c r="K3" s="307" t="s">
        <v>194</v>
      </c>
      <c r="L3" s="302" t="s">
        <v>195</v>
      </c>
      <c r="M3" s="302"/>
      <c r="N3" s="308" t="s">
        <v>227</v>
      </c>
      <c r="O3" s="302">
        <v>2019</v>
      </c>
      <c r="P3" s="302"/>
      <c r="Q3" s="302">
        <v>2020</v>
      </c>
      <c r="R3" s="302"/>
      <c r="S3" s="302">
        <v>2021</v>
      </c>
      <c r="T3" s="302"/>
      <c r="U3" s="302">
        <v>2022</v>
      </c>
      <c r="V3" s="302"/>
      <c r="W3" s="302" t="s">
        <v>196</v>
      </c>
    </row>
    <row r="4" spans="1:25" ht="24.75" customHeight="1" x14ac:dyDescent="0.25">
      <c r="A4" s="302"/>
      <c r="B4" s="304"/>
      <c r="C4" s="302"/>
      <c r="D4" s="128"/>
      <c r="E4" s="304"/>
      <c r="F4" s="302"/>
      <c r="G4" s="302" t="s">
        <v>197</v>
      </c>
      <c r="H4" s="126" t="s">
        <v>222</v>
      </c>
      <c r="I4" s="126" t="s">
        <v>198</v>
      </c>
      <c r="J4" s="302"/>
      <c r="K4" s="307"/>
      <c r="L4" s="126" t="s">
        <v>199</v>
      </c>
      <c r="M4" s="126" t="s">
        <v>200</v>
      </c>
      <c r="N4" s="309"/>
      <c r="O4" s="257" t="s">
        <v>199</v>
      </c>
      <c r="P4" s="257" t="s">
        <v>200</v>
      </c>
      <c r="Q4" s="257" t="s">
        <v>199</v>
      </c>
      <c r="R4" s="257" t="s">
        <v>200</v>
      </c>
      <c r="S4" s="257" t="s">
        <v>199</v>
      </c>
      <c r="T4" s="257" t="s">
        <v>200</v>
      </c>
      <c r="U4" s="257" t="s">
        <v>199</v>
      </c>
      <c r="V4" s="257" t="s">
        <v>200</v>
      </c>
      <c r="W4" s="302" t="s">
        <v>201</v>
      </c>
    </row>
    <row r="5" spans="1:25" x14ac:dyDescent="0.25">
      <c r="A5" s="116">
        <v>1</v>
      </c>
      <c r="B5" s="116" t="s">
        <v>5</v>
      </c>
      <c r="C5" s="117" t="s">
        <v>229</v>
      </c>
      <c r="D5" s="117"/>
      <c r="E5" s="117"/>
      <c r="F5" s="117">
        <v>60</v>
      </c>
      <c r="G5" s="117">
        <v>1800</v>
      </c>
      <c r="H5" s="154">
        <v>43646</v>
      </c>
      <c r="I5" s="154">
        <v>45107</v>
      </c>
      <c r="J5" s="118">
        <f>J6</f>
        <v>80612850</v>
      </c>
      <c r="K5" s="119">
        <f>K6</f>
        <v>0.83538666602160827</v>
      </c>
      <c r="L5" s="118">
        <f>L6</f>
        <v>67342900</v>
      </c>
      <c r="M5" s="118">
        <f>M6</f>
        <v>13269950</v>
      </c>
      <c r="N5" s="130">
        <f>N6</f>
        <v>187.98000000000005</v>
      </c>
      <c r="O5" s="118">
        <f t="shared" ref="O5:V5" si="0">O6</f>
        <v>5698245.1275733337</v>
      </c>
      <c r="P5" s="118">
        <f t="shared" si="0"/>
        <v>1122841.8724266659</v>
      </c>
      <c r="Q5" s="118">
        <f t="shared" si="0"/>
        <v>47154787.763598718</v>
      </c>
      <c r="R5" s="118">
        <f t="shared" si="0"/>
        <v>9291873.0242322013</v>
      </c>
      <c r="S5" s="118">
        <f t="shared" si="0"/>
        <v>11194645.62271513</v>
      </c>
      <c r="T5" s="118">
        <f t="shared" si="0"/>
        <v>2205910.1654539471</v>
      </c>
      <c r="U5" s="118">
        <f t="shared" si="0"/>
        <v>3295221.4861128167</v>
      </c>
      <c r="V5" s="118">
        <f t="shared" si="0"/>
        <v>649324.93788718292</v>
      </c>
      <c r="W5" s="118">
        <f>SUM(O5:V5)</f>
        <v>80612849.999999985</v>
      </c>
    </row>
    <row r="6" spans="1:25" ht="39.75" customHeight="1" x14ac:dyDescent="0.25">
      <c r="A6" s="110" t="s">
        <v>131</v>
      </c>
      <c r="B6" s="110"/>
      <c r="C6" s="111" t="s">
        <v>232</v>
      </c>
      <c r="D6" s="111"/>
      <c r="E6" s="112"/>
      <c r="F6" s="113">
        <v>60</v>
      </c>
      <c r="G6" s="112">
        <v>1800</v>
      </c>
      <c r="H6" s="153">
        <v>43646</v>
      </c>
      <c r="I6" s="153">
        <v>45107</v>
      </c>
      <c r="J6" s="114">
        <v>80612850</v>
      </c>
      <c r="K6" s="165">
        <f>+L6/J6</f>
        <v>0.83538666602160827</v>
      </c>
      <c r="L6" s="114">
        <v>67342900</v>
      </c>
      <c r="M6" s="114">
        <v>13269950</v>
      </c>
      <c r="N6" s="131">
        <f>SUM(N8:N16)</f>
        <v>187.98000000000005</v>
      </c>
      <c r="O6" s="114">
        <f>SUM(O8:O18)</f>
        <v>5698245.1275733337</v>
      </c>
      <c r="P6" s="114">
        <f>SUM(P8:P18)</f>
        <v>1122841.8724266659</v>
      </c>
      <c r="Q6" s="114">
        <f>SUM(Q8:Q20)</f>
        <v>47154787.763598718</v>
      </c>
      <c r="R6" s="114">
        <f>SUM(R8:R20)</f>
        <v>9291873.0242322013</v>
      </c>
      <c r="S6" s="114">
        <f t="shared" ref="S6:W6" si="1">SUM(S8:S20)</f>
        <v>11194645.62271513</v>
      </c>
      <c r="T6" s="114">
        <f t="shared" ref="T6" si="2">SUM(T8:T20)</f>
        <v>2205910.1654539471</v>
      </c>
      <c r="U6" s="114">
        <f t="shared" si="1"/>
        <v>3295221.4861128167</v>
      </c>
      <c r="V6" s="114">
        <f t="shared" ref="V6" si="3">SUM(V8:V20)</f>
        <v>649324.93788718292</v>
      </c>
      <c r="W6" s="114">
        <f t="shared" si="1"/>
        <v>80612850</v>
      </c>
    </row>
    <row r="7" spans="1:25" ht="16.5" customHeight="1" x14ac:dyDescent="0.25">
      <c r="A7" s="143"/>
      <c r="B7" s="144"/>
      <c r="C7" s="132" t="s">
        <v>252</v>
      </c>
      <c r="D7" s="133"/>
      <c r="E7" s="134"/>
      <c r="F7" s="135"/>
      <c r="G7" s="136"/>
      <c r="H7" s="137"/>
      <c r="I7" s="137"/>
      <c r="J7" s="138" t="s">
        <v>70</v>
      </c>
      <c r="K7" s="139"/>
      <c r="L7" s="139"/>
      <c r="M7" s="140"/>
      <c r="N7" s="141"/>
      <c r="O7" s="141"/>
      <c r="P7" s="266"/>
      <c r="Q7" s="141"/>
      <c r="R7" s="266"/>
      <c r="S7" s="141"/>
      <c r="T7" s="266"/>
      <c r="U7" s="141"/>
      <c r="V7" s="266"/>
      <c r="W7" s="142"/>
      <c r="X7" s="109"/>
      <c r="Y7" s="109"/>
    </row>
    <row r="8" spans="1:25" ht="16.5" customHeight="1" x14ac:dyDescent="0.25">
      <c r="A8" s="129"/>
      <c r="B8" s="148"/>
      <c r="C8" s="162" t="s">
        <v>237</v>
      </c>
      <c r="D8" s="149"/>
      <c r="E8" s="170" t="s">
        <v>248</v>
      </c>
      <c r="F8" s="103">
        <f>+G8/30</f>
        <v>15.333333333333334</v>
      </c>
      <c r="G8" s="103">
        <v>460</v>
      </c>
      <c r="H8" s="171">
        <v>43770</v>
      </c>
      <c r="I8" s="171">
        <f>+G8+H8</f>
        <v>44230</v>
      </c>
      <c r="J8" s="164">
        <v>3120000</v>
      </c>
      <c r="K8" s="124">
        <f>+L8/J8</f>
        <v>0.83538666602160827</v>
      </c>
      <c r="L8" s="106">
        <f>+J8*$K$6</f>
        <v>2606406.3979874179</v>
      </c>
      <c r="M8" s="106">
        <f>+J8-L8</f>
        <v>513593.60201258212</v>
      </c>
      <c r="N8" s="168">
        <v>14.100000000000023</v>
      </c>
      <c r="O8" s="106">
        <f>+$L8*$Y$8</f>
        <v>251281.299104704</v>
      </c>
      <c r="P8" s="267">
        <f>+$M8*$Y$8</f>
        <v>49515.09773197271</v>
      </c>
      <c r="Q8" s="106">
        <f>+$L8*$Y$9</f>
        <v>2023434.2646401958</v>
      </c>
      <c r="R8" s="267">
        <f>+$M8*$Y$9</f>
        <v>398718.66997207055</v>
      </c>
      <c r="S8" s="106">
        <f>+$L8*$Y$10</f>
        <v>331690.83424251818</v>
      </c>
      <c r="T8" s="267">
        <f>+$M8*$Y$10</f>
        <v>65359.834308538862</v>
      </c>
      <c r="U8" s="106">
        <f>L8-O8-Q8-S8</f>
        <v>0</v>
      </c>
      <c r="V8" s="106">
        <f>M8-P8-R8-T8</f>
        <v>0</v>
      </c>
      <c r="W8" s="106">
        <f t="shared" ref="W8:W18" si="4">SUM(O8:V8)</f>
        <v>3120000</v>
      </c>
      <c r="X8" s="109"/>
      <c r="Y8" s="169">
        <v>9.6409101550216897E-2</v>
      </c>
    </row>
    <row r="9" spans="1:25" ht="16.5" customHeight="1" x14ac:dyDescent="0.25">
      <c r="A9" s="125"/>
      <c r="B9" s="121"/>
      <c r="C9" s="162" t="s">
        <v>238</v>
      </c>
      <c r="D9" s="122"/>
      <c r="E9" s="170" t="s">
        <v>248</v>
      </c>
      <c r="F9" s="103">
        <f t="shared" ref="F9:F17" si="5">+G9/30</f>
        <v>15.333333333333334</v>
      </c>
      <c r="G9" s="103">
        <v>460</v>
      </c>
      <c r="H9" s="171">
        <v>43770</v>
      </c>
      <c r="I9" s="171">
        <f t="shared" ref="I9:I17" si="6">+G9+H9</f>
        <v>44230</v>
      </c>
      <c r="J9" s="164">
        <v>5700000</v>
      </c>
      <c r="K9" s="124">
        <f t="shared" ref="K9:K17" si="7">+L9/J9</f>
        <v>0.83538666602160827</v>
      </c>
      <c r="L9" s="106">
        <f t="shared" ref="L9:L18" si="8">+J9*$K$6</f>
        <v>4761703.9963231673</v>
      </c>
      <c r="M9" s="106">
        <f t="shared" ref="M9:M20" si="9">+J9-L9</f>
        <v>938296.00367683265</v>
      </c>
      <c r="N9" s="168">
        <v>22.100000000000023</v>
      </c>
      <c r="O9" s="106">
        <f t="shared" ref="O9:O18" si="10">+$L9*$Y$8</f>
        <v>459071.60413359385</v>
      </c>
      <c r="P9" s="267">
        <f t="shared" ref="P9:P18" si="11">+$M9*$Y$8</f>
        <v>90460.274702642448</v>
      </c>
      <c r="Q9" s="106">
        <f t="shared" ref="Q9:Q11" si="12">+$L9*$Y$9</f>
        <v>3696658.75270805</v>
      </c>
      <c r="R9" s="267">
        <f t="shared" ref="R9:R11" si="13">+$M9*$Y$9</f>
        <v>728428.33937205188</v>
      </c>
      <c r="S9" s="106">
        <f>+$L9*$Y$10</f>
        <v>605973.63948152366</v>
      </c>
      <c r="T9" s="267">
        <f>+$M9*$Y$10</f>
        <v>119407.3896021383</v>
      </c>
      <c r="U9" s="106">
        <f t="shared" ref="U9:U18" si="14">L9-O9-Q9-S9</f>
        <v>0</v>
      </c>
      <c r="V9" s="106">
        <f t="shared" ref="V9:V18" si="15">M9-P9-R9-T9</f>
        <v>0</v>
      </c>
      <c r="W9" s="106">
        <f t="shared" si="4"/>
        <v>5700000.0000000009</v>
      </c>
      <c r="X9" s="109"/>
      <c r="Y9" s="169">
        <v>0.77633106878598279</v>
      </c>
    </row>
    <row r="10" spans="1:25" ht="16.5" customHeight="1" x14ac:dyDescent="0.25">
      <c r="A10" s="125"/>
      <c r="B10" s="121"/>
      <c r="C10" s="162" t="s">
        <v>239</v>
      </c>
      <c r="D10" s="122"/>
      <c r="E10" s="170" t="s">
        <v>248</v>
      </c>
      <c r="F10" s="103">
        <f t="shared" si="5"/>
        <v>15.333333333333334</v>
      </c>
      <c r="G10" s="103">
        <v>460</v>
      </c>
      <c r="H10" s="171">
        <v>43770</v>
      </c>
      <c r="I10" s="171">
        <f t="shared" si="6"/>
        <v>44230</v>
      </c>
      <c r="J10" s="164">
        <v>7186359.2493297588</v>
      </c>
      <c r="K10" s="124">
        <f t="shared" si="7"/>
        <v>0.83538666602160827</v>
      </c>
      <c r="L10" s="106">
        <f t="shared" si="8"/>
        <v>6003388.694131135</v>
      </c>
      <c r="M10" s="106">
        <f t="shared" si="9"/>
        <v>1182970.5551986238</v>
      </c>
      <c r="N10" s="168">
        <v>22.08</v>
      </c>
      <c r="O10" s="106">
        <f t="shared" si="10"/>
        <v>578781.31025791261</v>
      </c>
      <c r="P10" s="267">
        <f t="shared" si="11"/>
        <v>114049.12838706058</v>
      </c>
      <c r="Q10" s="106">
        <f t="shared" si="12"/>
        <v>4660617.1612525098</v>
      </c>
      <c r="R10" s="267">
        <f t="shared" si="13"/>
        <v>918376.79545969504</v>
      </c>
      <c r="S10" s="106">
        <f>+$L10*$Y$10</f>
        <v>763990.22262071294</v>
      </c>
      <c r="T10" s="267">
        <f>+$M10*$Y$10</f>
        <v>150544.63135186819</v>
      </c>
      <c r="U10" s="106">
        <f t="shared" si="14"/>
        <v>0</v>
      </c>
      <c r="V10" s="106">
        <f t="shared" si="15"/>
        <v>0</v>
      </c>
      <c r="W10" s="106">
        <f t="shared" si="4"/>
        <v>7186359.2493297597</v>
      </c>
      <c r="Y10" s="169">
        <f>100%-Y8-Y9</f>
        <v>0.12725982966380034</v>
      </c>
    </row>
    <row r="11" spans="1:25" ht="16.5" customHeight="1" x14ac:dyDescent="0.25">
      <c r="A11" s="125"/>
      <c r="B11" s="121"/>
      <c r="C11" s="162" t="s">
        <v>240</v>
      </c>
      <c r="D11" s="122"/>
      <c r="E11" s="170" t="s">
        <v>248</v>
      </c>
      <c r="F11" s="103">
        <f t="shared" si="5"/>
        <v>15.333333333333334</v>
      </c>
      <c r="G11" s="103">
        <v>460</v>
      </c>
      <c r="H11" s="171">
        <v>43770</v>
      </c>
      <c r="I11" s="171">
        <f t="shared" si="6"/>
        <v>44230</v>
      </c>
      <c r="J11" s="164">
        <v>4953640.7506702412</v>
      </c>
      <c r="K11" s="124">
        <f t="shared" si="7"/>
        <v>0.83538666602160827</v>
      </c>
      <c r="L11" s="106">
        <f t="shared" si="8"/>
        <v>4138205.4313711897</v>
      </c>
      <c r="M11" s="106">
        <f t="shared" si="9"/>
        <v>815435.31929905154</v>
      </c>
      <c r="N11" s="168">
        <v>15.219999999999999</v>
      </c>
      <c r="O11" s="106">
        <f t="shared" si="10"/>
        <v>398960.66766872414</v>
      </c>
      <c r="P11" s="267">
        <f t="shared" si="11"/>
        <v>78615.386505935807</v>
      </c>
      <c r="Q11" s="106">
        <f t="shared" si="12"/>
        <v>3212617.4453923549</v>
      </c>
      <c r="R11" s="267">
        <f t="shared" si="13"/>
        <v>633047.77295727178</v>
      </c>
      <c r="S11" s="106">
        <f>+$L11*$Y$10</f>
        <v>526627.31831011095</v>
      </c>
      <c r="T11" s="267">
        <f>+$M11*$Y$10</f>
        <v>103772.15983584394</v>
      </c>
      <c r="U11" s="106">
        <f t="shared" si="14"/>
        <v>0</v>
      </c>
      <c r="V11" s="106">
        <f t="shared" si="15"/>
        <v>0</v>
      </c>
      <c r="W11" s="106">
        <f t="shared" si="4"/>
        <v>4953640.7506702412</v>
      </c>
    </row>
    <row r="12" spans="1:25" ht="16.5" customHeight="1" x14ac:dyDescent="0.25">
      <c r="A12" s="125"/>
      <c r="B12" s="121"/>
      <c r="C12" s="162" t="s">
        <v>241</v>
      </c>
      <c r="D12" s="122"/>
      <c r="E12" s="170" t="s">
        <v>248</v>
      </c>
      <c r="F12" s="103">
        <f t="shared" si="5"/>
        <v>18.25</v>
      </c>
      <c r="G12" s="103">
        <f>1.5*365</f>
        <v>547.5</v>
      </c>
      <c r="H12" s="171">
        <v>43770</v>
      </c>
      <c r="I12" s="171">
        <f t="shared" si="6"/>
        <v>44317.5</v>
      </c>
      <c r="J12" s="164">
        <v>9477230.7989423275</v>
      </c>
      <c r="K12" s="124">
        <f t="shared" si="7"/>
        <v>0.83538666602160827</v>
      </c>
      <c r="L12" s="106">
        <f t="shared" si="8"/>
        <v>7917152.2402457334</v>
      </c>
      <c r="M12" s="106">
        <f t="shared" si="9"/>
        <v>1560078.5586965941</v>
      </c>
      <c r="N12" s="168">
        <v>28.600000000000005</v>
      </c>
      <c r="O12" s="106">
        <f t="shared" si="10"/>
        <v>763285.53431837808</v>
      </c>
      <c r="P12" s="267">
        <f t="shared" si="11"/>
        <v>150405.77219169596</v>
      </c>
      <c r="Q12" s="106">
        <f>+L12-O12-S12</f>
        <v>6390581.171608977</v>
      </c>
      <c r="R12" s="106">
        <f>+M12-P12-T12</f>
        <v>1259267.0143132024</v>
      </c>
      <c r="S12" s="106">
        <f t="shared" ref="S12" si="16">+$L12*$Y$8</f>
        <v>763285.53431837808</v>
      </c>
      <c r="T12" s="267">
        <f t="shared" ref="T12" si="17">+$M12*$Y$8</f>
        <v>150405.77219169596</v>
      </c>
      <c r="U12" s="106">
        <f t="shared" si="14"/>
        <v>0</v>
      </c>
      <c r="V12" s="106">
        <f t="shared" si="15"/>
        <v>0</v>
      </c>
      <c r="W12" s="106">
        <f t="shared" si="4"/>
        <v>9477230.7989423275</v>
      </c>
    </row>
    <row r="13" spans="1:25" ht="16.5" customHeight="1" x14ac:dyDescent="0.25">
      <c r="A13" s="125"/>
      <c r="B13" s="121"/>
      <c r="C13" s="162" t="s">
        <v>242</v>
      </c>
      <c r="D13" s="122"/>
      <c r="E13" s="170" t="s">
        <v>248</v>
      </c>
      <c r="F13" s="103">
        <f t="shared" si="5"/>
        <v>18.25</v>
      </c>
      <c r="G13" s="103">
        <f>1.5*365</f>
        <v>547.5</v>
      </c>
      <c r="H13" s="171">
        <v>43770</v>
      </c>
      <c r="I13" s="171">
        <f t="shared" si="6"/>
        <v>44317.5</v>
      </c>
      <c r="J13" s="164">
        <v>7830271.135228605</v>
      </c>
      <c r="K13" s="124">
        <f t="shared" si="7"/>
        <v>0.83538666602160827</v>
      </c>
      <c r="L13" s="106">
        <f t="shared" si="8"/>
        <v>6541304.0977038583</v>
      </c>
      <c r="M13" s="106">
        <f t="shared" si="9"/>
        <v>1288967.0375247467</v>
      </c>
      <c r="N13" s="168">
        <v>26</v>
      </c>
      <c r="O13" s="106">
        <f t="shared" si="10"/>
        <v>630641.25102638116</v>
      </c>
      <c r="P13" s="267">
        <f t="shared" si="11"/>
        <v>124268.15401560554</v>
      </c>
      <c r="Q13" s="106">
        <f>+L13-O13-S13</f>
        <v>5280021.5956510967</v>
      </c>
      <c r="R13" s="106">
        <f>+M13-P13-T13</f>
        <v>1040430.7294935356</v>
      </c>
      <c r="S13" s="106">
        <f>+O13</f>
        <v>630641.25102638116</v>
      </c>
      <c r="T13" s="106">
        <f>+P13</f>
        <v>124268.15401560554</v>
      </c>
      <c r="U13" s="106">
        <f t="shared" si="14"/>
        <v>0</v>
      </c>
      <c r="V13" s="106">
        <f t="shared" si="15"/>
        <v>0</v>
      </c>
      <c r="W13" s="106">
        <f t="shared" si="4"/>
        <v>7830271.135228605</v>
      </c>
    </row>
    <row r="14" spans="1:25" ht="16.5" customHeight="1" x14ac:dyDescent="0.25">
      <c r="A14" s="125"/>
      <c r="B14" s="121"/>
      <c r="C14" s="162" t="s">
        <v>243</v>
      </c>
      <c r="D14" s="122"/>
      <c r="E14" s="170" t="s">
        <v>248</v>
      </c>
      <c r="F14" s="103">
        <f t="shared" si="5"/>
        <v>15.333333333333334</v>
      </c>
      <c r="G14" s="103">
        <v>460</v>
      </c>
      <c r="H14" s="171">
        <v>43770</v>
      </c>
      <c r="I14" s="171">
        <f t="shared" si="6"/>
        <v>44230</v>
      </c>
      <c r="J14" s="164">
        <v>8355245.0918651223</v>
      </c>
      <c r="K14" s="124">
        <f t="shared" si="7"/>
        <v>0.83538666602160827</v>
      </c>
      <c r="L14" s="106">
        <f t="shared" si="8"/>
        <v>6979860.3410866102</v>
      </c>
      <c r="M14" s="106">
        <f t="shared" si="9"/>
        <v>1375384.7507785121</v>
      </c>
      <c r="N14" s="168">
        <v>18.600000000000001</v>
      </c>
      <c r="O14" s="106">
        <f t="shared" si="10"/>
        <v>672922.06443015055</v>
      </c>
      <c r="P14" s="267">
        <f t="shared" si="11"/>
        <v>132599.60810842534</v>
      </c>
      <c r="Q14" s="106">
        <f>L14-O14-S14</f>
        <v>5418682.4385726629</v>
      </c>
      <c r="R14" s="106">
        <f>M14-P14-T14</f>
        <v>1067753.913563825</v>
      </c>
      <c r="S14" s="106">
        <f>+$L14*$Y$10</f>
        <v>888255.83808379737</v>
      </c>
      <c r="T14" s="267">
        <f>+$M14*$Y$10</f>
        <v>175031.22910626192</v>
      </c>
      <c r="U14" s="106">
        <f t="shared" si="14"/>
        <v>0</v>
      </c>
      <c r="V14" s="106">
        <f t="shared" si="15"/>
        <v>0</v>
      </c>
      <c r="W14" s="106">
        <f t="shared" si="4"/>
        <v>8355245.0918651232</v>
      </c>
    </row>
    <row r="15" spans="1:25" ht="16.5" customHeight="1" x14ac:dyDescent="0.25">
      <c r="A15" s="125"/>
      <c r="B15" s="121"/>
      <c r="C15" s="162" t="s">
        <v>244</v>
      </c>
      <c r="D15" s="122"/>
      <c r="E15" s="170" t="s">
        <v>248</v>
      </c>
      <c r="F15" s="103">
        <f t="shared" si="5"/>
        <v>15.333333333333334</v>
      </c>
      <c r="G15" s="103">
        <v>460</v>
      </c>
      <c r="H15" s="171">
        <v>43770</v>
      </c>
      <c r="I15" s="171">
        <f t="shared" si="6"/>
        <v>44230</v>
      </c>
      <c r="J15" s="164">
        <v>4666408.8738503121</v>
      </c>
      <c r="K15" s="124">
        <f t="shared" si="7"/>
        <v>0.83538666602160827</v>
      </c>
      <c r="L15" s="106">
        <f t="shared" si="8"/>
        <v>3898255.7514194599</v>
      </c>
      <c r="M15" s="106">
        <f t="shared" si="9"/>
        <v>768153.12243085215</v>
      </c>
      <c r="N15" s="168">
        <v>21.9</v>
      </c>
      <c r="O15" s="106">
        <f t="shared" si="10"/>
        <v>375827.33460731577</v>
      </c>
      <c r="P15" s="267">
        <f t="shared" si="11"/>
        <v>74056.952386552221</v>
      </c>
      <c r="Q15" s="106">
        <f t="shared" ref="Q15:Q18" si="18">+$L15*$Y$9</f>
        <v>3026337.0539005739</v>
      </c>
      <c r="R15" s="267">
        <f t="shared" ref="R15:R18" si="19">+$M15*$Y$9</f>
        <v>596341.13452803332</v>
      </c>
      <c r="S15" s="106">
        <f>+$L15*$Y$10</f>
        <v>496091.36291157047</v>
      </c>
      <c r="T15" s="267">
        <f>+$M15*$Y$10</f>
        <v>97755.035516266609</v>
      </c>
      <c r="U15" s="106">
        <f t="shared" si="14"/>
        <v>0</v>
      </c>
      <c r="V15" s="106">
        <f t="shared" si="15"/>
        <v>0</v>
      </c>
      <c r="W15" s="106">
        <f t="shared" si="4"/>
        <v>4666408.873850313</v>
      </c>
    </row>
    <row r="16" spans="1:25" ht="16.5" customHeight="1" x14ac:dyDescent="0.25">
      <c r="A16" s="125"/>
      <c r="B16" s="121"/>
      <c r="C16" s="162" t="s">
        <v>245</v>
      </c>
      <c r="D16" s="122"/>
      <c r="E16" s="170" t="s">
        <v>248</v>
      </c>
      <c r="F16" s="103">
        <f t="shared" si="5"/>
        <v>15.333333333333334</v>
      </c>
      <c r="G16" s="103">
        <v>460</v>
      </c>
      <c r="H16" s="171">
        <v>43770</v>
      </c>
      <c r="I16" s="171">
        <f t="shared" si="6"/>
        <v>44230</v>
      </c>
      <c r="J16" s="164">
        <v>6207899</v>
      </c>
      <c r="K16" s="124">
        <f t="shared" si="7"/>
        <v>0.83538666602160827</v>
      </c>
      <c r="L16" s="106">
        <f t="shared" si="8"/>
        <v>5185996.0486088758</v>
      </c>
      <c r="M16" s="106">
        <f t="shared" si="9"/>
        <v>1021902.9513911242</v>
      </c>
      <c r="N16" s="168">
        <v>19.38</v>
      </c>
      <c r="O16" s="106">
        <f t="shared" si="10"/>
        <v>499977.21968935669</v>
      </c>
      <c r="P16" s="267">
        <f t="shared" si="11"/>
        <v>98520.745415133249</v>
      </c>
      <c r="Q16" s="106">
        <f t="shared" si="18"/>
        <v>4026049.8551364122</v>
      </c>
      <c r="R16" s="267">
        <f t="shared" si="19"/>
        <v>793335.01044902159</v>
      </c>
      <c r="S16" s="106">
        <f>+$L16*$Y$10</f>
        <v>659968.97378310713</v>
      </c>
      <c r="T16" s="267">
        <f>+$M16*$Y$10</f>
        <v>130047.1955269693</v>
      </c>
      <c r="U16" s="106">
        <f t="shared" si="14"/>
        <v>0</v>
      </c>
      <c r="V16" s="106">
        <f t="shared" si="15"/>
        <v>0</v>
      </c>
      <c r="W16" s="106">
        <f t="shared" si="4"/>
        <v>6207899.0000000009</v>
      </c>
    </row>
    <row r="17" spans="1:31" ht="16.5" customHeight="1" x14ac:dyDescent="0.25">
      <c r="A17" s="129"/>
      <c r="B17" s="121"/>
      <c r="C17" s="162" t="s">
        <v>246</v>
      </c>
      <c r="D17" s="122"/>
      <c r="E17" s="170" t="s">
        <v>249</v>
      </c>
      <c r="F17" s="103">
        <f t="shared" si="5"/>
        <v>15.333333333333334</v>
      </c>
      <c r="G17" s="103">
        <v>460</v>
      </c>
      <c r="H17" s="171">
        <v>43770</v>
      </c>
      <c r="I17" s="171">
        <f t="shared" si="6"/>
        <v>44230</v>
      </c>
      <c r="J17" s="164">
        <v>6605102</v>
      </c>
      <c r="K17" s="124">
        <f t="shared" si="7"/>
        <v>0.83538666602160827</v>
      </c>
      <c r="L17" s="106">
        <f t="shared" si="8"/>
        <v>5517814.138512657</v>
      </c>
      <c r="M17" s="106">
        <f>+J17-L17</f>
        <v>1087287.861487343</v>
      </c>
      <c r="N17" s="168">
        <v>20.62</v>
      </c>
      <c r="O17" s="106">
        <f t="shared" si="10"/>
        <v>531967.50361508934</v>
      </c>
      <c r="P17" s="267">
        <f t="shared" si="11"/>
        <v>104824.44585245142</v>
      </c>
      <c r="Q17" s="106">
        <f t="shared" si="18"/>
        <v>4283650.5475139376</v>
      </c>
      <c r="R17" s="267">
        <f t="shared" si="19"/>
        <v>844095.34758649464</v>
      </c>
      <c r="S17" s="106">
        <f>+$L17*$Y$10</f>
        <v>702196.08738362999</v>
      </c>
      <c r="T17" s="267">
        <f>+$M17*$Y$10</f>
        <v>138368.06804839699</v>
      </c>
      <c r="U17" s="106">
        <f t="shared" si="14"/>
        <v>0</v>
      </c>
      <c r="V17" s="106">
        <f t="shared" si="15"/>
        <v>0</v>
      </c>
      <c r="W17" s="106">
        <f t="shared" si="4"/>
        <v>6605102</v>
      </c>
    </row>
    <row r="18" spans="1:31" ht="16.5" customHeight="1" x14ac:dyDescent="0.25">
      <c r="A18" s="129"/>
      <c r="B18" s="275"/>
      <c r="C18" s="162" t="s">
        <v>250</v>
      </c>
      <c r="D18" s="276"/>
      <c r="E18" s="170"/>
      <c r="F18" s="103"/>
      <c r="G18" s="103"/>
      <c r="H18" s="171"/>
      <c r="I18" s="171"/>
      <c r="J18" s="164">
        <f>+J6-(SUM(J8:J17)+J20)</f>
        <v>6649327.0401136279</v>
      </c>
      <c r="K18" s="124">
        <f>+L18/J18</f>
        <v>0.83538666602160827</v>
      </c>
      <c r="L18" s="106">
        <f t="shared" si="8"/>
        <v>5554759.1473278524</v>
      </c>
      <c r="M18" s="106">
        <f t="shared" si="9"/>
        <v>1094567.8927857755</v>
      </c>
      <c r="N18" s="167"/>
      <c r="O18" s="106">
        <f t="shared" si="10"/>
        <v>535529.33872172714</v>
      </c>
      <c r="P18" s="267">
        <f t="shared" si="11"/>
        <v>105526.30712919075</v>
      </c>
      <c r="Q18" s="106">
        <f t="shared" si="18"/>
        <v>4312332.1056937464</v>
      </c>
      <c r="R18" s="267">
        <f t="shared" si="19"/>
        <v>849747.06206520204</v>
      </c>
      <c r="S18" s="106">
        <f>+$L18*$Y$10</f>
        <v>706897.70291237929</v>
      </c>
      <c r="T18" s="267">
        <f>+$M18*$Y$10</f>
        <v>139294.52359138266</v>
      </c>
      <c r="U18" s="106">
        <f t="shared" si="14"/>
        <v>0</v>
      </c>
      <c r="V18" s="106">
        <f t="shared" si="15"/>
        <v>0</v>
      </c>
      <c r="W18" s="106">
        <f t="shared" si="4"/>
        <v>6649327.0401136279</v>
      </c>
    </row>
    <row r="19" spans="1:31" ht="16.5" customHeight="1" x14ac:dyDescent="0.25">
      <c r="A19" s="143"/>
      <c r="B19" s="144"/>
      <c r="C19" s="132" t="s">
        <v>251</v>
      </c>
      <c r="D19" s="133"/>
      <c r="E19" s="172"/>
      <c r="F19" s="135"/>
      <c r="G19" s="136"/>
      <c r="H19" s="137"/>
      <c r="I19" s="137"/>
      <c r="J19" s="137"/>
      <c r="K19" s="139"/>
      <c r="L19" s="139"/>
      <c r="M19" s="140"/>
      <c r="N19" s="173"/>
      <c r="O19" s="173"/>
      <c r="P19" s="268"/>
      <c r="Q19" s="173"/>
      <c r="R19" s="268"/>
      <c r="S19" s="173"/>
      <c r="T19" s="268"/>
      <c r="U19" s="173"/>
      <c r="V19" s="268"/>
      <c r="W19" s="174"/>
      <c r="X19" s="109"/>
      <c r="Y19" s="109"/>
    </row>
    <row r="20" spans="1:31" ht="16.5" customHeight="1" x14ac:dyDescent="0.25">
      <c r="A20" s="125"/>
      <c r="B20" s="121"/>
      <c r="C20" s="122" t="s">
        <v>247</v>
      </c>
      <c r="D20" s="122"/>
      <c r="E20" s="123"/>
      <c r="F20" s="103">
        <f t="shared" ref="F20" si="20">+G20/30</f>
        <v>20</v>
      </c>
      <c r="G20" s="103">
        <v>600</v>
      </c>
      <c r="H20" s="171">
        <v>44013</v>
      </c>
      <c r="I20" s="171">
        <f t="shared" ref="I20" si="21">+G20+H20</f>
        <v>44613</v>
      </c>
      <c r="J20" s="164">
        <v>9861366.0599999987</v>
      </c>
      <c r="K20" s="124">
        <f t="shared" ref="K20" si="22">+L20/J20</f>
        <v>0.83538666602160827</v>
      </c>
      <c r="L20" s="106">
        <f t="shared" ref="L20" si="23">+J20*$K$6</f>
        <v>8238053.7152820416</v>
      </c>
      <c r="M20" s="106">
        <f t="shared" si="9"/>
        <v>1623312.3447179571</v>
      </c>
      <c r="N20" s="168">
        <v>0.5</v>
      </c>
      <c r="O20" s="175">
        <v>0</v>
      </c>
      <c r="P20" s="269">
        <v>0</v>
      </c>
      <c r="Q20" s="106">
        <f>+L20*0.1</f>
        <v>823805.37152820418</v>
      </c>
      <c r="R20" s="106">
        <f>+M20*0.1</f>
        <v>162331.23447179573</v>
      </c>
      <c r="S20" s="106">
        <f>+L20*0.5</f>
        <v>4119026.8576410208</v>
      </c>
      <c r="T20" s="106">
        <f>+M20*0.5</f>
        <v>811656.17235897854</v>
      </c>
      <c r="U20" s="106">
        <f>+L20*0.4</f>
        <v>3295221.4861128167</v>
      </c>
      <c r="V20" s="106">
        <f>+M20*0.4</f>
        <v>649324.93788718292</v>
      </c>
      <c r="W20" s="273">
        <f>SUM(O20:V20)</f>
        <v>9861366.0599999987</v>
      </c>
    </row>
    <row r="21" spans="1:31" ht="19.5" customHeight="1" x14ac:dyDescent="0.25">
      <c r="A21" s="116">
        <v>2</v>
      </c>
      <c r="B21" s="116"/>
      <c r="C21" s="117" t="s">
        <v>220</v>
      </c>
      <c r="D21" s="117"/>
      <c r="E21" s="116"/>
      <c r="F21" s="117">
        <v>60</v>
      </c>
      <c r="G21" s="117">
        <v>1800</v>
      </c>
      <c r="H21" s="154">
        <v>43646</v>
      </c>
      <c r="I21" s="154">
        <v>45107</v>
      </c>
      <c r="J21" s="120">
        <v>1197050</v>
      </c>
      <c r="K21" s="119">
        <f>+L21/J21</f>
        <v>0.83538699302451858</v>
      </c>
      <c r="L21" s="118">
        <v>1000000</v>
      </c>
      <c r="M21" s="118">
        <v>197050</v>
      </c>
      <c r="N21" s="145"/>
      <c r="O21" s="120">
        <f>O22</f>
        <v>0</v>
      </c>
      <c r="P21" s="270"/>
      <c r="Q21" s="120">
        <f t="shared" ref="Q21:U21" si="24">Q22</f>
        <v>598525.23085792374</v>
      </c>
      <c r="R21" s="270"/>
      <c r="S21" s="120">
        <f t="shared" si="24"/>
        <v>598525.23085792374</v>
      </c>
      <c r="T21" s="270"/>
      <c r="U21" s="120">
        <f t="shared" si="24"/>
        <v>0</v>
      </c>
      <c r="V21" s="270"/>
      <c r="W21" s="120">
        <f>SUM(O21:V21)</f>
        <v>1197050.4617158475</v>
      </c>
    </row>
    <row r="22" spans="1:31" x14ac:dyDescent="0.25">
      <c r="A22" s="110">
        <v>2.1</v>
      </c>
      <c r="B22" s="110"/>
      <c r="C22" s="111"/>
      <c r="D22" s="111"/>
      <c r="E22" s="112">
        <v>2021</v>
      </c>
      <c r="F22" s="113">
        <v>60</v>
      </c>
      <c r="G22" s="112">
        <f t="shared" ref="G22" si="25">+F22*30</f>
        <v>1800</v>
      </c>
      <c r="H22" s="153">
        <v>43646</v>
      </c>
      <c r="I22" s="153">
        <v>45107</v>
      </c>
      <c r="J22" s="114">
        <v>1197050</v>
      </c>
      <c r="K22" s="115">
        <f>+K21</f>
        <v>0.83538699302451858</v>
      </c>
      <c r="L22" s="114">
        <f>+L21</f>
        <v>1000000</v>
      </c>
      <c r="M22" s="114">
        <f>+M21</f>
        <v>197050</v>
      </c>
      <c r="N22" s="131"/>
      <c r="O22" s="114">
        <f>SUM(O23:O27)</f>
        <v>0</v>
      </c>
      <c r="P22" s="265"/>
      <c r="Q22" s="114">
        <v>598525.23085792374</v>
      </c>
      <c r="R22" s="265"/>
      <c r="S22" s="114">
        <v>598525.23085792374</v>
      </c>
      <c r="T22" s="265"/>
      <c r="U22" s="114">
        <f t="shared" ref="U22" si="26">SUM(U23:U27)</f>
        <v>0</v>
      </c>
      <c r="V22" s="265"/>
      <c r="W22" s="114">
        <f t="shared" ref="W22:W34" si="27">SUM(O22:V22)</f>
        <v>1197050.4617158475</v>
      </c>
    </row>
    <row r="23" spans="1:31" x14ac:dyDescent="0.25">
      <c r="A23" s="152"/>
      <c r="B23" s="150"/>
      <c r="C23" s="162" t="s">
        <v>234</v>
      </c>
      <c r="D23" s="151"/>
      <c r="E23" s="123">
        <v>2021</v>
      </c>
      <c r="F23" s="103">
        <v>18</v>
      </c>
      <c r="G23" s="107">
        <v>600</v>
      </c>
      <c r="H23" s="171">
        <v>43837</v>
      </c>
      <c r="I23" s="171">
        <f>+H23+G23</f>
        <v>44437</v>
      </c>
      <c r="J23" s="105">
        <v>250000</v>
      </c>
      <c r="K23" s="124">
        <f>L23/(L23+M23)</f>
        <v>0.83538699302451858</v>
      </c>
      <c r="L23" s="106">
        <f>+J23*$K$22</f>
        <v>208846.74825612965</v>
      </c>
      <c r="M23" s="106">
        <f>+J23-L23</f>
        <v>41153.251743870351</v>
      </c>
      <c r="N23" s="146" t="s">
        <v>253</v>
      </c>
      <c r="O23" s="106"/>
      <c r="P23" s="267"/>
      <c r="Q23" s="106">
        <f>+L23/2</f>
        <v>104423.37412806482</v>
      </c>
      <c r="R23" s="106">
        <f>+M23/2</f>
        <v>20576.625871935175</v>
      </c>
      <c r="S23" s="106">
        <f>+Q23</f>
        <v>104423.37412806482</v>
      </c>
      <c r="T23" s="106">
        <f>+R23</f>
        <v>20576.625871935175</v>
      </c>
      <c r="U23" s="106">
        <f>L23-O23-Q23-S23</f>
        <v>0</v>
      </c>
      <c r="V23" s="106">
        <f>M23-P23-R23-T23</f>
        <v>0</v>
      </c>
      <c r="W23" s="106">
        <f t="shared" si="27"/>
        <v>250000</v>
      </c>
    </row>
    <row r="24" spans="1:31" x14ac:dyDescent="0.25">
      <c r="A24" s="152"/>
      <c r="B24" s="150"/>
      <c r="C24" s="162" t="s">
        <v>235</v>
      </c>
      <c r="D24" s="151"/>
      <c r="E24" s="123">
        <v>2021</v>
      </c>
      <c r="F24" s="103">
        <v>18</v>
      </c>
      <c r="G24" s="107">
        <v>600</v>
      </c>
      <c r="H24" s="171">
        <v>43837</v>
      </c>
      <c r="I24" s="171">
        <f t="shared" ref="I24:I27" si="28">+H24+G24</f>
        <v>44437</v>
      </c>
      <c r="J24" s="105">
        <v>250000</v>
      </c>
      <c r="K24" s="124">
        <f t="shared" ref="K24:K27" si="29">L24/(L24+M24)</f>
        <v>0.83538699302451858</v>
      </c>
      <c r="L24" s="106">
        <f t="shared" ref="L24:L27" si="30">+J24*$K$22</f>
        <v>208846.74825612965</v>
      </c>
      <c r="M24" s="106">
        <f t="shared" ref="M24:M27" si="31">+J24-L24</f>
        <v>41153.251743870351</v>
      </c>
      <c r="N24" s="146" t="s">
        <v>253</v>
      </c>
      <c r="O24" s="106"/>
      <c r="P24" s="267"/>
      <c r="Q24" s="106">
        <f t="shared" ref="Q24:Q27" si="32">+L24/2</f>
        <v>104423.37412806482</v>
      </c>
      <c r="R24" s="106">
        <f t="shared" ref="R24:R27" si="33">+M24/2</f>
        <v>20576.625871935175</v>
      </c>
      <c r="S24" s="106">
        <f t="shared" ref="S24:S27" si="34">+Q24</f>
        <v>104423.37412806482</v>
      </c>
      <c r="T24" s="106">
        <f t="shared" ref="T24:T27" si="35">+R24</f>
        <v>20576.625871935175</v>
      </c>
      <c r="U24" s="106">
        <f t="shared" ref="U24:U27" si="36">L24-O24-Q24-S24</f>
        <v>0</v>
      </c>
      <c r="V24" s="106">
        <f t="shared" ref="V24:V27" si="37">M24-P24-R24-T24</f>
        <v>0</v>
      </c>
      <c r="W24" s="106">
        <f t="shared" si="27"/>
        <v>250000</v>
      </c>
    </row>
    <row r="25" spans="1:31" x14ac:dyDescent="0.25">
      <c r="A25" s="152"/>
      <c r="B25" s="150"/>
      <c r="C25" s="162" t="s">
        <v>236</v>
      </c>
      <c r="D25" s="151"/>
      <c r="E25" s="123">
        <v>2021</v>
      </c>
      <c r="F25" s="103">
        <v>18</v>
      </c>
      <c r="G25" s="107">
        <v>600</v>
      </c>
      <c r="H25" s="171">
        <v>43837</v>
      </c>
      <c r="I25" s="171">
        <f t="shared" si="28"/>
        <v>44437</v>
      </c>
      <c r="J25" s="105">
        <v>100000</v>
      </c>
      <c r="K25" s="124">
        <f t="shared" si="29"/>
        <v>0.83538699302451858</v>
      </c>
      <c r="L25" s="106">
        <f t="shared" si="30"/>
        <v>83538.69930245186</v>
      </c>
      <c r="M25" s="106">
        <f t="shared" si="31"/>
        <v>16461.30069754814</v>
      </c>
      <c r="N25" s="146" t="s">
        <v>253</v>
      </c>
      <c r="O25" s="106"/>
      <c r="P25" s="267"/>
      <c r="Q25" s="106">
        <f t="shared" si="32"/>
        <v>41769.34965122593</v>
      </c>
      <c r="R25" s="106">
        <f t="shared" si="33"/>
        <v>8230.6503487740702</v>
      </c>
      <c r="S25" s="106">
        <f t="shared" si="34"/>
        <v>41769.34965122593</v>
      </c>
      <c r="T25" s="106">
        <f t="shared" si="35"/>
        <v>8230.6503487740702</v>
      </c>
      <c r="U25" s="106">
        <f t="shared" si="36"/>
        <v>0</v>
      </c>
      <c r="V25" s="106">
        <f t="shared" si="37"/>
        <v>0</v>
      </c>
      <c r="W25" s="106">
        <f t="shared" si="27"/>
        <v>100000</v>
      </c>
    </row>
    <row r="26" spans="1:31" x14ac:dyDescent="0.25">
      <c r="A26" s="152"/>
      <c r="B26" s="150"/>
      <c r="C26" s="162" t="s">
        <v>295</v>
      </c>
      <c r="D26" s="151"/>
      <c r="E26" s="123">
        <v>2021</v>
      </c>
      <c r="F26" s="103">
        <v>18</v>
      </c>
      <c r="G26" s="107">
        <v>600</v>
      </c>
      <c r="H26" s="171">
        <v>43837</v>
      </c>
      <c r="I26" s="171">
        <f t="shared" si="28"/>
        <v>44437</v>
      </c>
      <c r="J26" s="105">
        <v>100000</v>
      </c>
      <c r="K26" s="124">
        <f t="shared" si="29"/>
        <v>0.83538699302451858</v>
      </c>
      <c r="L26" s="106">
        <f t="shared" si="30"/>
        <v>83538.69930245186</v>
      </c>
      <c r="M26" s="106">
        <f t="shared" si="31"/>
        <v>16461.30069754814</v>
      </c>
      <c r="N26" s="146" t="s">
        <v>253</v>
      </c>
      <c r="O26" s="106"/>
      <c r="P26" s="267"/>
      <c r="Q26" s="106">
        <f t="shared" si="32"/>
        <v>41769.34965122593</v>
      </c>
      <c r="R26" s="106">
        <f t="shared" si="33"/>
        <v>8230.6503487740702</v>
      </c>
      <c r="S26" s="106">
        <f t="shared" si="34"/>
        <v>41769.34965122593</v>
      </c>
      <c r="T26" s="106">
        <f t="shared" si="35"/>
        <v>8230.6503487740702</v>
      </c>
      <c r="U26" s="106">
        <f t="shared" si="36"/>
        <v>0</v>
      </c>
      <c r="V26" s="106">
        <f t="shared" si="37"/>
        <v>0</v>
      </c>
      <c r="W26" s="106">
        <f t="shared" si="27"/>
        <v>100000</v>
      </c>
    </row>
    <row r="27" spans="1:31" x14ac:dyDescent="0.25">
      <c r="A27" s="159"/>
      <c r="B27" s="160"/>
      <c r="C27" s="162" t="s">
        <v>230</v>
      </c>
      <c r="D27" s="161"/>
      <c r="E27" s="123">
        <v>2021</v>
      </c>
      <c r="F27" s="103">
        <v>18</v>
      </c>
      <c r="G27" s="107">
        <v>600</v>
      </c>
      <c r="H27" s="171">
        <v>43837</v>
      </c>
      <c r="I27" s="171">
        <f t="shared" si="28"/>
        <v>44437</v>
      </c>
      <c r="J27" s="176">
        <v>497000</v>
      </c>
      <c r="K27" s="177">
        <f t="shared" si="29"/>
        <v>0.83538699302451858</v>
      </c>
      <c r="L27" s="106">
        <f t="shared" si="30"/>
        <v>415187.33553318575</v>
      </c>
      <c r="M27" s="106">
        <f t="shared" si="31"/>
        <v>81812.664466814254</v>
      </c>
      <c r="N27" s="146" t="s">
        <v>253</v>
      </c>
      <c r="O27" s="178"/>
      <c r="P27" s="271"/>
      <c r="Q27" s="106">
        <f t="shared" si="32"/>
        <v>207593.66776659287</v>
      </c>
      <c r="R27" s="106">
        <f t="shared" si="33"/>
        <v>40906.332233407127</v>
      </c>
      <c r="S27" s="106">
        <f t="shared" si="34"/>
        <v>207593.66776659287</v>
      </c>
      <c r="T27" s="106">
        <f t="shared" si="35"/>
        <v>40906.332233407127</v>
      </c>
      <c r="U27" s="106">
        <f t="shared" si="36"/>
        <v>0</v>
      </c>
      <c r="V27" s="106">
        <f t="shared" si="37"/>
        <v>0</v>
      </c>
      <c r="W27" s="106">
        <f t="shared" si="27"/>
        <v>497000</v>
      </c>
    </row>
    <row r="28" spans="1:31" ht="18" customHeight="1" x14ac:dyDescent="0.25">
      <c r="A28" s="155">
        <v>3</v>
      </c>
      <c r="B28" s="155"/>
      <c r="C28" s="117" t="s">
        <v>221</v>
      </c>
      <c r="D28" s="117"/>
      <c r="E28" s="116"/>
      <c r="F28" s="116"/>
      <c r="G28" s="116"/>
      <c r="H28" s="116"/>
      <c r="I28" s="116"/>
      <c r="J28" s="120">
        <v>183000</v>
      </c>
      <c r="K28" s="119">
        <f>+L28/J28</f>
        <v>0.81967213114754101</v>
      </c>
      <c r="L28" s="118">
        <v>150000</v>
      </c>
      <c r="M28" s="118">
        <v>33000</v>
      </c>
      <c r="N28" s="145"/>
      <c r="O28" s="120">
        <f>O29</f>
        <v>17500</v>
      </c>
      <c r="P28" s="120">
        <f t="shared" ref="P28:V28" si="38">P29</f>
        <v>3850</v>
      </c>
      <c r="Q28" s="120">
        <f t="shared" si="38"/>
        <v>37500</v>
      </c>
      <c r="R28" s="120">
        <f t="shared" si="38"/>
        <v>8250</v>
      </c>
      <c r="S28" s="120">
        <f t="shared" si="38"/>
        <v>37500</v>
      </c>
      <c r="T28" s="120">
        <f t="shared" si="38"/>
        <v>8250</v>
      </c>
      <c r="U28" s="120">
        <f t="shared" si="38"/>
        <v>57500</v>
      </c>
      <c r="V28" s="120">
        <f t="shared" si="38"/>
        <v>12650</v>
      </c>
      <c r="W28" s="120">
        <f t="shared" si="27"/>
        <v>183000</v>
      </c>
    </row>
    <row r="29" spans="1:31" x14ac:dyDescent="0.25">
      <c r="A29" s="157" t="s">
        <v>147</v>
      </c>
      <c r="B29" s="157"/>
      <c r="C29" s="111" t="s">
        <v>223</v>
      </c>
      <c r="D29" s="111"/>
      <c r="E29" s="112">
        <f>I29</f>
        <v>2022</v>
      </c>
      <c r="F29" s="113">
        <f>(I29-H29)*12</f>
        <v>36</v>
      </c>
      <c r="G29" s="112">
        <f>F29*30</f>
        <v>1080</v>
      </c>
      <c r="H29" s="112">
        <f>MIN(H30:H34)</f>
        <v>2019</v>
      </c>
      <c r="I29" s="112">
        <f>MAX(I30:I34)</f>
        <v>2022</v>
      </c>
      <c r="J29" s="114">
        <f>+J28</f>
        <v>183000</v>
      </c>
      <c r="K29" s="179">
        <f t="shared" ref="K29:M30" si="39">+K28</f>
        <v>0.81967213114754101</v>
      </c>
      <c r="L29" s="114">
        <f t="shared" si="39"/>
        <v>150000</v>
      </c>
      <c r="M29" s="114">
        <f t="shared" si="39"/>
        <v>33000</v>
      </c>
      <c r="N29" s="131"/>
      <c r="O29" s="114">
        <f>+O30</f>
        <v>17500</v>
      </c>
      <c r="P29" s="114">
        <f t="shared" ref="P29:V29" si="40">+P30</f>
        <v>3850</v>
      </c>
      <c r="Q29" s="114">
        <f t="shared" si="40"/>
        <v>37500</v>
      </c>
      <c r="R29" s="114">
        <f t="shared" si="40"/>
        <v>8250</v>
      </c>
      <c r="S29" s="114">
        <f t="shared" si="40"/>
        <v>37500</v>
      </c>
      <c r="T29" s="114">
        <f t="shared" si="40"/>
        <v>8250</v>
      </c>
      <c r="U29" s="114">
        <f t="shared" si="40"/>
        <v>57500</v>
      </c>
      <c r="V29" s="114">
        <f t="shared" si="40"/>
        <v>12650</v>
      </c>
      <c r="W29" s="114">
        <f t="shared" si="27"/>
        <v>183000</v>
      </c>
    </row>
    <row r="30" spans="1:31" x14ac:dyDescent="0.25">
      <c r="A30" s="158" t="s">
        <v>224</v>
      </c>
      <c r="B30" s="158"/>
      <c r="C30" s="180" t="s">
        <v>223</v>
      </c>
      <c r="D30" s="180"/>
      <c r="E30" s="123">
        <f t="shared" ref="E30" si="41">I30</f>
        <v>2022</v>
      </c>
      <c r="F30" s="103">
        <f t="shared" ref="F30" si="42">(I30-H30)*12</f>
        <v>36</v>
      </c>
      <c r="G30" s="107">
        <f t="shared" ref="G30" si="43">+F30*30</f>
        <v>1080</v>
      </c>
      <c r="H30" s="104">
        <v>2019</v>
      </c>
      <c r="I30" s="104">
        <v>2022</v>
      </c>
      <c r="J30" s="105">
        <f>+J29</f>
        <v>183000</v>
      </c>
      <c r="K30" s="181">
        <f t="shared" si="39"/>
        <v>0.81967213114754101</v>
      </c>
      <c r="L30" s="105">
        <f t="shared" si="39"/>
        <v>150000</v>
      </c>
      <c r="M30" s="105">
        <f t="shared" si="39"/>
        <v>33000</v>
      </c>
      <c r="N30" s="166"/>
      <c r="O30" s="274">
        <v>17500</v>
      </c>
      <c r="P30" s="274">
        <v>3850</v>
      </c>
      <c r="Q30" s="274">
        <v>37500</v>
      </c>
      <c r="R30" s="274">
        <v>8250</v>
      </c>
      <c r="S30" s="274">
        <v>37500</v>
      </c>
      <c r="T30" s="274">
        <v>8250</v>
      </c>
      <c r="U30" s="274">
        <v>57500</v>
      </c>
      <c r="V30" s="274">
        <v>12650</v>
      </c>
      <c r="W30" s="274">
        <f t="shared" si="27"/>
        <v>183000</v>
      </c>
    </row>
    <row r="31" spans="1:31" x14ac:dyDescent="0.25">
      <c r="A31" s="157" t="s">
        <v>147</v>
      </c>
      <c r="B31" s="157"/>
      <c r="C31" s="111" t="s">
        <v>254</v>
      </c>
      <c r="D31" s="111"/>
      <c r="E31" s="112">
        <f>I31</f>
        <v>2022</v>
      </c>
      <c r="F31" s="113">
        <f>(I31-H31)*12</f>
        <v>36</v>
      </c>
      <c r="G31" s="112">
        <f>F31*30</f>
        <v>1080</v>
      </c>
      <c r="H31" s="112">
        <f>MIN(H33:H34)</f>
        <v>2019</v>
      </c>
      <c r="I31" s="112">
        <f>MAX(I33:I34)</f>
        <v>2022</v>
      </c>
      <c r="J31" s="114">
        <f>+W31</f>
        <v>1507100</v>
      </c>
      <c r="K31" s="115"/>
      <c r="L31" s="114">
        <f>+J31</f>
        <v>1507100</v>
      </c>
      <c r="M31" s="182">
        <v>0</v>
      </c>
      <c r="N31" s="131"/>
      <c r="O31" s="114">
        <f>+O32+O33</f>
        <v>125767.77839971511</v>
      </c>
      <c r="P31" s="114">
        <f t="shared" ref="P31:V31" si="44">+P32+P33</f>
        <v>0</v>
      </c>
      <c r="Q31" s="114">
        <f t="shared" si="44"/>
        <v>1037685.5709581128</v>
      </c>
      <c r="R31" s="114">
        <f t="shared" si="44"/>
        <v>0</v>
      </c>
      <c r="S31" s="114">
        <f t="shared" si="44"/>
        <v>251194.00796848454</v>
      </c>
      <c r="T31" s="114">
        <f t="shared" si="44"/>
        <v>0</v>
      </c>
      <c r="U31" s="114">
        <f t="shared" si="44"/>
        <v>92452.642673687587</v>
      </c>
      <c r="V31" s="114">
        <f t="shared" si="44"/>
        <v>0</v>
      </c>
      <c r="W31" s="114">
        <f t="shared" si="27"/>
        <v>1507100</v>
      </c>
    </row>
    <row r="32" spans="1:31" x14ac:dyDescent="0.25">
      <c r="A32" s="158" t="s">
        <v>224</v>
      </c>
      <c r="B32" s="158"/>
      <c r="C32" s="183" t="s">
        <v>254</v>
      </c>
      <c r="D32" s="183"/>
      <c r="E32" s="123">
        <f t="shared" ref="E32:E33" si="45">I32</f>
        <v>2022</v>
      </c>
      <c r="F32" s="103"/>
      <c r="G32" s="107"/>
      <c r="H32" s="104">
        <v>2019</v>
      </c>
      <c r="I32" s="104">
        <v>2022</v>
      </c>
      <c r="J32" s="105">
        <f t="shared" ref="J32:J33" si="46">+W32</f>
        <v>1205680.0000000002</v>
      </c>
      <c r="K32" s="124">
        <v>1</v>
      </c>
      <c r="L32" s="105">
        <f>J32</f>
        <v>1205680.0000000002</v>
      </c>
      <c r="M32" s="106">
        <v>0</v>
      </c>
      <c r="N32" s="184"/>
      <c r="O32" s="185">
        <v>100614.22271977209</v>
      </c>
      <c r="P32" s="272"/>
      <c r="Q32" s="185">
        <v>830148.45676649024</v>
      </c>
      <c r="R32" s="272"/>
      <c r="S32" s="185">
        <v>200955.20637478764</v>
      </c>
      <c r="T32" s="272"/>
      <c r="U32" s="185">
        <v>73962.11413895007</v>
      </c>
      <c r="V32" s="272"/>
      <c r="W32" s="185">
        <f t="shared" si="27"/>
        <v>1205680.0000000002</v>
      </c>
      <c r="Y32" s="109"/>
      <c r="AA32" s="109"/>
      <c r="AC32" s="109"/>
      <c r="AE32" s="109"/>
    </row>
    <row r="33" spans="1:31" x14ac:dyDescent="0.25">
      <c r="A33" s="158" t="s">
        <v>225</v>
      </c>
      <c r="B33" s="158"/>
      <c r="C33" s="183" t="s">
        <v>226</v>
      </c>
      <c r="D33" s="183"/>
      <c r="E33" s="123">
        <f t="shared" si="45"/>
        <v>2022</v>
      </c>
      <c r="F33" s="103"/>
      <c r="G33" s="107"/>
      <c r="H33" s="104">
        <v>2019</v>
      </c>
      <c r="I33" s="104">
        <v>2022</v>
      </c>
      <c r="J33" s="105">
        <f t="shared" si="46"/>
        <v>301420.00000000006</v>
      </c>
      <c r="K33" s="124">
        <v>1</v>
      </c>
      <c r="L33" s="105">
        <f>J33</f>
        <v>301420.00000000006</v>
      </c>
      <c r="M33" s="106">
        <v>0</v>
      </c>
      <c r="N33" s="184"/>
      <c r="O33" s="185">
        <v>25153.555679943023</v>
      </c>
      <c r="P33" s="272"/>
      <c r="Q33" s="185">
        <v>207537.11419162256</v>
      </c>
      <c r="R33" s="272"/>
      <c r="S33" s="185">
        <v>50238.80159369691</v>
      </c>
      <c r="T33" s="272"/>
      <c r="U33" s="185">
        <v>18490.528534737517</v>
      </c>
      <c r="V33" s="272"/>
      <c r="W33" s="185">
        <f t="shared" si="27"/>
        <v>301420.00000000006</v>
      </c>
      <c r="Y33" s="109"/>
      <c r="AA33" s="109"/>
      <c r="AC33" s="109"/>
      <c r="AE33" s="109"/>
    </row>
    <row r="34" spans="1:31" x14ac:dyDescent="0.25">
      <c r="A34" s="156"/>
      <c r="B34" s="156"/>
      <c r="C34" s="117" t="s">
        <v>202</v>
      </c>
      <c r="D34" s="117"/>
      <c r="E34" s="186"/>
      <c r="F34" s="186"/>
      <c r="G34" s="186"/>
      <c r="H34" s="186"/>
      <c r="I34" s="186"/>
      <c r="J34" s="120">
        <f>+J5+J21+J28+J31</f>
        <v>83500000</v>
      </c>
      <c r="K34" s="187">
        <v>1</v>
      </c>
      <c r="L34" s="120">
        <f>+L5+L21+L28+L31</f>
        <v>70000000</v>
      </c>
      <c r="M34" s="120">
        <f>+M5+M21+M28+M31</f>
        <v>13500000</v>
      </c>
      <c r="N34" s="145"/>
      <c r="O34" s="120">
        <f>+O5+O21+O28+O31</f>
        <v>5841512.9059730489</v>
      </c>
      <c r="P34" s="120">
        <f>+P5+P21+P28+P31</f>
        <v>1126691.8724266659</v>
      </c>
      <c r="Q34" s="120">
        <f t="shared" ref="Q34:U34" si="47">+Q5+Q21+Q28+Q31</f>
        <v>48828498.565414757</v>
      </c>
      <c r="R34" s="120">
        <f>+R5+R21+R28+R31</f>
        <v>9300123.0242322013</v>
      </c>
      <c r="S34" s="120">
        <f t="shared" si="47"/>
        <v>12081864.861541539</v>
      </c>
      <c r="T34" s="120">
        <f>+T5+T21+T28+T31</f>
        <v>2214160.1654539471</v>
      </c>
      <c r="U34" s="120">
        <f t="shared" si="47"/>
        <v>3445174.1287865043</v>
      </c>
      <c r="V34" s="120">
        <f>+V5+V21+V28+V31</f>
        <v>661974.93788718292</v>
      </c>
      <c r="W34" s="120">
        <f t="shared" si="27"/>
        <v>83500000.461715832</v>
      </c>
    </row>
  </sheetData>
  <mergeCells count="18">
    <mergeCell ref="O3:P3"/>
    <mergeCell ref="Q3:R3"/>
    <mergeCell ref="S3:T3"/>
    <mergeCell ref="W3:W4"/>
    <mergeCell ref="B3:B4"/>
    <mergeCell ref="A1:W1"/>
    <mergeCell ref="A2:W2"/>
    <mergeCell ref="A3:A4"/>
    <mergeCell ref="C3:C4"/>
    <mergeCell ref="E3:E4"/>
    <mergeCell ref="F3:F4"/>
    <mergeCell ref="G3:G4"/>
    <mergeCell ref="H3:I3"/>
    <mergeCell ref="J3:J4"/>
    <mergeCell ref="K3:K4"/>
    <mergeCell ref="L3:M3"/>
    <mergeCell ref="N3:N4"/>
    <mergeCell ref="U3:V3"/>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31"/>
  <sheetViews>
    <sheetView workbookViewId="0">
      <selection activeCell="L34" sqref="L34"/>
    </sheetView>
  </sheetViews>
  <sheetFormatPr defaultColWidth="9.140625" defaultRowHeight="15" x14ac:dyDescent="0.25"/>
  <cols>
    <col min="1" max="1" width="19.85546875"/>
    <col min="2" max="3" width="10.42578125"/>
    <col min="4" max="4" width="15.5703125"/>
    <col min="5" max="6" width="8.140625"/>
    <col min="7" max="7" width="8.42578125"/>
    <col min="8" max="1025" width="10.42578125"/>
  </cols>
  <sheetData>
    <row r="1" spans="1:7" x14ac:dyDescent="0.25">
      <c r="A1" s="310" t="s">
        <v>203</v>
      </c>
      <c r="B1" s="310"/>
      <c r="C1" s="310"/>
      <c r="D1" s="310"/>
      <c r="E1" s="310"/>
      <c r="F1" s="310"/>
      <c r="G1" s="310"/>
    </row>
    <row r="2" spans="1:7" x14ac:dyDescent="0.25">
      <c r="B2" s="83">
        <v>2017</v>
      </c>
      <c r="C2" s="83">
        <v>2018</v>
      </c>
      <c r="D2" s="83">
        <v>2019</v>
      </c>
      <c r="E2" s="83">
        <v>2020</v>
      </c>
      <c r="F2" s="83">
        <v>2021</v>
      </c>
      <c r="G2" s="83">
        <v>2022</v>
      </c>
    </row>
    <row r="3" spans="1:7" ht="30" x14ac:dyDescent="0.25">
      <c r="A3" s="84" t="s">
        <v>204</v>
      </c>
      <c r="B3" s="85">
        <v>14038.4834872593</v>
      </c>
      <c r="C3" s="85">
        <v>32519.608813150298</v>
      </c>
      <c r="D3" s="85">
        <v>31227.930401707799</v>
      </c>
      <c r="E3" s="85">
        <v>17257.6035053218</v>
      </c>
      <c r="F3" s="85">
        <v>9939.4768296791899</v>
      </c>
      <c r="G3" s="85">
        <v>4643.3714035512603</v>
      </c>
    </row>
    <row r="4" spans="1:7" x14ac:dyDescent="0.25">
      <c r="A4" s="84" t="s">
        <v>205</v>
      </c>
      <c r="B4" s="85">
        <v>3962.6048331399702</v>
      </c>
      <c r="C4" s="85">
        <v>22969.012932468399</v>
      </c>
      <c r="D4" s="85">
        <v>31227.930401707799</v>
      </c>
      <c r="E4" s="85">
        <v>17257.6035053218</v>
      </c>
      <c r="F4" s="85">
        <v>9939.4768296791899</v>
      </c>
      <c r="G4" s="85">
        <v>4643.3714035512603</v>
      </c>
    </row>
    <row r="5" spans="1:7" ht="30" x14ac:dyDescent="0.25">
      <c r="A5" s="84" t="s">
        <v>206</v>
      </c>
      <c r="B5" s="85">
        <v>443016.25490621099</v>
      </c>
      <c r="C5" s="85">
        <v>768289.37351124198</v>
      </c>
      <c r="D5" s="85">
        <v>1091652.5344389901</v>
      </c>
      <c r="E5" s="85">
        <v>633448.06014081102</v>
      </c>
      <c r="F5" s="85">
        <v>383074.59262028697</v>
      </c>
      <c r="G5" s="85">
        <v>187906.82057461701</v>
      </c>
    </row>
    <row r="6" spans="1:7" x14ac:dyDescent="0.25">
      <c r="A6" s="84" t="s">
        <v>207</v>
      </c>
      <c r="B6" s="85">
        <v>125049.002226211</v>
      </c>
      <c r="C6" s="85">
        <v>764705.57755260705</v>
      </c>
      <c r="D6" s="85">
        <v>1091652.5344389901</v>
      </c>
      <c r="E6" s="85">
        <v>633448.06014081102</v>
      </c>
      <c r="F6" s="85">
        <v>383074.59262028697</v>
      </c>
      <c r="G6" s="85">
        <v>187906.82057461701</v>
      </c>
    </row>
    <row r="25" spans="1:7" x14ac:dyDescent="0.25">
      <c r="A25" s="44"/>
    </row>
    <row r="26" spans="1:7" x14ac:dyDescent="0.25">
      <c r="A26" s="102"/>
      <c r="B26" s="311" t="s">
        <v>214</v>
      </c>
      <c r="C26" s="311"/>
      <c r="D26" s="311"/>
      <c r="E26" s="311"/>
      <c r="F26" s="311"/>
      <c r="G26" s="311"/>
    </row>
    <row r="27" spans="1:7" x14ac:dyDescent="0.25">
      <c r="B27" s="83">
        <v>2017</v>
      </c>
      <c r="C27" s="83">
        <v>2018</v>
      </c>
      <c r="D27" s="83">
        <v>2019</v>
      </c>
      <c r="E27" s="83">
        <v>2020</v>
      </c>
      <c r="F27" s="83">
        <v>2021</v>
      </c>
      <c r="G27" s="83">
        <v>2022</v>
      </c>
    </row>
    <row r="28" spans="1:7" x14ac:dyDescent="0.25">
      <c r="A28" s="99" t="s">
        <v>215</v>
      </c>
      <c r="B28" s="79">
        <v>10075.878654119329</v>
      </c>
      <c r="C28" s="79">
        <v>9550.5958806818999</v>
      </c>
      <c r="D28" s="79">
        <v>0</v>
      </c>
      <c r="E28" s="79">
        <v>0</v>
      </c>
      <c r="F28" s="79">
        <v>0</v>
      </c>
      <c r="G28" s="79">
        <v>0</v>
      </c>
    </row>
    <row r="29" spans="1:7" x14ac:dyDescent="0.25">
      <c r="A29" s="99" t="s">
        <v>216</v>
      </c>
      <c r="B29" s="85">
        <v>3962.6048331399702</v>
      </c>
      <c r="C29" s="85">
        <v>17969.012932468399</v>
      </c>
      <c r="D29" s="85">
        <v>26227.930401707799</v>
      </c>
      <c r="E29" s="85">
        <v>17257.6035053218</v>
      </c>
      <c r="F29" s="85">
        <v>9939.4768296791899</v>
      </c>
      <c r="G29" s="85">
        <v>4643.3714035512603</v>
      </c>
    </row>
    <row r="30" spans="1:7" x14ac:dyDescent="0.25">
      <c r="A30" s="99" t="s">
        <v>217</v>
      </c>
      <c r="B30" s="99"/>
      <c r="C30" s="100">
        <v>5000</v>
      </c>
      <c r="D30" s="100">
        <v>5000</v>
      </c>
      <c r="E30" s="99"/>
      <c r="F30" s="99"/>
      <c r="G30" s="99"/>
    </row>
    <row r="31" spans="1:7" x14ac:dyDescent="0.25">
      <c r="A31" s="101" t="s">
        <v>186</v>
      </c>
      <c r="B31" s="79">
        <f>+B29+B28+B30</f>
        <v>14038.4834872593</v>
      </c>
      <c r="C31" s="79">
        <f t="shared" ref="C31:G31" si="0">+C29+C28+C30</f>
        <v>32519.608813150298</v>
      </c>
      <c r="D31" s="79">
        <f t="shared" si="0"/>
        <v>31227.930401707799</v>
      </c>
      <c r="E31" s="79">
        <f t="shared" si="0"/>
        <v>17257.6035053218</v>
      </c>
      <c r="F31" s="79">
        <f t="shared" si="0"/>
        <v>9939.4768296791899</v>
      </c>
      <c r="G31" s="79">
        <f t="shared" si="0"/>
        <v>4643.3714035512603</v>
      </c>
    </row>
  </sheetData>
  <mergeCells count="2">
    <mergeCell ref="A1:G1"/>
    <mergeCell ref="B26:G26"/>
  </mergeCells>
  <pageMargins left="0.7" right="0.7" top="0.75" bottom="0.75" header="0.51180555555555496" footer="0.51180555555555496"/>
  <pageSetup paperSize="0" scale="0" firstPageNumber="0" orientation="portrait" usePrinterDefaults="0" horizontalDpi="0" verticalDpi="0" copies="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29"/>
  <sheetViews>
    <sheetView workbookViewId="0">
      <selection activeCell="E5" sqref="E5:E15"/>
    </sheetView>
  </sheetViews>
  <sheetFormatPr defaultColWidth="9.140625" defaultRowHeight="15" x14ac:dyDescent="0.25"/>
  <cols>
    <col min="1" max="1" width="17.85546875"/>
    <col min="2" max="2" width="12.42578125"/>
    <col min="4" max="4" width="16.42578125"/>
    <col min="5" max="5" width="14.140625"/>
    <col min="6" max="6" width="12.140625"/>
    <col min="8" max="8" width="12.85546875"/>
  </cols>
  <sheetData>
    <row r="1" spans="1:8" s="1" customFormat="1" ht="75" x14ac:dyDescent="0.25">
      <c r="A1" s="86" t="s">
        <v>208</v>
      </c>
      <c r="B1" s="87" t="s">
        <v>209</v>
      </c>
      <c r="C1" s="87" t="s">
        <v>210</v>
      </c>
      <c r="D1" s="87" t="s">
        <v>211</v>
      </c>
      <c r="E1" s="87" t="s">
        <v>212</v>
      </c>
      <c r="F1" s="88" t="s">
        <v>213</v>
      </c>
    </row>
    <row r="2" spans="1:8" x14ac:dyDescent="0.25">
      <c r="A2" s="89">
        <v>91555975.299999997</v>
      </c>
      <c r="B2" s="79">
        <v>93145091.069999993</v>
      </c>
      <c r="C2" s="90">
        <f t="shared" ref="C2:C28" si="0">+A2/$A$29</f>
        <v>4.6808494506703609E-2</v>
      </c>
      <c r="D2" s="79">
        <f t="shared" ref="D2:D28" si="1">+B2-A2</f>
        <v>1589115.7699999958</v>
      </c>
      <c r="E2" s="90">
        <f t="shared" ref="E2:E28" si="2">+(B2/A2)-1</f>
        <v>1.7356767428810205E-2</v>
      </c>
      <c r="F2" s="91">
        <f t="shared" ref="F2:F28" si="3">+E2*C2</f>
        <v>8.1244415284559464E-4</v>
      </c>
      <c r="G2" s="56"/>
      <c r="H2" s="92"/>
    </row>
    <row r="3" spans="1:8" x14ac:dyDescent="0.25">
      <c r="A3" s="89">
        <v>93590205</v>
      </c>
      <c r="B3" s="79">
        <v>105593092.91</v>
      </c>
      <c r="C3" s="90">
        <f t="shared" si="0"/>
        <v>4.7848505597468796E-2</v>
      </c>
      <c r="D3" s="79">
        <f t="shared" si="1"/>
        <v>12002887.909999996</v>
      </c>
      <c r="E3" s="90">
        <f t="shared" si="2"/>
        <v>0.12824940291561493</v>
      </c>
      <c r="F3" s="91">
        <f t="shared" si="3"/>
        <v>6.136542273279832E-3</v>
      </c>
      <c r="G3" s="56"/>
    </row>
    <row r="4" spans="1:8" x14ac:dyDescent="0.25">
      <c r="A4" s="89">
        <v>53845290</v>
      </c>
      <c r="B4" s="79">
        <v>68301486.549999997</v>
      </c>
      <c r="C4" s="90">
        <f t="shared" si="0"/>
        <v>2.7528699824541793E-2</v>
      </c>
      <c r="D4" s="79">
        <f t="shared" si="1"/>
        <v>14456196.549999997</v>
      </c>
      <c r="E4" s="90">
        <f t="shared" si="2"/>
        <v>0.26847652877345451</v>
      </c>
      <c r="F4" s="91">
        <f t="shared" si="3"/>
        <v>7.3908097705393866E-3</v>
      </c>
      <c r="G4" s="56"/>
    </row>
    <row r="5" spans="1:8" x14ac:dyDescent="0.25">
      <c r="A5" s="89">
        <v>66381769</v>
      </c>
      <c r="B5" s="79">
        <v>84878614.420000002</v>
      </c>
      <c r="C5" s="90">
        <f t="shared" si="0"/>
        <v>3.3938043469040169E-2</v>
      </c>
      <c r="D5" s="79">
        <f t="shared" si="1"/>
        <v>18496845.420000002</v>
      </c>
      <c r="E5" s="90">
        <f t="shared" si="2"/>
        <v>0.27864345434964233</v>
      </c>
      <c r="F5" s="91">
        <f t="shared" si="3"/>
        <v>9.4566136660816716E-3</v>
      </c>
      <c r="G5" s="56"/>
    </row>
    <row r="6" spans="1:8" x14ac:dyDescent="0.25">
      <c r="A6" s="89">
        <v>105476664.43000001</v>
      </c>
      <c r="B6" s="79">
        <v>116028143</v>
      </c>
      <c r="C6" s="90">
        <f t="shared" si="0"/>
        <v>5.392552317180193E-2</v>
      </c>
      <c r="D6" s="79">
        <f t="shared" si="1"/>
        <v>10551478.569999993</v>
      </c>
      <c r="E6" s="90">
        <f t="shared" si="2"/>
        <v>0.10003614189944843</v>
      </c>
      <c r="F6" s="91">
        <f t="shared" si="3"/>
        <v>5.3945012880163724E-3</v>
      </c>
      <c r="G6" s="56"/>
    </row>
    <row r="7" spans="1:8" x14ac:dyDescent="0.25">
      <c r="A7" s="89">
        <v>154867636</v>
      </c>
      <c r="B7" s="79">
        <v>133914143</v>
      </c>
      <c r="C7" s="90">
        <f t="shared" si="0"/>
        <v>7.9176928269499569E-2</v>
      </c>
      <c r="D7" s="79">
        <f t="shared" si="1"/>
        <v>-20953493</v>
      </c>
      <c r="E7" s="90">
        <f t="shared" si="2"/>
        <v>-0.13529936622781535</v>
      </c>
      <c r="F7" s="91">
        <f t="shared" si="3"/>
        <v>-1.0712588214728489E-2</v>
      </c>
      <c r="G7" s="56"/>
    </row>
    <row r="8" spans="1:8" x14ac:dyDescent="0.25">
      <c r="A8" s="89">
        <v>42287802</v>
      </c>
      <c r="B8" s="79">
        <v>34827531.920000002</v>
      </c>
      <c r="C8" s="90">
        <f t="shared" si="0"/>
        <v>2.1619870698024991E-2</v>
      </c>
      <c r="D8" s="79">
        <f t="shared" si="1"/>
        <v>-7460270.0799999982</v>
      </c>
      <c r="E8" s="90">
        <f t="shared" si="2"/>
        <v>-0.17641659597252179</v>
      </c>
      <c r="F8" s="91">
        <f t="shared" si="3"/>
        <v>-3.8141039939116376E-3</v>
      </c>
      <c r="G8" s="56"/>
    </row>
    <row r="9" spans="1:8" x14ac:dyDescent="0.25">
      <c r="A9" s="89">
        <v>49552635</v>
      </c>
      <c r="B9" s="79">
        <v>44336559</v>
      </c>
      <c r="C9" s="90">
        <f t="shared" si="0"/>
        <v>2.5334056412920861E-2</v>
      </c>
      <c r="D9" s="79">
        <f t="shared" si="1"/>
        <v>-5216076</v>
      </c>
      <c r="E9" s="90">
        <f t="shared" si="2"/>
        <v>-0.10526334270619508</v>
      </c>
      <c r="F9" s="91">
        <f t="shared" si="3"/>
        <v>-2.6667474623313678E-3</v>
      </c>
      <c r="G9" s="56"/>
    </row>
    <row r="10" spans="1:8" x14ac:dyDescent="0.25">
      <c r="A10" s="89">
        <v>141019925</v>
      </c>
      <c r="B10" s="79">
        <v>187901743.99000001</v>
      </c>
      <c r="C10" s="90">
        <f t="shared" si="0"/>
        <v>7.2097210073608975E-2</v>
      </c>
      <c r="D10" s="79">
        <f t="shared" si="1"/>
        <v>46881818.99000001</v>
      </c>
      <c r="E10" s="90">
        <f t="shared" si="2"/>
        <v>0.33244819120418634</v>
      </c>
      <c r="F10" s="91">
        <f t="shared" si="3"/>
        <v>2.3968587079839544E-2</v>
      </c>
      <c r="G10" s="56"/>
    </row>
    <row r="11" spans="1:8" x14ac:dyDescent="0.25">
      <c r="A11" s="89">
        <v>44969203.5</v>
      </c>
      <c r="B11" s="79">
        <v>62314973</v>
      </c>
      <c r="C11" s="90">
        <f t="shared" si="0"/>
        <v>2.2990751920924452E-2</v>
      </c>
      <c r="D11" s="79">
        <f t="shared" si="1"/>
        <v>17345769.5</v>
      </c>
      <c r="E11" s="90">
        <f t="shared" si="2"/>
        <v>0.38572552213427569</v>
      </c>
      <c r="F11" s="91">
        <f t="shared" si="3"/>
        <v>8.8681197889581859E-3</v>
      </c>
      <c r="G11" s="56"/>
    </row>
    <row r="12" spans="1:8" x14ac:dyDescent="0.25">
      <c r="A12" s="89">
        <v>23577812</v>
      </c>
      <c r="B12" s="79">
        <v>18229032.969999999</v>
      </c>
      <c r="C12" s="90">
        <f t="shared" si="0"/>
        <v>1.2054285696436576E-2</v>
      </c>
      <c r="D12" s="79">
        <f t="shared" si="1"/>
        <v>-5348779.0300000012</v>
      </c>
      <c r="E12" s="90">
        <f t="shared" si="2"/>
        <v>-0.22685646276253291</v>
      </c>
      <c r="F12" s="91">
        <f t="shared" si="3"/>
        <v>-2.7345926142225974E-3</v>
      </c>
      <c r="G12" s="56"/>
    </row>
    <row r="13" spans="1:8" x14ac:dyDescent="0.25">
      <c r="A13" s="89">
        <v>64770856</v>
      </c>
      <c r="B13" s="79">
        <v>52118534</v>
      </c>
      <c r="C13" s="90">
        <f t="shared" si="0"/>
        <v>3.311445536281115E-2</v>
      </c>
      <c r="D13" s="79">
        <f t="shared" si="1"/>
        <v>-12652322</v>
      </c>
      <c r="E13" s="90">
        <f t="shared" si="2"/>
        <v>-0.1953397373658301</v>
      </c>
      <c r="F13" s="91">
        <f t="shared" si="3"/>
        <v>-6.4685690135840345E-3</v>
      </c>
      <c r="G13" s="56"/>
    </row>
    <row r="14" spans="1:8" x14ac:dyDescent="0.25">
      <c r="A14" s="89">
        <v>88666785</v>
      </c>
      <c r="B14" s="79">
        <v>101322861.70999999</v>
      </c>
      <c r="C14" s="90">
        <f t="shared" si="0"/>
        <v>4.5331380120195934E-2</v>
      </c>
      <c r="D14" s="79">
        <f t="shared" si="1"/>
        <v>12656076.709999993</v>
      </c>
      <c r="E14" s="90">
        <f t="shared" si="2"/>
        <v>0.14273751676008084</v>
      </c>
      <c r="F14" s="91">
        <f t="shared" si="3"/>
        <v>6.4704886296640621E-3</v>
      </c>
      <c r="G14" s="56"/>
    </row>
    <row r="15" spans="1:8" x14ac:dyDescent="0.25">
      <c r="A15" s="89">
        <v>46305193.399999999</v>
      </c>
      <c r="B15" s="79">
        <v>40873390.689999998</v>
      </c>
      <c r="C15" s="90">
        <f t="shared" si="0"/>
        <v>2.3673784084475239E-2</v>
      </c>
      <c r="D15" s="79">
        <f t="shared" si="1"/>
        <v>-5431802.7100000009</v>
      </c>
      <c r="E15" s="90">
        <f t="shared" si="2"/>
        <v>-0.11730439527761483</v>
      </c>
      <c r="F15" s="91">
        <f t="shared" si="3"/>
        <v>-2.7770389259621901E-3</v>
      </c>
      <c r="G15" s="56"/>
    </row>
    <row r="16" spans="1:8" x14ac:dyDescent="0.25">
      <c r="A16" s="89">
        <v>52545327.762000002</v>
      </c>
      <c r="B16" s="79">
        <v>61552764.469999999</v>
      </c>
      <c r="C16" s="90">
        <f t="shared" si="0"/>
        <v>2.6864087000780579E-2</v>
      </c>
      <c r="D16" s="79">
        <f t="shared" si="1"/>
        <v>9007436.7079999968</v>
      </c>
      <c r="E16" s="90">
        <f t="shared" si="2"/>
        <v>0.17142221947493574</v>
      </c>
      <c r="F16" s="91">
        <f t="shared" si="3"/>
        <v>4.6051014178415768E-3</v>
      </c>
      <c r="G16" s="56"/>
    </row>
    <row r="17" spans="1:7" x14ac:dyDescent="0.25">
      <c r="A17" s="89">
        <v>83780125</v>
      </c>
      <c r="B17" s="79">
        <v>93065688</v>
      </c>
      <c r="C17" s="90">
        <f t="shared" si="0"/>
        <v>4.2833048394531621E-2</v>
      </c>
      <c r="D17" s="79">
        <f t="shared" si="1"/>
        <v>9285563</v>
      </c>
      <c r="E17" s="90">
        <f t="shared" si="2"/>
        <v>0.11083252740432181</v>
      </c>
      <c r="F17" s="91">
        <f t="shared" si="3"/>
        <v>4.7472950099975682E-3</v>
      </c>
      <c r="G17" s="56"/>
    </row>
    <row r="18" spans="1:7" x14ac:dyDescent="0.25">
      <c r="A18" s="89">
        <v>27657060</v>
      </c>
      <c r="B18" s="79">
        <v>40077597.880000003</v>
      </c>
      <c r="C18" s="90">
        <f t="shared" si="0"/>
        <v>1.4139823608886531E-2</v>
      </c>
      <c r="D18" s="79">
        <f t="shared" si="1"/>
        <v>12420537.880000003</v>
      </c>
      <c r="E18" s="90">
        <f t="shared" si="2"/>
        <v>0.4490910414917566</v>
      </c>
      <c r="F18" s="91">
        <f t="shared" si="3"/>
        <v>6.3500681110245805E-3</v>
      </c>
      <c r="G18" s="56"/>
    </row>
    <row r="19" spans="1:7" x14ac:dyDescent="0.25">
      <c r="A19" s="89">
        <v>26604583</v>
      </c>
      <c r="B19" s="79">
        <v>27961931.710000001</v>
      </c>
      <c r="C19" s="90">
        <f t="shared" si="0"/>
        <v>1.3601738970374337E-2</v>
      </c>
      <c r="D19" s="79">
        <f t="shared" si="1"/>
        <v>1357348.7100000009</v>
      </c>
      <c r="E19" s="90">
        <f t="shared" si="2"/>
        <v>5.1019356702565188E-2</v>
      </c>
      <c r="F19" s="91">
        <f t="shared" si="3"/>
        <v>6.9395197230471E-4</v>
      </c>
      <c r="G19" s="56"/>
    </row>
    <row r="20" spans="1:7" x14ac:dyDescent="0.25">
      <c r="A20" s="89">
        <v>98946320</v>
      </c>
      <c r="B20" s="79">
        <v>113988387</v>
      </c>
      <c r="C20" s="90">
        <f t="shared" si="0"/>
        <v>5.0586848766587686E-2</v>
      </c>
      <c r="D20" s="79">
        <f t="shared" si="1"/>
        <v>15042067</v>
      </c>
      <c r="E20" s="90">
        <f t="shared" si="2"/>
        <v>0.15202250068522005</v>
      </c>
      <c r="F20" s="91">
        <f t="shared" si="3"/>
        <v>7.6903392512816995E-3</v>
      </c>
      <c r="G20" s="56"/>
    </row>
    <row r="21" spans="1:7" x14ac:dyDescent="0.25">
      <c r="A21" s="89">
        <v>94942348.019999996</v>
      </c>
      <c r="B21" s="79">
        <v>123044611.58</v>
      </c>
      <c r="C21" s="90">
        <f t="shared" si="0"/>
        <v>4.8539796132210627E-2</v>
      </c>
      <c r="D21" s="79">
        <f t="shared" si="1"/>
        <v>28102263.560000002</v>
      </c>
      <c r="E21" s="90">
        <f t="shared" si="2"/>
        <v>0.29599292777212693</v>
      </c>
      <c r="F21" s="91">
        <f t="shared" si="3"/>
        <v>1.4367436370635187E-2</v>
      </c>
      <c r="G21" s="56"/>
    </row>
    <row r="22" spans="1:7" x14ac:dyDescent="0.25">
      <c r="A22" s="89">
        <v>109619950</v>
      </c>
      <c r="B22" s="79">
        <v>120234253</v>
      </c>
      <c r="C22" s="90">
        <f t="shared" si="0"/>
        <v>5.6043800643125523E-2</v>
      </c>
      <c r="D22" s="79">
        <f t="shared" si="1"/>
        <v>10614303</v>
      </c>
      <c r="E22" s="90">
        <f t="shared" si="2"/>
        <v>9.6828205084932062E-2</v>
      </c>
      <c r="F22" s="91">
        <f t="shared" si="3"/>
        <v>5.4266206224116058E-3</v>
      </c>
      <c r="G22" s="56"/>
    </row>
    <row r="23" spans="1:7" x14ac:dyDescent="0.25">
      <c r="A23" s="89">
        <v>152075744</v>
      </c>
      <c r="B23" s="79">
        <v>188938548.19999999</v>
      </c>
      <c r="C23" s="90">
        <f t="shared" si="0"/>
        <v>7.7749558172494987E-2</v>
      </c>
      <c r="D23" s="79">
        <f t="shared" si="1"/>
        <v>36862804.199999988</v>
      </c>
      <c r="E23" s="90">
        <f t="shared" si="2"/>
        <v>0.24239765810384584</v>
      </c>
      <c r="F23" s="91">
        <f t="shared" si="3"/>
        <v>1.8846310819621511E-2</v>
      </c>
      <c r="G23" s="56"/>
    </row>
    <row r="24" spans="1:7" x14ac:dyDescent="0.25">
      <c r="A24" s="89">
        <v>56996411.68</v>
      </c>
      <c r="B24" s="79">
        <v>68239379.670000002</v>
      </c>
      <c r="C24" s="90">
        <f t="shared" si="0"/>
        <v>2.9139728065625196E-2</v>
      </c>
      <c r="D24" s="79">
        <f t="shared" si="1"/>
        <v>11242967.990000002</v>
      </c>
      <c r="E24" s="90">
        <f t="shared" si="2"/>
        <v>0.19725747040221386</v>
      </c>
      <c r="F24" s="91">
        <f t="shared" si="3"/>
        <v>5.7480290464336226E-3</v>
      </c>
      <c r="G24" s="56"/>
    </row>
    <row r="25" spans="1:7" x14ac:dyDescent="0.25">
      <c r="A25" s="89">
        <v>32993667.719999999</v>
      </c>
      <c r="B25" s="79">
        <v>39285003.719999999</v>
      </c>
      <c r="C25" s="90">
        <f t="shared" si="0"/>
        <v>1.6868193574118631E-2</v>
      </c>
      <c r="D25" s="79">
        <f t="shared" si="1"/>
        <v>6291336</v>
      </c>
      <c r="E25" s="90">
        <f t="shared" si="2"/>
        <v>0.19068313512129897</v>
      </c>
      <c r="F25" s="91">
        <f t="shared" si="3"/>
        <v>3.2164800345458899E-3</v>
      </c>
      <c r="G25" s="56"/>
    </row>
    <row r="26" spans="1:7" x14ac:dyDescent="0.25">
      <c r="A26" s="89">
        <v>47226397</v>
      </c>
      <c r="B26" s="79">
        <v>51437855.170000002</v>
      </c>
      <c r="C26" s="90">
        <f t="shared" si="0"/>
        <v>2.4144754477274447E-2</v>
      </c>
      <c r="D26" s="79">
        <f t="shared" si="1"/>
        <v>4211458.1700000018</v>
      </c>
      <c r="E26" s="90">
        <f t="shared" si="2"/>
        <v>8.9175936288343083E-2</v>
      </c>
      <c r="F26" s="91">
        <f t="shared" si="3"/>
        <v>2.1531310869631125E-3</v>
      </c>
      <c r="G26" s="56"/>
    </row>
    <row r="27" spans="1:7" x14ac:dyDescent="0.25">
      <c r="A27" s="89">
        <v>37655991</v>
      </c>
      <c r="B27" s="79">
        <v>36841890</v>
      </c>
      <c r="C27" s="90">
        <f t="shared" si="0"/>
        <v>1.9251831921318418E-2</v>
      </c>
      <c r="D27" s="79">
        <f t="shared" si="1"/>
        <v>-814101</v>
      </c>
      <c r="E27" s="90">
        <f t="shared" si="2"/>
        <v>-2.1619428366657534E-2</v>
      </c>
      <c r="F27" s="91">
        <f t="shared" si="3"/>
        <v>-4.1621360114987442E-4</v>
      </c>
      <c r="G27" s="56"/>
    </row>
    <row r="28" spans="1:7" x14ac:dyDescent="0.25">
      <c r="A28" s="89">
        <v>68057560.5</v>
      </c>
      <c r="B28" s="79">
        <v>81719474</v>
      </c>
      <c r="C28" s="90">
        <f t="shared" si="0"/>
        <v>3.4794801064217361E-2</v>
      </c>
      <c r="D28" s="79">
        <f t="shared" si="1"/>
        <v>13661913.5</v>
      </c>
      <c r="E28" s="90">
        <f t="shared" si="2"/>
        <v>0.20074057018250024</v>
      </c>
      <c r="F28" s="91">
        <f t="shared" si="3"/>
        <v>6.984728205017659E-3</v>
      </c>
      <c r="G28" s="56"/>
    </row>
    <row r="29" spans="1:7" x14ac:dyDescent="0.25">
      <c r="A29" s="93">
        <f>SUM(A2:A28)</f>
        <v>1955969237.312</v>
      </c>
      <c r="B29" s="94">
        <f>SUM(B2:B28)</f>
        <v>2190172582.6300001</v>
      </c>
      <c r="C29" s="95">
        <f>SUM(C2:C28)</f>
        <v>1</v>
      </c>
      <c r="D29" s="96"/>
      <c r="E29" s="97">
        <f>SUM(E2:E28)/28</f>
        <v>0.10439420519644307</v>
      </c>
      <c r="F29" s="98">
        <f>SUM(F2:F28)</f>
        <v>0.11973774477141316</v>
      </c>
      <c r="G29" s="56"/>
    </row>
  </sheetData>
  <pageMargins left="0.7" right="0.7" top="0.75" bottom="0.75" header="0.51180555555555496" footer="0.51180555555555496"/>
  <pageSetup paperSize="0" scale="0" firstPageNumber="0" orientation="portrait" usePrinterDefaults="0" horizontalDpi="0" verticalDpi="0"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BB70B-FA37-4ECB-9E2A-7E26B56EC3A1}">
  <dimension ref="A1:AI80"/>
  <sheetViews>
    <sheetView workbookViewId="0">
      <selection activeCell="J25" sqref="J25:K28"/>
    </sheetView>
  </sheetViews>
  <sheetFormatPr defaultColWidth="11.28515625" defaultRowHeight="18" x14ac:dyDescent="0.25"/>
  <cols>
    <col min="1" max="1" width="2.28515625" style="204" customWidth="1"/>
    <col min="2" max="2" width="4.5703125" style="204" bestFit="1" customWidth="1"/>
    <col min="3" max="3" width="19.140625" style="204" customWidth="1"/>
    <col min="4" max="4" width="58.7109375" style="204" bestFit="1" customWidth="1"/>
    <col min="5" max="5" width="13.5703125" style="204" customWidth="1"/>
    <col min="6" max="6" width="12.7109375" style="251" bestFit="1" customWidth="1"/>
    <col min="7" max="7" width="13.140625" style="204" customWidth="1"/>
    <col min="8" max="8" width="10.140625" style="204" customWidth="1"/>
    <col min="9" max="9" width="10.42578125" style="204" bestFit="1" customWidth="1"/>
    <col min="10" max="10" width="19.7109375" style="204" bestFit="1" customWidth="1"/>
    <col min="11" max="11" width="15" style="204" customWidth="1"/>
    <col min="12" max="12" width="18.28515625" style="204" customWidth="1"/>
    <col min="13" max="13" width="31.85546875" style="204" customWidth="1"/>
    <col min="14" max="14" width="2.28515625" style="204" customWidth="1"/>
    <col min="15" max="15" width="11.28515625" style="192"/>
    <col min="16" max="16" width="25" style="193" customWidth="1"/>
    <col min="17" max="35" width="11.28515625" style="192"/>
    <col min="36" max="16384" width="11.28515625" style="204"/>
  </cols>
  <sheetData>
    <row r="1" spans="1:35" s="192" customFormat="1" ht="10.5" customHeight="1" x14ac:dyDescent="0.25">
      <c r="A1" s="188"/>
      <c r="B1" s="189"/>
      <c r="C1" s="189"/>
      <c r="D1" s="189"/>
      <c r="E1" s="189"/>
      <c r="F1" s="190"/>
      <c r="G1" s="189"/>
      <c r="H1" s="189"/>
      <c r="I1" s="189"/>
      <c r="J1" s="189"/>
      <c r="K1" s="189"/>
      <c r="L1" s="189"/>
      <c r="M1" s="189"/>
      <c r="N1" s="191"/>
      <c r="P1" s="193"/>
    </row>
    <row r="2" spans="1:35" s="197" customFormat="1" x14ac:dyDescent="0.25">
      <c r="A2" s="194"/>
      <c r="B2" s="312" t="s">
        <v>255</v>
      </c>
      <c r="C2" s="313"/>
      <c r="D2" s="313"/>
      <c r="E2" s="313"/>
      <c r="F2" s="313"/>
      <c r="G2" s="313"/>
      <c r="H2" s="313"/>
      <c r="I2" s="313"/>
      <c r="J2" s="313"/>
      <c r="K2" s="313"/>
      <c r="L2" s="313"/>
      <c r="M2" s="195"/>
      <c r="N2" s="196"/>
      <c r="P2" s="193"/>
    </row>
    <row r="3" spans="1:35" s="192" customFormat="1" x14ac:dyDescent="0.25">
      <c r="A3" s="198"/>
      <c r="B3" s="314" t="s">
        <v>231</v>
      </c>
      <c r="C3" s="315"/>
      <c r="D3" s="315"/>
      <c r="E3" s="315"/>
      <c r="F3" s="315"/>
      <c r="G3" s="315"/>
      <c r="H3" s="315"/>
      <c r="I3" s="315"/>
      <c r="J3" s="315"/>
      <c r="K3" s="315"/>
      <c r="L3" s="315"/>
      <c r="M3" s="316"/>
      <c r="N3" s="199"/>
      <c r="P3" s="193"/>
    </row>
    <row r="4" spans="1:35" s="192" customFormat="1" ht="11.25" customHeight="1" thickBot="1" x14ac:dyDescent="0.3">
      <c r="A4" s="198"/>
      <c r="B4" s="200"/>
      <c r="C4" s="200"/>
      <c r="D4" s="200"/>
      <c r="E4" s="200"/>
      <c r="F4" s="200"/>
      <c r="G4" s="200"/>
      <c r="H4" s="200"/>
      <c r="I4" s="200"/>
      <c r="J4" s="200"/>
      <c r="K4" s="200"/>
      <c r="L4" s="200"/>
      <c r="M4" s="200"/>
      <c r="N4" s="199"/>
      <c r="P4" s="193"/>
    </row>
    <row r="5" spans="1:35" s="197" customFormat="1" ht="24" thickBot="1" x14ac:dyDescent="0.3">
      <c r="A5" s="194"/>
      <c r="B5" s="317" t="s">
        <v>256</v>
      </c>
      <c r="C5" s="318"/>
      <c r="D5" s="318"/>
      <c r="E5" s="318"/>
      <c r="F5" s="318"/>
      <c r="G5" s="318"/>
      <c r="H5" s="318"/>
      <c r="I5" s="318"/>
      <c r="J5" s="318"/>
      <c r="K5" s="318"/>
      <c r="L5" s="318"/>
      <c r="M5" s="319"/>
      <c r="N5" s="196"/>
      <c r="P5" s="201"/>
    </row>
    <row r="6" spans="1:35" ht="35.25" customHeight="1" x14ac:dyDescent="0.25">
      <c r="A6" s="202"/>
      <c r="B6" s="320" t="s">
        <v>257</v>
      </c>
      <c r="C6" s="320" t="s">
        <v>258</v>
      </c>
      <c r="D6" s="322" t="s">
        <v>259</v>
      </c>
      <c r="E6" s="324" t="s">
        <v>260</v>
      </c>
      <c r="F6" s="322" t="s">
        <v>261</v>
      </c>
      <c r="G6" s="326" t="s">
        <v>262</v>
      </c>
      <c r="H6" s="322" t="s">
        <v>263</v>
      </c>
      <c r="I6" s="322"/>
      <c r="J6" s="322" t="s">
        <v>264</v>
      </c>
      <c r="K6" s="322"/>
      <c r="L6" s="329" t="s">
        <v>265</v>
      </c>
      <c r="M6" s="331" t="s">
        <v>78</v>
      </c>
      <c r="N6" s="203"/>
    </row>
    <row r="7" spans="1:35" s="207" customFormat="1" ht="39.75" customHeight="1" thickBot="1" x14ac:dyDescent="0.3">
      <c r="A7" s="205"/>
      <c r="B7" s="321"/>
      <c r="C7" s="321"/>
      <c r="D7" s="323"/>
      <c r="E7" s="325"/>
      <c r="F7" s="323"/>
      <c r="G7" s="327"/>
      <c r="H7" s="254" t="s">
        <v>266</v>
      </c>
      <c r="I7" s="254" t="s">
        <v>267</v>
      </c>
      <c r="J7" s="254" t="s">
        <v>268</v>
      </c>
      <c r="K7" s="254" t="s">
        <v>269</v>
      </c>
      <c r="L7" s="330"/>
      <c r="M7" s="332"/>
      <c r="N7" s="206"/>
      <c r="O7" s="192"/>
      <c r="P7" s="193"/>
      <c r="Q7" s="192"/>
      <c r="R7" s="192"/>
      <c r="S7" s="192"/>
      <c r="T7" s="192"/>
      <c r="U7" s="192"/>
      <c r="V7" s="192"/>
      <c r="W7" s="192"/>
      <c r="X7" s="192"/>
      <c r="Y7" s="192"/>
      <c r="Z7" s="192"/>
      <c r="AA7" s="192"/>
      <c r="AB7" s="192"/>
      <c r="AC7" s="192"/>
      <c r="AD7" s="192"/>
      <c r="AE7" s="192"/>
      <c r="AF7" s="192"/>
      <c r="AG7" s="192"/>
      <c r="AH7" s="192"/>
      <c r="AI7" s="192"/>
    </row>
    <row r="8" spans="1:35" s="207" customFormat="1" ht="5.25" customHeight="1" x14ac:dyDescent="0.25">
      <c r="A8" s="205"/>
      <c r="B8" s="208"/>
      <c r="C8" s="208"/>
      <c r="D8" s="209"/>
      <c r="E8" s="210"/>
      <c r="F8" s="208"/>
      <c r="G8" s="208"/>
      <c r="H8" s="211"/>
      <c r="I8" s="211"/>
      <c r="J8" s="212"/>
      <c r="K8" s="212"/>
      <c r="L8" s="208"/>
      <c r="M8" s="208"/>
      <c r="N8" s="206"/>
      <c r="O8" s="192"/>
      <c r="P8" s="193"/>
      <c r="Q8" s="192"/>
      <c r="R8" s="192"/>
      <c r="S8" s="192"/>
      <c r="T8" s="192"/>
      <c r="U8" s="192"/>
      <c r="V8" s="192"/>
      <c r="W8" s="192"/>
      <c r="X8" s="192"/>
      <c r="Y8" s="192"/>
      <c r="Z8" s="192"/>
      <c r="AA8" s="192"/>
      <c r="AB8" s="192"/>
      <c r="AC8" s="192"/>
      <c r="AD8" s="192"/>
      <c r="AE8" s="192"/>
      <c r="AF8" s="192"/>
      <c r="AG8" s="192"/>
      <c r="AH8" s="192"/>
      <c r="AI8" s="192"/>
    </row>
    <row r="9" spans="1:35" s="217" customFormat="1" ht="16.5" customHeight="1" x14ac:dyDescent="0.25">
      <c r="A9" s="202"/>
      <c r="B9" s="333" t="s">
        <v>270</v>
      </c>
      <c r="C9" s="334"/>
      <c r="D9" s="335"/>
      <c r="E9" s="213"/>
      <c r="F9" s="214"/>
      <c r="G9" s="214"/>
      <c r="H9" s="214"/>
      <c r="I9" s="214"/>
      <c r="J9" s="214"/>
      <c r="K9" s="214"/>
      <c r="L9" s="214"/>
      <c r="M9" s="214"/>
      <c r="N9" s="203"/>
      <c r="O9" s="215"/>
      <c r="P9" s="216"/>
      <c r="Q9" s="215"/>
      <c r="R9" s="215"/>
      <c r="S9" s="215"/>
      <c r="T9" s="215"/>
      <c r="U9" s="215"/>
      <c r="V9" s="215"/>
      <c r="W9" s="215"/>
      <c r="X9" s="215"/>
      <c r="Y9" s="215"/>
      <c r="Z9" s="215"/>
      <c r="AA9" s="215"/>
      <c r="AB9" s="215"/>
      <c r="AC9" s="215"/>
      <c r="AD9" s="215"/>
      <c r="AE9" s="215"/>
      <c r="AF9" s="215"/>
      <c r="AG9" s="215"/>
      <c r="AH9" s="215"/>
      <c r="AI9" s="215"/>
    </row>
    <row r="10" spans="1:35" s="215" customFormat="1" x14ac:dyDescent="0.2">
      <c r="A10" s="198"/>
      <c r="B10" s="218">
        <v>1</v>
      </c>
      <c r="C10" s="219" t="s">
        <v>271</v>
      </c>
      <c r="D10" s="220" t="str">
        <f>POA!D11</f>
        <v>R4 Camino del Tala - Baygorria_Tr1</v>
      </c>
      <c r="E10" s="221">
        <f>POA!E11</f>
        <v>3120000</v>
      </c>
      <c r="F10" s="222" t="s">
        <v>233</v>
      </c>
      <c r="G10" s="223" t="s">
        <v>272</v>
      </c>
      <c r="H10" s="277">
        <f>POA!H11</f>
        <v>0.83538666602160827</v>
      </c>
      <c r="I10" s="277">
        <f>POA!I11</f>
        <v>0.16461333397839173</v>
      </c>
      <c r="J10" s="224" t="s">
        <v>284</v>
      </c>
      <c r="K10" s="224" t="s">
        <v>285</v>
      </c>
      <c r="L10" s="218" t="s">
        <v>273</v>
      </c>
      <c r="M10" s="218"/>
      <c r="N10" s="199"/>
      <c r="P10" s="216"/>
    </row>
    <row r="11" spans="1:35" s="215" customFormat="1" x14ac:dyDescent="0.2">
      <c r="A11" s="198"/>
      <c r="B11" s="218">
        <v>2</v>
      </c>
      <c r="C11" s="219" t="s">
        <v>271</v>
      </c>
      <c r="D11" s="220" t="str">
        <f>POA!D12</f>
        <v>R4 Baygorria - Ruta 20_Tr2</v>
      </c>
      <c r="E11" s="225">
        <f>POA!E12</f>
        <v>5700000</v>
      </c>
      <c r="F11" s="222" t="s">
        <v>233</v>
      </c>
      <c r="G11" s="223" t="s">
        <v>272</v>
      </c>
      <c r="H11" s="277">
        <f>POA!H12</f>
        <v>0.83538666602160827</v>
      </c>
      <c r="I11" s="277">
        <f>POA!I12</f>
        <v>0.16461333397839173</v>
      </c>
      <c r="J11" s="224" t="s">
        <v>284</v>
      </c>
      <c r="K11" s="224" t="s">
        <v>285</v>
      </c>
      <c r="L11" s="218" t="s">
        <v>273</v>
      </c>
      <c r="M11" s="218"/>
      <c r="N11" s="199"/>
      <c r="P11" s="216"/>
    </row>
    <row r="12" spans="1:35" s="215" customFormat="1" x14ac:dyDescent="0.2">
      <c r="A12" s="198"/>
      <c r="B12" s="218">
        <v>3</v>
      </c>
      <c r="C12" s="219" t="s">
        <v>271</v>
      </c>
      <c r="D12" s="220" t="str">
        <f>POA!D13</f>
        <v>R41 R6 (0k000) - 22k080 _Tr1</v>
      </c>
      <c r="E12" s="225">
        <f>POA!E13</f>
        <v>7186359.2493297588</v>
      </c>
      <c r="F12" s="222" t="s">
        <v>233</v>
      </c>
      <c r="G12" s="223" t="s">
        <v>272</v>
      </c>
      <c r="H12" s="277">
        <f>POA!H13</f>
        <v>0.83538666602160827</v>
      </c>
      <c r="I12" s="277">
        <f>POA!I13</f>
        <v>0.16461333397839173</v>
      </c>
      <c r="J12" s="224" t="s">
        <v>284</v>
      </c>
      <c r="K12" s="224" t="s">
        <v>285</v>
      </c>
      <c r="L12" s="218" t="s">
        <v>273</v>
      </c>
      <c r="M12" s="218"/>
      <c r="N12" s="199"/>
      <c r="P12" s="216"/>
    </row>
    <row r="13" spans="1:35" s="215" customFormat="1" x14ac:dyDescent="0.2">
      <c r="A13" s="198"/>
      <c r="B13" s="218">
        <v>4</v>
      </c>
      <c r="C13" s="219" t="s">
        <v>271</v>
      </c>
      <c r="D13" s="220" t="str">
        <f>POA!D14</f>
        <v>R41  22k080 - Ruta 7 (38K300)_Tr2</v>
      </c>
      <c r="E13" s="225">
        <f>POA!E14</f>
        <v>4953640.7506702412</v>
      </c>
      <c r="F13" s="222" t="s">
        <v>233</v>
      </c>
      <c r="G13" s="223" t="s">
        <v>272</v>
      </c>
      <c r="H13" s="277">
        <f>POA!H14</f>
        <v>0.83538666602160827</v>
      </c>
      <c r="I13" s="277">
        <f>POA!I14</f>
        <v>0.16461333397839173</v>
      </c>
      <c r="J13" s="224" t="s">
        <v>284</v>
      </c>
      <c r="K13" s="224" t="s">
        <v>285</v>
      </c>
      <c r="L13" s="218" t="s">
        <v>273</v>
      </c>
      <c r="M13" s="218"/>
      <c r="N13" s="199"/>
      <c r="P13" s="216"/>
    </row>
    <row r="14" spans="1:35" s="215" customFormat="1" x14ac:dyDescent="0.2">
      <c r="A14" s="198"/>
      <c r="B14" s="218">
        <v>5</v>
      </c>
      <c r="C14" s="219" t="s">
        <v>271</v>
      </c>
      <c r="D14" s="220" t="str">
        <f>POA!D15</f>
        <v>R43  Ruta 5 (306K600) - Ruta 59 (28k600)_Tr1</v>
      </c>
      <c r="E14" s="225">
        <f>POA!E15</f>
        <v>9477230.7989423275</v>
      </c>
      <c r="F14" s="222" t="s">
        <v>233</v>
      </c>
      <c r="G14" s="223" t="s">
        <v>272</v>
      </c>
      <c r="H14" s="277">
        <f>POA!H15</f>
        <v>0.83538666602160827</v>
      </c>
      <c r="I14" s="277">
        <f>POA!I15</f>
        <v>0.16461333397839173</v>
      </c>
      <c r="J14" s="224" t="s">
        <v>284</v>
      </c>
      <c r="K14" s="224" t="s">
        <v>287</v>
      </c>
      <c r="L14" s="218" t="s">
        <v>273</v>
      </c>
      <c r="M14" s="218"/>
      <c r="N14" s="199"/>
      <c r="P14" s="216"/>
    </row>
    <row r="15" spans="1:35" s="215" customFormat="1" x14ac:dyDescent="0.2">
      <c r="A15" s="198"/>
      <c r="B15" s="218">
        <v>6</v>
      </c>
      <c r="C15" s="219" t="s">
        <v>271</v>
      </c>
      <c r="D15" s="220" t="str">
        <f>POA!D16</f>
        <v>R43  28k600 - San Gregorio (54k600)_Tr2</v>
      </c>
      <c r="E15" s="225">
        <f>POA!E16</f>
        <v>7830271.135228605</v>
      </c>
      <c r="F15" s="222" t="s">
        <v>233</v>
      </c>
      <c r="G15" s="223" t="s">
        <v>272</v>
      </c>
      <c r="H15" s="277">
        <f>POA!H16</f>
        <v>0.83538666602160827</v>
      </c>
      <c r="I15" s="277">
        <f>POA!I16</f>
        <v>0.16461333397839173</v>
      </c>
      <c r="J15" s="224" t="s">
        <v>284</v>
      </c>
      <c r="K15" s="224" t="s">
        <v>287</v>
      </c>
      <c r="L15" s="218" t="s">
        <v>273</v>
      </c>
      <c r="M15" s="218"/>
      <c r="N15" s="199"/>
      <c r="P15" s="216"/>
    </row>
    <row r="16" spans="1:35" s="215" customFormat="1" x14ac:dyDescent="0.2">
      <c r="A16" s="198"/>
      <c r="B16" s="218">
        <v>7</v>
      </c>
      <c r="C16" s="219" t="s">
        <v>271</v>
      </c>
      <c r="D16" s="220" t="str">
        <f>POA!D17</f>
        <v xml:space="preserve">R90  Ruta 25 (71K700) - Guichon </v>
      </c>
      <c r="E16" s="225">
        <f>POA!E17</f>
        <v>8355245.0918651223</v>
      </c>
      <c r="F16" s="222" t="s">
        <v>233</v>
      </c>
      <c r="G16" s="223" t="s">
        <v>272</v>
      </c>
      <c r="H16" s="277">
        <f>POA!H17</f>
        <v>0.83538666602160827</v>
      </c>
      <c r="I16" s="277">
        <f>POA!I17</f>
        <v>0.16461333397839173</v>
      </c>
      <c r="J16" s="224" t="s">
        <v>284</v>
      </c>
      <c r="K16" s="224" t="s">
        <v>285</v>
      </c>
      <c r="L16" s="218" t="s">
        <v>273</v>
      </c>
      <c r="M16" s="218"/>
      <c r="N16" s="199"/>
      <c r="P16" s="216"/>
    </row>
    <row r="17" spans="1:35" s="215" customFormat="1" x14ac:dyDescent="0.2">
      <c r="A17" s="198"/>
      <c r="B17" s="218">
        <v>8</v>
      </c>
      <c r="C17" s="219" t="s">
        <v>271</v>
      </c>
      <c r="D17" s="220" t="str">
        <f>POA!D18</f>
        <v>R90  Piedra Colorada - R25</v>
      </c>
      <c r="E17" s="225">
        <f>POA!E18</f>
        <v>4666408.8738503121</v>
      </c>
      <c r="F17" s="222" t="s">
        <v>233</v>
      </c>
      <c r="G17" s="223" t="s">
        <v>272</v>
      </c>
      <c r="H17" s="277">
        <f>POA!H18</f>
        <v>0.83538666602160827</v>
      </c>
      <c r="I17" s="277">
        <f>POA!I18</f>
        <v>0.16461333397839173</v>
      </c>
      <c r="J17" s="224" t="s">
        <v>284</v>
      </c>
      <c r="K17" s="224" t="s">
        <v>285</v>
      </c>
      <c r="L17" s="218" t="s">
        <v>273</v>
      </c>
      <c r="M17" s="218"/>
      <c r="N17" s="199"/>
      <c r="P17" s="216"/>
    </row>
    <row r="18" spans="1:35" s="215" customFormat="1" x14ac:dyDescent="0.2">
      <c r="A18" s="198"/>
      <c r="B18" s="218">
        <v>9</v>
      </c>
      <c r="C18" s="219" t="s">
        <v>271</v>
      </c>
      <c r="D18" s="220" t="str">
        <f>POA!D19</f>
        <v>R59  0k000 - 19k380 _Tr1</v>
      </c>
      <c r="E18" s="225">
        <f>POA!E19</f>
        <v>6207899</v>
      </c>
      <c r="F18" s="222" t="s">
        <v>233</v>
      </c>
      <c r="G18" s="223" t="s">
        <v>272</v>
      </c>
      <c r="H18" s="277">
        <f>POA!H19</f>
        <v>0.83538666602160827</v>
      </c>
      <c r="I18" s="277">
        <f>POA!I19</f>
        <v>0.16461333397839173</v>
      </c>
      <c r="J18" s="224" t="s">
        <v>284</v>
      </c>
      <c r="K18" s="224" t="s">
        <v>285</v>
      </c>
      <c r="L18" s="218" t="s">
        <v>273</v>
      </c>
      <c r="M18" s="218"/>
      <c r="N18" s="199"/>
      <c r="P18" s="216"/>
    </row>
    <row r="19" spans="1:35" s="215" customFormat="1" x14ac:dyDescent="0.2">
      <c r="A19" s="198"/>
      <c r="B19" s="218">
        <v>10</v>
      </c>
      <c r="C19" s="219" t="s">
        <v>271</v>
      </c>
      <c r="D19" s="220" t="str">
        <f>POA!D20</f>
        <v>R59  19k380 - 39K350_Tr2</v>
      </c>
      <c r="E19" s="225">
        <f>POA!E20</f>
        <v>6605102</v>
      </c>
      <c r="F19" s="222" t="s">
        <v>233</v>
      </c>
      <c r="G19" s="223" t="s">
        <v>272</v>
      </c>
      <c r="H19" s="277">
        <f>POA!H20</f>
        <v>0.83538666602160827</v>
      </c>
      <c r="I19" s="277">
        <f>POA!I20</f>
        <v>0.16461333397839173</v>
      </c>
      <c r="J19" s="224" t="s">
        <v>284</v>
      </c>
      <c r="K19" s="224" t="s">
        <v>285</v>
      </c>
      <c r="L19" s="218" t="s">
        <v>273</v>
      </c>
      <c r="M19" s="218"/>
      <c r="N19" s="199"/>
      <c r="P19" s="216"/>
    </row>
    <row r="20" spans="1:35" s="215" customFormat="1" x14ac:dyDescent="0.2">
      <c r="A20" s="198"/>
      <c r="B20" s="218">
        <v>11</v>
      </c>
      <c r="C20" s="219" t="s">
        <v>271</v>
      </c>
      <c r="D20" s="220" t="str">
        <f>POA!D21</f>
        <v>R5 Puente Río Yí</v>
      </c>
      <c r="E20" s="226">
        <f>POA!E21</f>
        <v>9861366.0599999987</v>
      </c>
      <c r="F20" s="222" t="s">
        <v>233</v>
      </c>
      <c r="G20" s="223" t="s">
        <v>272</v>
      </c>
      <c r="H20" s="277">
        <f>POA!H21</f>
        <v>0.83538666602160827</v>
      </c>
      <c r="I20" s="277">
        <f>POA!I21</f>
        <v>0.16461333397839173</v>
      </c>
      <c r="J20" s="224" t="s">
        <v>278</v>
      </c>
      <c r="K20" s="224" t="s">
        <v>286</v>
      </c>
      <c r="L20" s="218" t="s">
        <v>279</v>
      </c>
      <c r="M20" s="218"/>
      <c r="N20" s="199"/>
      <c r="P20" s="216"/>
    </row>
    <row r="21" spans="1:35" s="231" customFormat="1" ht="20.100000000000001" customHeight="1" x14ac:dyDescent="0.25">
      <c r="A21" s="205"/>
      <c r="B21" s="227"/>
      <c r="C21" s="227"/>
      <c r="D21" s="228" t="s">
        <v>274</v>
      </c>
      <c r="E21" s="229">
        <f>SUM(E10:E20)</f>
        <v>73963522.959886372</v>
      </c>
      <c r="F21" s="227"/>
      <c r="G21" s="227"/>
      <c r="H21" s="255"/>
      <c r="I21" s="255"/>
      <c r="J21" s="230"/>
      <c r="K21" s="230"/>
      <c r="L21" s="227"/>
      <c r="M21" s="208"/>
      <c r="N21" s="206"/>
      <c r="O21" s="215"/>
      <c r="P21" s="216"/>
      <c r="Q21" s="215"/>
      <c r="R21" s="215"/>
      <c r="S21" s="215"/>
      <c r="T21" s="215"/>
      <c r="U21" s="215"/>
      <c r="V21" s="215"/>
      <c r="W21" s="215"/>
      <c r="X21" s="215"/>
      <c r="Y21" s="215"/>
      <c r="Z21" s="215"/>
      <c r="AA21" s="215"/>
      <c r="AB21" s="215"/>
      <c r="AC21" s="215"/>
      <c r="AD21" s="215"/>
      <c r="AE21" s="215"/>
      <c r="AF21" s="215"/>
      <c r="AG21" s="215"/>
      <c r="AH21" s="215"/>
      <c r="AI21" s="215"/>
    </row>
    <row r="22" spans="1:35" s="231" customFormat="1" ht="4.5" customHeight="1" x14ac:dyDescent="0.25">
      <c r="A22" s="205"/>
      <c r="B22" s="208"/>
      <c r="C22" s="208"/>
      <c r="D22" s="209"/>
      <c r="E22" s="210"/>
      <c r="F22" s="208"/>
      <c r="G22" s="208"/>
      <c r="H22" s="256"/>
      <c r="I22" s="256"/>
      <c r="J22" s="212"/>
      <c r="K22" s="212"/>
      <c r="L22" s="208"/>
      <c r="M22" s="208"/>
      <c r="N22" s="206"/>
      <c r="O22" s="215"/>
      <c r="P22" s="216"/>
      <c r="Q22" s="215"/>
      <c r="R22" s="215"/>
      <c r="S22" s="215"/>
      <c r="T22" s="215"/>
      <c r="U22" s="215"/>
      <c r="V22" s="215"/>
      <c r="W22" s="215"/>
      <c r="X22" s="215"/>
      <c r="Y22" s="215"/>
      <c r="Z22" s="215"/>
      <c r="AA22" s="215"/>
      <c r="AB22" s="215"/>
      <c r="AC22" s="215"/>
      <c r="AD22" s="215"/>
      <c r="AE22" s="215"/>
      <c r="AF22" s="215"/>
      <c r="AG22" s="215"/>
      <c r="AH22" s="215"/>
      <c r="AI22" s="215"/>
    </row>
    <row r="23" spans="1:35" s="231" customFormat="1" ht="20.25" customHeight="1" x14ac:dyDescent="0.25">
      <c r="A23" s="205"/>
      <c r="B23" s="208"/>
      <c r="C23" s="208"/>
      <c r="D23" s="209"/>
      <c r="E23" s="210"/>
      <c r="F23" s="208"/>
      <c r="G23" s="208"/>
      <c r="H23" s="256"/>
      <c r="I23" s="256"/>
      <c r="J23" s="212"/>
      <c r="K23" s="212"/>
      <c r="L23" s="208"/>
      <c r="M23" s="208"/>
      <c r="N23" s="206"/>
      <c r="O23" s="215"/>
      <c r="P23" s="216"/>
      <c r="Q23" s="215"/>
      <c r="R23" s="215"/>
      <c r="S23" s="215"/>
      <c r="T23" s="215"/>
      <c r="U23" s="215"/>
      <c r="V23" s="215"/>
      <c r="W23" s="215"/>
      <c r="X23" s="215"/>
      <c r="Y23" s="215"/>
      <c r="Z23" s="215"/>
      <c r="AA23" s="215"/>
      <c r="AB23" s="215"/>
      <c r="AC23" s="215"/>
      <c r="AD23" s="215"/>
      <c r="AE23" s="215"/>
      <c r="AF23" s="215"/>
      <c r="AG23" s="215"/>
      <c r="AH23" s="215"/>
      <c r="AI23" s="215"/>
    </row>
    <row r="24" spans="1:35" s="217" customFormat="1" ht="16.5" customHeight="1" x14ac:dyDescent="0.25">
      <c r="A24" s="202"/>
      <c r="B24" s="336" t="s">
        <v>275</v>
      </c>
      <c r="C24" s="336"/>
      <c r="D24" s="337"/>
      <c r="E24" s="213"/>
      <c r="F24" s="214"/>
      <c r="G24" s="214"/>
      <c r="H24" s="214"/>
      <c r="I24" s="214"/>
      <c r="J24" s="214"/>
      <c r="K24" s="214"/>
      <c r="L24" s="214"/>
      <c r="M24" s="214"/>
      <c r="N24" s="203"/>
      <c r="O24" s="215"/>
      <c r="P24" s="216"/>
      <c r="Q24" s="215"/>
      <c r="R24" s="215"/>
      <c r="S24" s="215"/>
      <c r="T24" s="215"/>
      <c r="U24" s="215"/>
      <c r="V24" s="215"/>
      <c r="W24" s="215"/>
      <c r="X24" s="215"/>
      <c r="Y24" s="215"/>
      <c r="Z24" s="215"/>
      <c r="AA24" s="215"/>
      <c r="AB24" s="215"/>
      <c r="AC24" s="215"/>
      <c r="AD24" s="215"/>
      <c r="AE24" s="215"/>
      <c r="AF24" s="215"/>
      <c r="AG24" s="215"/>
      <c r="AH24" s="215"/>
      <c r="AI24" s="215"/>
    </row>
    <row r="25" spans="1:35" s="231" customFormat="1" ht="20.25" customHeight="1" x14ac:dyDescent="0.2">
      <c r="A25" s="205"/>
      <c r="B25" s="232">
        <v>1</v>
      </c>
      <c r="C25" s="232" t="s">
        <v>276</v>
      </c>
      <c r="D25" s="162" t="str">
        <f>POA!D26</f>
        <v>Informatización del sistema de supervisión de obras</v>
      </c>
      <c r="E25" s="221">
        <f>POA!E26</f>
        <v>250000</v>
      </c>
      <c r="F25" s="222" t="s">
        <v>228</v>
      </c>
      <c r="G25" s="223" t="s">
        <v>277</v>
      </c>
      <c r="H25" s="277">
        <f>POA!H26</f>
        <v>0.83538699302451858</v>
      </c>
      <c r="I25" s="277">
        <f>POA!I26</f>
        <v>0.16461300697548142</v>
      </c>
      <c r="J25" s="233" t="s">
        <v>278</v>
      </c>
      <c r="K25" s="233" t="s">
        <v>294</v>
      </c>
      <c r="L25" s="232" t="s">
        <v>279</v>
      </c>
      <c r="M25" s="232"/>
      <c r="N25" s="206"/>
      <c r="O25" s="215"/>
      <c r="P25" s="216"/>
      <c r="Q25" s="215"/>
      <c r="R25" s="215"/>
      <c r="S25" s="215"/>
      <c r="T25" s="215"/>
      <c r="U25" s="215"/>
      <c r="V25" s="215"/>
      <c r="W25" s="215"/>
      <c r="X25" s="215"/>
      <c r="Y25" s="215"/>
      <c r="Z25" s="215"/>
      <c r="AA25" s="215"/>
      <c r="AB25" s="215"/>
      <c r="AC25" s="215"/>
      <c r="AD25" s="215"/>
      <c r="AE25" s="215"/>
      <c r="AF25" s="215"/>
      <c r="AG25" s="215"/>
      <c r="AH25" s="215"/>
      <c r="AI25" s="215"/>
    </row>
    <row r="26" spans="1:35" s="231" customFormat="1" ht="20.25" customHeight="1" x14ac:dyDescent="0.2">
      <c r="A26" s="205"/>
      <c r="B26" s="234">
        <v>2</v>
      </c>
      <c r="C26" s="234" t="s">
        <v>276</v>
      </c>
      <c r="D26" s="162" t="str">
        <f>POA!D27</f>
        <v>Compra e instalación de laboratorio</v>
      </c>
      <c r="E26" s="225">
        <f>POA!E27</f>
        <v>250000</v>
      </c>
      <c r="F26" s="222" t="s">
        <v>228</v>
      </c>
      <c r="G26" s="223" t="s">
        <v>277</v>
      </c>
      <c r="H26" s="277">
        <f>POA!H27</f>
        <v>0.83538699302451858</v>
      </c>
      <c r="I26" s="277">
        <f>POA!I27</f>
        <v>0.16461300697548142</v>
      </c>
      <c r="J26" s="235" t="s">
        <v>278</v>
      </c>
      <c r="K26" s="235" t="s">
        <v>294</v>
      </c>
      <c r="L26" s="234" t="s">
        <v>279</v>
      </c>
      <c r="M26" s="234"/>
      <c r="N26" s="206"/>
      <c r="O26" s="215"/>
      <c r="P26" s="216"/>
      <c r="Q26" s="215"/>
      <c r="R26" s="215"/>
      <c r="S26" s="215"/>
      <c r="T26" s="215"/>
      <c r="U26" s="215"/>
      <c r="V26" s="215"/>
      <c r="W26" s="215"/>
      <c r="X26" s="215"/>
      <c r="Y26" s="215"/>
      <c r="Z26" s="215"/>
      <c r="AA26" s="215"/>
      <c r="AB26" s="215"/>
      <c r="AC26" s="215"/>
      <c r="AD26" s="215"/>
      <c r="AE26" s="215"/>
      <c r="AF26" s="215"/>
      <c r="AG26" s="215"/>
      <c r="AH26" s="215"/>
      <c r="AI26" s="215"/>
    </row>
    <row r="27" spans="1:35" s="207" customFormat="1" x14ac:dyDescent="0.2">
      <c r="A27" s="205"/>
      <c r="B27" s="234">
        <v>3</v>
      </c>
      <c r="C27" s="234" t="s">
        <v>276</v>
      </c>
      <c r="D27" s="162" t="str">
        <f>POA!D28</f>
        <v>Capacitación en supervisión de obra</v>
      </c>
      <c r="E27" s="225">
        <f>POA!E28</f>
        <v>100000</v>
      </c>
      <c r="F27" s="222" t="s">
        <v>228</v>
      </c>
      <c r="G27" s="223" t="s">
        <v>277</v>
      </c>
      <c r="H27" s="277">
        <f>POA!H28</f>
        <v>0.83538699302451858</v>
      </c>
      <c r="I27" s="277">
        <f>POA!I28</f>
        <v>0.16461300697548142</v>
      </c>
      <c r="J27" s="235" t="s">
        <v>278</v>
      </c>
      <c r="K27" s="235" t="s">
        <v>294</v>
      </c>
      <c r="L27" s="234" t="s">
        <v>279</v>
      </c>
      <c r="M27" s="234"/>
      <c r="N27" s="206"/>
      <c r="O27" s="192"/>
      <c r="P27" s="193"/>
      <c r="Q27" s="192"/>
      <c r="R27" s="192"/>
      <c r="S27" s="192"/>
      <c r="T27" s="192"/>
      <c r="U27" s="192"/>
      <c r="V27" s="192"/>
      <c r="W27" s="192"/>
      <c r="X27" s="192"/>
      <c r="Y27" s="192"/>
      <c r="Z27" s="192"/>
      <c r="AA27" s="192"/>
      <c r="AB27" s="192"/>
      <c r="AC27" s="192"/>
      <c r="AD27" s="192"/>
      <c r="AE27" s="192"/>
      <c r="AF27" s="192"/>
      <c r="AG27" s="192"/>
      <c r="AH27" s="192"/>
      <c r="AI27" s="192"/>
    </row>
    <row r="28" spans="1:35" s="207" customFormat="1" x14ac:dyDescent="0.25">
      <c r="A28" s="205"/>
      <c r="B28" s="236">
        <v>4</v>
      </c>
      <c r="C28" s="236" t="s">
        <v>276</v>
      </c>
      <c r="D28" s="162" t="str">
        <f>POA!D29</f>
        <v>Consultoría para implementación de Plan de Género e Inclusión</v>
      </c>
      <c r="E28" s="226">
        <f>POA!E29</f>
        <v>100000</v>
      </c>
      <c r="F28" s="278" t="s">
        <v>228</v>
      </c>
      <c r="G28" s="279" t="s">
        <v>277</v>
      </c>
      <c r="H28" s="277">
        <f>POA!H29</f>
        <v>0.83538699302451858</v>
      </c>
      <c r="I28" s="277">
        <f>POA!I29</f>
        <v>0.16461300697548142</v>
      </c>
      <c r="J28" s="237" t="s">
        <v>278</v>
      </c>
      <c r="K28" s="237" t="s">
        <v>294</v>
      </c>
      <c r="L28" s="236" t="s">
        <v>279</v>
      </c>
      <c r="M28" s="236"/>
      <c r="N28" s="206"/>
      <c r="O28" s="192"/>
      <c r="P28" s="193"/>
      <c r="Q28" s="192"/>
      <c r="R28" s="192"/>
      <c r="S28" s="192"/>
      <c r="T28" s="192"/>
      <c r="U28" s="192"/>
      <c r="V28" s="192"/>
      <c r="W28" s="192"/>
      <c r="X28" s="192"/>
      <c r="Y28" s="192"/>
      <c r="Z28" s="192"/>
      <c r="AA28" s="192"/>
      <c r="AB28" s="192"/>
      <c r="AC28" s="192"/>
      <c r="AD28" s="192"/>
      <c r="AE28" s="192"/>
      <c r="AF28" s="192"/>
      <c r="AG28" s="192"/>
      <c r="AH28" s="192"/>
      <c r="AI28" s="192"/>
    </row>
    <row r="29" spans="1:35" s="207" customFormat="1" x14ac:dyDescent="0.25">
      <c r="A29" s="205"/>
      <c r="B29" s="208"/>
      <c r="C29" s="208"/>
      <c r="D29" s="228" t="s">
        <v>280</v>
      </c>
      <c r="E29" s="163">
        <f>SUM(E25:E28)</f>
        <v>700000</v>
      </c>
      <c r="F29" s="208"/>
      <c r="G29" s="208"/>
      <c r="H29" s="211"/>
      <c r="I29" s="211"/>
      <c r="J29" s="212"/>
      <c r="K29" s="212"/>
      <c r="L29" s="208"/>
      <c r="M29" s="208"/>
      <c r="N29" s="206"/>
      <c r="O29" s="192"/>
      <c r="P29" s="193"/>
      <c r="Q29" s="192"/>
      <c r="R29" s="192"/>
      <c r="S29" s="192"/>
      <c r="T29" s="192"/>
      <c r="U29" s="192"/>
      <c r="V29" s="192"/>
      <c r="W29" s="192"/>
      <c r="X29" s="192"/>
      <c r="Y29" s="192"/>
      <c r="Z29" s="192"/>
      <c r="AA29" s="192"/>
      <c r="AB29" s="192"/>
      <c r="AC29" s="192"/>
      <c r="AD29" s="192"/>
      <c r="AE29" s="192"/>
      <c r="AF29" s="192"/>
      <c r="AG29" s="192"/>
      <c r="AH29" s="192"/>
      <c r="AI29" s="192"/>
    </row>
    <row r="30" spans="1:35" s="207" customFormat="1" ht="18.75" thickBot="1" x14ac:dyDescent="0.3">
      <c r="A30" s="205"/>
      <c r="B30" s="208"/>
      <c r="C30" s="208"/>
      <c r="D30" s="209"/>
      <c r="E30" s="210"/>
      <c r="F30" s="208"/>
      <c r="G30" s="208"/>
      <c r="H30" s="211"/>
      <c r="I30" s="211"/>
      <c r="J30" s="212"/>
      <c r="K30" s="212"/>
      <c r="L30" s="208"/>
      <c r="M30" s="208"/>
      <c r="N30" s="206"/>
      <c r="O30" s="192"/>
      <c r="P30" s="193"/>
      <c r="Q30" s="192"/>
      <c r="R30" s="192"/>
      <c r="S30" s="192"/>
      <c r="T30" s="192"/>
      <c r="U30" s="192"/>
      <c r="V30" s="192"/>
      <c r="W30" s="192"/>
      <c r="X30" s="192"/>
      <c r="Y30" s="192"/>
      <c r="Z30" s="192"/>
      <c r="AA30" s="192"/>
      <c r="AB30" s="192"/>
      <c r="AC30" s="192"/>
      <c r="AD30" s="192"/>
      <c r="AE30" s="192"/>
      <c r="AF30" s="192"/>
      <c r="AG30" s="192"/>
      <c r="AH30" s="192"/>
      <c r="AI30" s="192"/>
    </row>
    <row r="31" spans="1:35" s="207" customFormat="1" ht="26.25" customHeight="1" thickBot="1" x14ac:dyDescent="0.3">
      <c r="A31" s="205"/>
      <c r="B31" s="238"/>
      <c r="C31" s="238"/>
      <c r="D31" s="239" t="s">
        <v>281</v>
      </c>
      <c r="E31" s="240">
        <f>E21+E29</f>
        <v>74663522.959886372</v>
      </c>
      <c r="F31" s="241"/>
      <c r="G31" s="241"/>
      <c r="H31" s="242"/>
      <c r="I31" s="242"/>
      <c r="J31" s="243"/>
      <c r="K31" s="243"/>
      <c r="L31" s="238"/>
      <c r="M31" s="238"/>
      <c r="N31" s="206"/>
      <c r="O31" s="192"/>
      <c r="P31" s="193"/>
      <c r="Q31" s="192"/>
      <c r="R31" s="192"/>
      <c r="S31" s="192"/>
      <c r="T31" s="192"/>
      <c r="U31" s="192"/>
      <c r="V31" s="192"/>
      <c r="W31" s="192"/>
      <c r="X31" s="192"/>
      <c r="Y31" s="192"/>
      <c r="Z31" s="192"/>
      <c r="AA31" s="192"/>
      <c r="AB31" s="192"/>
      <c r="AC31" s="192"/>
      <c r="AD31" s="192"/>
      <c r="AE31" s="192"/>
      <c r="AF31" s="192"/>
      <c r="AG31" s="192"/>
      <c r="AH31" s="192"/>
      <c r="AI31" s="192"/>
    </row>
    <row r="32" spans="1:35" s="192" customFormat="1" ht="15" customHeight="1" x14ac:dyDescent="0.25">
      <c r="A32" s="198"/>
      <c r="B32" s="208"/>
      <c r="C32" s="208"/>
      <c r="D32" s="209"/>
      <c r="E32" s="210"/>
      <c r="F32" s="208"/>
      <c r="G32" s="208"/>
      <c r="H32" s="211"/>
      <c r="I32" s="211"/>
      <c r="J32" s="212"/>
      <c r="K32" s="212"/>
      <c r="L32" s="208"/>
      <c r="M32" s="208"/>
      <c r="N32" s="199"/>
      <c r="P32" s="193"/>
    </row>
    <row r="33" spans="1:16" s="192" customFormat="1" ht="6" customHeight="1" x14ac:dyDescent="0.25">
      <c r="A33" s="198"/>
      <c r="B33" s="215"/>
      <c r="C33" s="215"/>
      <c r="D33" s="215"/>
      <c r="E33" s="215"/>
      <c r="F33" s="244"/>
      <c r="G33" s="215"/>
      <c r="H33" s="215"/>
      <c r="I33" s="215"/>
      <c r="J33" s="215"/>
      <c r="K33" s="215"/>
      <c r="L33" s="215"/>
      <c r="M33" s="215"/>
      <c r="N33" s="199"/>
      <c r="P33" s="193"/>
    </row>
    <row r="34" spans="1:16" s="192" customFormat="1" ht="36.75" customHeight="1" x14ac:dyDescent="0.25">
      <c r="A34" s="198"/>
      <c r="B34" s="328" t="s">
        <v>282</v>
      </c>
      <c r="C34" s="328"/>
      <c r="D34" s="328"/>
      <c r="E34" s="328"/>
      <c r="F34" s="328"/>
      <c r="G34" s="328"/>
      <c r="H34" s="328"/>
      <c r="I34" s="328"/>
      <c r="J34" s="328"/>
      <c r="K34" s="328"/>
      <c r="L34" s="328"/>
      <c r="M34" s="245"/>
      <c r="N34" s="199"/>
      <c r="P34" s="193"/>
    </row>
    <row r="35" spans="1:16" s="192" customFormat="1" ht="17.25" customHeight="1" x14ac:dyDescent="0.25">
      <c r="A35" s="198"/>
      <c r="B35" s="328" t="s">
        <v>283</v>
      </c>
      <c r="C35" s="328"/>
      <c r="D35" s="328"/>
      <c r="E35" s="328"/>
      <c r="F35" s="328"/>
      <c r="G35" s="328"/>
      <c r="H35" s="328"/>
      <c r="I35" s="328"/>
      <c r="J35" s="328"/>
      <c r="K35" s="328"/>
      <c r="L35" s="328"/>
      <c r="M35" s="245"/>
      <c r="N35" s="199"/>
      <c r="P35" s="193"/>
    </row>
    <row r="36" spans="1:16" s="192" customFormat="1" ht="7.5" customHeight="1" thickBot="1" x14ac:dyDescent="0.3">
      <c r="A36" s="246"/>
      <c r="B36" s="247"/>
      <c r="C36" s="247"/>
      <c r="D36" s="247"/>
      <c r="E36" s="247"/>
      <c r="F36" s="248"/>
      <c r="G36" s="247"/>
      <c r="H36" s="247"/>
      <c r="I36" s="247"/>
      <c r="J36" s="247"/>
      <c r="K36" s="247"/>
      <c r="L36" s="247"/>
      <c r="M36" s="247"/>
      <c r="N36" s="249"/>
      <c r="P36" s="193"/>
    </row>
    <row r="37" spans="1:16" s="192" customFormat="1" x14ac:dyDescent="0.25">
      <c r="F37" s="250"/>
      <c r="P37" s="193"/>
    </row>
    <row r="38" spans="1:16" s="192" customFormat="1" x14ac:dyDescent="0.25">
      <c r="F38" s="250"/>
      <c r="P38" s="193"/>
    </row>
    <row r="39" spans="1:16" s="192" customFormat="1" x14ac:dyDescent="0.25">
      <c r="F39" s="250"/>
      <c r="P39" s="193"/>
    </row>
    <row r="40" spans="1:16" s="192" customFormat="1" x14ac:dyDescent="0.25">
      <c r="F40" s="250"/>
      <c r="P40" s="193"/>
    </row>
    <row r="41" spans="1:16" s="192" customFormat="1" x14ac:dyDescent="0.25">
      <c r="F41" s="250"/>
      <c r="P41" s="193"/>
    </row>
    <row r="42" spans="1:16" s="192" customFormat="1" x14ac:dyDescent="0.25">
      <c r="F42" s="250"/>
      <c r="P42" s="193"/>
    </row>
    <row r="43" spans="1:16" s="192" customFormat="1" x14ac:dyDescent="0.25">
      <c r="F43" s="250"/>
      <c r="P43" s="193"/>
    </row>
    <row r="44" spans="1:16" s="192" customFormat="1" x14ac:dyDescent="0.25">
      <c r="F44" s="250"/>
      <c r="P44" s="193"/>
    </row>
    <row r="45" spans="1:16" s="192" customFormat="1" x14ac:dyDescent="0.25">
      <c r="F45" s="250"/>
      <c r="P45" s="193"/>
    </row>
    <row r="46" spans="1:16" s="192" customFormat="1" x14ac:dyDescent="0.25">
      <c r="F46" s="250"/>
      <c r="P46" s="193"/>
    </row>
    <row r="47" spans="1:16" s="192" customFormat="1" x14ac:dyDescent="0.25">
      <c r="F47" s="250"/>
      <c r="P47" s="193"/>
    </row>
    <row r="48" spans="1:16" s="192" customFormat="1" x14ac:dyDescent="0.25">
      <c r="F48" s="250"/>
      <c r="P48" s="193"/>
    </row>
    <row r="49" spans="6:16" s="192" customFormat="1" x14ac:dyDescent="0.25">
      <c r="F49" s="250"/>
      <c r="P49" s="193"/>
    </row>
    <row r="50" spans="6:16" s="192" customFormat="1" x14ac:dyDescent="0.25">
      <c r="F50" s="250"/>
      <c r="P50" s="193"/>
    </row>
    <row r="51" spans="6:16" s="192" customFormat="1" x14ac:dyDescent="0.25">
      <c r="F51" s="250"/>
      <c r="P51" s="193"/>
    </row>
    <row r="52" spans="6:16" s="192" customFormat="1" x14ac:dyDescent="0.25">
      <c r="F52" s="250"/>
      <c r="P52" s="193"/>
    </row>
    <row r="53" spans="6:16" s="192" customFormat="1" x14ac:dyDescent="0.25">
      <c r="F53" s="250"/>
      <c r="P53" s="193"/>
    </row>
    <row r="54" spans="6:16" s="192" customFormat="1" x14ac:dyDescent="0.25">
      <c r="F54" s="250"/>
      <c r="P54" s="193"/>
    </row>
    <row r="55" spans="6:16" s="192" customFormat="1" x14ac:dyDescent="0.25">
      <c r="F55" s="250"/>
      <c r="P55" s="193"/>
    </row>
    <row r="56" spans="6:16" s="192" customFormat="1" x14ac:dyDescent="0.25">
      <c r="F56" s="250"/>
      <c r="P56" s="193"/>
    </row>
    <row r="57" spans="6:16" s="192" customFormat="1" x14ac:dyDescent="0.25">
      <c r="F57" s="250"/>
      <c r="P57" s="193"/>
    </row>
    <row r="58" spans="6:16" s="192" customFormat="1" x14ac:dyDescent="0.25">
      <c r="F58" s="250"/>
      <c r="P58" s="193"/>
    </row>
    <row r="59" spans="6:16" s="192" customFormat="1" x14ac:dyDescent="0.25">
      <c r="F59" s="250"/>
      <c r="P59" s="193"/>
    </row>
    <row r="60" spans="6:16" s="192" customFormat="1" x14ac:dyDescent="0.25">
      <c r="F60" s="250"/>
      <c r="P60" s="193"/>
    </row>
    <row r="61" spans="6:16" s="192" customFormat="1" x14ac:dyDescent="0.25">
      <c r="F61" s="250"/>
      <c r="P61" s="193"/>
    </row>
    <row r="62" spans="6:16" s="192" customFormat="1" x14ac:dyDescent="0.25">
      <c r="F62" s="250"/>
      <c r="P62" s="193"/>
    </row>
    <row r="63" spans="6:16" s="192" customFormat="1" x14ac:dyDescent="0.25">
      <c r="F63" s="250"/>
      <c r="P63" s="193"/>
    </row>
    <row r="64" spans="6:16" s="192" customFormat="1" x14ac:dyDescent="0.25">
      <c r="F64" s="250"/>
      <c r="P64" s="193"/>
    </row>
    <row r="65" spans="6:16" s="192" customFormat="1" x14ac:dyDescent="0.25">
      <c r="F65" s="250"/>
      <c r="P65" s="193"/>
    </row>
    <row r="66" spans="6:16" s="192" customFormat="1" x14ac:dyDescent="0.25">
      <c r="F66" s="250"/>
      <c r="P66" s="193"/>
    </row>
    <row r="67" spans="6:16" s="192" customFormat="1" x14ac:dyDescent="0.25">
      <c r="F67" s="250"/>
      <c r="P67" s="193"/>
    </row>
    <row r="68" spans="6:16" s="192" customFormat="1" x14ac:dyDescent="0.25">
      <c r="F68" s="250"/>
      <c r="P68" s="193"/>
    </row>
    <row r="69" spans="6:16" s="192" customFormat="1" x14ac:dyDescent="0.25">
      <c r="F69" s="250"/>
      <c r="P69" s="193"/>
    </row>
    <row r="70" spans="6:16" s="192" customFormat="1" x14ac:dyDescent="0.25">
      <c r="F70" s="250"/>
      <c r="P70" s="193"/>
    </row>
    <row r="71" spans="6:16" s="192" customFormat="1" x14ac:dyDescent="0.25">
      <c r="F71" s="250"/>
      <c r="P71" s="193"/>
    </row>
    <row r="72" spans="6:16" s="192" customFormat="1" x14ac:dyDescent="0.25">
      <c r="F72" s="250"/>
      <c r="P72" s="193"/>
    </row>
    <row r="73" spans="6:16" s="192" customFormat="1" x14ac:dyDescent="0.25">
      <c r="F73" s="250"/>
      <c r="P73" s="193"/>
    </row>
    <row r="74" spans="6:16" s="192" customFormat="1" x14ac:dyDescent="0.25">
      <c r="F74" s="250"/>
      <c r="P74" s="193"/>
    </row>
    <row r="75" spans="6:16" s="192" customFormat="1" x14ac:dyDescent="0.25">
      <c r="F75" s="250"/>
      <c r="P75" s="193"/>
    </row>
    <row r="76" spans="6:16" s="192" customFormat="1" x14ac:dyDescent="0.25">
      <c r="F76" s="250"/>
      <c r="P76" s="193"/>
    </row>
    <row r="77" spans="6:16" s="192" customFormat="1" x14ac:dyDescent="0.25">
      <c r="F77" s="250"/>
      <c r="P77" s="193"/>
    </row>
    <row r="78" spans="6:16" s="192" customFormat="1" x14ac:dyDescent="0.25">
      <c r="F78" s="250"/>
      <c r="P78" s="193"/>
    </row>
    <row r="79" spans="6:16" s="192" customFormat="1" x14ac:dyDescent="0.25">
      <c r="F79" s="250"/>
      <c r="P79" s="193"/>
    </row>
    <row r="80" spans="6:16" s="192" customFormat="1" x14ac:dyDescent="0.25">
      <c r="F80" s="250"/>
      <c r="P80" s="193"/>
    </row>
  </sheetData>
  <mergeCells count="17">
    <mergeCell ref="B35:L35"/>
    <mergeCell ref="J6:K6"/>
    <mergeCell ref="L6:L7"/>
    <mergeCell ref="M6:M7"/>
    <mergeCell ref="B9:D9"/>
    <mergeCell ref="B24:D24"/>
    <mergeCell ref="B34:L34"/>
    <mergeCell ref="B2:L2"/>
    <mergeCell ref="B3:M3"/>
    <mergeCell ref="B5:M5"/>
    <mergeCell ref="B6:B7"/>
    <mergeCell ref="C6:C7"/>
    <mergeCell ref="D6:D7"/>
    <mergeCell ref="E6:E7"/>
    <mergeCell ref="F6:F7"/>
    <mergeCell ref="G6:G7"/>
    <mergeCell ref="H6:I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DFD4A1F41F3F4C4CBD71D151710D0613" ma:contentTypeVersion="1333" ma:contentTypeDescription="A content type to manage public (operations) IDB documents" ma:contentTypeScope="" ma:versionID="24063601a05bccf03090b04370e9cee4">
  <xsd:schema xmlns:xsd="http://www.w3.org/2001/XMLSchema" xmlns:xs="http://www.w3.org/2001/XMLSchema" xmlns:p="http://schemas.microsoft.com/office/2006/metadata/properties" xmlns:ns2="cdc7663a-08f0-4737-9e8c-148ce897a09c" targetNamespace="http://schemas.microsoft.com/office/2006/metadata/properties" ma:root="true" ma:fieldsID="be458e9a7a74465ee295cf52fbf364f6"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 - Simultaneous Disclosure</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Uruguay</TermName>
          <TermId xmlns="http://schemas.microsoft.com/office/infopath/2007/PartnerControls">5d9b6fdd-d595-4446-a0eb-c14b465f6d0e</TermId>
        </TermInfo>
      </Terms>
    </ic46d7e087fd4a108fb86518ca413cc6>
    <IDBDocs_x0020_Number xmlns="cdc7663a-08f0-4737-9e8c-148ce897a09c" xsi:nil="true"/>
    <Division_x0020_or_x0020_Unit xmlns="cdc7663a-08f0-4737-9e8c-148ce897a09c">INE/TSP</Division_x0020_or_x0020_Unit>
    <Fiscal_x0020_Year_x0020_IDB xmlns="cdc7663a-08f0-4737-9e8c-148ce897a09c">2019</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ACTIVE</Phase>
    <Document_x0020_Author xmlns="cdc7663a-08f0-4737-9e8c-148ce897a09c">Barrantes Quiros, Silvia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ROAD MAINTENANCE</TermName>
          <TermId xmlns="http://schemas.microsoft.com/office/infopath/2007/PartnerControls">bff63574-63a7-4123-8305-a35845fccb07</TermId>
        </TermInfo>
      </Terms>
    </b2ec7cfb18674cb8803df6b262e8b107>
    <Business_x0020_Area xmlns="cdc7663a-08f0-4737-9e8c-148ce897a09c">Life Cycle</Business_x0020_Area>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48</Value>
      <Value>32</Value>
      <Value>3</Value>
      <Value>30</Value>
      <Value>49</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UR-L1153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TRANSPORT</TermName>
          <TermId xmlns="http://schemas.microsoft.com/office/infopath/2007/PartnerControls">5a25d1a8-4baf-41a8-9e3b-e167accda6ea</TermId>
        </TermInfo>
      </Terms>
    </nddeef1749674d76abdbe4b239a70bc6>
    <Record_x0020_Number xmlns="cdc7663a-08f0-4737-9e8c-148ce897a09c" xsi:nil="true"/>
    <_dlc_DocId xmlns="cdc7663a-08f0-4737-9e8c-148ce897a09c">EZSHARE-1577213283-65</_dlc_DocId>
    <_dlc_DocIdUrl xmlns="cdc7663a-08f0-4737-9e8c-148ce897a09c">
      <Url>https://idbg.sharepoint.com/teams/EZ-UR-LON/UR-L1153/_layouts/15/DocIdRedir.aspx?ID=EZSHARE-1577213283-65</Url>
      <Description>EZSHARE-1577213283-65</Description>
    </_dlc_DocIdUrl>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749AD8FC-BABD-47BE-A3E5-3E375BA693A7}"/>
</file>

<file path=customXml/itemProps2.xml><?xml version="1.0" encoding="utf-8"?>
<ds:datastoreItem xmlns:ds="http://schemas.openxmlformats.org/officeDocument/2006/customXml" ds:itemID="{47C99609-9CF5-4E8B-8015-34898ADCC06C}"/>
</file>

<file path=customXml/itemProps3.xml><?xml version="1.0" encoding="utf-8"?>
<ds:datastoreItem xmlns:ds="http://schemas.openxmlformats.org/officeDocument/2006/customXml" ds:itemID="{363CD744-22AE-4A81-ACDF-577423773B7D}"/>
</file>

<file path=customXml/itemProps4.xml><?xml version="1.0" encoding="utf-8"?>
<ds:datastoreItem xmlns:ds="http://schemas.openxmlformats.org/officeDocument/2006/customXml" ds:itemID="{4A4C4B07-4305-4E7D-BB62-3BD97925A5C5}"/>
</file>

<file path=customXml/itemProps5.xml><?xml version="1.0" encoding="utf-8"?>
<ds:datastoreItem xmlns:ds="http://schemas.openxmlformats.org/officeDocument/2006/customXml" ds:itemID="{836A8680-FB47-49C8-9918-B8CF82C195B2}"/>
</file>

<file path=customXml/itemProps6.xml><?xml version="1.0" encoding="utf-8"?>
<ds:datastoreItem xmlns:ds="http://schemas.openxmlformats.org/officeDocument/2006/customXml" ds:itemID="{BE102B77-36C6-41CE-B083-D83E8F1F85A6}"/>
</file>

<file path=docProps/app.xml><?xml version="1.0" encoding="utf-8"?>
<Properties xmlns="http://schemas.openxmlformats.org/officeDocument/2006/extended-properties" xmlns:vt="http://schemas.openxmlformats.org/officeDocument/2006/docPropsVTypes">
  <TotalTime>25</TotalTime>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Sectores de elegibilidad</vt:lpstr>
      <vt:lpstr>Matriz de Resultados</vt:lpstr>
      <vt:lpstr>Matriz de productos</vt:lpstr>
      <vt:lpstr>CUADRO COSTOS</vt:lpstr>
      <vt:lpstr> Staff </vt:lpstr>
      <vt:lpstr>PEP</vt:lpstr>
      <vt:lpstr>Gráfico ejec.financiera</vt:lpstr>
      <vt:lpstr>Monto adj vs pr. oficina</vt:lpstr>
      <vt:lpstr>PA</vt:lpstr>
      <vt:lpstr>POA</vt:lpstr>
      <vt:lpstr>'CUADRO COSTOS'!Print_Area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keywords/>
  <cp:lastModifiedBy>Facal Lazaro,Carlos Javier</cp:lastModifiedBy>
  <cp:revision>4</cp:revision>
  <cp:lastPrinted>2018-05-22T11:34:10Z</cp:lastPrinted>
  <dcterms:created xsi:type="dcterms:W3CDTF">2016-04-14T16:36:51Z</dcterms:created>
  <dcterms:modified xsi:type="dcterms:W3CDTF">2019-05-22T16:04:12Z</dcterms:modified>
  <dc:language>es-UY</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9" name="TaxKeyword">
    <vt:lpwstr/>
  </property>
  <property fmtid="{D5CDD505-2E9C-101B-9397-08002B2CF9AE}" pid="10" name="TaxKeywordTaxHTField">
    <vt:lpwstr/>
  </property>
  <property fmtid="{D5CDD505-2E9C-101B-9397-08002B2CF9AE}" pid="11" name="Series Operations IDB">
    <vt:lpwstr/>
  </property>
  <property fmtid="{D5CDD505-2E9C-101B-9397-08002B2CF9AE}" pid="12" name="Sub-Sector">
    <vt:lpwstr>49;#ROAD MAINTENANCE|bff63574-63a7-4123-8305-a35845fccb07</vt:lpwstr>
  </property>
  <property fmtid="{D5CDD505-2E9C-101B-9397-08002B2CF9AE}" pid="13" name="Fund IDB">
    <vt:lpwstr>30;#ORC|c028a4b2-ad8b-4cf4-9cac-a2ae6a778e23</vt:lpwstr>
  </property>
  <property fmtid="{D5CDD505-2E9C-101B-9397-08002B2CF9AE}" pid="14" name="Country">
    <vt:lpwstr>32;#Uruguay|5d9b6fdd-d595-4446-a0eb-c14b465f6d0e</vt:lpwstr>
  </property>
  <property fmtid="{D5CDD505-2E9C-101B-9397-08002B2CF9AE}" pid="15" name="Sector IDB">
    <vt:lpwstr>48;#TRANSPORT|5a25d1a8-4baf-41a8-9e3b-e167accda6ea</vt:lpwstr>
  </property>
  <property fmtid="{D5CDD505-2E9C-101B-9397-08002B2CF9AE}" pid="16" name="Function Operations IDB">
    <vt:lpwstr>3;#Project Administration|751f71fd-1433-4702-a2db-ff12a4e45594</vt:lpwstr>
  </property>
  <property fmtid="{D5CDD505-2E9C-101B-9397-08002B2CF9AE}" pid="17" name="_dlc_DocIdItemGuid">
    <vt:lpwstr>64d5814b-f33c-45c4-9f63-f023ac9ca20a</vt:lpwstr>
  </property>
  <property fmtid="{D5CDD505-2E9C-101B-9397-08002B2CF9AE}" pid="18" name="Disclosure Activity">
    <vt:lpwstr>Loan Proposal</vt:lpwstr>
  </property>
  <property fmtid="{D5CDD505-2E9C-101B-9397-08002B2CF9AE}" pid="19" name="ContentTypeId">
    <vt:lpwstr>0x0101001A458A224826124E8B45B1D613300CFC00DFD4A1F41F3F4C4CBD71D151710D0613</vt:lpwstr>
  </property>
</Properties>
</file>