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5360" windowHeight="7755" tabRatio="952" activeTab="6"/>
  </bookViews>
  <sheets>
    <sheet name="Resumen" sheetId="13" r:id="rId1"/>
    <sheet name="Componentes" sheetId="11" r:id="rId2"/>
    <sheet name="Administración_ME_Auditoria" sheetId="4" r:id="rId3"/>
    <sheet name="Costos RRHH" sheetId="10" r:id="rId4"/>
    <sheet name="Detalle costos Componentes" sheetId="12" r:id="rId5"/>
    <sheet name="Gestión Municipal" sheetId="16" r:id="rId6"/>
    <sheet name="Practicas a la Poblacion (PIPs)" sheetId="17" r:id="rId7"/>
    <sheet name="PISo_BID" sheetId="18" r:id="rId8"/>
  </sheets>
  <externalReferences>
    <externalReference r:id="rId9"/>
    <externalReference r:id="rId10"/>
  </externalReferences>
  <calcPr calcId="152511"/>
</workbook>
</file>

<file path=xl/calcChain.xml><?xml version="1.0" encoding="utf-8"?>
<calcChain xmlns="http://schemas.openxmlformats.org/spreadsheetml/2006/main">
  <c r="D48" i="11" l="1"/>
  <c r="D49" i="11"/>
  <c r="D50" i="11"/>
  <c r="D51" i="11"/>
  <c r="D52" i="11"/>
  <c r="D53" i="11"/>
  <c r="D54" i="11"/>
  <c r="D55" i="11"/>
  <c r="D56" i="11"/>
  <c r="D57" i="11"/>
  <c r="D58" i="11"/>
  <c r="D47" i="11"/>
  <c r="D59" i="11"/>
  <c r="H48" i="11"/>
  <c r="H49" i="11"/>
  <c r="H50" i="11"/>
  <c r="H51" i="11"/>
  <c r="H52" i="11"/>
  <c r="H53" i="11"/>
  <c r="H54" i="11"/>
  <c r="H55" i="11"/>
  <c r="H56" i="11"/>
  <c r="H57" i="11"/>
  <c r="H58" i="11"/>
  <c r="H47" i="11"/>
  <c r="E60" i="11" l="1"/>
  <c r="F34" i="18" l="1"/>
  <c r="E34" i="18" s="1"/>
  <c r="D34" i="18"/>
  <c r="F33" i="18"/>
  <c r="E33" i="18" s="1"/>
  <c r="D33" i="18"/>
  <c r="F32" i="18"/>
  <c r="E32" i="18" s="1"/>
  <c r="D32" i="18"/>
  <c r="F31" i="18"/>
  <c r="E31" i="18" s="1"/>
  <c r="D31" i="18"/>
  <c r="F30" i="18"/>
  <c r="E30" i="18" s="1"/>
  <c r="D30" i="18"/>
  <c r="F29" i="18"/>
  <c r="E29" i="18" s="1"/>
  <c r="D29" i="18"/>
  <c r="F28" i="18"/>
  <c r="E28" i="18" s="1"/>
  <c r="D28" i="18"/>
  <c r="G26" i="18"/>
  <c r="E26" i="18"/>
  <c r="D22" i="18"/>
  <c r="F22" i="18" s="1"/>
  <c r="G22" i="18" s="1"/>
  <c r="G20" i="18"/>
  <c r="F20" i="18"/>
  <c r="D16" i="18"/>
  <c r="F16" i="18" s="1"/>
  <c r="G16" i="18" s="1"/>
  <c r="F15" i="18"/>
  <c r="G15" i="18" s="1"/>
  <c r="F14" i="18"/>
  <c r="G14" i="18" s="1"/>
  <c r="F13" i="18"/>
  <c r="G13" i="18" s="1"/>
  <c r="F12" i="18"/>
  <c r="F11" i="18" s="1"/>
  <c r="D11" i="18"/>
  <c r="G10" i="18"/>
  <c r="F10" i="18"/>
  <c r="G9" i="18"/>
  <c r="F9" i="18"/>
  <c r="G8" i="18"/>
  <c r="G6" i="18" s="1"/>
  <c r="F8" i="18"/>
  <c r="G7" i="18"/>
  <c r="F7" i="18"/>
  <c r="F6" i="18" s="1"/>
  <c r="D6" i="18"/>
  <c r="D23" i="18" s="1"/>
  <c r="F23" i="18" s="1"/>
  <c r="G23" i="18" s="1"/>
  <c r="F5" i="18"/>
  <c r="D27" i="18" l="1"/>
  <c r="F27" i="18"/>
  <c r="G5" i="18"/>
  <c r="G12" i="18"/>
  <c r="G11" i="18" s="1"/>
  <c r="D21" i="18"/>
  <c r="F21" i="18" s="1"/>
  <c r="G28" i="18"/>
  <c r="G29" i="18"/>
  <c r="G30" i="18"/>
  <c r="G31" i="18"/>
  <c r="G32" i="18"/>
  <c r="G33" i="18"/>
  <c r="G34" i="18"/>
  <c r="D18" i="18"/>
  <c r="F18" i="18" s="1"/>
  <c r="G18" i="18" s="1"/>
  <c r="D25" i="18"/>
  <c r="F25" i="18" s="1"/>
  <c r="G25" i="18" s="1"/>
  <c r="D17" i="18"/>
  <c r="F17" i="18" s="1"/>
  <c r="G17" i="18" s="1"/>
  <c r="G4" i="18" l="1"/>
  <c r="G27" i="18"/>
  <c r="G21" i="18"/>
  <c r="G19" i="18" s="1"/>
  <c r="F19" i="18"/>
  <c r="F36" i="18" s="1"/>
  <c r="F4" i="18"/>
  <c r="F37" i="18" l="1"/>
  <c r="F38" i="18" s="1"/>
  <c r="E59" i="11" s="1"/>
  <c r="G36" i="18"/>
  <c r="G37" i="18" l="1"/>
  <c r="G38" i="18" s="1"/>
  <c r="E23" i="4" l="1"/>
  <c r="G23" i="4" s="1"/>
  <c r="E2" i="12"/>
  <c r="D2" i="12"/>
  <c r="D80" i="12"/>
  <c r="E80" i="12"/>
  <c r="F80" i="12"/>
  <c r="G80" i="12"/>
  <c r="I80" i="12"/>
  <c r="K80" i="12"/>
  <c r="D81" i="12"/>
  <c r="E81" i="12"/>
  <c r="F81" i="12"/>
  <c r="G81" i="12"/>
  <c r="H81" i="12"/>
  <c r="I81" i="12"/>
  <c r="K81" i="12"/>
  <c r="D82" i="12"/>
  <c r="E82" i="12"/>
  <c r="F82" i="12"/>
  <c r="G82" i="12"/>
  <c r="H82" i="12"/>
  <c r="I82" i="12"/>
  <c r="K82" i="12"/>
  <c r="D83" i="12"/>
  <c r="E83" i="12"/>
  <c r="F83" i="12"/>
  <c r="G83" i="12"/>
  <c r="H83" i="12"/>
  <c r="I83" i="12"/>
  <c r="K83" i="12"/>
  <c r="D84" i="12"/>
  <c r="E84" i="12"/>
  <c r="F84" i="12"/>
  <c r="G84" i="12"/>
  <c r="H84" i="12"/>
  <c r="K84" i="12"/>
  <c r="D85" i="12"/>
  <c r="F85" i="12"/>
  <c r="G85" i="12"/>
  <c r="H85" i="12"/>
  <c r="I85" i="12"/>
  <c r="K85" i="12"/>
  <c r="D86" i="12"/>
  <c r="F86" i="12"/>
  <c r="G86" i="12"/>
  <c r="H86" i="12"/>
  <c r="I86" i="12"/>
  <c r="K86" i="12"/>
  <c r="D87" i="12"/>
  <c r="E87" i="12"/>
  <c r="F87" i="12"/>
  <c r="G87" i="12"/>
  <c r="H87" i="12"/>
  <c r="I87" i="12"/>
  <c r="K87" i="12"/>
  <c r="D88" i="12"/>
  <c r="F88" i="12"/>
  <c r="G88" i="12"/>
  <c r="H88" i="12"/>
  <c r="I88" i="12"/>
  <c r="K88" i="12"/>
  <c r="D89" i="12"/>
  <c r="E89" i="12"/>
  <c r="F89" i="12"/>
  <c r="G89" i="12"/>
  <c r="H89" i="12"/>
  <c r="I89" i="12"/>
  <c r="K89" i="12"/>
  <c r="D90" i="12"/>
  <c r="E90" i="12"/>
  <c r="F90" i="12"/>
  <c r="H90" i="12"/>
  <c r="K90" i="12"/>
  <c r="D91" i="12"/>
  <c r="E91" i="12"/>
  <c r="F91" i="12"/>
  <c r="G91" i="12"/>
  <c r="I91" i="12"/>
  <c r="K91" i="12"/>
  <c r="D92" i="12"/>
  <c r="F92" i="12"/>
  <c r="G92" i="12"/>
  <c r="I92" i="12"/>
  <c r="K92" i="12"/>
  <c r="D93" i="12"/>
  <c r="E93" i="12"/>
  <c r="F93" i="12"/>
  <c r="G93" i="12"/>
  <c r="H93" i="12"/>
  <c r="I93" i="12"/>
  <c r="K93" i="12"/>
  <c r="D94" i="12"/>
  <c r="E94" i="12"/>
  <c r="F94" i="12"/>
  <c r="G94" i="12"/>
  <c r="H94" i="12"/>
  <c r="I94" i="12"/>
  <c r="K94" i="12"/>
  <c r="D95" i="12"/>
  <c r="E95" i="12"/>
  <c r="F95" i="12"/>
  <c r="G95" i="12"/>
  <c r="H95" i="12"/>
  <c r="I95" i="12"/>
  <c r="K95" i="12"/>
  <c r="D96" i="12"/>
  <c r="F96" i="12"/>
  <c r="G96" i="12"/>
  <c r="H96" i="12"/>
  <c r="I96" i="12"/>
  <c r="K96" i="12"/>
  <c r="D97" i="12"/>
  <c r="F97" i="12"/>
  <c r="K97" i="12"/>
  <c r="F116" i="12"/>
  <c r="F115" i="12" s="1"/>
  <c r="G116" i="12"/>
  <c r="H116" i="12"/>
  <c r="I116" i="12"/>
  <c r="K116" i="12" s="1"/>
  <c r="H117" i="12"/>
  <c r="J117" i="12" s="1"/>
  <c r="I117" i="12"/>
  <c r="K117" i="12" s="1"/>
  <c r="K166" i="12" s="1"/>
  <c r="H118" i="12"/>
  <c r="J118" i="12" s="1"/>
  <c r="I118" i="12"/>
  <c r="D120" i="12"/>
  <c r="E120" i="12" s="1"/>
  <c r="F120" i="12"/>
  <c r="J120" i="12"/>
  <c r="K120" i="12" s="1"/>
  <c r="F121" i="12"/>
  <c r="G121" i="12"/>
  <c r="J121" i="12"/>
  <c r="D122" i="12"/>
  <c r="E122" i="12" s="1"/>
  <c r="F229" i="12" s="1"/>
  <c r="F264" i="12" s="1"/>
  <c r="F122" i="12"/>
  <c r="G122" i="12" s="1"/>
  <c r="G171" i="12" s="1"/>
  <c r="F123" i="12"/>
  <c r="G123" i="12"/>
  <c r="J123" i="12"/>
  <c r="D124" i="12"/>
  <c r="D119" i="12" s="1"/>
  <c r="F124" i="12"/>
  <c r="G124" i="12" s="1"/>
  <c r="F125" i="12"/>
  <c r="G125" i="12"/>
  <c r="J125" i="12"/>
  <c r="F127" i="12"/>
  <c r="H129" i="12"/>
  <c r="H130" i="12"/>
  <c r="J130" i="12" s="1"/>
  <c r="I130" i="12"/>
  <c r="K130" i="12" s="1"/>
  <c r="K179" i="12" s="1"/>
  <c r="D131" i="12"/>
  <c r="E131" i="12"/>
  <c r="E128" i="12" s="1"/>
  <c r="F131" i="12"/>
  <c r="F128" i="12" s="1"/>
  <c r="G131" i="12"/>
  <c r="K131" i="12" s="1"/>
  <c r="K180" i="12" s="1"/>
  <c r="J131" i="12"/>
  <c r="H132" i="12"/>
  <c r="I132" i="12"/>
  <c r="J132" i="12"/>
  <c r="H133" i="12"/>
  <c r="D139" i="12"/>
  <c r="F139" i="12"/>
  <c r="G139" i="12" s="1"/>
  <c r="D141" i="12"/>
  <c r="F141" i="12"/>
  <c r="G141" i="12"/>
  <c r="K153" i="12"/>
  <c r="F154" i="12"/>
  <c r="H154" i="12" s="1"/>
  <c r="D164" i="12"/>
  <c r="E164" i="12"/>
  <c r="F165" i="12"/>
  <c r="F164" i="12" s="1"/>
  <c r="H165" i="12"/>
  <c r="H164" i="12" s="1"/>
  <c r="I165" i="12"/>
  <c r="H166" i="12"/>
  <c r="I166" i="12"/>
  <c r="H167" i="12"/>
  <c r="D169" i="12"/>
  <c r="F169" i="12"/>
  <c r="J169" i="12"/>
  <c r="D170" i="12"/>
  <c r="E170" i="12"/>
  <c r="F170" i="12"/>
  <c r="G170" i="12"/>
  <c r="J170" i="12"/>
  <c r="D171" i="12"/>
  <c r="F171" i="12"/>
  <c r="D172" i="12"/>
  <c r="E172" i="12"/>
  <c r="F172" i="12"/>
  <c r="G172" i="12"/>
  <c r="D173" i="12"/>
  <c r="F173" i="12"/>
  <c r="G173" i="12"/>
  <c r="D174" i="12"/>
  <c r="E174" i="12"/>
  <c r="F174" i="12"/>
  <c r="G174" i="12"/>
  <c r="J174" i="12"/>
  <c r="D176" i="12"/>
  <c r="E176" i="12"/>
  <c r="H178" i="12"/>
  <c r="H179" i="12"/>
  <c r="H177" i="12" s="1"/>
  <c r="I179" i="12"/>
  <c r="J179" i="12"/>
  <c r="D180" i="12"/>
  <c r="J208" i="12" s="1"/>
  <c r="E180" i="12"/>
  <c r="E177" i="12" s="1"/>
  <c r="F180" i="12"/>
  <c r="F177" i="12" s="1"/>
  <c r="G180" i="12"/>
  <c r="G177" i="12" s="1"/>
  <c r="J180" i="12"/>
  <c r="H181" i="12"/>
  <c r="I181" i="12"/>
  <c r="J181" i="12"/>
  <c r="H182" i="12"/>
  <c r="D184" i="12"/>
  <c r="E184" i="12" s="1"/>
  <c r="G184" i="12"/>
  <c r="H184" i="12"/>
  <c r="D185" i="12"/>
  <c r="E185" i="12"/>
  <c r="G185" i="12"/>
  <c r="H185" i="12"/>
  <c r="D186" i="12"/>
  <c r="H186" i="12" s="1"/>
  <c r="G186" i="12"/>
  <c r="H188" i="12"/>
  <c r="H189" i="12"/>
  <c r="I189" i="12"/>
  <c r="I188" i="12" s="1"/>
  <c r="H190" i="12"/>
  <c r="I190" i="12" s="1"/>
  <c r="H191" i="12"/>
  <c r="I191" i="12"/>
  <c r="H192" i="12"/>
  <c r="I192" i="12" s="1"/>
  <c r="F193" i="12"/>
  <c r="F200" i="12" s="1"/>
  <c r="D194" i="12"/>
  <c r="F194" i="12"/>
  <c r="G194" i="12"/>
  <c r="G193" i="12" s="1"/>
  <c r="G200" i="12" s="1"/>
  <c r="F195" i="12"/>
  <c r="G195" i="12"/>
  <c r="I195" i="12" s="1"/>
  <c r="H195" i="12"/>
  <c r="D196" i="12"/>
  <c r="E196" i="12"/>
  <c r="F196" i="12"/>
  <c r="F197" i="12"/>
  <c r="D198" i="12"/>
  <c r="E198" i="12" s="1"/>
  <c r="I198" i="12" s="1"/>
  <c r="F198" i="12"/>
  <c r="G198" i="12"/>
  <c r="H198" i="12"/>
  <c r="F199" i="12"/>
  <c r="G199" i="12"/>
  <c r="I199" i="12" s="1"/>
  <c r="H199" i="12"/>
  <c r="D201" i="12"/>
  <c r="E201" i="12"/>
  <c r="F201" i="12"/>
  <c r="G201" i="12"/>
  <c r="H201" i="12"/>
  <c r="D202" i="12"/>
  <c r="E202" i="12"/>
  <c r="F202" i="12"/>
  <c r="G202" i="12"/>
  <c r="H202" i="12"/>
  <c r="I202" i="12"/>
  <c r="E203" i="12"/>
  <c r="F203" i="12"/>
  <c r="G203" i="12"/>
  <c r="H203" i="12"/>
  <c r="I203" i="12"/>
  <c r="D204" i="12"/>
  <c r="E204" i="12"/>
  <c r="F204" i="12"/>
  <c r="G204" i="12"/>
  <c r="H204" i="12"/>
  <c r="D205" i="12"/>
  <c r="E205" i="12"/>
  <c r="F205" i="12"/>
  <c r="G205" i="12"/>
  <c r="H205" i="12"/>
  <c r="K208" i="12"/>
  <c r="E223" i="12"/>
  <c r="E222" i="12" s="1"/>
  <c r="F223" i="12"/>
  <c r="G223" i="12"/>
  <c r="F224" i="12"/>
  <c r="G224" i="12" s="1"/>
  <c r="D227" i="12"/>
  <c r="D262" i="12" s="1"/>
  <c r="E227" i="12"/>
  <c r="D228" i="12"/>
  <c r="D263" i="12" s="1"/>
  <c r="E228" i="12"/>
  <c r="F228" i="12"/>
  <c r="D229" i="12"/>
  <c r="D264" i="12" s="1"/>
  <c r="E229" i="12"/>
  <c r="D230" i="12"/>
  <c r="E230" i="12"/>
  <c r="G230" i="12" s="1"/>
  <c r="F230" i="12"/>
  <c r="D231" i="12"/>
  <c r="E231" i="12"/>
  <c r="D232" i="12"/>
  <c r="G232" i="12" s="1"/>
  <c r="E232" i="12"/>
  <c r="F232" i="12"/>
  <c r="E234" i="12"/>
  <c r="E233" i="12" s="1"/>
  <c r="D236" i="12"/>
  <c r="E236" i="12"/>
  <c r="D237" i="12"/>
  <c r="E237" i="12"/>
  <c r="F237" i="12"/>
  <c r="E238" i="12"/>
  <c r="F238" i="12"/>
  <c r="F273" i="12" s="1"/>
  <c r="D239" i="12"/>
  <c r="E239" i="12"/>
  <c r="F239" i="12"/>
  <c r="D240" i="12"/>
  <c r="C243" i="12"/>
  <c r="D243" i="12"/>
  <c r="D258" i="12"/>
  <c r="E258" i="12"/>
  <c r="G258" i="12" s="1"/>
  <c r="F258" i="12"/>
  <c r="D259" i="12"/>
  <c r="E259" i="12"/>
  <c r="F259" i="12"/>
  <c r="D260" i="12"/>
  <c r="E260" i="12"/>
  <c r="E262" i="12"/>
  <c r="E263" i="12"/>
  <c r="F263" i="12"/>
  <c r="E264" i="12"/>
  <c r="D265" i="12"/>
  <c r="G265" i="12" s="1"/>
  <c r="E265" i="12"/>
  <c r="F265" i="12"/>
  <c r="D266" i="12"/>
  <c r="E266" i="12"/>
  <c r="D267" i="12"/>
  <c r="E267" i="12"/>
  <c r="F267" i="12"/>
  <c r="D269" i="12"/>
  <c r="E269" i="12"/>
  <c r="E268" i="12" s="1"/>
  <c r="D271" i="12"/>
  <c r="D272" i="12"/>
  <c r="E272" i="12"/>
  <c r="E273" i="12"/>
  <c r="D274" i="12"/>
  <c r="F274" i="12"/>
  <c r="D275" i="12"/>
  <c r="E275" i="12"/>
  <c r="G59" i="11"/>
  <c r="E39" i="4"/>
  <c r="G56" i="4"/>
  <c r="G51" i="4"/>
  <c r="G47" i="4"/>
  <c r="E43" i="4"/>
  <c r="F43" i="4" s="1"/>
  <c r="E41" i="4"/>
  <c r="F41" i="4" s="1"/>
  <c r="F39" i="4"/>
  <c r="C57" i="4"/>
  <c r="E57" i="4" s="1"/>
  <c r="F57" i="4" s="1"/>
  <c r="C56" i="4"/>
  <c r="E56" i="4" s="1"/>
  <c r="F56" i="4" s="1"/>
  <c r="C55" i="4"/>
  <c r="E55" i="4" s="1"/>
  <c r="F55" i="4" s="1"/>
  <c r="C54" i="4"/>
  <c r="E54" i="4" s="1"/>
  <c r="F54" i="4" s="1"/>
  <c r="C52" i="4"/>
  <c r="E52" i="4" s="1"/>
  <c r="F52" i="4" s="1"/>
  <c r="C51" i="4"/>
  <c r="E51" i="4" s="1"/>
  <c r="F51" i="4" s="1"/>
  <c r="C47" i="4"/>
  <c r="E47" i="4" s="1"/>
  <c r="F47" i="4" s="1"/>
  <c r="C46" i="4"/>
  <c r="E46" i="4" s="1"/>
  <c r="F46" i="4" s="1"/>
  <c r="G52" i="4" l="1"/>
  <c r="G57" i="4"/>
  <c r="G54" i="4"/>
  <c r="G46" i="4"/>
  <c r="G55" i="4"/>
  <c r="G267" i="12"/>
  <c r="G263" i="12"/>
  <c r="H128" i="12"/>
  <c r="G142" i="12"/>
  <c r="F119" i="12"/>
  <c r="H115" i="12"/>
  <c r="G264" i="12"/>
  <c r="E226" i="12"/>
  <c r="G128" i="12"/>
  <c r="E124" i="12"/>
  <c r="E261" i="12"/>
  <c r="F168" i="12"/>
  <c r="J129" i="12"/>
  <c r="J178" i="12" s="1"/>
  <c r="J116" i="12"/>
  <c r="G239" i="12"/>
  <c r="E235" i="12"/>
  <c r="D168" i="12"/>
  <c r="L131" i="12"/>
  <c r="I129" i="12"/>
  <c r="J124" i="12"/>
  <c r="J122" i="12"/>
  <c r="I115" i="12"/>
  <c r="E221" i="12"/>
  <c r="E194" i="12"/>
  <c r="D193" i="12"/>
  <c r="D200" i="12" s="1"/>
  <c r="E173" i="12"/>
  <c r="F231" i="12"/>
  <c r="E119" i="12"/>
  <c r="E114" i="12" s="1"/>
  <c r="E169" i="12"/>
  <c r="F272" i="12"/>
  <c r="G272" i="12" s="1"/>
  <c r="E257" i="12"/>
  <c r="G228" i="12"/>
  <c r="D226" i="12"/>
  <c r="G197" i="12"/>
  <c r="I197" i="12" s="1"/>
  <c r="H197" i="12"/>
  <c r="H194" i="12"/>
  <c r="H193" i="12" s="1"/>
  <c r="E186" i="12"/>
  <c r="I186" i="12" s="1"/>
  <c r="I185" i="12"/>
  <c r="I184" i="12"/>
  <c r="D128" i="12"/>
  <c r="D203" i="12"/>
  <c r="D238" i="12"/>
  <c r="G127" i="12"/>
  <c r="J127" i="12"/>
  <c r="F176" i="12"/>
  <c r="F175" i="12" s="1"/>
  <c r="F126" i="12"/>
  <c r="J176" i="12"/>
  <c r="J175" i="12" s="1"/>
  <c r="G229" i="12"/>
  <c r="H200" i="12"/>
  <c r="D177" i="12"/>
  <c r="D163" i="12" s="1"/>
  <c r="E141" i="12"/>
  <c r="I141" i="12" s="1"/>
  <c r="H141" i="12"/>
  <c r="K132" i="12"/>
  <c r="K181" i="12" s="1"/>
  <c r="I204" i="12"/>
  <c r="D114" i="12"/>
  <c r="E274" i="12"/>
  <c r="G274" i="12" s="1"/>
  <c r="E271" i="12"/>
  <c r="G237" i="12"/>
  <c r="G259" i="12"/>
  <c r="D261" i="12"/>
  <c r="G196" i="12"/>
  <c r="I196" i="12" s="1"/>
  <c r="H196" i="12"/>
  <c r="E171" i="12"/>
  <c r="H163" i="12"/>
  <c r="H183" i="12" s="1"/>
  <c r="K118" i="12"/>
  <c r="K167" i="12" s="1"/>
  <c r="I167" i="12"/>
  <c r="I164" i="12" s="1"/>
  <c r="F225" i="12"/>
  <c r="H114" i="12"/>
  <c r="H134" i="12" s="1"/>
  <c r="F114" i="12"/>
  <c r="D235" i="12"/>
  <c r="E139" i="12"/>
  <c r="L130" i="12"/>
  <c r="K169" i="12"/>
  <c r="J167" i="12"/>
  <c r="L116" i="12"/>
  <c r="K165" i="12"/>
  <c r="G115" i="12"/>
  <c r="G165" i="12"/>
  <c r="G164" i="12" s="1"/>
  <c r="F163" i="12"/>
  <c r="H139" i="12"/>
  <c r="I133" i="12"/>
  <c r="I128" i="12" s="1"/>
  <c r="I114" i="12" s="1"/>
  <c r="I134" i="12" s="1"/>
  <c r="J133" i="12"/>
  <c r="J128" i="12"/>
  <c r="K125" i="12"/>
  <c r="K174" i="12" s="1"/>
  <c r="K123" i="12"/>
  <c r="K172" i="12" s="1"/>
  <c r="J172" i="12"/>
  <c r="K121" i="12"/>
  <c r="K170" i="12" s="1"/>
  <c r="L120" i="12"/>
  <c r="J119" i="12"/>
  <c r="L117" i="12"/>
  <c r="L166" i="12" s="1"/>
  <c r="J166" i="12"/>
  <c r="G120" i="12"/>
  <c r="K124" i="12" l="1"/>
  <c r="J173" i="12"/>
  <c r="K129" i="12"/>
  <c r="I201" i="12"/>
  <c r="F236" i="12"/>
  <c r="I178" i="12"/>
  <c r="L180" i="12"/>
  <c r="J203" i="12"/>
  <c r="J115" i="12"/>
  <c r="J165" i="12"/>
  <c r="J164" i="12" s="1"/>
  <c r="K122" i="12"/>
  <c r="J171" i="12"/>
  <c r="J168" i="12" s="1"/>
  <c r="E270" i="12"/>
  <c r="E256" i="12"/>
  <c r="G119" i="12"/>
  <c r="G169" i="12"/>
  <c r="G168" i="12" s="1"/>
  <c r="K164" i="12"/>
  <c r="L118" i="12"/>
  <c r="L167" i="12" s="1"/>
  <c r="K127" i="12"/>
  <c r="K126" i="12" s="1"/>
  <c r="G126" i="12"/>
  <c r="K176" i="12"/>
  <c r="K175" i="12" s="1"/>
  <c r="G176" i="12"/>
  <c r="G175" i="12" s="1"/>
  <c r="F234" i="12"/>
  <c r="D221" i="12"/>
  <c r="G231" i="12"/>
  <c r="F266" i="12"/>
  <c r="G266" i="12" s="1"/>
  <c r="I194" i="12"/>
  <c r="I193" i="12" s="1"/>
  <c r="I200" i="12" s="1"/>
  <c r="E193" i="12"/>
  <c r="E200" i="12" s="1"/>
  <c r="J126" i="12"/>
  <c r="J114" i="12" s="1"/>
  <c r="L127" i="12"/>
  <c r="L169" i="12"/>
  <c r="L125" i="12"/>
  <c r="L174" i="12" s="1"/>
  <c r="J182" i="12"/>
  <c r="J177" i="12" s="1"/>
  <c r="L115" i="12"/>
  <c r="L165" i="12"/>
  <c r="I139" i="12"/>
  <c r="F260" i="12"/>
  <c r="G225" i="12"/>
  <c r="G222" i="12" s="1"/>
  <c r="F222" i="12"/>
  <c r="L132" i="12"/>
  <c r="F227" i="12"/>
  <c r="J202" i="12"/>
  <c r="L179" i="12"/>
  <c r="L121" i="12"/>
  <c r="L170" i="12" s="1"/>
  <c r="L123" i="12"/>
  <c r="L172" i="12" s="1"/>
  <c r="K133" i="12"/>
  <c r="K182" i="12" s="1"/>
  <c r="I205" i="12"/>
  <c r="I182" i="12"/>
  <c r="I177" i="12" s="1"/>
  <c r="I163" i="12" s="1"/>
  <c r="I183" i="12" s="1"/>
  <c r="F240" i="12"/>
  <c r="G163" i="12"/>
  <c r="K115" i="12"/>
  <c r="K119" i="12"/>
  <c r="G238" i="12"/>
  <c r="D273" i="12"/>
  <c r="E168" i="12"/>
  <c r="E163" i="12" s="1"/>
  <c r="F271" i="12" l="1"/>
  <c r="G271" i="12" s="1"/>
  <c r="G236" i="12"/>
  <c r="J163" i="12"/>
  <c r="G114" i="12"/>
  <c r="K173" i="12"/>
  <c r="L124" i="12"/>
  <c r="L173" i="12" s="1"/>
  <c r="K171" i="12"/>
  <c r="L122" i="12"/>
  <c r="L171" i="12" s="1"/>
  <c r="L168" i="12" s="1"/>
  <c r="K178" i="12"/>
  <c r="K177" i="12" s="1"/>
  <c r="L129" i="12"/>
  <c r="F275" i="12"/>
  <c r="G240" i="12"/>
  <c r="F235" i="12"/>
  <c r="G235" i="12" s="1"/>
  <c r="K128" i="12"/>
  <c r="K114" i="12" s="1"/>
  <c r="F226" i="12"/>
  <c r="F262" i="12"/>
  <c r="G227" i="12"/>
  <c r="G226" i="12" s="1"/>
  <c r="L133" i="12"/>
  <c r="L119" i="12"/>
  <c r="G273" i="12"/>
  <c r="D270" i="12"/>
  <c r="L181" i="12"/>
  <c r="J204" i="12"/>
  <c r="F257" i="12"/>
  <c r="G260" i="12"/>
  <c r="G257" i="12" s="1"/>
  <c r="L164" i="12"/>
  <c r="L126" i="12"/>
  <c r="L176" i="12"/>
  <c r="L175" i="12" s="1"/>
  <c r="F233" i="12"/>
  <c r="G233" i="12" s="1"/>
  <c r="G234" i="12"/>
  <c r="F269" i="12"/>
  <c r="G221" i="12" l="1"/>
  <c r="K168" i="12"/>
  <c r="K163" i="12" s="1"/>
  <c r="J201" i="12"/>
  <c r="L178" i="12"/>
  <c r="F221" i="12"/>
  <c r="J205" i="12"/>
  <c r="L182" i="12"/>
  <c r="L128" i="12"/>
  <c r="L114" i="12" s="1"/>
  <c r="G269" i="12"/>
  <c r="F268" i="12"/>
  <c r="G268" i="12" s="1"/>
  <c r="G275" i="12"/>
  <c r="F270" i="12"/>
  <c r="G270" i="12" s="1"/>
  <c r="D256" i="12"/>
  <c r="F261" i="12"/>
  <c r="G262" i="12"/>
  <c r="G261" i="12" s="1"/>
  <c r="F256" i="12" l="1"/>
  <c r="L177" i="12"/>
  <c r="L163" i="12" s="1"/>
  <c r="G256" i="12"/>
  <c r="H32" i="10" l="1"/>
  <c r="H27" i="10"/>
  <c r="E14" i="17" l="1"/>
  <c r="F17" i="17"/>
  <c r="F19" i="17" s="1"/>
  <c r="F19" i="16"/>
  <c r="E19" i="16"/>
  <c r="D19" i="16"/>
  <c r="C19" i="16"/>
  <c r="B19" i="16"/>
  <c r="G14" i="17" l="1"/>
  <c r="H14" i="17" l="1"/>
  <c r="I14" i="17"/>
  <c r="E4" i="17" l="1"/>
  <c r="G4" i="17" l="1"/>
  <c r="D34" i="17"/>
  <c r="D35" i="17" s="1"/>
  <c r="C34" i="17"/>
  <c r="C35" i="17" s="1"/>
  <c r="E32" i="17"/>
  <c r="E31" i="17"/>
  <c r="E30" i="17"/>
  <c r="E29" i="17"/>
  <c r="E28" i="17"/>
  <c r="E27" i="17"/>
  <c r="E26" i="17"/>
  <c r="D17" i="17"/>
  <c r="C17" i="17"/>
  <c r="B17" i="17"/>
  <c r="E15" i="17"/>
  <c r="E13" i="17"/>
  <c r="E12" i="17"/>
  <c r="E11" i="17"/>
  <c r="E10" i="17"/>
  <c r="E9" i="17"/>
  <c r="E8" i="17"/>
  <c r="E7" i="17"/>
  <c r="E6" i="17"/>
  <c r="E5" i="17"/>
  <c r="H4" i="17" l="1"/>
  <c r="G13" i="17"/>
  <c r="G10" i="17"/>
  <c r="G5" i="17"/>
  <c r="G15" i="17"/>
  <c r="G6" i="17"/>
  <c r="D18" i="17"/>
  <c r="D19" i="17"/>
  <c r="G7" i="17"/>
  <c r="G11" i="17"/>
  <c r="G8" i="17"/>
  <c r="G12" i="17"/>
  <c r="G9" i="17"/>
  <c r="C18" i="17"/>
  <c r="C19" i="17"/>
  <c r="B14" i="13"/>
  <c r="E34" i="17"/>
  <c r="E35" i="17" s="1"/>
  <c r="E17" i="17"/>
  <c r="E19" i="17" s="1"/>
  <c r="H9" i="17" l="1"/>
  <c r="I9" i="17"/>
  <c r="H13" i="17"/>
  <c r="I13" i="17"/>
  <c r="H11" i="17"/>
  <c r="I11" i="17"/>
  <c r="H10" i="17"/>
  <c r="H5" i="17"/>
  <c r="I4" i="17"/>
  <c r="E18" i="17"/>
  <c r="F18" i="17" s="1"/>
  <c r="G18" i="17" s="1"/>
  <c r="G17" i="17"/>
  <c r="H59" i="11"/>
  <c r="G19" i="16"/>
  <c r="I10" i="17" l="1"/>
  <c r="I17" i="17"/>
  <c r="I19" i="17" s="1"/>
  <c r="H17" i="17"/>
  <c r="H19" i="17" s="1"/>
  <c r="I5" i="17"/>
  <c r="G19" i="17"/>
  <c r="E4" i="16"/>
  <c r="E5" i="16" l="1"/>
  <c r="G5" i="16" s="1"/>
  <c r="E10" i="16" l="1"/>
  <c r="G10" i="16" s="1"/>
  <c r="F17" i="16" l="1"/>
  <c r="F18" i="16" s="1"/>
  <c r="D17" i="16"/>
  <c r="D18" i="16" s="1"/>
  <c r="C17" i="16"/>
  <c r="C18" i="16" s="1"/>
  <c r="B17" i="16"/>
  <c r="B18" i="16" s="1"/>
  <c r="E15" i="16"/>
  <c r="G15" i="16"/>
  <c r="G13" i="16"/>
  <c r="G12" i="16"/>
  <c r="G11" i="16"/>
  <c r="G9" i="16"/>
  <c r="G8" i="16"/>
  <c r="G7" i="16"/>
  <c r="G6" i="16"/>
  <c r="G4" i="16"/>
  <c r="G14" i="16"/>
  <c r="E14" i="16"/>
  <c r="E17" i="16" s="1"/>
  <c r="E18" i="16" s="1"/>
  <c r="G17" i="16" l="1"/>
  <c r="G18" i="16" s="1"/>
  <c r="F16" i="4" l="1"/>
  <c r="U32" i="10"/>
  <c r="U31" i="10"/>
  <c r="U29" i="10"/>
  <c r="U28" i="10"/>
  <c r="U27" i="10"/>
  <c r="K26" i="10"/>
  <c r="M26" i="10" s="1"/>
  <c r="O26" i="10" s="1"/>
  <c r="Q26" i="10" s="1"/>
  <c r="K33" i="10"/>
  <c r="K23" i="10"/>
  <c r="M23" i="10" s="1"/>
  <c r="O23" i="10" s="1"/>
  <c r="Q23" i="10" s="1"/>
  <c r="S23" i="10" s="1"/>
  <c r="K22" i="10"/>
  <c r="M22" i="10" s="1"/>
  <c r="O22" i="10" s="1"/>
  <c r="Q22" i="10" s="1"/>
  <c r="S22" i="10" s="1"/>
  <c r="K21" i="10"/>
  <c r="M21" i="10" s="1"/>
  <c r="O21" i="10" s="1"/>
  <c r="Q21" i="10" s="1"/>
  <c r="S21" i="10" s="1"/>
  <c r="K20" i="10"/>
  <c r="M20" i="10" s="1"/>
  <c r="O20" i="10" s="1"/>
  <c r="Q20" i="10" s="1"/>
  <c r="S20" i="10" s="1"/>
  <c r="K18" i="10"/>
  <c r="M18" i="10" s="1"/>
  <c r="O18" i="10" s="1"/>
  <c r="K15" i="10"/>
  <c r="M15" i="10" s="1"/>
  <c r="O15" i="10" s="1"/>
  <c r="Q15" i="10" s="1"/>
  <c r="S15" i="10" s="1"/>
  <c r="U19" i="10"/>
  <c r="K12" i="10"/>
  <c r="M12" i="10" s="1"/>
  <c r="O12" i="10" s="1"/>
  <c r="Q12" i="10" s="1"/>
  <c r="S12" i="10" s="1"/>
  <c r="K11" i="10"/>
  <c r="M11" i="10" s="1"/>
  <c r="O11" i="10" s="1"/>
  <c r="Q11" i="10" s="1"/>
  <c r="S11" i="10" s="1"/>
  <c r="K10" i="10"/>
  <c r="M10" i="10" s="1"/>
  <c r="O10" i="10" l="1"/>
  <c r="Q10" i="10" s="1"/>
  <c r="S10" i="10" s="1"/>
  <c r="M33" i="10"/>
  <c r="O33" i="10" s="1"/>
  <c r="Q33" i="10" s="1"/>
  <c r="S33" i="10" s="1"/>
  <c r="U26" i="10"/>
  <c r="U11" i="10"/>
  <c r="U12" i="10"/>
  <c r="U23" i="10"/>
  <c r="U22" i="10"/>
  <c r="U21" i="10"/>
  <c r="Q18" i="10"/>
  <c r="S18" i="10" s="1"/>
  <c r="U15" i="10"/>
  <c r="U33" i="10" l="1"/>
  <c r="U10" i="10"/>
  <c r="U18" i="10"/>
  <c r="I9" i="11" l="1"/>
  <c r="C48" i="4" l="1"/>
  <c r="E48" i="4" l="1"/>
  <c r="F48" i="4" s="1"/>
  <c r="G48" i="4" s="1"/>
  <c r="C49" i="4"/>
  <c r="E49" i="4" l="1"/>
  <c r="F49" i="4" s="1"/>
  <c r="G49" i="4" s="1"/>
  <c r="C50" i="4"/>
  <c r="E33" i="10"/>
  <c r="H33" i="10" s="1"/>
  <c r="J33" i="10" s="1"/>
  <c r="L33" i="10" s="1"/>
  <c r="C34" i="10"/>
  <c r="A26" i="10"/>
  <c r="A27" i="10" s="1"/>
  <c r="A28" i="10" s="1"/>
  <c r="A29" i="10" s="1"/>
  <c r="A30" i="10" s="1"/>
  <c r="A31" i="10" s="1"/>
  <c r="A32" i="10" s="1"/>
  <c r="A33" i="10" s="1"/>
  <c r="C12" i="4"/>
  <c r="F10" i="4"/>
  <c r="C8" i="13"/>
  <c r="E57" i="11"/>
  <c r="G57" i="11" s="1"/>
  <c r="E56" i="11"/>
  <c r="G56" i="11" s="1"/>
  <c r="I56" i="11" s="1"/>
  <c r="E55" i="11"/>
  <c r="G55" i="11" s="1"/>
  <c r="I55" i="11" s="1"/>
  <c r="E54" i="11"/>
  <c r="G54" i="11" s="1"/>
  <c r="I54" i="11" s="1"/>
  <c r="E53" i="11"/>
  <c r="G53" i="11" s="1"/>
  <c r="I53" i="11" s="1"/>
  <c r="E52" i="11"/>
  <c r="G52" i="11" s="1"/>
  <c r="I52" i="11" s="1"/>
  <c r="E49" i="11"/>
  <c r="G49" i="11" s="1"/>
  <c r="I49" i="11" s="1"/>
  <c r="E48" i="11"/>
  <c r="G48" i="11" s="1"/>
  <c r="I48" i="11" s="1"/>
  <c r="E47" i="11"/>
  <c r="E58" i="11"/>
  <c r="G58" i="11" s="1"/>
  <c r="I58" i="11" s="1"/>
  <c r="E51" i="11"/>
  <c r="G51" i="11" s="1"/>
  <c r="I51" i="11" s="1"/>
  <c r="E50" i="11"/>
  <c r="G50" i="11" s="1"/>
  <c r="I50" i="11" s="1"/>
  <c r="D45" i="11"/>
  <c r="E45" i="11" s="1"/>
  <c r="G45" i="11" s="1"/>
  <c r="H45" i="11" s="1"/>
  <c r="I45" i="11" s="1"/>
  <c r="D44" i="11"/>
  <c r="E44" i="11" s="1"/>
  <c r="G44" i="11" s="1"/>
  <c r="H44" i="11" s="1"/>
  <c r="I44" i="11" s="1"/>
  <c r="D43" i="11"/>
  <c r="E43" i="11" s="1"/>
  <c r="G43" i="11" s="1"/>
  <c r="H43" i="11" s="1"/>
  <c r="I43" i="11" s="1"/>
  <c r="D42" i="11"/>
  <c r="E42" i="11" s="1"/>
  <c r="G42" i="11" s="1"/>
  <c r="H42" i="11" s="1"/>
  <c r="I42" i="11" s="1"/>
  <c r="D41" i="11"/>
  <c r="E41" i="11" s="1"/>
  <c r="G41" i="11" s="1"/>
  <c r="H41" i="11" s="1"/>
  <c r="I41" i="11" s="1"/>
  <c r="D40" i="11"/>
  <c r="E40" i="11" s="1"/>
  <c r="G40" i="11" s="1"/>
  <c r="H40" i="11" s="1"/>
  <c r="I40" i="11" s="1"/>
  <c r="D39" i="11"/>
  <c r="E39" i="11" s="1"/>
  <c r="G39" i="11" s="1"/>
  <c r="H39" i="11" s="1"/>
  <c r="I39" i="11" s="1"/>
  <c r="D38" i="11"/>
  <c r="E38" i="11" s="1"/>
  <c r="G38" i="11" s="1"/>
  <c r="H38" i="11" s="1"/>
  <c r="I38" i="11" s="1"/>
  <c r="D37" i="11"/>
  <c r="E37" i="11" s="1"/>
  <c r="G37" i="11" s="1"/>
  <c r="H37" i="11" s="1"/>
  <c r="I37" i="11" s="1"/>
  <c r="D36" i="11"/>
  <c r="E36" i="11" s="1"/>
  <c r="G36" i="11" s="1"/>
  <c r="H36" i="11" s="1"/>
  <c r="I36" i="11" s="1"/>
  <c r="D35" i="11"/>
  <c r="E35" i="11" s="1"/>
  <c r="G35" i="11" s="1"/>
  <c r="H35" i="11" s="1"/>
  <c r="I35" i="11" s="1"/>
  <c r="D34" i="11"/>
  <c r="E34" i="11" s="1"/>
  <c r="G34" i="11" s="1"/>
  <c r="H34" i="11" s="1"/>
  <c r="I34" i="11" s="1"/>
  <c r="A11" i="13"/>
  <c r="A7" i="13"/>
  <c r="D28" i="11"/>
  <c r="E28" i="11" s="1"/>
  <c r="G28" i="11" s="1"/>
  <c r="H28" i="11" s="1"/>
  <c r="I28" i="11" s="1"/>
  <c r="D26" i="11"/>
  <c r="E26" i="11" s="1"/>
  <c r="G26" i="11" s="1"/>
  <c r="H26" i="11" s="1"/>
  <c r="I26" i="11" s="1"/>
  <c r="D27" i="11"/>
  <c r="E27" i="11" s="1"/>
  <c r="G27" i="11" s="1"/>
  <c r="H27" i="11" s="1"/>
  <c r="I27" i="11" s="1"/>
  <c r="D25" i="11"/>
  <c r="E25" i="11" s="1"/>
  <c r="G25" i="11" s="1"/>
  <c r="H25" i="11" s="1"/>
  <c r="I25" i="11" s="1"/>
  <c r="D24" i="11"/>
  <c r="D20" i="11"/>
  <c r="D22" i="11"/>
  <c r="E22" i="11" s="1"/>
  <c r="G22" i="11" s="1"/>
  <c r="H22" i="11" s="1"/>
  <c r="I22" i="11" s="1"/>
  <c r="D21" i="11"/>
  <c r="E21" i="11" s="1"/>
  <c r="G21" i="11" s="1"/>
  <c r="H21" i="11" s="1"/>
  <c r="I21" i="11" s="1"/>
  <c r="D17" i="11"/>
  <c r="E17" i="11" s="1"/>
  <c r="G17" i="11" s="1"/>
  <c r="H17" i="11" s="1"/>
  <c r="D19" i="11"/>
  <c r="E19" i="11" s="1"/>
  <c r="G19" i="11" s="1"/>
  <c r="H19" i="11" s="1"/>
  <c r="I19" i="11" s="1"/>
  <c r="D18" i="11"/>
  <c r="E18" i="11" s="1"/>
  <c r="G18" i="11" s="1"/>
  <c r="H18" i="11" s="1"/>
  <c r="I18" i="11" s="1"/>
  <c r="D16" i="11"/>
  <c r="G47" i="11" l="1"/>
  <c r="I47" i="11" s="1"/>
  <c r="E46" i="11"/>
  <c r="I57" i="11"/>
  <c r="G61" i="11"/>
  <c r="E20" i="11"/>
  <c r="G20" i="11" s="1"/>
  <c r="H20" i="11" s="1"/>
  <c r="I20" i="11" s="1"/>
  <c r="G46" i="11"/>
  <c r="G33" i="11"/>
  <c r="E12" i="4"/>
  <c r="G12" i="4" s="1"/>
  <c r="E50" i="4"/>
  <c r="F50" i="4" s="1"/>
  <c r="G50" i="4" s="1"/>
  <c r="C58" i="4"/>
  <c r="N33" i="10"/>
  <c r="P33" i="10" s="1"/>
  <c r="R33" i="10" s="1"/>
  <c r="T33" i="10" s="1"/>
  <c r="E16" i="11"/>
  <c r="D15" i="11"/>
  <c r="E24" i="11"/>
  <c r="D23" i="11"/>
  <c r="D33" i="11"/>
  <c r="D46" i="11"/>
  <c r="I29" i="11"/>
  <c r="F76" i="12"/>
  <c r="E76" i="12"/>
  <c r="D76" i="12"/>
  <c r="I75" i="12"/>
  <c r="I97" i="12" s="1"/>
  <c r="H75" i="12"/>
  <c r="H97" i="12" s="1"/>
  <c r="G75" i="12"/>
  <c r="G97" i="12" s="1"/>
  <c r="C75" i="12"/>
  <c r="A75" i="12"/>
  <c r="J74" i="12"/>
  <c r="C74" i="12"/>
  <c r="A74" i="12"/>
  <c r="J73" i="12"/>
  <c r="C73" i="12"/>
  <c r="A73" i="12"/>
  <c r="J72" i="12"/>
  <c r="C72" i="12"/>
  <c r="A72" i="12"/>
  <c r="J71" i="12"/>
  <c r="C71" i="12"/>
  <c r="A71" i="12"/>
  <c r="J70" i="12"/>
  <c r="C70" i="12"/>
  <c r="A70" i="12"/>
  <c r="J69" i="12"/>
  <c r="C69" i="12"/>
  <c r="A69" i="12"/>
  <c r="I68" i="12"/>
  <c r="I90" i="12" s="1"/>
  <c r="G68" i="12"/>
  <c r="G90" i="12" s="1"/>
  <c r="C68" i="12"/>
  <c r="A68" i="12"/>
  <c r="J67" i="12"/>
  <c r="C67" i="12"/>
  <c r="A67" i="12"/>
  <c r="J66" i="12"/>
  <c r="C66" i="12"/>
  <c r="A66" i="12"/>
  <c r="J65" i="12"/>
  <c r="C65" i="12"/>
  <c r="A65" i="12"/>
  <c r="J64" i="12"/>
  <c r="C64" i="12"/>
  <c r="A64" i="12"/>
  <c r="J63" i="12"/>
  <c r="C63" i="12"/>
  <c r="A63" i="12"/>
  <c r="I62" i="12"/>
  <c r="I84" i="12" s="1"/>
  <c r="C62" i="12"/>
  <c r="A62" i="12"/>
  <c r="J61" i="12"/>
  <c r="C61" i="12"/>
  <c r="A61" i="12"/>
  <c r="J60" i="12"/>
  <c r="C60" i="12"/>
  <c r="A60" i="12"/>
  <c r="J59" i="12"/>
  <c r="C59" i="12"/>
  <c r="A59" i="12"/>
  <c r="J58" i="12"/>
  <c r="C58" i="12"/>
  <c r="A58" i="12"/>
  <c r="I57" i="12"/>
  <c r="H57" i="12"/>
  <c r="G57" i="12"/>
  <c r="F57" i="12"/>
  <c r="E57" i="12"/>
  <c r="D57" i="12"/>
  <c r="J56" i="12"/>
  <c r="C56" i="12"/>
  <c r="A56" i="12"/>
  <c r="J55" i="12"/>
  <c r="C55" i="12"/>
  <c r="A55" i="12"/>
  <c r="J54" i="12"/>
  <c r="C54" i="12"/>
  <c r="A54" i="12"/>
  <c r="J53" i="12"/>
  <c r="C53" i="12"/>
  <c r="A53" i="12"/>
  <c r="J52" i="12"/>
  <c r="C52" i="12"/>
  <c r="A52" i="12"/>
  <c r="J51" i="12"/>
  <c r="C51" i="12"/>
  <c r="A51" i="12"/>
  <c r="J50" i="12"/>
  <c r="C50" i="12"/>
  <c r="A50" i="12"/>
  <c r="J49" i="12"/>
  <c r="C49" i="12"/>
  <c r="A49" i="12"/>
  <c r="J48" i="12"/>
  <c r="C48" i="12"/>
  <c r="A48" i="12"/>
  <c r="J47" i="12"/>
  <c r="C47" i="12"/>
  <c r="A47" i="12"/>
  <c r="J46" i="12"/>
  <c r="C46" i="12"/>
  <c r="A46" i="12"/>
  <c r="J45" i="12"/>
  <c r="C45" i="12"/>
  <c r="A45" i="12"/>
  <c r="I43" i="12"/>
  <c r="C43" i="12"/>
  <c r="A39" i="12"/>
  <c r="I37" i="12"/>
  <c r="G37" i="12"/>
  <c r="D111" i="12" s="1"/>
  <c r="F37" i="12"/>
  <c r="D110" i="12" s="1"/>
  <c r="D37" i="12"/>
  <c r="D108" i="12" s="1"/>
  <c r="E35" i="12"/>
  <c r="E96" i="12" s="1"/>
  <c r="J34" i="12"/>
  <c r="J33" i="12"/>
  <c r="J32" i="12"/>
  <c r="L32" i="12" s="1"/>
  <c r="H31" i="12"/>
  <c r="H92" i="12" s="1"/>
  <c r="E31" i="12"/>
  <c r="E92" i="12" s="1"/>
  <c r="H30" i="12"/>
  <c r="H91" i="12" s="1"/>
  <c r="J29" i="12"/>
  <c r="L29" i="12" s="1"/>
  <c r="J28" i="12"/>
  <c r="L28" i="12" s="1"/>
  <c r="E27" i="12"/>
  <c r="E88" i="12" s="1"/>
  <c r="J26" i="12"/>
  <c r="E24" i="12"/>
  <c r="E85" i="12" s="1"/>
  <c r="J23" i="12"/>
  <c r="L23" i="12" s="1"/>
  <c r="J22" i="12"/>
  <c r="L22" i="12" s="1"/>
  <c r="J21" i="12"/>
  <c r="J20" i="12"/>
  <c r="H19" i="12"/>
  <c r="H80" i="12" s="1"/>
  <c r="I18" i="12"/>
  <c r="H18" i="12"/>
  <c r="F112" i="12" s="1"/>
  <c r="G18" i="12"/>
  <c r="F111" i="12" s="1"/>
  <c r="F18" i="12"/>
  <c r="F110" i="12" s="1"/>
  <c r="E18" i="12"/>
  <c r="F109" i="12" s="1"/>
  <c r="D18" i="12"/>
  <c r="F108" i="12" s="1"/>
  <c r="J17" i="12"/>
  <c r="L17" i="12" s="1"/>
  <c r="J16" i="12"/>
  <c r="J15" i="12"/>
  <c r="J14" i="12"/>
  <c r="J13" i="12"/>
  <c r="J12" i="12"/>
  <c r="J11" i="12"/>
  <c r="L11" i="12" s="1"/>
  <c r="J10" i="12"/>
  <c r="L10" i="12" s="1"/>
  <c r="J9" i="12"/>
  <c r="J8" i="12"/>
  <c r="L8" i="12" s="1"/>
  <c r="J7" i="12"/>
  <c r="J6" i="12"/>
  <c r="G24" i="11" l="1"/>
  <c r="H24" i="11" s="1"/>
  <c r="I24" i="11" s="1"/>
  <c r="E23" i="11"/>
  <c r="G16" i="11"/>
  <c r="H16" i="11" s="1"/>
  <c r="E15" i="11"/>
  <c r="F158" i="12"/>
  <c r="G109" i="12"/>
  <c r="G158" i="12" s="1"/>
  <c r="E216" i="12"/>
  <c r="E251" i="12" s="1"/>
  <c r="J111" i="12"/>
  <c r="D160" i="12"/>
  <c r="E111" i="12"/>
  <c r="D218" i="12"/>
  <c r="F159" i="12"/>
  <c r="G110" i="12"/>
  <c r="G159" i="12" s="1"/>
  <c r="E217" i="12"/>
  <c r="E252" i="12" s="1"/>
  <c r="D140" i="12"/>
  <c r="D113" i="12"/>
  <c r="G111" i="12"/>
  <c r="G160" i="12" s="1"/>
  <c r="F160" i="12"/>
  <c r="E218" i="12"/>
  <c r="E253" i="12" s="1"/>
  <c r="J108" i="12"/>
  <c r="D157" i="12"/>
  <c r="E108" i="12"/>
  <c r="D215" i="12"/>
  <c r="F113" i="12"/>
  <c r="F140" i="12"/>
  <c r="F157" i="12"/>
  <c r="F107" i="12"/>
  <c r="F106" i="12" s="1"/>
  <c r="F134" i="12" s="1"/>
  <c r="E215" i="12"/>
  <c r="G108" i="12"/>
  <c r="F161" i="12"/>
  <c r="G112" i="12"/>
  <c r="G161" i="12" s="1"/>
  <c r="E219" i="12"/>
  <c r="E254" i="12" s="1"/>
  <c r="J110" i="12"/>
  <c r="D159" i="12"/>
  <c r="E110" i="12"/>
  <c r="D217" i="12"/>
  <c r="E77" i="12"/>
  <c r="I23" i="11"/>
  <c r="I16" i="11"/>
  <c r="I33" i="11"/>
  <c r="C12" i="13" s="1"/>
  <c r="H46" i="11"/>
  <c r="H61" i="11" s="1"/>
  <c r="G15" i="11"/>
  <c r="H33" i="11"/>
  <c r="I46" i="11"/>
  <c r="G23" i="11"/>
  <c r="E45" i="4"/>
  <c r="E58" i="4"/>
  <c r="F58" i="4" s="1"/>
  <c r="G58" i="4" s="1"/>
  <c r="V33" i="10"/>
  <c r="D38" i="12"/>
  <c r="F77" i="12"/>
  <c r="I76" i="12"/>
  <c r="I77" i="12" s="1"/>
  <c r="J62" i="12"/>
  <c r="F38" i="12"/>
  <c r="F40" i="12" s="1"/>
  <c r="J30" i="12"/>
  <c r="L30" i="12" s="1"/>
  <c r="J18" i="12"/>
  <c r="G38" i="12"/>
  <c r="G40" i="12" s="1"/>
  <c r="E33" i="11"/>
  <c r="C10" i="13"/>
  <c r="L12" i="12"/>
  <c r="L18" i="12" s="1"/>
  <c r="K18" i="12"/>
  <c r="J31" i="12"/>
  <c r="L31" i="12" s="1"/>
  <c r="G76" i="12"/>
  <c r="J68" i="12"/>
  <c r="H76" i="12"/>
  <c r="H77" i="12" s="1"/>
  <c r="D13" i="11"/>
  <c r="E13" i="11" s="1"/>
  <c r="G13" i="11" s="1"/>
  <c r="H13" i="11" s="1"/>
  <c r="E36" i="12"/>
  <c r="E97" i="12" s="1"/>
  <c r="J35" i="12"/>
  <c r="D40" i="12"/>
  <c r="H37" i="12"/>
  <c r="D112" i="12" s="1"/>
  <c r="E25" i="12"/>
  <c r="E86" i="12" s="1"/>
  <c r="D77" i="12"/>
  <c r="J57" i="12"/>
  <c r="I38" i="12"/>
  <c r="I40" i="12" s="1"/>
  <c r="J19" i="12"/>
  <c r="J24" i="12"/>
  <c r="J27" i="12"/>
  <c r="J75" i="12"/>
  <c r="H32" i="11" l="1"/>
  <c r="D250" i="12"/>
  <c r="J157" i="12"/>
  <c r="K108" i="12"/>
  <c r="L108" i="12" s="1"/>
  <c r="J160" i="12"/>
  <c r="K111" i="12"/>
  <c r="K160" i="12" s="1"/>
  <c r="L111" i="12"/>
  <c r="L160" i="12" s="1"/>
  <c r="E157" i="12"/>
  <c r="F215" i="12"/>
  <c r="H140" i="12"/>
  <c r="H138" i="12" s="1"/>
  <c r="E140" i="12"/>
  <c r="D138" i="12"/>
  <c r="D253" i="12"/>
  <c r="L110" i="12"/>
  <c r="L159" i="12" s="1"/>
  <c r="J159" i="12"/>
  <c r="K110" i="12"/>
  <c r="K159" i="12" s="1"/>
  <c r="G157" i="12"/>
  <c r="G156" i="12" s="1"/>
  <c r="G155" i="12" s="1"/>
  <c r="G140" i="12"/>
  <c r="G138" i="12" s="1"/>
  <c r="F138" i="12"/>
  <c r="E160" i="12"/>
  <c r="F218" i="12"/>
  <c r="F253" i="12" s="1"/>
  <c r="J112" i="12"/>
  <c r="D161" i="12"/>
  <c r="E112" i="12"/>
  <c r="D219" i="12"/>
  <c r="E159" i="12"/>
  <c r="F217" i="12"/>
  <c r="F252" i="12" s="1"/>
  <c r="E113" i="12"/>
  <c r="D162" i="12"/>
  <c r="D220" i="12"/>
  <c r="J113" i="12"/>
  <c r="H15" i="11"/>
  <c r="G217" i="12"/>
  <c r="D252" i="12"/>
  <c r="E250" i="12"/>
  <c r="F162" i="12"/>
  <c r="F156" i="12" s="1"/>
  <c r="F155" i="12" s="1"/>
  <c r="G113" i="12"/>
  <c r="G162" i="12" s="1"/>
  <c r="E220" i="12"/>
  <c r="E255" i="12" s="1"/>
  <c r="B12" i="13"/>
  <c r="H23" i="11"/>
  <c r="H14" i="11" s="1"/>
  <c r="I15" i="11"/>
  <c r="I14" i="11" s="1"/>
  <c r="G14" i="11"/>
  <c r="G45" i="4"/>
  <c r="E53" i="4"/>
  <c r="E44" i="4" s="1"/>
  <c r="E42" i="4" s="1"/>
  <c r="F45" i="4"/>
  <c r="G53" i="4"/>
  <c r="H38" i="12"/>
  <c r="H40" i="12" s="1"/>
  <c r="J76" i="12"/>
  <c r="D12" i="13"/>
  <c r="B13" i="13"/>
  <c r="D30" i="11"/>
  <c r="E30" i="11" s="1"/>
  <c r="G30" i="11" s="1"/>
  <c r="H30" i="11" s="1"/>
  <c r="G60" i="11"/>
  <c r="D11" i="11"/>
  <c r="E11" i="11" s="1"/>
  <c r="G11" i="11" s="1"/>
  <c r="H11" i="11" s="1"/>
  <c r="D31" i="11"/>
  <c r="E31" i="11" s="1"/>
  <c r="G31" i="11" s="1"/>
  <c r="H31" i="11" s="1"/>
  <c r="J36" i="12"/>
  <c r="K77" i="12"/>
  <c r="G77" i="12"/>
  <c r="J77" i="12" s="1"/>
  <c r="L19" i="12"/>
  <c r="L37" i="12" s="1"/>
  <c r="L38" i="12" s="1"/>
  <c r="E37" i="12"/>
  <c r="D109" i="12" s="1"/>
  <c r="J25" i="12"/>
  <c r="C40" i="4"/>
  <c r="C33" i="4"/>
  <c r="C32" i="4"/>
  <c r="C31" i="4"/>
  <c r="C30" i="4"/>
  <c r="C29" i="4"/>
  <c r="C28" i="4"/>
  <c r="C27" i="4"/>
  <c r="C26" i="4"/>
  <c r="C25" i="4"/>
  <c r="C24" i="4"/>
  <c r="C22" i="4"/>
  <c r="C21" i="4"/>
  <c r="C20" i="4"/>
  <c r="C19" i="4"/>
  <c r="C18" i="4"/>
  <c r="C17" i="4"/>
  <c r="C15" i="4"/>
  <c r="C14" i="4"/>
  <c r="C13" i="4"/>
  <c r="C11" i="4"/>
  <c r="E32" i="10"/>
  <c r="J32" i="10" s="1"/>
  <c r="L32" i="10" s="1"/>
  <c r="N32" i="10" s="1"/>
  <c r="E31" i="10"/>
  <c r="E30" i="10"/>
  <c r="H30" i="10" s="1"/>
  <c r="E29" i="10"/>
  <c r="H29" i="10" s="1"/>
  <c r="J29" i="10" s="1"/>
  <c r="N29" i="10" s="1"/>
  <c r="E28" i="10"/>
  <c r="E27" i="10"/>
  <c r="E26" i="10"/>
  <c r="H26" i="10" s="1"/>
  <c r="J26" i="10" s="1"/>
  <c r="E25" i="10"/>
  <c r="E15" i="10"/>
  <c r="E16" i="10"/>
  <c r="E17" i="10"/>
  <c r="E18" i="10"/>
  <c r="H18" i="10" s="1"/>
  <c r="J18" i="10" s="1"/>
  <c r="L18" i="10" s="1"/>
  <c r="E19" i="10"/>
  <c r="E20" i="10"/>
  <c r="E21" i="10"/>
  <c r="E22" i="10"/>
  <c r="E23" i="10"/>
  <c r="H23" i="10" s="1"/>
  <c r="J23" i="10" s="1"/>
  <c r="L23" i="10" s="1"/>
  <c r="E14" i="10"/>
  <c r="E10" i="10"/>
  <c r="E11" i="10"/>
  <c r="E12" i="10"/>
  <c r="E9" i="10"/>
  <c r="F183" i="12" l="1"/>
  <c r="F206" i="12"/>
  <c r="L157" i="12"/>
  <c r="I140" i="12"/>
  <c r="I138" i="12" s="1"/>
  <c r="E138" i="12"/>
  <c r="E214" i="12"/>
  <c r="E213" i="12" s="1"/>
  <c r="E241" i="12" s="1"/>
  <c r="E162" i="12"/>
  <c r="F220" i="12"/>
  <c r="F255" i="12" s="1"/>
  <c r="E161" i="12"/>
  <c r="F219" i="12"/>
  <c r="F254" i="12" s="1"/>
  <c r="G107" i="12"/>
  <c r="G106" i="12" s="1"/>
  <c r="G134" i="12" s="1"/>
  <c r="G253" i="12"/>
  <c r="G183" i="12"/>
  <c r="G206" i="12"/>
  <c r="E249" i="12"/>
  <c r="E248" i="12" s="1"/>
  <c r="E276" i="12" s="1"/>
  <c r="K113" i="12"/>
  <c r="K162" i="12" s="1"/>
  <c r="J162" i="12"/>
  <c r="G218" i="12"/>
  <c r="F250" i="12"/>
  <c r="K157" i="12"/>
  <c r="G219" i="12"/>
  <c r="D254" i="12"/>
  <c r="E109" i="12"/>
  <c r="J109" i="12"/>
  <c r="D158" i="12"/>
  <c r="D156" i="12" s="1"/>
  <c r="D155" i="12" s="1"/>
  <c r="D216" i="12"/>
  <c r="D107" i="12"/>
  <c r="D106" i="12" s="1"/>
  <c r="D134" i="12" s="1"/>
  <c r="G252" i="12"/>
  <c r="G220" i="12"/>
  <c r="D255" i="12"/>
  <c r="G255" i="12" s="1"/>
  <c r="J161" i="12"/>
  <c r="K112" i="12"/>
  <c r="K161" i="12" s="1"/>
  <c r="G215" i="12"/>
  <c r="I60" i="11"/>
  <c r="G32" i="11"/>
  <c r="G44" i="4"/>
  <c r="G42" i="4" s="1"/>
  <c r="G59" i="4" s="1"/>
  <c r="C15" i="13" s="1"/>
  <c r="F53" i="4"/>
  <c r="F44" i="4" s="1"/>
  <c r="F42" i="4" s="1"/>
  <c r="E15" i="4"/>
  <c r="G15" i="4" s="1"/>
  <c r="E25" i="4"/>
  <c r="E33" i="4"/>
  <c r="G33" i="4" s="1"/>
  <c r="E11" i="4"/>
  <c r="E17" i="4"/>
  <c r="G17" i="4" s="1"/>
  <c r="E21" i="4"/>
  <c r="G21" i="4" s="1"/>
  <c r="E26" i="4"/>
  <c r="G26" i="4" s="1"/>
  <c r="E30" i="4"/>
  <c r="G30" i="4" s="1"/>
  <c r="E40" i="4"/>
  <c r="F40" i="4" s="1"/>
  <c r="E14" i="4"/>
  <c r="E19" i="4"/>
  <c r="G19" i="4" s="1"/>
  <c r="E24" i="4"/>
  <c r="G24" i="4" s="1"/>
  <c r="E28" i="4"/>
  <c r="G28" i="4" s="1"/>
  <c r="E32" i="4"/>
  <c r="G32" i="4" s="1"/>
  <c r="E20" i="4"/>
  <c r="E29" i="4"/>
  <c r="G29" i="4" s="1"/>
  <c r="E13" i="4"/>
  <c r="E18" i="4"/>
  <c r="G18" i="4" s="1"/>
  <c r="E22" i="4"/>
  <c r="G22" i="4" s="1"/>
  <c r="E27" i="4"/>
  <c r="G27" i="4" s="1"/>
  <c r="E31" i="4"/>
  <c r="G31" i="4" s="1"/>
  <c r="G14" i="4"/>
  <c r="G20" i="4"/>
  <c r="G25" i="4"/>
  <c r="G11" i="4"/>
  <c r="I30" i="10"/>
  <c r="K30" i="10" s="1"/>
  <c r="J30" i="10"/>
  <c r="L30" i="10" s="1"/>
  <c r="N30" i="10" s="1"/>
  <c r="P30" i="10" s="1"/>
  <c r="R30" i="10" s="1"/>
  <c r="T30" i="10" s="1"/>
  <c r="V30" i="10" s="1"/>
  <c r="P26" i="10"/>
  <c r="L26" i="10"/>
  <c r="M30" i="10"/>
  <c r="O30" i="10" s="1"/>
  <c r="Q30" i="10" s="1"/>
  <c r="S30" i="10" s="1"/>
  <c r="U30" i="10"/>
  <c r="N23" i="10"/>
  <c r="P23" i="10" s="1"/>
  <c r="R23" i="10" s="1"/>
  <c r="T23" i="10" s="1"/>
  <c r="R32" i="10"/>
  <c r="T32" i="10" s="1"/>
  <c r="P32" i="10"/>
  <c r="N18" i="10"/>
  <c r="P18" i="10" s="1"/>
  <c r="R18" i="10" s="1"/>
  <c r="T18" i="10" s="1"/>
  <c r="P29" i="10"/>
  <c r="R29" i="10" s="1"/>
  <c r="T29" i="10" s="1"/>
  <c r="V29" i="10"/>
  <c r="J37" i="12"/>
  <c r="J38" i="12" s="1"/>
  <c r="I8" i="11"/>
  <c r="B9" i="13"/>
  <c r="C9" i="13"/>
  <c r="C7" i="13" s="1"/>
  <c r="H29" i="11"/>
  <c r="H17" i="10"/>
  <c r="H9" i="10"/>
  <c r="H14" i="10"/>
  <c r="H20" i="10"/>
  <c r="J20" i="10" s="1"/>
  <c r="L20" i="10" s="1"/>
  <c r="H16" i="10"/>
  <c r="H31" i="10"/>
  <c r="J31" i="10" s="1"/>
  <c r="N31" i="10" s="1"/>
  <c r="H10" i="10"/>
  <c r="J10" i="10" s="1"/>
  <c r="L10" i="10" s="1"/>
  <c r="H12" i="10"/>
  <c r="J12" i="10" s="1"/>
  <c r="L12" i="10" s="1"/>
  <c r="H19" i="10"/>
  <c r="J19" i="10" s="1"/>
  <c r="P19" i="10" s="1"/>
  <c r="R19" i="10" s="1"/>
  <c r="T19" i="10" s="1"/>
  <c r="V19" i="10" s="1"/>
  <c r="H15" i="10"/>
  <c r="J15" i="10" s="1"/>
  <c r="L15" i="10" s="1"/>
  <c r="J27" i="10"/>
  <c r="P27" i="10" s="1"/>
  <c r="H21" i="10"/>
  <c r="J21" i="10" s="1"/>
  <c r="L21" i="10" s="1"/>
  <c r="H11" i="10"/>
  <c r="J11" i="10" s="1"/>
  <c r="L11" i="10" s="1"/>
  <c r="H22" i="10"/>
  <c r="J22" i="10" s="1"/>
  <c r="L22" i="10" s="1"/>
  <c r="H25" i="10"/>
  <c r="H28" i="10"/>
  <c r="J28" i="10" s="1"/>
  <c r="E38" i="12"/>
  <c r="K37" i="12"/>
  <c r="E158" i="12" l="1"/>
  <c r="E156" i="12" s="1"/>
  <c r="E155" i="12" s="1"/>
  <c r="F216" i="12"/>
  <c r="E107" i="12"/>
  <c r="E106" i="12" s="1"/>
  <c r="E134" i="12" s="1"/>
  <c r="G250" i="12"/>
  <c r="G216" i="12"/>
  <c r="D251" i="12"/>
  <c r="D214" i="12"/>
  <c r="K109" i="12"/>
  <c r="L109" i="12"/>
  <c r="J158" i="12"/>
  <c r="J156" i="12" s="1"/>
  <c r="J155" i="12" s="1"/>
  <c r="J107" i="12"/>
  <c r="J106" i="12" s="1"/>
  <c r="J134" i="12" s="1"/>
  <c r="L112" i="12"/>
  <c r="L161" i="12" s="1"/>
  <c r="D183" i="12"/>
  <c r="D206" i="12"/>
  <c r="G254" i="12"/>
  <c r="L113" i="12"/>
  <c r="L162" i="12" s="1"/>
  <c r="I32" i="11"/>
  <c r="C13" i="13"/>
  <c r="C11" i="13" s="1"/>
  <c r="E59" i="4"/>
  <c r="E16" i="4"/>
  <c r="E10" i="4"/>
  <c r="G13" i="4"/>
  <c r="G16" i="4"/>
  <c r="K16" i="10"/>
  <c r="M16" i="10" s="1"/>
  <c r="I16" i="10"/>
  <c r="J16" i="10"/>
  <c r="L16" i="10" s="1"/>
  <c r="V32" i="10"/>
  <c r="N10" i="10"/>
  <c r="P10" i="10" s="1"/>
  <c r="R10" i="10" s="1"/>
  <c r="T10" i="10" s="1"/>
  <c r="N15" i="10"/>
  <c r="P15" i="10" s="1"/>
  <c r="R15" i="10" s="1"/>
  <c r="T15" i="10" s="1"/>
  <c r="V15" i="10"/>
  <c r="P31" i="10"/>
  <c r="R31" i="10" s="1"/>
  <c r="T31" i="10" s="1"/>
  <c r="I9" i="10"/>
  <c r="K9" i="10" s="1"/>
  <c r="J9" i="10"/>
  <c r="L9" i="10" s="1"/>
  <c r="R27" i="10"/>
  <c r="T27" i="10" s="1"/>
  <c r="N22" i="10"/>
  <c r="P22" i="10" s="1"/>
  <c r="R22" i="10" s="1"/>
  <c r="T22" i="10" s="1"/>
  <c r="N11" i="10"/>
  <c r="P11" i="10" s="1"/>
  <c r="R11" i="10" s="1"/>
  <c r="T11" i="10" s="1"/>
  <c r="I17" i="10"/>
  <c r="K17" i="10" s="1"/>
  <c r="J17" i="10"/>
  <c r="L17" i="10" s="1"/>
  <c r="V18" i="10"/>
  <c r="V23" i="10"/>
  <c r="N26" i="10"/>
  <c r="V26" i="10" s="1"/>
  <c r="J25" i="10"/>
  <c r="I25" i="10"/>
  <c r="I14" i="10"/>
  <c r="K14" i="10" s="1"/>
  <c r="J14" i="10"/>
  <c r="L14" i="10" s="1"/>
  <c r="P28" i="10"/>
  <c r="R28" i="10" s="1"/>
  <c r="T28" i="10" s="1"/>
  <c r="N28" i="10"/>
  <c r="N21" i="10"/>
  <c r="P21" i="10" s="1"/>
  <c r="R21" i="10" s="1"/>
  <c r="T21" i="10" s="1"/>
  <c r="N12" i="10"/>
  <c r="P12" i="10" s="1"/>
  <c r="R12" i="10" s="1"/>
  <c r="T12" i="10" s="1"/>
  <c r="N20" i="10"/>
  <c r="P20" i="10" s="1"/>
  <c r="R20" i="10" s="1"/>
  <c r="T20" i="10" s="1"/>
  <c r="B10" i="13"/>
  <c r="D10" i="13" s="1"/>
  <c r="H24" i="10"/>
  <c r="J13" i="10"/>
  <c r="D9" i="13"/>
  <c r="K8" i="10"/>
  <c r="H8" i="10"/>
  <c r="U20" i="10"/>
  <c r="H13" i="10"/>
  <c r="E40" i="12"/>
  <c r="J40" i="12" s="1"/>
  <c r="K38" i="12"/>
  <c r="K158" i="12" l="1"/>
  <c r="K156" i="12" s="1"/>
  <c r="K155" i="12" s="1"/>
  <c r="K107" i="12"/>
  <c r="K106" i="12" s="1"/>
  <c r="K134" i="12" s="1"/>
  <c r="F251" i="12"/>
  <c r="F249" i="12" s="1"/>
  <c r="F248" i="12" s="1"/>
  <c r="F276" i="12" s="1"/>
  <c r="F214" i="12"/>
  <c r="F213" i="12" s="1"/>
  <c r="F241" i="12" s="1"/>
  <c r="E183" i="12"/>
  <c r="E206" i="12"/>
  <c r="L158" i="12"/>
  <c r="L156" i="12" s="1"/>
  <c r="L155" i="12" s="1"/>
  <c r="L107" i="12"/>
  <c r="L106" i="12" s="1"/>
  <c r="L134" i="12" s="1"/>
  <c r="L142" i="12" s="1"/>
  <c r="D249" i="12"/>
  <c r="J183" i="12"/>
  <c r="H206" i="12"/>
  <c r="D213" i="12"/>
  <c r="O16" i="10"/>
  <c r="Q16" i="10" s="1"/>
  <c r="S16" i="10" s="1"/>
  <c r="N16" i="10"/>
  <c r="P16" i="10" s="1"/>
  <c r="R16" i="10" s="1"/>
  <c r="T16" i="10" s="1"/>
  <c r="V16" i="10"/>
  <c r="I8" i="10"/>
  <c r="V12" i="10"/>
  <c r="V28" i="10"/>
  <c r="V22" i="10"/>
  <c r="J24" i="10"/>
  <c r="L25" i="10"/>
  <c r="M9" i="10"/>
  <c r="V20" i="10"/>
  <c r="V21" i="10"/>
  <c r="L13" i="10"/>
  <c r="N14" i="10"/>
  <c r="N17" i="10"/>
  <c r="P17" i="10" s="1"/>
  <c r="R17" i="10" s="1"/>
  <c r="T17" i="10" s="1"/>
  <c r="V11" i="10"/>
  <c r="V27" i="10"/>
  <c r="V31" i="10"/>
  <c r="V10" i="10"/>
  <c r="I24" i="10"/>
  <c r="K25" i="10"/>
  <c r="N9" i="10"/>
  <c r="L8" i="10"/>
  <c r="J8" i="10"/>
  <c r="M14" i="10"/>
  <c r="M17" i="10"/>
  <c r="O17" i="10" s="1"/>
  <c r="Q17" i="10" s="1"/>
  <c r="S17" i="10" s="1"/>
  <c r="H34" i="10"/>
  <c r="I13" i="10"/>
  <c r="K13" i="10"/>
  <c r="L183" i="12" l="1"/>
  <c r="J206" i="12"/>
  <c r="G213" i="12"/>
  <c r="G241" i="12" s="1"/>
  <c r="D241" i="12"/>
  <c r="G249" i="12"/>
  <c r="D248" i="12"/>
  <c r="G214" i="12"/>
  <c r="G251" i="12"/>
  <c r="K183" i="12"/>
  <c r="L208" i="12" s="1"/>
  <c r="I206" i="12"/>
  <c r="U16" i="10"/>
  <c r="J34" i="10"/>
  <c r="G9" i="4" s="1"/>
  <c r="U17" i="10"/>
  <c r="P14" i="10"/>
  <c r="N13" i="10"/>
  <c r="V17" i="10"/>
  <c r="O9" i="10"/>
  <c r="M8" i="10"/>
  <c r="P9" i="10"/>
  <c r="N8" i="10"/>
  <c r="N25" i="10"/>
  <c r="L24" i="10"/>
  <c r="L34" i="10" s="1"/>
  <c r="M13" i="10"/>
  <c r="O14" i="10"/>
  <c r="K24" i="10"/>
  <c r="K34" i="10" s="1"/>
  <c r="M25" i="10"/>
  <c r="I34" i="10"/>
  <c r="F9" i="4" s="1"/>
  <c r="L209" i="12" l="1"/>
  <c r="G248" i="12"/>
  <c r="G276" i="12" s="1"/>
  <c r="D276" i="12"/>
  <c r="E9" i="4"/>
  <c r="E8" i="4" s="1"/>
  <c r="E34" i="4" s="1"/>
  <c r="R14" i="10"/>
  <c r="P13" i="10"/>
  <c r="Q14" i="10"/>
  <c r="O13" i="10"/>
  <c r="P25" i="10"/>
  <c r="N24" i="10"/>
  <c r="N34" i="10" s="1"/>
  <c r="Q9" i="10"/>
  <c r="O8" i="10"/>
  <c r="O25" i="10"/>
  <c r="M24" i="10"/>
  <c r="M34" i="10" s="1"/>
  <c r="R9" i="10"/>
  <c r="P8" i="10"/>
  <c r="G10" i="4"/>
  <c r="S9" i="10" l="1"/>
  <c r="S8" i="10" s="1"/>
  <c r="Q8" i="10"/>
  <c r="S14" i="10"/>
  <c r="S13" i="10" s="1"/>
  <c r="Q13" i="10"/>
  <c r="U9" i="10"/>
  <c r="P24" i="10"/>
  <c r="P34" i="10" s="1"/>
  <c r="R25" i="10"/>
  <c r="T9" i="10"/>
  <c r="R8" i="10"/>
  <c r="O24" i="10"/>
  <c r="O34" i="10" s="1"/>
  <c r="Q25" i="10"/>
  <c r="T14" i="10"/>
  <c r="R13" i="10"/>
  <c r="F59" i="4"/>
  <c r="B15" i="13" s="1"/>
  <c r="S25" i="10" l="1"/>
  <c r="Q24" i="10"/>
  <c r="Q34" i="10" s="1"/>
  <c r="V9" i="10"/>
  <c r="T8" i="10"/>
  <c r="U14" i="10"/>
  <c r="U13" i="10" s="1"/>
  <c r="T13" i="10"/>
  <c r="V14" i="10"/>
  <c r="V13" i="10" s="1"/>
  <c r="T25" i="10"/>
  <c r="T24" i="10" s="1"/>
  <c r="R24" i="10"/>
  <c r="R34" i="10" s="1"/>
  <c r="V25" i="10"/>
  <c r="V24" i="10" s="1"/>
  <c r="D15" i="13"/>
  <c r="T34" i="10" l="1"/>
  <c r="S24" i="10"/>
  <c r="S34" i="10" s="1"/>
  <c r="U25" i="10"/>
  <c r="U24" i="10" s="1"/>
  <c r="U8" i="10"/>
  <c r="V8" i="10"/>
  <c r="V34" i="10" s="1"/>
  <c r="U34" i="10" l="1"/>
  <c r="F8" i="4"/>
  <c r="G8" i="4"/>
  <c r="A10" i="10"/>
  <c r="A11" i="10" s="1"/>
  <c r="A12" i="10" s="1"/>
  <c r="A14" i="10" s="1"/>
  <c r="A15" i="10" l="1"/>
  <c r="A16" i="10" l="1"/>
  <c r="A17" i="10" s="1"/>
  <c r="A18" i="10" s="1"/>
  <c r="A19" i="10" s="1"/>
  <c r="A20" i="10" s="1"/>
  <c r="A21" i="10" s="1"/>
  <c r="G34" i="4" l="1"/>
  <c r="G35" i="4" s="1"/>
  <c r="C16" i="13" s="1"/>
  <c r="A22" i="10"/>
  <c r="A23" i="10" s="1"/>
  <c r="F34" i="4"/>
  <c r="B16" i="13" l="1"/>
  <c r="F35" i="4"/>
  <c r="D16" i="13"/>
  <c r="B11" i="13" l="1"/>
  <c r="D13" i="13"/>
  <c r="D14" i="13" l="1"/>
  <c r="D10" i="11" l="1"/>
  <c r="D12" i="11"/>
  <c r="E12" i="11" s="1"/>
  <c r="G12" i="11" s="1"/>
  <c r="H12" i="11" s="1"/>
  <c r="E10" i="11" l="1"/>
  <c r="G10" i="11" s="1"/>
  <c r="D9" i="11"/>
  <c r="G9" i="11" l="1"/>
  <c r="G8" i="11" s="1"/>
  <c r="H10" i="11"/>
  <c r="E9" i="11"/>
  <c r="H9" i="11" l="1"/>
  <c r="H8" i="11" s="1"/>
  <c r="B8" i="13"/>
  <c r="B7" i="13" s="1"/>
  <c r="D7" i="13" s="1"/>
  <c r="B17" i="13" l="1"/>
  <c r="B18" i="13" s="1"/>
  <c r="D8" i="13"/>
  <c r="L39" i="12" l="1"/>
  <c r="D11" i="13" l="1"/>
  <c r="C17" i="13"/>
  <c r="D17" i="13" l="1"/>
</calcChain>
</file>

<file path=xl/sharedStrings.xml><?xml version="1.0" encoding="utf-8"?>
<sst xmlns="http://schemas.openxmlformats.org/spreadsheetml/2006/main" count="787" uniqueCount="356">
  <si>
    <t>Unidad</t>
  </si>
  <si>
    <t>Costo Unitario</t>
  </si>
  <si>
    <t>N° Unidades</t>
  </si>
  <si>
    <t>Total
(USD)</t>
  </si>
  <si>
    <t>TOTAL</t>
  </si>
  <si>
    <t>BID</t>
  </si>
  <si>
    <t>Suma alzada</t>
  </si>
  <si>
    <t>US$</t>
  </si>
  <si>
    <t>Recursos Humanos</t>
  </si>
  <si>
    <t>Meses</t>
  </si>
  <si>
    <t>Año 1</t>
  </si>
  <si>
    <t>Año 2</t>
  </si>
  <si>
    <t>Año 3</t>
  </si>
  <si>
    <t>Año 4</t>
  </si>
  <si>
    <t>Año 5</t>
  </si>
  <si>
    <t>Duración</t>
  </si>
  <si>
    <t>Salario</t>
  </si>
  <si>
    <t>Años</t>
  </si>
  <si>
    <t>Cantidad</t>
  </si>
  <si>
    <t xml:space="preserve">Recursos Humanos </t>
  </si>
  <si>
    <t>ADMINISTRACIÓN</t>
  </si>
  <si>
    <t>Total RRHH</t>
  </si>
  <si>
    <t>US$/unidad</t>
  </si>
  <si>
    <t>Total Auditoria, Monitoreo y Evaluación</t>
  </si>
  <si>
    <t>Asesor Legal</t>
  </si>
  <si>
    <t>Coordinación del Programa</t>
  </si>
  <si>
    <t>Especialista en Seguimiento y Monitoreo</t>
  </si>
  <si>
    <t>Coordinación Administrativa</t>
  </si>
  <si>
    <t>Especialista en Tesoreria</t>
  </si>
  <si>
    <t>Tecnico en Computación e Informática</t>
  </si>
  <si>
    <t>Chofer</t>
  </si>
  <si>
    <t>Coordinación Técnica</t>
  </si>
  <si>
    <t>Soles/US$=</t>
  </si>
  <si>
    <t>Soles</t>
  </si>
  <si>
    <t>Costos Personal (US$)</t>
  </si>
  <si>
    <t>Bienes</t>
  </si>
  <si>
    <t>Adecuación de oficina</t>
  </si>
  <si>
    <t>Equipamiento de oficina</t>
  </si>
  <si>
    <t>Equipamiento informatico</t>
  </si>
  <si>
    <t>Software</t>
  </si>
  <si>
    <t>Miscelaneos</t>
  </si>
  <si>
    <t>Costo Unitario (US$)</t>
  </si>
  <si>
    <t>Gastos Operativos</t>
  </si>
  <si>
    <t>Alquiler de oficina</t>
  </si>
  <si>
    <t>Arbitrios</t>
  </si>
  <si>
    <t>Almacenamiento archivo (terceros)</t>
  </si>
  <si>
    <t>Suministros</t>
  </si>
  <si>
    <t>Mantenimiento de equipos informáticos</t>
  </si>
  <si>
    <t>Limpieza</t>
  </si>
  <si>
    <t>Vigilancia</t>
  </si>
  <si>
    <t>Servicios Básicos (luz, agua, internet, telefono fijo y movil, cable)</t>
  </si>
  <si>
    <t>Empaste</t>
  </si>
  <si>
    <t>Digitalización</t>
  </si>
  <si>
    <t>Talleres Lima / provincias (alojamiento, alimentación y materiales)</t>
  </si>
  <si>
    <t>Viaticos x 2 días</t>
  </si>
  <si>
    <t>Eventos</t>
  </si>
  <si>
    <t>Otros</t>
  </si>
  <si>
    <t>Pasajes nacionales de especialistas</t>
  </si>
  <si>
    <t>Auditorias administrativas/financieras</t>
  </si>
  <si>
    <t>Elaboración de lineas de base BID</t>
  </si>
  <si>
    <t>US$/año</t>
  </si>
  <si>
    <t>TOTAL 
US$</t>
  </si>
  <si>
    <t>Costo Unitario (Soles )</t>
  </si>
  <si>
    <t>PRECIOS DE MERCADO (INCLUYE IGV)</t>
  </si>
  <si>
    <t>Nº</t>
  </si>
  <si>
    <t>FUENTE DE FINANCIAMIENTO / PROYECTO</t>
  </si>
  <si>
    <t>MANEJO DE RESIDUOS SOLIDOS (COSTO DE OBRA)</t>
  </si>
  <si>
    <t>GESTION MUNICIPAL</t>
  </si>
  <si>
    <t>PRACTICAS A LA POBLACION</t>
  </si>
  <si>
    <t>GASTOS GENERALES</t>
  </si>
  <si>
    <t>UTILIDAD (10% DE LOS COSTOS OBRA)</t>
  </si>
  <si>
    <t>EVALUACIÓN EXPOST</t>
  </si>
  <si>
    <t>COSTO TOTAL DE PROYECTO</t>
  </si>
  <si>
    <t>VIABLES</t>
  </si>
  <si>
    <t>COSTO TOTAL</t>
  </si>
  <si>
    <t>BID - YAUYOS</t>
  </si>
  <si>
    <t>BID - POZUZO</t>
  </si>
  <si>
    <t>BID - OXAPAMPA</t>
  </si>
  <si>
    <t>BID - CHANCAY</t>
  </si>
  <si>
    <t>BID - TARMA</t>
  </si>
  <si>
    <t>BID - BAGUA - LA PECA</t>
  </si>
  <si>
    <t>BID - HUACHO</t>
  </si>
  <si>
    <t>BID- ANDAHUAYLAS</t>
  </si>
  <si>
    <t>BID - HUAMANGA</t>
  </si>
  <si>
    <t>BID - ABANCAY</t>
  </si>
  <si>
    <t>BID - AYMARAES - CHALHUANCA</t>
  </si>
  <si>
    <t>BID - CHINCHA - CHINCHA ALTA</t>
  </si>
  <si>
    <t>TOTAL BID</t>
  </si>
  <si>
    <t>JICA - TALARA - PARIÑAS</t>
  </si>
  <si>
    <t>ok</t>
  </si>
  <si>
    <t>JICA - TAMBOPATA</t>
  </si>
  <si>
    <t>JICA - PUNO</t>
  </si>
  <si>
    <t>JICA - SULLANA</t>
  </si>
  <si>
    <t>JICA - HUANUCO</t>
  </si>
  <si>
    <t>JICA - SAN MARTIN - TARAPOTO</t>
  </si>
  <si>
    <t>JICA - PAITA</t>
  </si>
  <si>
    <t>JICA - FERREÑAFE</t>
  </si>
  <si>
    <t>JICA - MOYOBAMBA</t>
  </si>
  <si>
    <t>JICA - SECHURA</t>
  </si>
  <si>
    <t>JICA - CHACHAPOYAS</t>
  </si>
  <si>
    <t>JICA - PIURA</t>
  </si>
  <si>
    <t>JICA -  ILAVE</t>
  </si>
  <si>
    <t>JICA - AZANGARO</t>
  </si>
  <si>
    <t>JICA - TUMBES</t>
  </si>
  <si>
    <t>JICA - SAN ROMAN - JULIACA</t>
  </si>
  <si>
    <t>JICA - SANTIAGO</t>
  </si>
  <si>
    <t>JICA - NUEVO CHIMBOTE</t>
  </si>
  <si>
    <t>TOTAL JICA</t>
  </si>
  <si>
    <t>FC</t>
  </si>
  <si>
    <t>MÍN 30% &gt;</t>
  </si>
  <si>
    <t>PRECIOS SOCIALES</t>
  </si>
  <si>
    <t>RESUMEN DEL COSTO DEL PROGRAMA EN SOLES</t>
  </si>
  <si>
    <t>DESCRIPCION</t>
  </si>
  <si>
    <t xml:space="preserve">JICA </t>
  </si>
  <si>
    <t xml:space="preserve">IGV </t>
  </si>
  <si>
    <t>MINAM</t>
  </si>
  <si>
    <t>TOTAL PARCIAL (S/.)</t>
  </si>
  <si>
    <t>IGV TOTAL (INCLUYE OTROS IMPUESTOS)</t>
  </si>
  <si>
    <t>TOTAL CON IMPUESTOS (S/.)</t>
  </si>
  <si>
    <t>S/.</t>
  </si>
  <si>
    <t>1. COSTO DE EJECUCION DE PROYECTOS DEL PROGRAMA</t>
  </si>
  <si>
    <t>1.1 Costo de proyectos</t>
  </si>
  <si>
    <t>1.1.1 Manejo de residuos sólidos</t>
  </si>
  <si>
    <t>1.1.2 Gestión municipal</t>
  </si>
  <si>
    <t>1.1.3 Practicas a la población</t>
  </si>
  <si>
    <t>1.1.4 Gastos generales (% de los costos obra)</t>
  </si>
  <si>
    <t>1.1.5 Utilidad (% de los costos obra)</t>
  </si>
  <si>
    <t>1.1.6 Evaluación intermedia y expost (Culminación)</t>
  </si>
  <si>
    <t>2. COSTOS DE GESTION DEL PROGRAMA</t>
  </si>
  <si>
    <t>2.1 Unidad Ejecutora del Programa</t>
  </si>
  <si>
    <t xml:space="preserve">  2.1.1 Personal de la UE *</t>
  </si>
  <si>
    <t xml:space="preserve">  2.1.2 Bienes de la UE **</t>
  </si>
  <si>
    <t xml:space="preserve">  2.1.3 Gastos operativos de la UE ***</t>
  </si>
  <si>
    <t>2.2 Consultorías</t>
  </si>
  <si>
    <t>2.2.1 Elaboración de expedientes técnicos grupo 1</t>
  </si>
  <si>
    <t>2.2.2 Elaboración de expedientes técnicos grupo 2</t>
  </si>
  <si>
    <t>2.2.3 Supervisión de la elaboración de expedientes técnicos grupo 1</t>
  </si>
  <si>
    <t>2.2.4 Supervisión de la elaboración de expedientes técnicos grupo 2</t>
  </si>
  <si>
    <t>2.2.5 Supervisión de obras grupo 1</t>
  </si>
  <si>
    <t>2.2.6 Supervisión de obras grupo 2</t>
  </si>
  <si>
    <t>2.3 Auditorias</t>
  </si>
  <si>
    <t xml:space="preserve">  2.3.1 Servicios de consultoría de la UE: auditorías administrativas, financieras, etc </t>
  </si>
  <si>
    <t xml:space="preserve">2.4 Estudios y evaluaciones </t>
  </si>
  <si>
    <t>2.4.1 Elaboración de lineas base BID</t>
  </si>
  <si>
    <t>2.4.2 Elaboración de lineas base JICA</t>
  </si>
  <si>
    <t>2.4.3 Estrategia social (Incluye implementación)</t>
  </si>
  <si>
    <t>2.4.4 Estrategia de comunicación (Incluye implementación)</t>
  </si>
  <si>
    <t>2.4.5 Evaluación EXPOST del programa</t>
  </si>
  <si>
    <t>US $</t>
  </si>
  <si>
    <t>EVALUACIONES</t>
  </si>
  <si>
    <t xml:space="preserve">Elaboración de líneas bases BID - JICA </t>
  </si>
  <si>
    <t>Evaluación Intermedia y Ex post (culminación) (*)</t>
  </si>
  <si>
    <t>Evaluación Ex Post (Resultados e impacto)(**)</t>
  </si>
  <si>
    <t>Tipo de Cambio (MMM 2016-2018)</t>
  </si>
  <si>
    <t>(*) Asignado a cada proyecto</t>
  </si>
  <si>
    <t>(**) Asignado a nivel de programa</t>
  </si>
  <si>
    <t>* Personal esta afecto al 8% de impuestos</t>
  </si>
  <si>
    <t>** Los Bienes estan afectos a 18% de impuestos</t>
  </si>
  <si>
    <t>*** Los gastos operativos son afectados por varios impuestos según sus componentes</t>
  </si>
  <si>
    <t>i. retribuciones y complementos</t>
  </si>
  <si>
    <t>TIPO DE CAMBIO</t>
  </si>
  <si>
    <t>RESUMEN DEL COSTO DEL PROGRAMA EN DOLARES</t>
  </si>
  <si>
    <t>TOTAL 
PARCIAL US$</t>
  </si>
  <si>
    <t>TOTAL CON IMPUESTOS (US$)</t>
  </si>
  <si>
    <t>$</t>
  </si>
  <si>
    <t>1. COSTO DE EJECUCION DEL PROGRAMA</t>
  </si>
  <si>
    <t>1.1.1  Manejo de residuos sólidos</t>
  </si>
  <si>
    <t xml:space="preserve">  2.3.1 Servicios de consultoría de la UE: auditorías administrativas, financieras, etc *</t>
  </si>
  <si>
    <t>2.4.5 Evaluación del programa</t>
  </si>
  <si>
    <t>1.4 Gastos generales (% de los costos obra)</t>
  </si>
  <si>
    <t>1.5 Utilidad (% de los costos obra)</t>
  </si>
  <si>
    <t>1.6 Evaluación intermedia y expost (Culminación)</t>
  </si>
  <si>
    <t>2.1 Unidad Ejecutora</t>
  </si>
  <si>
    <t>2.1.1 Personal de la UE</t>
  </si>
  <si>
    <t>2.1.2 Bienes de la UE</t>
  </si>
  <si>
    <t>2.1.3 Gastos operativos de la UE</t>
  </si>
  <si>
    <t>2.1.4 Servicios de consultoría de la UE: auditorías administrativas, financieras, etc</t>
  </si>
  <si>
    <t>2.2.1 Elaboración de expedientes técnicos grupo 2</t>
  </si>
  <si>
    <t>RESUMEN DE FINANCIAMIENTO (SOLES)</t>
  </si>
  <si>
    <t xml:space="preserve">TOTAL </t>
  </si>
  <si>
    <t>RESUMEN DE FINACIAMIENTO (DOLARES)</t>
  </si>
  <si>
    <t>Grupo</t>
  </si>
  <si>
    <t>Chancay</t>
  </si>
  <si>
    <t>Tarma</t>
  </si>
  <si>
    <t>Pozuzo</t>
  </si>
  <si>
    <t>Oxapampa</t>
  </si>
  <si>
    <t>Bagua</t>
  </si>
  <si>
    <t>Huacho</t>
  </si>
  <si>
    <t>Abancay</t>
  </si>
  <si>
    <t>Andahuaylas</t>
  </si>
  <si>
    <t>Yauyos</t>
  </si>
  <si>
    <t>Chincha - Chincha Alta</t>
  </si>
  <si>
    <t>Aymaraes - Chalhuanca</t>
  </si>
  <si>
    <t>Grupo 1 - Obras</t>
  </si>
  <si>
    <t>Grupo 2 - Obras</t>
  </si>
  <si>
    <t>Supervisión</t>
  </si>
  <si>
    <t>Supervision de obras Grupo 1</t>
  </si>
  <si>
    <t>Supervisión de obras Grupo 2</t>
  </si>
  <si>
    <t>Huamanga</t>
  </si>
  <si>
    <t>Consultoria para la elaboración de los Expedientes Técnicos Grupo 1</t>
  </si>
  <si>
    <t>Consultoria para la elaboración de los Expedientes Técnicos Grupo 2</t>
  </si>
  <si>
    <t>Supervisión Expedientes Técnicos Grupo 1</t>
  </si>
  <si>
    <t>Supervisión Expedientes Técnicos Grupo 2</t>
  </si>
  <si>
    <t>Obras</t>
  </si>
  <si>
    <t>1.2.1</t>
  </si>
  <si>
    <t>1.2.2</t>
  </si>
  <si>
    <t>1.1.1</t>
  </si>
  <si>
    <t>1.1.2</t>
  </si>
  <si>
    <t>Evaluación Expost Grupo 1</t>
  </si>
  <si>
    <t>Evaluación Expost Grupo 2</t>
  </si>
  <si>
    <t>AUDITORIA, MONITOREO Y EVALUACION</t>
  </si>
  <si>
    <t>Presupuesto Detallado (US$)</t>
  </si>
  <si>
    <t>COMPONENTES</t>
  </si>
  <si>
    <t>Administración</t>
  </si>
  <si>
    <t>COMPONENTES / PROGRAMA PE-L 1153 - BID</t>
  </si>
  <si>
    <t>ADMINISTRACION - UE 003 / PROGRAMA PE-L 1153 - BID</t>
  </si>
  <si>
    <t>Expedientes Técnicos</t>
  </si>
  <si>
    <t>Financiamiento</t>
  </si>
  <si>
    <t xml:space="preserve">Programa de recuperación de áreas degradadas por residuos sólidos en zonas prioritarias. </t>
  </si>
  <si>
    <t>PE-L 1153</t>
  </si>
  <si>
    <t>Ingeniero Diseños</t>
  </si>
  <si>
    <t xml:space="preserve">Ingeniero - Administrador de Contratos </t>
  </si>
  <si>
    <t>Ingeniero - Especialista en Costos y Presupuesto</t>
  </si>
  <si>
    <t>Coordinador Administrativo - Clave</t>
  </si>
  <si>
    <t>Especialista en Adquisiciones - Clave</t>
  </si>
  <si>
    <t>Especialista Contable Patrimonial - Clave</t>
  </si>
  <si>
    <t>Especialista en Inversión Publica</t>
  </si>
  <si>
    <t>Analista Contable</t>
  </si>
  <si>
    <t>Coordinador Técnico - Clave</t>
  </si>
  <si>
    <t>Especialista en Comunicación e imagen institucional</t>
  </si>
  <si>
    <t>Asistentes técnicos</t>
  </si>
  <si>
    <t>Especialista Social - Clave</t>
  </si>
  <si>
    <t>Especialista en Planificación y Presupuesto</t>
  </si>
  <si>
    <t>Fuente</t>
  </si>
  <si>
    <t>Especialista Ambiental</t>
  </si>
  <si>
    <t>Secretaria de la Coordinación Técnica</t>
  </si>
  <si>
    <t>Secretaria de la Coordinación del Programa</t>
  </si>
  <si>
    <t>Componente 2 - Fortalecimiento de la Gestión Municipal y Social</t>
  </si>
  <si>
    <t>Monitoreo, Evaluación y Auditoria</t>
  </si>
  <si>
    <t>Evaluación de los PIPs</t>
  </si>
  <si>
    <t>Gestión Municipal</t>
  </si>
  <si>
    <t>Plan de Intervención Social de los Recicladores</t>
  </si>
  <si>
    <t>Gestión Social y Comunicación</t>
  </si>
  <si>
    <t>Fortalecimiento de la Gestión Municipal</t>
  </si>
  <si>
    <t>Comunicación del Programa</t>
  </si>
  <si>
    <t>Evaluación Intermedia del Programa</t>
  </si>
  <si>
    <t>Evaluación Final del Programa (inlcuye Expost)</t>
  </si>
  <si>
    <t>Evaluación otras actividades del programa</t>
  </si>
  <si>
    <t>Coordinador del Programa - Clave</t>
  </si>
  <si>
    <t>Total Administración del Prrograma</t>
  </si>
  <si>
    <t>Total Administración del Contrato de Préstamo BID</t>
  </si>
  <si>
    <t>Analista en Adquisiciones</t>
  </si>
  <si>
    <t>Mejoras para entrega de oficina</t>
  </si>
  <si>
    <t>Municipio</t>
  </si>
  <si>
    <t>Talleres de capacitación en seguridad y salud ocupacional realizados.</t>
  </si>
  <si>
    <t>Manual de Seguridad y Salud Ocupacional elaborado.</t>
  </si>
  <si>
    <t>Talleres de capacitación en guías técnicas, normas, sanciones y operación y mantenimiento de clausura de botadores realizados.</t>
  </si>
  <si>
    <t>Talleres de capacitación en seguimiento, control, vigilancia del plan de monitoreo ambiental realizados.</t>
  </si>
  <si>
    <t>Montos (Soles)</t>
  </si>
  <si>
    <t>Manual de Operación y Mantenimiento del Botadero elaborado (incluye video)</t>
  </si>
  <si>
    <t>TOTAL (SOLES)</t>
  </si>
  <si>
    <t>Total (US$) - 3.4</t>
  </si>
  <si>
    <t>Componente 1 - Obras para clausura de botaderos</t>
  </si>
  <si>
    <t>Practicas a la Población incluidos en los PIPs (sin recicladores)</t>
  </si>
  <si>
    <t>Cantidad de talleres</t>
  </si>
  <si>
    <t>Talleres de difusión a la población sobre riesgos e impactos a la salud y al ambiente realizados.</t>
  </si>
  <si>
    <t>Campañas de comunicación realizadas.</t>
  </si>
  <si>
    <t>Intervención con Recicladores incluidos en los PIPs</t>
  </si>
  <si>
    <t>Estudio de focalización social del reciclador y su articulación con programas sociales del estado</t>
  </si>
  <si>
    <t>Programa de inclusión social de los recicladores ubicados en el botadero</t>
  </si>
  <si>
    <t>Gestión Social (Prácticas adecuadas a la Población - PIPs)</t>
  </si>
  <si>
    <t>Plan de Intervención Social a Recicladores (incluye parte PIPs)</t>
  </si>
  <si>
    <t>1.1.3</t>
  </si>
  <si>
    <t>1.1.4</t>
  </si>
  <si>
    <t>1.2.1.1</t>
  </si>
  <si>
    <t>1.2.1.2</t>
  </si>
  <si>
    <t>1.2.1.3</t>
  </si>
  <si>
    <t>1.2.1.4</t>
  </si>
  <si>
    <t>1.2.1.5</t>
  </si>
  <si>
    <t>1.2.1.6</t>
  </si>
  <si>
    <t>1.2.1.7</t>
  </si>
  <si>
    <t>1.2.2.1</t>
  </si>
  <si>
    <t>1.2.2.2</t>
  </si>
  <si>
    <t>1.2.2.3</t>
  </si>
  <si>
    <t>1.2.2.4</t>
  </si>
  <si>
    <t>1.2.2.5</t>
  </si>
  <si>
    <t>1.3.1</t>
  </si>
  <si>
    <t>1.3.2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</si>
  <si>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</si>
  <si>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</si>
  <si>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</si>
  <si>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</si>
  <si>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</si>
  <si>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</si>
  <si>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</si>
  <si>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</si>
  <si>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</si>
  <si>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</si>
  <si>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</si>
  <si>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</si>
  <si>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</si>
  <si>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</si>
  <si>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</si>
  <si>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</si>
  <si>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</si>
  <si>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</si>
  <si>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</si>
  <si>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</si>
  <si>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</si>
  <si>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</si>
  <si>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</si>
  <si>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</si>
  <si>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Total (US$) - 3.35</t>
  </si>
  <si>
    <t>En SOLES</t>
  </si>
  <si>
    <t>Tasa de Cambio</t>
  </si>
  <si>
    <t>Según PIPs</t>
  </si>
  <si>
    <t>Total (US$)</t>
  </si>
  <si>
    <t>Plan de Inclusión Social para Recicladores
BID</t>
  </si>
  <si>
    <t>N°</t>
  </si>
  <si>
    <t>Concepto</t>
  </si>
  <si>
    <t>Precio</t>
  </si>
  <si>
    <t>M. Parcial</t>
  </si>
  <si>
    <t>Actividad</t>
  </si>
  <si>
    <t>Unitario</t>
  </si>
  <si>
    <t>Estudio definitivo</t>
  </si>
  <si>
    <t>Diseño detallado de estratégia y metodología</t>
  </si>
  <si>
    <t>Identificación de nuevas rutas de recolección selectiva</t>
  </si>
  <si>
    <t>Ciudad</t>
  </si>
  <si>
    <t>ciudades de 1 a 10 recicladores</t>
  </si>
  <si>
    <t>ciudades de 11 a 25 recicladores</t>
  </si>
  <si>
    <t>ciudades de 26 a 50 recicladores</t>
  </si>
  <si>
    <t>ciudades de 51 a más recicladores</t>
  </si>
  <si>
    <t>Sensibilización y registro de viviendas y puntos de recojo</t>
  </si>
  <si>
    <t>Estudio de mercado para garantizar comercialización de reciclaje local</t>
  </si>
  <si>
    <t>Reforzamiento de capacitaciones a municipalidades en administración del Plan</t>
  </si>
  <si>
    <t>Monitoreo del programa y evaluación de resultados</t>
  </si>
  <si>
    <t>Identificación y empoderamiento a recicladores de 16+7 botaderos</t>
  </si>
  <si>
    <t>Material a utilizar en trabajo de campo y encuestas a recicladores</t>
  </si>
  <si>
    <t>Global</t>
  </si>
  <si>
    <t>Actividades de difusión de características del Plan a recicladores de botaderos</t>
  </si>
  <si>
    <t>Actualización de censo socioecónomico a recicladores de botaderos</t>
  </si>
  <si>
    <t>Procesamiento de información</t>
  </si>
  <si>
    <t>Asistencia técnica y legal para el cumplimiento de requisitos para la formalización de recicladores en organizaciones con personaria juridica</t>
  </si>
  <si>
    <t>Talleres reconversión laboral</t>
  </si>
  <si>
    <t>Taller</t>
  </si>
  <si>
    <t>Apoyo complementario a recicladores por Botadero</t>
  </si>
  <si>
    <t>Chincha</t>
  </si>
  <si>
    <t>Reciclador</t>
  </si>
  <si>
    <t>TOTAL SIN IGV</t>
  </si>
  <si>
    <t xml:space="preserve">IGV 18% </t>
  </si>
  <si>
    <t>TOTAL CON IGV</t>
  </si>
  <si>
    <t>Tasa de cambio</t>
  </si>
  <si>
    <t>RECURSOS HUMANOS - UE / PROGRAMA PE-L 1153 - BID</t>
  </si>
  <si>
    <t>Complemento talleres de difusión</t>
  </si>
  <si>
    <t>TOTAL
BID</t>
  </si>
  <si>
    <t>Gastos administrativos y de movilización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</si>
</sst>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 * #,##0.00_ ;_ * \-#,##0.00_ ;_ * &quot;-&quot;??_ ;_ @_ "/>
    <numFmt numFmtId="167" formatCode="_(* #,##0_);_(* \(#,##0\);_(* &quot;-&quot;??_);_(@_)"/>
    <numFmt numFmtId="168" formatCode="#,##0.0"/>
    <numFmt numFmtId="169" formatCode="_ * #,##0_ ;_ * \-#,##0_ ;_ * &quot;-&quot;??_ ;_ @_ "/>
    <numFmt numFmtId="170" formatCode="_-* #,##0_-;\-* #,##0_-;_-* &quot;-&quot;??_-;_-@_-"/>
    <numFmt numFmtId="171" formatCode="_-* #,##0.00\ _€_-;\-* #,##0.00\ _€_-;_-* &quot;-&quot;??\ _€_-;_-@_-"/>
    <numFmt numFmtId="172" formatCode="0.000%"/>
    <numFmt numFmtId="173" formatCode="0.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b/>
      <sz val="12"/>
      <color theme="1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8.5"/>
      <color theme="0"/>
      <name val="Arial Narrow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sz val="8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E9F5DB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2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76">
    <xf numFmtId="0" fontId="0" fillId="0" borderId="0" xfId="0"/>
    <xf numFmtId="0" fontId="4" fillId="0" borderId="0" xfId="0" applyFont="1" applyAlignment="1">
      <alignment vertical="center"/>
    </xf>
    <xf numFmtId="43" fontId="4" fillId="0" borderId="2" xfId="2" applyFont="1" applyBorder="1" applyAlignment="1">
      <alignment vertical="center"/>
    </xf>
    <xf numFmtId="0" fontId="4" fillId="0" borderId="1" xfId="2" applyNumberFormat="1" applyFont="1" applyBorder="1" applyAlignment="1">
      <alignment horizontal="center" vertical="center"/>
    </xf>
    <xf numFmtId="43" fontId="4" fillId="0" borderId="1" xfId="2" applyNumberFormat="1" applyFont="1" applyBorder="1" applyAlignment="1">
      <alignment vertical="center"/>
    </xf>
    <xf numFmtId="43" fontId="4" fillId="0" borderId="1" xfId="2" applyFont="1" applyBorder="1" applyAlignment="1">
      <alignment vertical="center"/>
    </xf>
    <xf numFmtId="0" fontId="4" fillId="0" borderId="0" xfId="0" applyFont="1" applyAlignment="1">
      <alignment vertical="center" wrapText="1"/>
    </xf>
    <xf numFmtId="167" fontId="4" fillId="0" borderId="2" xfId="2" applyNumberFormat="1" applyFont="1" applyBorder="1" applyAlignment="1">
      <alignment vertical="center"/>
    </xf>
    <xf numFmtId="43" fontId="4" fillId="0" borderId="0" xfId="2" applyFont="1" applyAlignment="1">
      <alignment vertical="center"/>
    </xf>
    <xf numFmtId="43" fontId="4" fillId="4" borderId="1" xfId="2" applyFont="1" applyFill="1" applyBorder="1" applyAlignment="1">
      <alignment vertical="center"/>
    </xf>
    <xf numFmtId="43" fontId="5" fillId="4" borderId="1" xfId="2" applyFont="1" applyFill="1" applyBorder="1" applyAlignment="1">
      <alignment horizontal="center" vertical="center"/>
    </xf>
    <xf numFmtId="0" fontId="4" fillId="4" borderId="0" xfId="0" applyFont="1" applyFill="1" applyAlignment="1">
      <alignment vertical="center" wrapText="1"/>
    </xf>
    <xf numFmtId="43" fontId="5" fillId="4" borderId="2" xfId="2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43" fontId="5" fillId="4" borderId="1" xfId="2" applyFont="1" applyFill="1" applyBorder="1" applyAlignment="1">
      <alignment vertical="center"/>
    </xf>
    <xf numFmtId="0" fontId="3" fillId="0" borderId="0" xfId="0" applyFont="1"/>
    <xf numFmtId="41" fontId="6" fillId="4" borderId="1" xfId="1" applyFont="1" applyFill="1" applyBorder="1" applyAlignment="1">
      <alignment horizontal="left"/>
    </xf>
    <xf numFmtId="0" fontId="6" fillId="0" borderId="0" xfId="0" applyFont="1"/>
    <xf numFmtId="41" fontId="3" fillId="5" borderId="1" xfId="1" applyFont="1" applyFill="1" applyBorder="1"/>
    <xf numFmtId="0" fontId="3" fillId="5" borderId="0" xfId="0" applyFont="1" applyFill="1"/>
    <xf numFmtId="0" fontId="3" fillId="0" borderId="1" xfId="0" applyFont="1" applyBorder="1" applyAlignment="1">
      <alignment horizontal="center"/>
    </xf>
    <xf numFmtId="41" fontId="3" fillId="0" borderId="1" xfId="1" applyFont="1" applyBorder="1"/>
    <xf numFmtId="41" fontId="8" fillId="0" borderId="1" xfId="1" applyFont="1" applyBorder="1"/>
    <xf numFmtId="0" fontId="8" fillId="0" borderId="0" xfId="0" applyFont="1"/>
    <xf numFmtId="41" fontId="8" fillId="0" borderId="1" xfId="1" applyFont="1" applyFill="1" applyBorder="1"/>
    <xf numFmtId="41" fontId="3" fillId="0" borderId="0" xfId="0" applyNumberFormat="1" applyFont="1"/>
    <xf numFmtId="41" fontId="6" fillId="0" borderId="0" xfId="1" applyFont="1"/>
    <xf numFmtId="41" fontId="6" fillId="0" borderId="0" xfId="0" applyNumberFormat="1" applyFont="1"/>
    <xf numFmtId="41" fontId="8" fillId="5" borderId="1" xfId="1" applyFont="1" applyFill="1" applyBorder="1"/>
    <xf numFmtId="49" fontId="8" fillId="0" borderId="1" xfId="0" applyNumberFormat="1" applyFont="1" applyBorder="1" applyAlignment="1">
      <alignment horizontal="center" wrapText="1"/>
    </xf>
    <xf numFmtId="41" fontId="7" fillId="0" borderId="1" xfId="1" applyFont="1" applyBorder="1" applyAlignment="1">
      <alignment wrapText="1"/>
    </xf>
    <xf numFmtId="49" fontId="8" fillId="0" borderId="1" xfId="0" applyNumberFormat="1" applyFont="1" applyBorder="1" applyAlignment="1"/>
    <xf numFmtId="43" fontId="4" fillId="5" borderId="1" xfId="2" applyFont="1" applyFill="1" applyBorder="1" applyAlignment="1">
      <alignment vertical="center"/>
    </xf>
    <xf numFmtId="167" fontId="4" fillId="0" borderId="1" xfId="2" applyNumberFormat="1" applyFont="1" applyBorder="1" applyAlignment="1">
      <alignment vertical="center"/>
    </xf>
    <xf numFmtId="167" fontId="5" fillId="4" borderId="1" xfId="2" applyNumberFormat="1" applyFont="1" applyFill="1" applyBorder="1" applyAlignment="1">
      <alignment horizontal="center" vertical="center"/>
    </xf>
    <xf numFmtId="167" fontId="5" fillId="4" borderId="1" xfId="2" applyNumberFormat="1" applyFont="1" applyFill="1" applyBorder="1" applyAlignment="1">
      <alignment vertical="center"/>
    </xf>
    <xf numFmtId="43" fontId="5" fillId="0" borderId="0" xfId="2" applyFont="1" applyAlignment="1">
      <alignment vertical="center"/>
    </xf>
    <xf numFmtId="167" fontId="5" fillId="0" borderId="1" xfId="2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167" fontId="4" fillId="5" borderId="2" xfId="2" applyNumberFormat="1" applyFont="1" applyFill="1" applyBorder="1" applyAlignment="1">
      <alignment vertical="center"/>
    </xf>
    <xf numFmtId="0" fontId="8" fillId="5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center" vertical="center"/>
    </xf>
    <xf numFmtId="0" fontId="11" fillId="5" borderId="0" xfId="0" applyFont="1" applyFill="1"/>
    <xf numFmtId="0" fontId="11" fillId="0" borderId="0" xfId="0" applyFont="1" applyFill="1"/>
    <xf numFmtId="0" fontId="9" fillId="0" borderId="0" xfId="0" applyFont="1" applyFill="1"/>
    <xf numFmtId="0" fontId="9" fillId="0" borderId="1" xfId="0" applyFont="1" applyFill="1" applyBorder="1"/>
    <xf numFmtId="3" fontId="9" fillId="0" borderId="1" xfId="0" applyNumberFormat="1" applyFont="1" applyFill="1" applyBorder="1" applyAlignment="1">
      <alignment horizontal="right" vertical="center"/>
    </xf>
    <xf numFmtId="3" fontId="14" fillId="0" borderId="1" xfId="0" applyNumberFormat="1" applyFont="1" applyFill="1" applyBorder="1" applyAlignment="1">
      <alignment horizontal="right" vertical="center"/>
    </xf>
    <xf numFmtId="3" fontId="9" fillId="5" borderId="1" xfId="0" applyNumberFormat="1" applyFont="1" applyFill="1" applyBorder="1" applyAlignment="1">
      <alignment horizontal="right" vertical="center"/>
    </xf>
    <xf numFmtId="0" fontId="15" fillId="5" borderId="0" xfId="0" applyFont="1" applyFill="1"/>
    <xf numFmtId="0" fontId="15" fillId="0" borderId="0" xfId="0" applyFont="1" applyFill="1"/>
    <xf numFmtId="0" fontId="10" fillId="0" borderId="0" xfId="0" applyFont="1" applyFill="1"/>
    <xf numFmtId="0" fontId="10" fillId="11" borderId="0" xfId="0" applyFont="1" applyFill="1"/>
    <xf numFmtId="0" fontId="9" fillId="12" borderId="1" xfId="0" applyFont="1" applyFill="1" applyBorder="1"/>
    <xf numFmtId="3" fontId="9" fillId="12" borderId="1" xfId="0" applyNumberFormat="1" applyFont="1" applyFill="1" applyBorder="1" applyAlignment="1">
      <alignment horizontal="right" vertical="center"/>
    </xf>
    <xf numFmtId="3" fontId="14" fillId="12" borderId="1" xfId="0" applyNumberFormat="1" applyFont="1" applyFill="1" applyBorder="1" applyAlignment="1">
      <alignment horizontal="right" vertical="center"/>
    </xf>
    <xf numFmtId="0" fontId="10" fillId="13" borderId="0" xfId="0" applyFont="1" applyFill="1"/>
    <xf numFmtId="0" fontId="9" fillId="11" borderId="0" xfId="0" applyFont="1" applyFill="1"/>
    <xf numFmtId="0" fontId="9" fillId="13" borderId="0" xfId="0" applyFont="1" applyFill="1"/>
    <xf numFmtId="3" fontId="16" fillId="12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/>
    <xf numFmtId="0" fontId="10" fillId="14" borderId="1" xfId="0" applyFont="1" applyFill="1" applyBorder="1" applyAlignment="1">
      <alignment horizontal="center" vertical="center"/>
    </xf>
    <xf numFmtId="3" fontId="10" fillId="14" borderId="1" xfId="0" applyNumberFormat="1" applyFont="1" applyFill="1" applyBorder="1" applyAlignment="1">
      <alignment horizontal="right" vertical="center"/>
    </xf>
    <xf numFmtId="0" fontId="9" fillId="5" borderId="0" xfId="0" applyFont="1" applyFill="1"/>
    <xf numFmtId="0" fontId="9" fillId="15" borderId="1" xfId="0" applyFont="1" applyFill="1" applyBorder="1"/>
    <xf numFmtId="3" fontId="16" fillId="0" borderId="1" xfId="0" applyNumberFormat="1" applyFont="1" applyFill="1" applyBorder="1" applyAlignment="1">
      <alignment horizontal="right" vertical="center"/>
    </xf>
    <xf numFmtId="0" fontId="11" fillId="9" borderId="0" xfId="0" applyFont="1" applyFill="1"/>
    <xf numFmtId="0" fontId="9" fillId="9" borderId="0" xfId="0" applyFont="1" applyFill="1"/>
    <xf numFmtId="0" fontId="9" fillId="16" borderId="0" xfId="0" applyFont="1" applyFill="1"/>
    <xf numFmtId="169" fontId="16" fillId="5" borderId="0" xfId="2" applyNumberFormat="1" applyFont="1" applyFill="1"/>
    <xf numFmtId="10" fontId="13" fillId="12" borderId="0" xfId="3" applyNumberFormat="1" applyFont="1" applyFill="1"/>
    <xf numFmtId="169" fontId="9" fillId="0" borderId="0" xfId="2" applyNumberFormat="1" applyFont="1" applyAlignment="1">
      <alignment horizontal="center" vertical="center"/>
    </xf>
    <xf numFmtId="169" fontId="9" fillId="0" borderId="0" xfId="0" applyNumberFormat="1" applyFont="1" applyAlignment="1">
      <alignment horizontal="center" vertical="center"/>
    </xf>
    <xf numFmtId="0" fontId="14" fillId="0" borderId="1" xfId="0" applyFont="1" applyFill="1" applyBorder="1"/>
    <xf numFmtId="0" fontId="14" fillId="5" borderId="1" xfId="0" applyFont="1" applyFill="1" applyBorder="1"/>
    <xf numFmtId="0" fontId="12" fillId="14" borderId="1" xfId="0" applyFont="1" applyFill="1" applyBorder="1" applyAlignment="1">
      <alignment horizontal="center" vertical="center"/>
    </xf>
    <xf numFmtId="3" fontId="12" fillId="14" borderId="1" xfId="0" applyNumberFormat="1" applyFont="1" applyFill="1" applyBorder="1" applyAlignment="1">
      <alignment horizontal="right" vertical="center"/>
    </xf>
    <xf numFmtId="3" fontId="9" fillId="17" borderId="1" xfId="0" applyNumberFormat="1" applyFont="1" applyFill="1" applyBorder="1" applyAlignment="1">
      <alignment horizontal="right" vertical="center"/>
    </xf>
    <xf numFmtId="3" fontId="9" fillId="9" borderId="1" xfId="0" applyNumberFormat="1" applyFont="1" applyFill="1" applyBorder="1" applyAlignment="1">
      <alignment horizontal="right" vertical="center"/>
    </xf>
    <xf numFmtId="0" fontId="14" fillId="5" borderId="3" xfId="0" applyFont="1" applyFill="1" applyBorder="1" applyAlignment="1"/>
    <xf numFmtId="0" fontId="12" fillId="14" borderId="3" xfId="0" applyFont="1" applyFill="1" applyBorder="1" applyAlignment="1">
      <alignment horizontal="center" vertical="center"/>
    </xf>
    <xf numFmtId="0" fontId="14" fillId="0" borderId="0" xfId="0" applyFont="1"/>
    <xf numFmtId="2" fontId="9" fillId="0" borderId="0" xfId="0" applyNumberFormat="1" applyFont="1" applyAlignment="1">
      <alignment horizontal="center" vertical="center"/>
    </xf>
    <xf numFmtId="0" fontId="18" fillId="5" borderId="0" xfId="0" applyFont="1" applyFill="1"/>
    <xf numFmtId="0" fontId="18" fillId="0" borderId="0" xfId="0" applyFont="1" applyFill="1"/>
    <xf numFmtId="0" fontId="19" fillId="0" borderId="0" xfId="0" applyFont="1" applyFill="1"/>
    <xf numFmtId="0" fontId="19" fillId="0" borderId="0" xfId="0" applyFont="1"/>
    <xf numFmtId="0" fontId="10" fillId="10" borderId="1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20" fillId="5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9" fontId="10" fillId="10" borderId="1" xfId="0" applyNumberFormat="1" applyFont="1" applyFill="1" applyBorder="1" applyAlignment="1">
      <alignment horizontal="center"/>
    </xf>
    <xf numFmtId="0" fontId="10" fillId="18" borderId="1" xfId="0" applyFont="1" applyFill="1" applyBorder="1" applyAlignment="1">
      <alignment wrapText="1"/>
    </xf>
    <xf numFmtId="3" fontId="10" fillId="18" borderId="1" xfId="0" applyNumberFormat="1" applyFont="1" applyFill="1" applyBorder="1" applyAlignment="1">
      <alignment horizontal="right" vertical="center"/>
    </xf>
    <xf numFmtId="0" fontId="10" fillId="19" borderId="1" xfId="0" applyFont="1" applyFill="1" applyBorder="1" applyAlignment="1">
      <alignment horizontal="left" wrapText="1" indent="1"/>
    </xf>
    <xf numFmtId="3" fontId="10" fillId="19" borderId="1" xfId="0" applyNumberFormat="1" applyFont="1" applyFill="1" applyBorder="1" applyAlignment="1">
      <alignment horizontal="right" vertical="center"/>
    </xf>
    <xf numFmtId="0" fontId="21" fillId="0" borderId="1" xfId="0" applyFont="1" applyBorder="1" applyAlignment="1">
      <alignment horizontal="left" vertical="center" wrapText="1" indent="2"/>
    </xf>
    <xf numFmtId="3" fontId="9" fillId="0" borderId="1" xfId="0" applyNumberFormat="1" applyFont="1" applyBorder="1" applyAlignment="1">
      <alignment horizontal="right" vertical="center"/>
    </xf>
    <xf numFmtId="169" fontId="9" fillId="0" borderId="1" xfId="2" applyNumberFormat="1" applyFont="1" applyBorder="1" applyAlignment="1">
      <alignment horizontal="right" vertical="center"/>
    </xf>
    <xf numFmtId="169" fontId="9" fillId="0" borderId="1" xfId="2" applyNumberFormat="1" applyFont="1" applyBorder="1" applyAlignment="1">
      <alignment horizontal="center" vertical="center"/>
    </xf>
    <xf numFmtId="0" fontId="22" fillId="18" borderId="1" xfId="0" applyFont="1" applyFill="1" applyBorder="1" applyAlignment="1">
      <alignment horizontal="left" vertical="center" wrapText="1"/>
    </xf>
    <xf numFmtId="169" fontId="10" fillId="18" borderId="1" xfId="2" applyNumberFormat="1" applyFont="1" applyFill="1" applyBorder="1" applyAlignment="1">
      <alignment horizontal="right" vertical="center"/>
    </xf>
    <xf numFmtId="0" fontId="22" fillId="19" borderId="1" xfId="0" applyFont="1" applyFill="1" applyBorder="1" applyAlignment="1">
      <alignment horizontal="left" vertical="center" wrapText="1" indent="1"/>
    </xf>
    <xf numFmtId="169" fontId="10" fillId="19" borderId="1" xfId="2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wrapText="1" indent="1"/>
    </xf>
    <xf numFmtId="166" fontId="9" fillId="0" borderId="1" xfId="2" applyNumberFormat="1" applyFont="1" applyBorder="1" applyAlignment="1">
      <alignment horizontal="right" vertical="center"/>
    </xf>
    <xf numFmtId="0" fontId="21" fillId="5" borderId="1" xfId="0" applyFont="1" applyFill="1" applyBorder="1" applyAlignment="1">
      <alignment horizontal="left" vertical="center" wrapText="1" indent="2"/>
    </xf>
    <xf numFmtId="3" fontId="16" fillId="9" borderId="1" xfId="0" applyNumberFormat="1" applyFont="1" applyFill="1" applyBorder="1" applyAlignment="1">
      <alignment horizontal="right" vertical="center"/>
    </xf>
    <xf numFmtId="169" fontId="16" fillId="9" borderId="1" xfId="2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169" fontId="9" fillId="0" borderId="1" xfId="0" applyNumberFormat="1" applyFont="1" applyBorder="1" applyAlignment="1">
      <alignment horizontal="center" vertical="center"/>
    </xf>
    <xf numFmtId="0" fontId="16" fillId="9" borderId="1" xfId="0" applyFont="1" applyFill="1" applyBorder="1" applyAlignment="1">
      <alignment horizontal="left" vertical="center" wrapText="1" indent="2"/>
    </xf>
    <xf numFmtId="0" fontId="10" fillId="17" borderId="1" xfId="0" applyFont="1" applyFill="1" applyBorder="1" applyAlignment="1">
      <alignment wrapText="1"/>
    </xf>
    <xf numFmtId="3" fontId="10" fillId="17" borderId="1" xfId="0" applyNumberFormat="1" applyFont="1" applyFill="1" applyBorder="1" applyAlignment="1">
      <alignment horizontal="right" vertical="center"/>
    </xf>
    <xf numFmtId="0" fontId="23" fillId="6" borderId="0" xfId="0" applyFont="1" applyFill="1" applyAlignment="1">
      <alignment vertical="center"/>
    </xf>
    <xf numFmtId="3" fontId="9" fillId="20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0" fillId="17" borderId="1" xfId="0" applyFont="1" applyFill="1" applyBorder="1" applyAlignment="1">
      <alignment horizontal="center"/>
    </xf>
    <xf numFmtId="0" fontId="10" fillId="17" borderId="0" xfId="0" applyFont="1" applyFill="1" applyBorder="1" applyAlignment="1">
      <alignment horizontal="center"/>
    </xf>
    <xf numFmtId="0" fontId="10" fillId="19" borderId="1" xfId="0" applyFont="1" applyFill="1" applyBorder="1" applyAlignment="1">
      <alignment wrapText="1"/>
    </xf>
    <xf numFmtId="3" fontId="10" fillId="19" borderId="0" xfId="0" applyNumberFormat="1" applyFont="1" applyFill="1" applyBorder="1" applyAlignment="1">
      <alignment horizontal="right" vertical="center"/>
    </xf>
    <xf numFmtId="0" fontId="21" fillId="0" borderId="1" xfId="0" applyFont="1" applyBorder="1" applyAlignment="1">
      <alignment vertical="center" wrapText="1"/>
    </xf>
    <xf numFmtId="3" fontId="9" fillId="0" borderId="0" xfId="0" applyNumberFormat="1" applyFont="1" applyBorder="1" applyAlignment="1">
      <alignment horizontal="right" vertical="center"/>
    </xf>
    <xf numFmtId="0" fontId="9" fillId="0" borderId="0" xfId="0" applyFont="1" applyFill="1" applyAlignment="1">
      <alignment wrapText="1"/>
    </xf>
    <xf numFmtId="3" fontId="9" fillId="0" borderId="0" xfId="0" applyNumberFormat="1" applyFont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9" fontId="24" fillId="0" borderId="0" xfId="0" applyNumberFormat="1" applyFont="1"/>
    <xf numFmtId="3" fontId="10" fillId="0" borderId="0" xfId="0" applyNumberFormat="1" applyFont="1"/>
    <xf numFmtId="10" fontId="9" fillId="0" borderId="0" xfId="3" applyNumberFormat="1" applyFont="1" applyAlignment="1">
      <alignment horizontal="center" vertical="center"/>
    </xf>
    <xf numFmtId="4" fontId="25" fillId="9" borderId="0" xfId="0" applyNumberFormat="1" applyFont="1" applyFill="1" applyAlignment="1">
      <alignment horizontal="center" vertical="center"/>
    </xf>
    <xf numFmtId="0" fontId="21" fillId="0" borderId="1" xfId="0" applyFont="1" applyBorder="1" applyAlignment="1">
      <alignment horizontal="left" vertical="center" wrapText="1" indent="1"/>
    </xf>
    <xf numFmtId="0" fontId="10" fillId="10" borderId="1" xfId="0" applyFont="1" applyFill="1" applyBorder="1" applyAlignment="1">
      <alignment wrapText="1"/>
    </xf>
    <xf numFmtId="3" fontId="10" fillId="10" borderId="1" xfId="0" applyNumberFormat="1" applyFont="1" applyFill="1" applyBorder="1" applyAlignment="1">
      <alignment horizontal="right" vertical="center"/>
    </xf>
    <xf numFmtId="0" fontId="10" fillId="10" borderId="1" xfId="0" applyFont="1" applyFill="1" applyBorder="1" applyAlignment="1">
      <alignment horizontal="left" wrapText="1" indent="1"/>
    </xf>
    <xf numFmtId="0" fontId="21" fillId="5" borderId="1" xfId="0" applyFont="1" applyFill="1" applyBorder="1" applyAlignment="1">
      <alignment horizontal="left" vertical="center" wrapText="1" indent="1"/>
    </xf>
    <xf numFmtId="4" fontId="16" fillId="9" borderId="0" xfId="0" applyNumberFormat="1" applyFont="1" applyFill="1"/>
    <xf numFmtId="0" fontId="12" fillId="10" borderId="5" xfId="0" applyFont="1" applyFill="1" applyBorder="1" applyAlignment="1">
      <alignment horizontal="center" vertical="center" wrapText="1"/>
    </xf>
    <xf numFmtId="0" fontId="12" fillId="10" borderId="7" xfId="0" applyFont="1" applyFill="1" applyBorder="1" applyAlignment="1">
      <alignment horizontal="center" vertical="center" wrapText="1"/>
    </xf>
    <xf numFmtId="0" fontId="3" fillId="17" borderId="1" xfId="0" applyFont="1" applyFill="1" applyBorder="1" applyAlignment="1">
      <alignment horizontal="center"/>
    </xf>
    <xf numFmtId="41" fontId="3" fillId="17" borderId="1" xfId="1" applyFont="1" applyFill="1" applyBorder="1"/>
    <xf numFmtId="3" fontId="3" fillId="0" borderId="1" xfId="0" applyNumberFormat="1" applyFont="1" applyBorder="1" applyAlignment="1">
      <alignment horizontal="center"/>
    </xf>
    <xf numFmtId="43" fontId="9" fillId="0" borderId="0" xfId="2" applyFont="1" applyAlignment="1">
      <alignment horizontal="center" vertical="center"/>
    </xf>
    <xf numFmtId="0" fontId="3" fillId="24" borderId="1" xfId="0" applyFont="1" applyFill="1" applyBorder="1" applyAlignment="1">
      <alignment horizontal="center"/>
    </xf>
    <xf numFmtId="41" fontId="3" fillId="24" borderId="1" xfId="1" applyFont="1" applyFill="1" applyBorder="1"/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41" fontId="3" fillId="0" borderId="1" xfId="1" applyFont="1" applyBorder="1" applyAlignment="1">
      <alignment vertical="center"/>
    </xf>
    <xf numFmtId="3" fontId="3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wrapText="1"/>
    </xf>
    <xf numFmtId="0" fontId="0" fillId="0" borderId="0" xfId="0"/>
    <xf numFmtId="164" fontId="27" fillId="0" borderId="1" xfId="4" applyNumberFormat="1" applyFont="1" applyBorder="1"/>
    <xf numFmtId="164" fontId="27" fillId="0" borderId="0" xfId="0" applyNumberFormat="1" applyFont="1"/>
    <xf numFmtId="164" fontId="27" fillId="0" borderId="0" xfId="4" applyFont="1"/>
    <xf numFmtId="0" fontId="27" fillId="0" borderId="1" xfId="0" applyFont="1" applyBorder="1" applyAlignment="1">
      <alignment horizontal="left" wrapText="1" indent="1"/>
    </xf>
    <xf numFmtId="0" fontId="27" fillId="0" borderId="1" xfId="0" applyFont="1" applyBorder="1" applyAlignment="1">
      <alignment horizontal="left" indent="1"/>
    </xf>
    <xf numFmtId="164" fontId="28" fillId="4" borderId="1" xfId="0" applyNumberFormat="1" applyFont="1" applyFill="1" applyBorder="1" applyAlignment="1">
      <alignment horizontal="center"/>
    </xf>
    <xf numFmtId="0" fontId="28" fillId="4" borderId="1" xfId="0" applyFont="1" applyFill="1" applyBorder="1" applyAlignment="1"/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64" fontId="29" fillId="0" borderId="1" xfId="4" applyNumberFormat="1" applyFont="1" applyBorder="1"/>
    <xf numFmtId="170" fontId="3" fillId="0" borderId="1" xfId="1" applyNumberFormat="1" applyFont="1" applyBorder="1"/>
    <xf numFmtId="49" fontId="7" fillId="17" borderId="1" xfId="0" applyNumberFormat="1" applyFont="1" applyFill="1" applyBorder="1" applyAlignment="1"/>
    <xf numFmtId="49" fontId="7" fillId="24" borderId="1" xfId="0" applyNumberFormat="1" applyFont="1" applyFill="1" applyBorder="1" applyAlignment="1"/>
    <xf numFmtId="49" fontId="8" fillId="0" borderId="1" xfId="0" applyNumberFormat="1" applyFont="1" applyFill="1" applyBorder="1" applyAlignment="1">
      <alignment horizontal="left" indent="1"/>
    </xf>
    <xf numFmtId="49" fontId="8" fillId="15" borderId="1" xfId="0" applyNumberFormat="1" applyFont="1" applyFill="1" applyBorder="1" applyAlignment="1">
      <alignment horizontal="left" indent="1"/>
    </xf>
    <xf numFmtId="49" fontId="8" fillId="22" borderId="1" xfId="0" applyNumberFormat="1" applyFont="1" applyFill="1" applyBorder="1" applyAlignment="1">
      <alignment horizontal="left" indent="1"/>
    </xf>
    <xf numFmtId="49" fontId="26" fillId="0" borderId="1" xfId="0" applyNumberFormat="1" applyFont="1" applyFill="1" applyBorder="1" applyAlignment="1">
      <alignment horizontal="left" indent="1"/>
    </xf>
    <xf numFmtId="49" fontId="8" fillId="0" borderId="1" xfId="0" applyNumberFormat="1" applyFont="1" applyBorder="1" applyAlignment="1">
      <alignment horizontal="left" indent="1"/>
    </xf>
    <xf numFmtId="49" fontId="8" fillId="0" borderId="1" xfId="0" applyNumberFormat="1" applyFont="1" applyBorder="1" applyAlignment="1">
      <alignment horizontal="left" wrapText="1"/>
    </xf>
    <xf numFmtId="49" fontId="8" fillId="0" borderId="1" xfId="0" applyNumberFormat="1" applyFont="1" applyBorder="1" applyAlignment="1">
      <alignment horizontal="left" indent="2"/>
    </xf>
    <xf numFmtId="170" fontId="3" fillId="0" borderId="1" xfId="1" applyNumberFormat="1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30" fillId="0" borderId="0" xfId="0" applyFont="1" applyAlignment="1">
      <alignment horizontal="right"/>
    </xf>
    <xf numFmtId="49" fontId="31" fillId="0" borderId="1" xfId="0" applyNumberFormat="1" applyFont="1" applyFill="1" applyBorder="1" applyAlignment="1">
      <alignment horizontal="left" indent="3"/>
    </xf>
    <xf numFmtId="0" fontId="30" fillId="0" borderId="1" xfId="0" applyFont="1" applyBorder="1" applyAlignment="1">
      <alignment horizontal="center"/>
    </xf>
    <xf numFmtId="3" fontId="30" fillId="0" borderId="1" xfId="0" applyNumberFormat="1" applyFont="1" applyBorder="1" applyAlignment="1">
      <alignment horizontal="center"/>
    </xf>
    <xf numFmtId="41" fontId="30" fillId="0" borderId="1" xfId="1" applyFont="1" applyBorder="1"/>
    <xf numFmtId="170" fontId="30" fillId="0" borderId="1" xfId="1" applyNumberFormat="1" applyFont="1" applyBorder="1"/>
    <xf numFmtId="0" fontId="30" fillId="0" borderId="0" xfId="0" applyFont="1"/>
    <xf numFmtId="0" fontId="31" fillId="0" borderId="0" xfId="0" applyFont="1"/>
    <xf numFmtId="49" fontId="8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/>
    <xf numFmtId="49" fontId="8" fillId="5" borderId="1" xfId="0" applyNumberFormat="1" applyFont="1" applyFill="1" applyBorder="1" applyAlignment="1"/>
    <xf numFmtId="0" fontId="3" fillId="5" borderId="1" xfId="0" applyFont="1" applyFill="1" applyBorder="1" applyAlignment="1">
      <alignment horizontal="center"/>
    </xf>
    <xf numFmtId="41" fontId="6" fillId="3" borderId="1" xfId="0" applyNumberFormat="1" applyFont="1" applyFill="1" applyBorder="1" applyAlignment="1"/>
    <xf numFmtId="41" fontId="8" fillId="0" borderId="1" xfId="1" applyFont="1" applyBorder="1" applyAlignment="1">
      <alignment wrapText="1"/>
    </xf>
    <xf numFmtId="0" fontId="4" fillId="5" borderId="1" xfId="2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vertical="center" wrapText="1"/>
    </xf>
    <xf numFmtId="167" fontId="4" fillId="5" borderId="1" xfId="2" applyNumberFormat="1" applyFont="1" applyFill="1" applyBorder="1" applyAlignment="1">
      <alignment vertical="center"/>
    </xf>
    <xf numFmtId="49" fontId="26" fillId="23" borderId="1" xfId="0" applyNumberFormat="1" applyFont="1" applyFill="1" applyBorder="1" applyAlignment="1">
      <alignment horizontal="left" indent="1"/>
    </xf>
    <xf numFmtId="0" fontId="4" fillId="7" borderId="0" xfId="0" applyFont="1" applyFill="1" applyAlignment="1">
      <alignment horizontal="center" vertical="center"/>
    </xf>
    <xf numFmtId="43" fontId="3" fillId="0" borderId="0" xfId="2" applyFont="1"/>
    <xf numFmtId="49" fontId="7" fillId="0" borderId="1" xfId="0" applyNumberFormat="1" applyFont="1" applyBorder="1" applyAlignment="1">
      <alignment horizontal="left" wrapText="1" indent="1"/>
    </xf>
    <xf numFmtId="3" fontId="3" fillId="0" borderId="1" xfId="0" applyNumberFormat="1" applyFont="1" applyBorder="1" applyAlignment="1">
      <alignment horizontal="left" indent="1"/>
    </xf>
    <xf numFmtId="41" fontId="3" fillId="0" borderId="1" xfId="1" applyFont="1" applyBorder="1" applyAlignment="1">
      <alignment horizontal="left" indent="1"/>
    </xf>
    <xf numFmtId="170" fontId="3" fillId="0" borderId="1" xfId="1" applyNumberFormat="1" applyFont="1" applyBorder="1" applyAlignment="1">
      <alignment horizontal="left" indent="1"/>
    </xf>
    <xf numFmtId="0" fontId="3" fillId="0" borderId="0" xfId="0" applyFont="1" applyAlignment="1">
      <alignment horizontal="left" indent="1"/>
    </xf>
    <xf numFmtId="49" fontId="8" fillId="0" borderId="1" xfId="0" applyNumberFormat="1" applyFont="1" applyFill="1" applyBorder="1" applyAlignment="1">
      <alignment horizontal="left" indent="3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5" borderId="0" xfId="0" applyFont="1" applyFill="1" applyAlignment="1">
      <alignment horizontal="right"/>
    </xf>
    <xf numFmtId="49" fontId="8" fillId="5" borderId="1" xfId="0" applyNumberFormat="1" applyFont="1" applyFill="1" applyBorder="1" applyAlignment="1">
      <alignment horizontal="left" indent="2"/>
    </xf>
    <xf numFmtId="0" fontId="8" fillId="5" borderId="1" xfId="0" applyFont="1" applyFill="1" applyBorder="1" applyAlignment="1">
      <alignment horizontal="center"/>
    </xf>
    <xf numFmtId="3" fontId="8" fillId="5" borderId="1" xfId="0" applyNumberFormat="1" applyFont="1" applyFill="1" applyBorder="1" applyAlignment="1">
      <alignment horizontal="center"/>
    </xf>
    <xf numFmtId="170" fontId="8" fillId="5" borderId="1" xfId="1" applyNumberFormat="1" applyFont="1" applyFill="1" applyBorder="1"/>
    <xf numFmtId="0" fontId="8" fillId="5" borderId="1" xfId="0" applyFont="1" applyFill="1" applyBorder="1" applyAlignment="1">
      <alignment horizontal="center" vertical="center"/>
    </xf>
    <xf numFmtId="3" fontId="8" fillId="5" borderId="1" xfId="0" applyNumberFormat="1" applyFont="1" applyFill="1" applyBorder="1" applyAlignment="1">
      <alignment horizontal="center" vertical="center"/>
    </xf>
    <xf numFmtId="41" fontId="8" fillId="5" borderId="1" xfId="1" applyFont="1" applyFill="1" applyBorder="1" applyAlignment="1">
      <alignment vertical="center"/>
    </xf>
    <xf numFmtId="170" fontId="8" fillId="5" borderId="1" xfId="1" applyNumberFormat="1" applyFont="1" applyFill="1" applyBorder="1" applyAlignment="1">
      <alignment vertical="center"/>
    </xf>
    <xf numFmtId="170" fontId="8" fillId="5" borderId="1" xfId="1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vertical="center"/>
    </xf>
    <xf numFmtId="167" fontId="5" fillId="0" borderId="2" xfId="2" applyNumberFormat="1" applyFont="1" applyBorder="1" applyAlignment="1">
      <alignment vertical="center"/>
    </xf>
    <xf numFmtId="167" fontId="4" fillId="0" borderId="1" xfId="2" applyNumberFormat="1" applyFont="1" applyFill="1" applyBorder="1" applyAlignment="1">
      <alignment vertical="center"/>
    </xf>
    <xf numFmtId="172" fontId="3" fillId="0" borderId="0" xfId="3" applyNumberFormat="1" applyFont="1" applyBorder="1" applyAlignment="1">
      <alignment horizontal="center"/>
    </xf>
    <xf numFmtId="0" fontId="0" fillId="0" borderId="1" xfId="0" applyBorder="1"/>
    <xf numFmtId="167" fontId="0" fillId="0" borderId="1" xfId="2" applyNumberFormat="1" applyFont="1" applyBorder="1"/>
    <xf numFmtId="167" fontId="0" fillId="0" borderId="1" xfId="0" applyNumberFormat="1" applyBorder="1"/>
    <xf numFmtId="0" fontId="3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7" fontId="0" fillId="0" borderId="1" xfId="2" applyNumberFormat="1" applyFont="1" applyBorder="1" applyAlignment="1">
      <alignment wrapText="1"/>
    </xf>
    <xf numFmtId="0" fontId="0" fillId="0" borderId="1" xfId="0" applyFill="1" applyBorder="1"/>
    <xf numFmtId="167" fontId="0" fillId="0" borderId="1" xfId="0" applyNumberFormat="1" applyBorder="1" applyAlignment="1">
      <alignment wrapText="1"/>
    </xf>
    <xf numFmtId="0" fontId="32" fillId="0" borderId="0" xfId="0" applyFont="1"/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35" fillId="0" borderId="1" xfId="0" applyFont="1" applyBorder="1"/>
    <xf numFmtId="167" fontId="35" fillId="0" borderId="1" xfId="2" applyNumberFormat="1" applyFont="1" applyBorder="1" applyAlignment="1">
      <alignment wrapText="1"/>
    </xf>
    <xf numFmtId="167" fontId="35" fillId="0" borderId="1" xfId="2" applyNumberFormat="1" applyFont="1" applyBorder="1"/>
    <xf numFmtId="0" fontId="35" fillId="0" borderId="0" xfId="0" applyFont="1"/>
    <xf numFmtId="0" fontId="0" fillId="9" borderId="1" xfId="0" applyFill="1" applyBorder="1"/>
    <xf numFmtId="167" fontId="32" fillId="9" borderId="0" xfId="2" applyNumberFormat="1" applyFont="1" applyFill="1"/>
    <xf numFmtId="3" fontId="3" fillId="24" borderId="1" xfId="0" applyNumberFormat="1" applyFont="1" applyFill="1" applyBorder="1" applyAlignment="1">
      <alignment horizontal="center"/>
    </xf>
    <xf numFmtId="3" fontId="3" fillId="17" borderId="1" xfId="0" applyNumberFormat="1" applyFont="1" applyFill="1" applyBorder="1" applyAlignment="1">
      <alignment horizontal="center"/>
    </xf>
    <xf numFmtId="173" fontId="8" fillId="5" borderId="0" xfId="0" applyNumberFormat="1" applyFont="1" applyFill="1" applyAlignment="1">
      <alignment horizontal="right" vertical="center"/>
    </xf>
    <xf numFmtId="0" fontId="32" fillId="9" borderId="0" xfId="0" applyFont="1" applyFill="1" applyAlignment="1">
      <alignment wrapText="1"/>
    </xf>
    <xf numFmtId="0" fontId="32" fillId="4" borderId="1" xfId="0" applyFont="1" applyFill="1" applyBorder="1"/>
    <xf numFmtId="167" fontId="32" fillId="4" borderId="1" xfId="2" applyNumberFormat="1" applyFont="1" applyFill="1" applyBorder="1" applyAlignment="1">
      <alignment wrapText="1"/>
    </xf>
    <xf numFmtId="170" fontId="32" fillId="4" borderId="1" xfId="2" applyNumberFormat="1" applyFont="1" applyFill="1" applyBorder="1" applyAlignment="1">
      <alignment wrapText="1"/>
    </xf>
    <xf numFmtId="167" fontId="36" fillId="9" borderId="1" xfId="2" applyNumberFormat="1" applyFont="1" applyFill="1" applyBorder="1"/>
    <xf numFmtId="167" fontId="0" fillId="9" borderId="1" xfId="2" applyNumberFormat="1" applyFont="1" applyFill="1" applyBorder="1" applyAlignment="1">
      <alignment wrapText="1"/>
    </xf>
    <xf numFmtId="167" fontId="0" fillId="9" borderId="1" xfId="2" applyNumberFormat="1" applyFont="1" applyFill="1" applyBorder="1"/>
    <xf numFmtId="0" fontId="0" fillId="9" borderId="1" xfId="0" applyFill="1" applyBorder="1" applyAlignment="1">
      <alignment wrapText="1"/>
    </xf>
    <xf numFmtId="167" fontId="0" fillId="0" borderId="0" xfId="0" applyNumberFormat="1"/>
    <xf numFmtId="0" fontId="32" fillId="0" borderId="3" xfId="0" applyFont="1" applyBorder="1" applyAlignment="1">
      <alignment horizontal="center" vertical="center" wrapText="1"/>
    </xf>
    <xf numFmtId="167" fontId="0" fillId="0" borderId="3" xfId="2" applyNumberFormat="1" applyFont="1" applyBorder="1"/>
    <xf numFmtId="167" fontId="0" fillId="0" borderId="3" xfId="0" applyNumberFormat="1" applyBorder="1" applyAlignment="1">
      <alignment wrapText="1"/>
    </xf>
    <xf numFmtId="0" fontId="0" fillId="0" borderId="0" xfId="0" applyFill="1" applyBorder="1"/>
    <xf numFmtId="0" fontId="32" fillId="9" borderId="0" xfId="0" applyFont="1" applyFill="1"/>
    <xf numFmtId="0" fontId="38" fillId="25" borderId="10" xfId="0" applyFont="1" applyFill="1" applyBorder="1" applyAlignment="1">
      <alignment horizontal="center" vertical="center"/>
    </xf>
    <xf numFmtId="0" fontId="38" fillId="25" borderId="11" xfId="0" applyFont="1" applyFill="1" applyBorder="1" applyAlignment="1">
      <alignment horizontal="center" vertical="center"/>
    </xf>
    <xf numFmtId="0" fontId="38" fillId="25" borderId="1" xfId="0" applyFont="1" applyFill="1" applyBorder="1" applyAlignment="1">
      <alignment horizontal="center" vertical="center"/>
    </xf>
    <xf numFmtId="0" fontId="38" fillId="25" borderId="13" xfId="0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right" vertical="center" wrapText="1"/>
    </xf>
    <xf numFmtId="3" fontId="38" fillId="0" borderId="13" xfId="0" applyNumberFormat="1" applyFont="1" applyFill="1" applyBorder="1" applyAlignment="1">
      <alignment horizontal="right" vertical="center"/>
    </xf>
    <xf numFmtId="0" fontId="32" fillId="0" borderId="1" xfId="0" applyFont="1" applyBorder="1"/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68" fontId="14" fillId="0" borderId="1" xfId="0" applyNumberFormat="1" applyFont="1" applyFill="1" applyBorder="1" applyAlignment="1">
      <alignment horizontal="right" vertical="center"/>
    </xf>
    <xf numFmtId="3" fontId="14" fillId="0" borderId="13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right" vertical="center"/>
    </xf>
    <xf numFmtId="0" fontId="39" fillId="0" borderId="12" xfId="0" applyFont="1" applyFill="1" applyBorder="1" applyAlignment="1">
      <alignment horizontal="center" vertical="center"/>
    </xf>
    <xf numFmtId="3" fontId="41" fillId="0" borderId="13" xfId="0" applyNumberFormat="1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horizontal="center"/>
    </xf>
    <xf numFmtId="0" fontId="38" fillId="0" borderId="1" xfId="0" applyFont="1" applyFill="1" applyBorder="1" applyAlignment="1">
      <alignment horizontal="center" vertical="center"/>
    </xf>
    <xf numFmtId="3" fontId="38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 wrapText="1"/>
    </xf>
    <xf numFmtId="168" fontId="14" fillId="0" borderId="1" xfId="0" applyNumberFormat="1" applyFont="1" applyFill="1" applyBorder="1" applyAlignment="1">
      <alignment horizontal="right" vertical="center" wrapText="1"/>
    </xf>
    <xf numFmtId="3" fontId="14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3" fontId="0" fillId="0" borderId="1" xfId="0" applyNumberFormat="1" applyFont="1" applyBorder="1"/>
    <xf numFmtId="0" fontId="38" fillId="0" borderId="12" xfId="0" applyFont="1" applyFill="1" applyBorder="1" applyAlignment="1">
      <alignment horizontal="center"/>
    </xf>
    <xf numFmtId="3" fontId="38" fillId="0" borderId="1" xfId="7" applyNumberFormat="1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horizontal="right" vertical="center"/>
    </xf>
    <xf numFmtId="3" fontId="14" fillId="0" borderId="1" xfId="7" applyNumberFormat="1" applyFont="1" applyFill="1" applyBorder="1" applyAlignment="1">
      <alignment horizontal="right" vertical="center"/>
    </xf>
    <xf numFmtId="169" fontId="38" fillId="0" borderId="11" xfId="0" applyNumberFormat="1" applyFont="1" applyFill="1" applyBorder="1" applyAlignment="1">
      <alignment vertical="center"/>
    </xf>
    <xf numFmtId="169" fontId="38" fillId="0" borderId="13" xfId="0" applyNumberFormat="1" applyFont="1" applyFill="1" applyBorder="1" applyAlignment="1">
      <alignment vertical="center"/>
    </xf>
    <xf numFmtId="169" fontId="38" fillId="0" borderId="0" xfId="0" applyNumberFormat="1" applyFont="1" applyFill="1" applyBorder="1" applyAlignment="1">
      <alignment horizontal="center" vertical="center"/>
    </xf>
    <xf numFmtId="169" fontId="38" fillId="0" borderId="0" xfId="7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vertical="center"/>
    </xf>
    <xf numFmtId="169" fontId="38" fillId="0" borderId="18" xfId="0" applyNumberFormat="1" applyFont="1" applyFill="1" applyBorder="1" applyAlignment="1">
      <alignment horizontal="center" vertical="center"/>
    </xf>
    <xf numFmtId="0" fontId="0" fillId="0" borderId="0" xfId="0" applyBorder="1"/>
    <xf numFmtId="0" fontId="32" fillId="9" borderId="0" xfId="0" applyFont="1" applyFill="1" applyBorder="1"/>
    <xf numFmtId="0" fontId="35" fillId="0" borderId="0" xfId="0" applyFont="1" applyBorder="1"/>
    <xf numFmtId="0" fontId="38" fillId="25" borderId="10" xfId="0" applyFont="1" applyFill="1" applyBorder="1" applyAlignment="1">
      <alignment horizontal="center" vertical="center" wrapText="1"/>
    </xf>
    <xf numFmtId="0" fontId="38" fillId="25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39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70" fontId="8" fillId="0" borderId="1" xfId="1" applyNumberFormat="1" applyFont="1" applyBorder="1"/>
    <xf numFmtId="165" fontId="3" fillId="0" borderId="1" xfId="1" applyNumberFormat="1" applyFont="1" applyBorder="1" applyAlignment="1">
      <alignment horizontal="left" indent="1"/>
    </xf>
    <xf numFmtId="167" fontId="0" fillId="0" borderId="0" xfId="2" applyNumberFormat="1" applyFont="1"/>
    <xf numFmtId="170" fontId="3" fillId="0" borderId="0" xfId="0" applyNumberFormat="1" applyFont="1"/>
    <xf numFmtId="9" fontId="3" fillId="0" borderId="0" xfId="3" applyFont="1"/>
    <xf numFmtId="9" fontId="3" fillId="0" borderId="0" xfId="3" applyNumberFormat="1" applyFont="1"/>
    <xf numFmtId="0" fontId="33" fillId="0" borderId="1" xfId="0" applyFont="1" applyBorder="1" applyAlignment="1">
      <alignment horizontal="left" wrapText="1" indent="2"/>
    </xf>
    <xf numFmtId="0" fontId="33" fillId="5" borderId="1" xfId="0" applyFont="1" applyFill="1" applyBorder="1" applyAlignment="1">
      <alignment horizontal="left" wrapText="1" indent="2"/>
    </xf>
    <xf numFmtId="164" fontId="27" fillId="0" borderId="0" xfId="3" applyNumberFormat="1" applyFont="1"/>
    <xf numFmtId="0" fontId="28" fillId="0" borderId="0" xfId="0" applyFont="1" applyAlignment="1">
      <alignment horizontal="center"/>
    </xf>
    <xf numFmtId="0" fontId="6" fillId="4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4" fillId="7" borderId="0" xfId="0" applyFont="1" applyFill="1" applyAlignment="1">
      <alignment horizontal="center" vertical="center"/>
    </xf>
    <xf numFmtId="43" fontId="5" fillId="8" borderId="1" xfId="2" applyFont="1" applyFill="1" applyBorder="1" applyAlignment="1">
      <alignment horizontal="center" vertical="center"/>
    </xf>
    <xf numFmtId="43" fontId="5" fillId="8" borderId="3" xfId="2" applyFont="1" applyFill="1" applyBorder="1" applyAlignment="1">
      <alignment horizontal="center" vertical="center"/>
    </xf>
    <xf numFmtId="43" fontId="5" fillId="8" borderId="2" xfId="2" applyFont="1" applyFill="1" applyBorder="1" applyAlignment="1">
      <alignment horizontal="center" vertical="center"/>
    </xf>
    <xf numFmtId="43" fontId="5" fillId="8" borderId="5" xfId="2" applyFont="1" applyFill="1" applyBorder="1" applyAlignment="1">
      <alignment horizontal="center" vertical="center" wrapText="1"/>
    </xf>
    <xf numFmtId="43" fontId="5" fillId="8" borderId="7" xfId="2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 wrapText="1"/>
    </xf>
    <xf numFmtId="0" fontId="12" fillId="21" borderId="1" xfId="0" applyFont="1" applyFill="1" applyBorder="1" applyAlignment="1">
      <alignment horizontal="center" vertical="center" wrapText="1"/>
    </xf>
    <xf numFmtId="0" fontId="12" fillId="10" borderId="5" xfId="0" applyFont="1" applyFill="1" applyBorder="1" applyAlignment="1">
      <alignment horizontal="center" vertical="center" wrapText="1"/>
    </xf>
    <xf numFmtId="0" fontId="12" fillId="10" borderId="7" xfId="0" applyFont="1" applyFill="1" applyBorder="1" applyAlignment="1">
      <alignment horizontal="center" vertical="center" wrapText="1"/>
    </xf>
    <xf numFmtId="0" fontId="10" fillId="14" borderId="3" xfId="0" applyFont="1" applyFill="1" applyBorder="1" applyAlignment="1">
      <alignment horizontal="center" vertical="center"/>
    </xf>
    <xf numFmtId="0" fontId="10" fillId="14" borderId="4" xfId="0" applyFont="1" applyFill="1" applyBorder="1" applyAlignment="1">
      <alignment horizontal="center" vertical="center"/>
    </xf>
    <xf numFmtId="0" fontId="10" fillId="14" borderId="2" xfId="0" applyFont="1" applyFill="1" applyBorder="1" applyAlignment="1">
      <alignment horizontal="center" vertical="center"/>
    </xf>
    <xf numFmtId="0" fontId="12" fillId="10" borderId="5" xfId="0" applyFont="1" applyFill="1" applyBorder="1" applyAlignment="1">
      <alignment horizontal="center" vertical="center"/>
    </xf>
    <xf numFmtId="0" fontId="12" fillId="10" borderId="7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0" fillId="10" borderId="5" xfId="0" applyFont="1" applyFill="1" applyBorder="1" applyAlignment="1">
      <alignment horizontal="center" vertical="center" wrapText="1"/>
    </xf>
    <xf numFmtId="0" fontId="10" fillId="10" borderId="7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horizontal="center" wrapText="1"/>
    </xf>
    <xf numFmtId="0" fontId="10" fillId="10" borderId="7" xfId="0" applyFont="1" applyFill="1" applyBorder="1" applyAlignment="1">
      <alignment horizontal="center" wrapText="1"/>
    </xf>
    <xf numFmtId="9" fontId="10" fillId="10" borderId="5" xfId="0" applyNumberFormat="1" applyFont="1" applyFill="1" applyBorder="1" applyAlignment="1">
      <alignment horizontal="center" vertical="center" wrapText="1"/>
    </xf>
    <xf numFmtId="9" fontId="10" fillId="10" borderId="7" xfId="0" applyNumberFormat="1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horizontal="center" vertical="center"/>
    </xf>
    <xf numFmtId="0" fontId="10" fillId="10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center"/>
    </xf>
    <xf numFmtId="0" fontId="32" fillId="26" borderId="3" xfId="0" applyFont="1" applyFill="1" applyBorder="1" applyAlignment="1">
      <alignment horizontal="center" vertical="center" wrapText="1"/>
    </xf>
    <xf numFmtId="0" fontId="32" fillId="26" borderId="4" xfId="0" applyFont="1" applyFill="1" applyBorder="1" applyAlignment="1">
      <alignment horizontal="center" vertical="center" wrapText="1"/>
    </xf>
    <xf numFmtId="0" fontId="32" fillId="26" borderId="2" xfId="0" applyFont="1" applyFill="1" applyBorder="1" applyAlignment="1">
      <alignment horizontal="center" vertical="center" wrapText="1"/>
    </xf>
    <xf numFmtId="0" fontId="37" fillId="25" borderId="14" xfId="0" applyFont="1" applyFill="1" applyBorder="1" applyAlignment="1">
      <alignment horizontal="center" vertical="center" wrapText="1"/>
    </xf>
    <xf numFmtId="0" fontId="37" fillId="25" borderId="15" xfId="0" applyFont="1" applyFill="1" applyBorder="1" applyAlignment="1">
      <alignment horizontal="center" vertical="center" wrapText="1"/>
    </xf>
    <xf numFmtId="0" fontId="37" fillId="25" borderId="16" xfId="0" applyFont="1" applyFill="1" applyBorder="1" applyAlignment="1">
      <alignment horizontal="center" vertical="center" wrapText="1"/>
    </xf>
    <xf numFmtId="0" fontId="38" fillId="25" borderId="9" xfId="0" applyFont="1" applyFill="1" applyBorder="1" applyAlignment="1">
      <alignment horizontal="center" vertical="center"/>
    </xf>
    <xf numFmtId="0" fontId="38" fillId="25" borderId="12" xfId="0" applyFont="1" applyFill="1" applyBorder="1" applyAlignment="1">
      <alignment horizontal="center" vertical="center"/>
    </xf>
    <xf numFmtId="0" fontId="38" fillId="0" borderId="9" xfId="0" applyFont="1" applyFill="1" applyBorder="1" applyAlignment="1">
      <alignment horizontal="right" vertical="center"/>
    </xf>
    <xf numFmtId="0" fontId="38" fillId="0" borderId="10" xfId="0" applyFont="1" applyFill="1" applyBorder="1" applyAlignment="1">
      <alignment horizontal="right" vertical="center"/>
    </xf>
    <xf numFmtId="0" fontId="38" fillId="0" borderId="12" xfId="0" applyFont="1" applyFill="1" applyBorder="1" applyAlignment="1">
      <alignment horizontal="right" vertical="center"/>
    </xf>
    <xf numFmtId="0" fontId="38" fillId="0" borderId="1" xfId="0" applyFont="1" applyFill="1" applyBorder="1" applyAlignment="1">
      <alignment horizontal="right" vertical="center"/>
    </xf>
    <xf numFmtId="0" fontId="38" fillId="0" borderId="17" xfId="0" applyFont="1" applyFill="1" applyBorder="1" applyAlignment="1">
      <alignment horizontal="right" vertical="center"/>
    </xf>
    <xf numFmtId="0" fontId="38" fillId="0" borderId="5" xfId="0" applyFont="1" applyFill="1" applyBorder="1" applyAlignment="1">
      <alignment horizontal="right" vertical="center"/>
    </xf>
  </cellXfs>
  <cellStyles count="8">
    <cellStyle name="Comma" xfId="2" builtinId="3"/>
    <cellStyle name="Comma [0]" xfId="1" builtinId="6"/>
    <cellStyle name="Millares [0] 2" xfId="4"/>
    <cellStyle name="Millares 2" xfId="5"/>
    <cellStyle name="Millares 2 3" xfId="6"/>
    <cellStyle name="Millares 3" xfId="7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CIA/Desktop/Patricia_160624/PERU/Actualizaci&#243;n%20SECI/INVERSION%20FACTIBILIDAD%20161024_propuesta%20ajustada%20de%20costo%20administrati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CIA/Downloads/ProgramaRecicladores(Parc%20%20JICA-BID)_levObs_(dic_2016)02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BLACIÓN"/>
      <sheetName val="GENERACIÓN"/>
      <sheetName val="ALMACENAMIENTO"/>
      <sheetName val="BARRIDO"/>
      <sheetName val="RECOLECCIÓN"/>
      <sheetName val="REAPROVECHAMIENTO"/>
      <sheetName val="DISPOSICIÓN FINAL"/>
      <sheetName val="DÉFICIT DE SERVICIOS"/>
      <sheetName val="ALTERNATIVAS"/>
      <sheetName val="CLASIFICACIÓN SEGÚN ALTERNATIVA"/>
      <sheetName val="Costo internacional (2)"/>
      <sheetName val="INVERSIÓN ALTERNATIVA 2"/>
      <sheetName val="INVERSION x Componente"/>
      <sheetName val="INVER-REINV ALTER 1"/>
      <sheetName val="INVER-REINV ALTER 2"/>
      <sheetName val="cronograma Desembolso"/>
      <sheetName val="Desembolsos"/>
      <sheetName val="sostenibilidad"/>
      <sheetName val="COSTOS UE"/>
      <sheetName val="INVERSIÓN ALTERNATIVA 1"/>
      <sheetName val="O&amp;M ALTERNATIVA 1"/>
      <sheetName val="O&amp;M ALTERNATIVA 2"/>
      <sheetName val="O&amp;M SIN PROYECTO"/>
      <sheetName val="COSTOS INCREMENTALES ALT 1"/>
      <sheetName val="COSTOS INCREMENTALES O&amp;M ALT 2"/>
      <sheetName val="FLUJO ALT 1 PRECIOS SOCIALES"/>
      <sheetName val="FLUJO ALT 2 PRECIOS SOCIALES"/>
      <sheetName val="COSTOS DE LA UE"/>
      <sheetName val="Factores Corrección"/>
      <sheetName val="PERSONAL FASE I Y II"/>
      <sheetName val="VOLUMEN RRSS"/>
      <sheetName val="INDICADOR CE"/>
      <sheetName val="ANALISIS DE SENSIBILIDAD"/>
      <sheetName val="CONSULTORIA INTER"/>
      <sheetName val="CRONOGRAMA"/>
      <sheetName val="CRONOGRAMA DE EVALUACIONES"/>
      <sheetName val="MARCO LÓGICO"/>
      <sheetName val="EV EXPOST "/>
      <sheetName val="CRONOGRAMA AVANCE"/>
      <sheetName val="CRONOGRAMA COSTOS Con IMP"/>
      <sheetName val="CRONOGRAMA COSTOS Sin IGV"/>
      <sheetName val="CRONOGRAMA COSTOS SOCIALES"/>
      <sheetName val="EXP. TEC. Y SUPERV. OBRA JICA"/>
      <sheetName val="ELABORACION DE EXP. TECNICO BID"/>
      <sheetName val="SUPERVISIÓN DE OBRA BID"/>
      <sheetName val="SUPERVIS.DE ELAB. EXP. TEC. BID"/>
      <sheetName val="SUPERV. DE ELABO. EXP. TEC. JIC"/>
      <sheetName val="RESUMEN recicladores"/>
      <sheetName val="Resumen recicla JICA"/>
      <sheetName val="Resumen recicla BID"/>
      <sheetName val="Plan de comunicacion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4">
          <cell r="Z4">
            <v>28533.333333333372</v>
          </cell>
          <cell r="AA4">
            <v>256800.00000000047</v>
          </cell>
        </row>
        <row r="7">
          <cell r="Z7">
            <v>356666.66666666663</v>
          </cell>
          <cell r="AA7">
            <v>3209999.9999999995</v>
          </cell>
        </row>
        <row r="10">
          <cell r="AA10">
            <v>790222.22222222388</v>
          </cell>
        </row>
        <row r="11">
          <cell r="Z11">
            <v>9877777.7777777761</v>
          </cell>
        </row>
        <row r="35">
          <cell r="AC35">
            <v>479457.62711864419</v>
          </cell>
          <cell r="AD35">
            <v>86302.372881355812</v>
          </cell>
        </row>
        <row r="44">
          <cell r="AC44">
            <v>3157077.9661016953</v>
          </cell>
          <cell r="AD44">
            <v>591122.03389830468</v>
          </cell>
        </row>
        <row r="80">
          <cell r="J80">
            <v>269000</v>
          </cell>
        </row>
        <row r="81">
          <cell r="J81">
            <v>442000</v>
          </cell>
        </row>
        <row r="82">
          <cell r="J82">
            <v>612000</v>
          </cell>
        </row>
        <row r="96">
          <cell r="I96">
            <v>442000</v>
          </cell>
        </row>
        <row r="97">
          <cell r="J97">
            <v>0</v>
          </cell>
        </row>
        <row r="108">
          <cell r="S108">
            <v>0</v>
          </cell>
          <cell r="T108">
            <v>0</v>
          </cell>
        </row>
        <row r="109">
          <cell r="S109">
            <v>0</v>
          </cell>
          <cell r="T109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74">
          <cell r="L74">
            <v>13431.331168440067</v>
          </cell>
        </row>
        <row r="78">
          <cell r="L78">
            <v>13584.22471592775</v>
          </cell>
        </row>
      </sheetData>
      <sheetData sheetId="43">
        <row r="88">
          <cell r="J88">
            <v>5102334</v>
          </cell>
          <cell r="T88">
            <v>3858118.4</v>
          </cell>
        </row>
      </sheetData>
      <sheetData sheetId="44">
        <row r="68">
          <cell r="J68">
            <v>6769438.4000000004</v>
          </cell>
          <cell r="T68">
            <v>4264508</v>
          </cell>
        </row>
      </sheetData>
      <sheetData sheetId="45">
        <row r="67">
          <cell r="J67">
            <v>598412</v>
          </cell>
          <cell r="T67">
            <v>598412</v>
          </cell>
        </row>
      </sheetData>
      <sheetData sheetId="46">
        <row r="123">
          <cell r="L123">
            <v>2520.6455115511558</v>
          </cell>
        </row>
      </sheetData>
      <sheetData sheetId="47"/>
      <sheetData sheetId="48">
        <row r="42">
          <cell r="F42">
            <v>3626800</v>
          </cell>
        </row>
        <row r="43">
          <cell r="F43">
            <v>652824</v>
          </cell>
        </row>
      </sheetData>
      <sheetData sheetId="49">
        <row r="33">
          <cell r="F33">
            <v>1256800</v>
          </cell>
        </row>
        <row r="34">
          <cell r="F34">
            <v>226224</v>
          </cell>
        </row>
      </sheetData>
      <sheetData sheetId="50">
        <row r="65">
          <cell r="G65">
            <v>1590000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Resumen JICA"/>
      <sheetName val="Resumen BID"/>
      <sheetName val="parciales"/>
      <sheetName val="ILAVE"/>
      <sheetName val="PUNO"/>
      <sheetName val="JULIACA"/>
      <sheetName val="AZANGARO"/>
      <sheetName val="SANTIAGO"/>
      <sheetName val="NUEVO CHIMBOTE"/>
      <sheetName val="FERREÑAFE"/>
      <sheetName val="SAN MARTIN"/>
      <sheetName val="MOYOBAMBA"/>
      <sheetName val="CHACHAPOYAS"/>
      <sheetName val="SECHURA"/>
      <sheetName val="PIURA"/>
      <sheetName val="PAITA"/>
      <sheetName val="SULLANA"/>
      <sheetName val="TALARA"/>
      <sheetName val="TUMBES"/>
      <sheetName val="CHINCHA"/>
      <sheetName val="HUACHO"/>
      <sheetName val="CHANCAY"/>
      <sheetName val="ANDAHUAYLAS"/>
      <sheetName val="ABANCAY"/>
      <sheetName val="HUAMANGA"/>
      <sheetName val="BAGUA"/>
    </sheetNames>
    <sheetDataSet>
      <sheetData sheetId="0"/>
      <sheetData sheetId="1"/>
      <sheetData sheetId="2"/>
      <sheetData sheetId="3">
        <row r="5">
          <cell r="D5">
            <v>37.44</v>
          </cell>
        </row>
        <row r="6">
          <cell r="D6">
            <v>17.16</v>
          </cell>
        </row>
        <row r="7">
          <cell r="D7">
            <v>9.36</v>
          </cell>
        </row>
        <row r="8">
          <cell r="D8">
            <v>6.24</v>
          </cell>
        </row>
        <row r="9">
          <cell r="D9">
            <v>6.24</v>
          </cell>
        </row>
        <row r="10">
          <cell r="D10">
            <v>6.24</v>
          </cell>
        </row>
        <row r="11">
          <cell r="D11">
            <v>2.34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0">
          <cell r="G20">
            <v>159776</v>
          </cell>
        </row>
      </sheetData>
      <sheetData sheetId="21">
        <row r="20">
          <cell r="G20">
            <v>78300</v>
          </cell>
        </row>
      </sheetData>
      <sheetData sheetId="22">
        <row r="20">
          <cell r="G20">
            <v>43444</v>
          </cell>
        </row>
      </sheetData>
      <sheetData sheetId="23">
        <row r="20">
          <cell r="G20">
            <v>24296</v>
          </cell>
        </row>
      </sheetData>
      <sheetData sheetId="24">
        <row r="20">
          <cell r="G20">
            <v>24296</v>
          </cell>
        </row>
      </sheetData>
      <sheetData sheetId="25">
        <row r="20">
          <cell r="G20">
            <v>24296</v>
          </cell>
        </row>
      </sheetData>
      <sheetData sheetId="26">
        <row r="20">
          <cell r="G20">
            <v>17861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2"/>
  <sheetViews>
    <sheetView zoomScale="90" zoomScaleNormal="90" workbookViewId="0">
      <selection activeCell="C22" sqref="C22"/>
    </sheetView>
  </sheetViews>
  <sheetFormatPr defaultColWidth="11.42578125" defaultRowHeight="15" x14ac:dyDescent="0.25"/>
  <cols>
    <col min="1" max="1" width="59.85546875" bestFit="1" customWidth="1"/>
    <col min="2" max="3" width="11.28515625" customWidth="1"/>
    <col min="4" max="4" width="13.7109375" customWidth="1"/>
  </cols>
  <sheetData>
    <row r="2" spans="1:4" x14ac:dyDescent="0.25">
      <c r="A2" s="323" t="s">
        <v>218</v>
      </c>
      <c r="B2" s="323"/>
      <c r="C2" s="323"/>
      <c r="D2" s="323"/>
    </row>
    <row r="3" spans="1:4" x14ac:dyDescent="0.25">
      <c r="A3" s="323" t="s">
        <v>219</v>
      </c>
      <c r="B3" s="323"/>
      <c r="C3" s="323"/>
      <c r="D3" s="323"/>
    </row>
    <row r="4" spans="1:4" x14ac:dyDescent="0.25">
      <c r="A4" s="323" t="s">
        <v>211</v>
      </c>
      <c r="B4" s="323"/>
      <c r="C4" s="323"/>
      <c r="D4" s="323"/>
    </row>
    <row r="5" spans="1:4" x14ac:dyDescent="0.25">
      <c r="A5" s="157"/>
      <c r="B5" s="157"/>
      <c r="C5" s="157"/>
      <c r="D5" s="157"/>
    </row>
    <row r="6" spans="1:4" x14ac:dyDescent="0.25">
      <c r="A6" s="166" t="s">
        <v>212</v>
      </c>
      <c r="B6" s="166" t="s">
        <v>5</v>
      </c>
      <c r="C6" s="166" t="s">
        <v>115</v>
      </c>
      <c r="D6" s="166" t="s">
        <v>4</v>
      </c>
    </row>
    <row r="7" spans="1:4" x14ac:dyDescent="0.25">
      <c r="A7" s="161" t="str">
        <f>+Componentes!B8</f>
        <v>Componente 1 - Obras para clausura de botaderos</v>
      </c>
      <c r="B7" s="158">
        <f>+B8+B9+B10</f>
        <v>27926745.762798999</v>
      </c>
      <c r="C7" s="158">
        <f>+C8+C9+C10</f>
        <v>2724451.8132164776</v>
      </c>
      <c r="D7" s="158">
        <f>+C7+B7</f>
        <v>30651197.576015476</v>
      </c>
    </row>
    <row r="8" spans="1:4" s="157" customFormat="1" x14ac:dyDescent="0.25">
      <c r="A8" s="320" t="s">
        <v>216</v>
      </c>
      <c r="B8" s="167">
        <f>+Componentes!H10+Componentes!H11+Componentes!H12+Componentes!H13</f>
        <v>3032022.8059701491</v>
      </c>
      <c r="C8" s="167">
        <f>+Componentes!I10+Componentes!I11+Componentes!I12+Componentes!I13</f>
        <v>0</v>
      </c>
      <c r="D8" s="167">
        <f>+C8+B8</f>
        <v>3032022.8059701491</v>
      </c>
    </row>
    <row r="9" spans="1:4" x14ac:dyDescent="0.25">
      <c r="A9" s="320" t="s">
        <v>203</v>
      </c>
      <c r="B9" s="167">
        <f>+Componentes!H14</f>
        <v>21601007.613545265</v>
      </c>
      <c r="C9" s="167">
        <f>+Componentes!I14</f>
        <v>2724451.8132164776</v>
      </c>
      <c r="D9" s="167">
        <f t="shared" ref="D9:D16" si="0">+C9+B9</f>
        <v>24325459.426761743</v>
      </c>
    </row>
    <row r="10" spans="1:4" x14ac:dyDescent="0.25">
      <c r="A10" s="320" t="s">
        <v>195</v>
      </c>
      <c r="B10" s="167">
        <f>+Componentes!H29</f>
        <v>3293715.343283582</v>
      </c>
      <c r="C10" s="167">
        <f>+Componentes!I29</f>
        <v>0</v>
      </c>
      <c r="D10" s="167">
        <f t="shared" si="0"/>
        <v>3293715.343283582</v>
      </c>
    </row>
    <row r="11" spans="1:4" x14ac:dyDescent="0.25">
      <c r="A11" s="162" t="str">
        <f>+Componentes!B32</f>
        <v>Componente 2 - Fortalecimiento de la Gestión Municipal y Social</v>
      </c>
      <c r="B11" s="158">
        <f>+B13+B14+B12</f>
        <v>1024357.3910447761</v>
      </c>
      <c r="C11" s="158">
        <f>+C13+C14+C12</f>
        <v>255521.44776119399</v>
      </c>
      <c r="D11" s="158">
        <f t="shared" si="0"/>
        <v>1279878.83880597</v>
      </c>
    </row>
    <row r="12" spans="1:4" s="157" customFormat="1" x14ac:dyDescent="0.25">
      <c r="A12" s="321" t="s">
        <v>240</v>
      </c>
      <c r="B12" s="167">
        <f>+Componentes!H33</f>
        <v>160158.08955223882</v>
      </c>
      <c r="C12" s="167">
        <f>+Componentes!I33</f>
        <v>20200.11940298507</v>
      </c>
      <c r="D12" s="167">
        <f t="shared" si="0"/>
        <v>180358.20895522388</v>
      </c>
    </row>
    <row r="13" spans="1:4" s="228" customFormat="1" x14ac:dyDescent="0.25">
      <c r="A13" s="321" t="s">
        <v>242</v>
      </c>
      <c r="B13" s="167">
        <f>+Componentes!H46+Componentes!H60</f>
        <v>360514.74626865669</v>
      </c>
      <c r="C13" s="167">
        <f>+Componentes!I46+Componentes!I60</f>
        <v>235321.32835820894</v>
      </c>
      <c r="D13" s="167">
        <f t="shared" si="0"/>
        <v>595836.07462686556</v>
      </c>
    </row>
    <row r="14" spans="1:4" s="228" customFormat="1" x14ac:dyDescent="0.25">
      <c r="A14" s="321" t="s">
        <v>241</v>
      </c>
      <c r="B14" s="167">
        <f>+Componentes!G59</f>
        <v>503684.55522388057</v>
      </c>
      <c r="C14" s="167">
        <v>0</v>
      </c>
      <c r="D14" s="167">
        <f t="shared" si="0"/>
        <v>503684.55522388057</v>
      </c>
    </row>
    <row r="15" spans="1:4" x14ac:dyDescent="0.25">
      <c r="A15" s="161" t="s">
        <v>238</v>
      </c>
      <c r="B15" s="158">
        <f>+Administración_ME_Auditoria!F59</f>
        <v>903822.56716417905</v>
      </c>
      <c r="C15" s="158">
        <f>+Administración_ME_Auditoria!G59</f>
        <v>44417.552238805976</v>
      </c>
      <c r="D15" s="158">
        <f t="shared" si="0"/>
        <v>948240.11940298509</v>
      </c>
    </row>
    <row r="16" spans="1:4" x14ac:dyDescent="0.25">
      <c r="A16" s="162" t="s">
        <v>213</v>
      </c>
      <c r="B16" s="158">
        <f>+Administración_ME_Auditoria!F34</f>
        <v>145074.62686567166</v>
      </c>
      <c r="C16" s="158">
        <f>+Administración_ME_Auditoria!G35:G35</f>
        <v>2266713.4328358211</v>
      </c>
      <c r="D16" s="158">
        <f t="shared" si="0"/>
        <v>2411788.0597014925</v>
      </c>
    </row>
    <row r="17" spans="1:4" x14ac:dyDescent="0.25">
      <c r="A17" s="164" t="s">
        <v>4</v>
      </c>
      <c r="B17" s="163">
        <f>+B7+B11+B15+B16</f>
        <v>30000000.347873624</v>
      </c>
      <c r="C17" s="163">
        <f>+C7+C11+C15+C16</f>
        <v>5291104.2460522987</v>
      </c>
      <c r="D17" s="163">
        <f>+C17+B17</f>
        <v>35291104.593925923</v>
      </c>
    </row>
    <row r="18" spans="1:4" x14ac:dyDescent="0.25">
      <c r="B18" s="246">
        <f>30000000-B17</f>
        <v>-0.34787362441420555</v>
      </c>
      <c r="C18" s="160"/>
      <c r="D18" s="159"/>
    </row>
    <row r="19" spans="1:4" x14ac:dyDescent="0.25">
      <c r="A19" s="160"/>
      <c r="B19" s="160"/>
      <c r="C19" s="322"/>
      <c r="D19" s="159"/>
    </row>
    <row r="20" spans="1:4" x14ac:dyDescent="0.25">
      <c r="A20" s="160"/>
      <c r="B20" s="160"/>
      <c r="C20" s="160"/>
      <c r="D20" s="159"/>
    </row>
    <row r="21" spans="1:4" x14ac:dyDescent="0.25">
      <c r="A21" s="160"/>
      <c r="B21" s="160"/>
      <c r="C21" s="160"/>
      <c r="D21" s="159"/>
    </row>
    <row r="22" spans="1:4" x14ac:dyDescent="0.25">
      <c r="A22" s="160"/>
      <c r="B22" s="160"/>
      <c r="C22" s="160"/>
      <c r="D22" s="157"/>
    </row>
  </sheetData>
  <mergeCells count="3">
    <mergeCell ref="A2:D2"/>
    <mergeCell ref="A3:D3"/>
    <mergeCell ref="A4:D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opLeftCell="B61" zoomScale="140" zoomScaleNormal="140" workbookViewId="0">
      <selection activeCell="J54" sqref="J54"/>
    </sheetView>
  </sheetViews>
  <sheetFormatPr defaultColWidth="11.42578125" defaultRowHeight="11.25" x14ac:dyDescent="0.2"/>
  <cols>
    <col min="1" max="1" width="6.28515625" style="150" customWidth="1"/>
    <col min="2" max="2" width="43.140625" style="16" customWidth="1"/>
    <col min="3" max="4" width="9.5703125" style="16" customWidth="1"/>
    <col min="5" max="5" width="10" style="16" customWidth="1"/>
    <col min="6" max="6" width="9" style="16" customWidth="1"/>
    <col min="7" max="7" width="9.5703125" style="16" customWidth="1"/>
    <col min="8" max="8" width="9" style="16" bestFit="1" customWidth="1"/>
    <col min="9" max="9" width="8.7109375" style="16" bestFit="1" customWidth="1"/>
    <col min="10" max="16384" width="11.42578125" style="16"/>
  </cols>
  <sheetData>
    <row r="1" spans="1:9" s="1" customFormat="1" ht="12.75" x14ac:dyDescent="0.25">
      <c r="A1" s="149"/>
      <c r="C1" s="6"/>
      <c r="D1" s="6"/>
      <c r="E1" s="8"/>
      <c r="F1" s="8"/>
      <c r="G1" s="8"/>
      <c r="H1" s="8"/>
      <c r="I1" s="8"/>
    </row>
    <row r="2" spans="1:9" s="1" customFormat="1" ht="12.75" x14ac:dyDescent="0.25">
      <c r="A2" s="149"/>
      <c r="B2" s="326" t="s">
        <v>214</v>
      </c>
      <c r="C2" s="326"/>
      <c r="D2" s="326"/>
      <c r="E2" s="326"/>
      <c r="F2" s="326"/>
      <c r="G2" s="326"/>
      <c r="H2" s="326"/>
      <c r="I2" s="326"/>
    </row>
    <row r="3" spans="1:9" s="1" customFormat="1" ht="12.75" x14ac:dyDescent="0.25">
      <c r="A3" s="149"/>
      <c r="C3" s="6"/>
      <c r="D3" s="6"/>
      <c r="E3" s="8"/>
      <c r="F3" s="8"/>
      <c r="G3" s="8"/>
      <c r="H3" s="8"/>
      <c r="I3" s="8"/>
    </row>
    <row r="4" spans="1:9" s="1" customFormat="1" ht="12.75" x14ac:dyDescent="0.25">
      <c r="A4" s="149"/>
      <c r="B4" s="6" t="s">
        <v>32</v>
      </c>
      <c r="C4" s="9">
        <v>3.35</v>
      </c>
      <c r="F4" s="8"/>
      <c r="G4" s="8"/>
      <c r="H4" s="8"/>
      <c r="I4" s="8"/>
    </row>
    <row r="5" spans="1:9" s="1" customFormat="1" ht="12.75" x14ac:dyDescent="0.25">
      <c r="A5" s="149"/>
      <c r="C5" s="6"/>
      <c r="D5" s="6"/>
      <c r="E5" s="8"/>
      <c r="F5" s="8"/>
      <c r="G5" s="8"/>
      <c r="H5" s="8"/>
      <c r="I5" s="8"/>
    </row>
    <row r="6" spans="1:9" ht="15" customHeight="1" x14ac:dyDescent="0.2">
      <c r="B6" s="325" t="s">
        <v>20</v>
      </c>
      <c r="C6" s="325" t="s">
        <v>0</v>
      </c>
      <c r="D6" s="325" t="s">
        <v>62</v>
      </c>
      <c r="E6" s="325" t="s">
        <v>41</v>
      </c>
      <c r="F6" s="325" t="s">
        <v>2</v>
      </c>
      <c r="G6" s="325" t="s">
        <v>3</v>
      </c>
      <c r="H6" s="325" t="s">
        <v>233</v>
      </c>
      <c r="I6" s="325"/>
    </row>
    <row r="7" spans="1:9" ht="21" customHeight="1" x14ac:dyDescent="0.2">
      <c r="B7" s="325"/>
      <c r="C7" s="325"/>
      <c r="D7" s="325"/>
      <c r="E7" s="325"/>
      <c r="F7" s="325"/>
      <c r="G7" s="325"/>
      <c r="H7" s="42" t="s">
        <v>5</v>
      </c>
      <c r="I7" s="42" t="s">
        <v>115</v>
      </c>
    </row>
    <row r="8" spans="1:9" s="18" customFormat="1" x14ac:dyDescent="0.2">
      <c r="A8" s="150">
        <v>1</v>
      </c>
      <c r="B8" s="324" t="s">
        <v>262</v>
      </c>
      <c r="C8" s="324"/>
      <c r="D8" s="324"/>
      <c r="E8" s="324"/>
      <c r="F8" s="324"/>
      <c r="G8" s="17">
        <f t="shared" ref="G8:I8" si="0">+G9+G14+G29</f>
        <v>27357481.830232829</v>
      </c>
      <c r="H8" s="17">
        <f t="shared" si="0"/>
        <v>27926745.762798999</v>
      </c>
      <c r="I8" s="17">
        <f t="shared" si="0"/>
        <v>2724451.8132164776</v>
      </c>
    </row>
    <row r="9" spans="1:9" x14ac:dyDescent="0.2">
      <c r="A9" s="150">
        <v>1.1000000000000001</v>
      </c>
      <c r="B9" s="169" t="s">
        <v>216</v>
      </c>
      <c r="C9" s="143"/>
      <c r="D9" s="248">
        <f>SUM(D10:D13)</f>
        <v>10157276.400000002</v>
      </c>
      <c r="E9" s="144">
        <f>SUM(E10:E13)</f>
        <v>3032022.8059701491</v>
      </c>
      <c r="F9" s="144"/>
      <c r="G9" s="144">
        <f t="shared" ref="G9:I9" si="1">SUM(G10:G13)</f>
        <v>3032022.8059701491</v>
      </c>
      <c r="H9" s="144">
        <f t="shared" si="1"/>
        <v>3032022.8059701491</v>
      </c>
      <c r="I9" s="144">
        <f t="shared" si="1"/>
        <v>0</v>
      </c>
    </row>
    <row r="10" spans="1:9" s="181" customFormat="1" ht="22.5" x14ac:dyDescent="0.25">
      <c r="A10" s="179" t="s">
        <v>206</v>
      </c>
      <c r="B10" s="180" t="s">
        <v>199</v>
      </c>
      <c r="C10" s="152" t="s">
        <v>6</v>
      </c>
      <c r="D10" s="154">
        <f>+'Detalle costos Componentes'!F120+'Detalle costos Componentes'!G120</f>
        <v>5102334.0000000009</v>
      </c>
      <c r="E10" s="153">
        <f>+D10/$C$4</f>
        <v>1523084.7761194033</v>
      </c>
      <c r="F10" s="153">
        <v>1</v>
      </c>
      <c r="G10" s="178">
        <f t="shared" ref="G10:G13" si="2">+E10*F10</f>
        <v>1523084.7761194033</v>
      </c>
      <c r="H10" s="178">
        <f>+G10</f>
        <v>1523084.7761194033</v>
      </c>
      <c r="I10" s="178">
        <v>0</v>
      </c>
    </row>
    <row r="11" spans="1:9" s="181" customFormat="1" ht="22.5" x14ac:dyDescent="0.25">
      <c r="A11" s="179" t="s">
        <v>207</v>
      </c>
      <c r="B11" s="180" t="s">
        <v>200</v>
      </c>
      <c r="C11" s="152" t="s">
        <v>6</v>
      </c>
      <c r="D11" s="154">
        <f>+'Detalle costos Componentes'!F121+'Detalle costos Componentes'!G121</f>
        <v>3858118.4000000004</v>
      </c>
      <c r="E11" s="153">
        <f>+D11/$C$4</f>
        <v>1151677.1343283583</v>
      </c>
      <c r="F11" s="153">
        <v>1</v>
      </c>
      <c r="G11" s="178">
        <f t="shared" si="2"/>
        <v>1151677.1343283583</v>
      </c>
      <c r="H11" s="178">
        <f>+G11</f>
        <v>1151677.1343283583</v>
      </c>
      <c r="I11" s="178">
        <v>0</v>
      </c>
    </row>
    <row r="12" spans="1:9" s="24" customFormat="1" x14ac:dyDescent="0.2">
      <c r="A12" s="151" t="s">
        <v>272</v>
      </c>
      <c r="B12" s="190" t="s">
        <v>201</v>
      </c>
      <c r="C12" s="21" t="s">
        <v>6</v>
      </c>
      <c r="D12" s="145">
        <f>+'Detalle costos Componentes'!F122+'Detalle costos Componentes'!G122</f>
        <v>598412</v>
      </c>
      <c r="E12" s="22">
        <f>+D12/$C$4</f>
        <v>178630.44776119402</v>
      </c>
      <c r="F12" s="22">
        <v>1</v>
      </c>
      <c r="G12" s="178">
        <f t="shared" si="2"/>
        <v>178630.44776119402</v>
      </c>
      <c r="H12" s="168">
        <f>+G12</f>
        <v>178630.44776119402</v>
      </c>
      <c r="I12" s="168">
        <v>0</v>
      </c>
    </row>
    <row r="13" spans="1:9" s="24" customFormat="1" x14ac:dyDescent="0.2">
      <c r="A13" s="151" t="s">
        <v>273</v>
      </c>
      <c r="B13" s="190" t="s">
        <v>202</v>
      </c>
      <c r="C13" s="21" t="s">
        <v>6</v>
      </c>
      <c r="D13" s="145">
        <f>+'Detalle costos Componentes'!F123+'Detalle costos Componentes'!G123</f>
        <v>598412</v>
      </c>
      <c r="E13" s="22">
        <f>+D13/$C$4</f>
        <v>178630.44776119402</v>
      </c>
      <c r="F13" s="22">
        <v>1</v>
      </c>
      <c r="G13" s="178">
        <f t="shared" si="2"/>
        <v>178630.44776119402</v>
      </c>
      <c r="H13" s="168">
        <f>+G13</f>
        <v>178630.44776119402</v>
      </c>
      <c r="I13" s="168">
        <v>0</v>
      </c>
    </row>
    <row r="14" spans="1:9" x14ac:dyDescent="0.2">
      <c r="A14" s="150">
        <v>1.2</v>
      </c>
      <c r="B14" s="169" t="s">
        <v>203</v>
      </c>
      <c r="C14" s="143"/>
      <c r="D14" s="143"/>
      <c r="E14" s="144"/>
      <c r="F14" s="144"/>
      <c r="G14" s="144">
        <f t="shared" ref="G14:I14" si="3">+G15+G23</f>
        <v>24325459.024262682</v>
      </c>
      <c r="H14" s="144">
        <f t="shared" si="3"/>
        <v>21601007.613545265</v>
      </c>
      <c r="I14" s="144">
        <f t="shared" si="3"/>
        <v>2724451.8132164776</v>
      </c>
    </row>
    <row r="15" spans="1:9" x14ac:dyDescent="0.2">
      <c r="A15" s="150" t="s">
        <v>204</v>
      </c>
      <c r="B15" s="170" t="s">
        <v>193</v>
      </c>
      <c r="C15" s="147"/>
      <c r="D15" s="247">
        <f>SUM(D16:D22)</f>
        <v>26766958.15896</v>
      </c>
      <c r="E15" s="247">
        <f>SUM(E16:E22)</f>
        <v>7990136.763868656</v>
      </c>
      <c r="F15" s="148"/>
      <c r="G15" s="148">
        <f t="shared" ref="G15:I15" si="4">SUM(G16:G22)</f>
        <v>7990136.763868656</v>
      </c>
      <c r="H15" s="148">
        <f t="shared" si="4"/>
        <v>7095241.4463153668</v>
      </c>
      <c r="I15" s="148">
        <f t="shared" si="4"/>
        <v>894895.72005234635</v>
      </c>
    </row>
    <row r="16" spans="1:9" x14ac:dyDescent="0.2">
      <c r="A16" s="150" t="s">
        <v>274</v>
      </c>
      <c r="B16" s="171" t="s">
        <v>182</v>
      </c>
      <c r="C16" s="21" t="s">
        <v>6</v>
      </c>
      <c r="D16" s="145">
        <f>+'Detalle costos Componentes'!D9+'Detalle costos Componentes'!G9+'Detalle costos Componentes'!H9</f>
        <v>2946690.06672</v>
      </c>
      <c r="E16" s="22">
        <f t="shared" ref="E16:E22" si="5">+D16/$C$4</f>
        <v>879608.97514029848</v>
      </c>
      <c r="F16" s="22">
        <v>1</v>
      </c>
      <c r="G16" s="168">
        <f t="shared" ref="G16:G22" si="6">+E16*F16</f>
        <v>879608.97514029848</v>
      </c>
      <c r="H16" s="168">
        <f>+G16*0.888</f>
        <v>781092.76992458501</v>
      </c>
      <c r="I16" s="168">
        <f>+G16-H16</f>
        <v>98516.205215713475</v>
      </c>
    </row>
    <row r="17" spans="1:9" s="24" customFormat="1" x14ac:dyDescent="0.2">
      <c r="A17" s="150" t="s">
        <v>275</v>
      </c>
      <c r="B17" s="171" t="s">
        <v>186</v>
      </c>
      <c r="C17" s="21" t="s">
        <v>6</v>
      </c>
      <c r="D17" s="145">
        <f>+'Detalle costos Componentes'!D11+'Detalle costos Componentes'!G11+'Detalle costos Componentes'!H11</f>
        <v>3997824.1216799999</v>
      </c>
      <c r="E17" s="22">
        <f t="shared" si="5"/>
        <v>1193380.3348298506</v>
      </c>
      <c r="F17" s="22">
        <v>1</v>
      </c>
      <c r="G17" s="168">
        <f t="shared" si="6"/>
        <v>1193380.3348298506</v>
      </c>
      <c r="H17" s="168">
        <f t="shared" ref="H17:H22" si="7">+G17*0.888</f>
        <v>1059721.7373289072</v>
      </c>
      <c r="I17" s="168">
        <v>133659</v>
      </c>
    </row>
    <row r="18" spans="1:9" x14ac:dyDescent="0.2">
      <c r="A18" s="150" t="s">
        <v>276</v>
      </c>
      <c r="B18" s="172" t="s">
        <v>184</v>
      </c>
      <c r="C18" s="21" t="s">
        <v>6</v>
      </c>
      <c r="D18" s="145">
        <f>+'Detalle costos Componentes'!D7+'Detalle costos Componentes'!G7+'Detalle costos Componentes'!H7</f>
        <v>707446.35791999986</v>
      </c>
      <c r="E18" s="22">
        <f t="shared" si="5"/>
        <v>211178.0172895522</v>
      </c>
      <c r="F18" s="22">
        <v>1</v>
      </c>
      <c r="G18" s="168">
        <f t="shared" si="6"/>
        <v>211178.0172895522</v>
      </c>
      <c r="H18" s="168">
        <f t="shared" si="7"/>
        <v>187526.07935312236</v>
      </c>
      <c r="I18" s="168">
        <f t="shared" ref="I18:I22" si="8">+G18-H18</f>
        <v>23651.937936429837</v>
      </c>
    </row>
    <row r="19" spans="1:9" x14ac:dyDescent="0.2">
      <c r="A19" s="150" t="s">
        <v>277</v>
      </c>
      <c r="B19" s="172" t="s">
        <v>185</v>
      </c>
      <c r="C19" s="21" t="s">
        <v>6</v>
      </c>
      <c r="D19" s="145">
        <f>+'Detalle costos Componentes'!D8+'Detalle costos Componentes'!G8+'Detalle costos Componentes'!H8</f>
        <v>3209553.6871200004</v>
      </c>
      <c r="E19" s="22">
        <f t="shared" si="5"/>
        <v>958075.72749850759</v>
      </c>
      <c r="F19" s="22">
        <v>1</v>
      </c>
      <c r="G19" s="168">
        <f t="shared" si="6"/>
        <v>958075.72749850759</v>
      </c>
      <c r="H19" s="168">
        <f t="shared" si="7"/>
        <v>850771.24601867481</v>
      </c>
      <c r="I19" s="168">
        <f t="shared" si="8"/>
        <v>107304.48147983279</v>
      </c>
    </row>
    <row r="20" spans="1:9" s="24" customFormat="1" x14ac:dyDescent="0.2">
      <c r="A20" s="150" t="s">
        <v>278</v>
      </c>
      <c r="B20" s="172" t="s">
        <v>190</v>
      </c>
      <c r="C20" s="21" t="s">
        <v>6</v>
      </c>
      <c r="D20" s="145">
        <f>+'Detalle costos Componentes'!D6+'Detalle costos Componentes'!G6+'Detalle costos Componentes'!H6</f>
        <v>1000118.8881600001</v>
      </c>
      <c r="E20" s="22">
        <f t="shared" si="5"/>
        <v>298542.95168955228</v>
      </c>
      <c r="F20" s="22">
        <v>1</v>
      </c>
      <c r="G20" s="168">
        <f t="shared" si="6"/>
        <v>298542.95168955228</v>
      </c>
      <c r="H20" s="168">
        <f t="shared" si="7"/>
        <v>265106.14110032242</v>
      </c>
      <c r="I20" s="168">
        <f t="shared" si="8"/>
        <v>33436.810589229863</v>
      </c>
    </row>
    <row r="21" spans="1:9" s="24" customFormat="1" x14ac:dyDescent="0.2">
      <c r="A21" s="150" t="s">
        <v>279</v>
      </c>
      <c r="B21" s="173" t="s">
        <v>198</v>
      </c>
      <c r="C21" s="21" t="s">
        <v>6</v>
      </c>
      <c r="D21" s="145">
        <f>+'Detalle costos Componentes'!D14+'Detalle costos Componentes'!G14+'Detalle costos Componentes'!H14</f>
        <v>10277159.29752</v>
      </c>
      <c r="E21" s="22">
        <f t="shared" si="5"/>
        <v>3067808.7455283585</v>
      </c>
      <c r="F21" s="22">
        <v>1</v>
      </c>
      <c r="G21" s="168">
        <f t="shared" si="6"/>
        <v>3067808.7455283585</v>
      </c>
      <c r="H21" s="168">
        <f t="shared" si="7"/>
        <v>2724214.1660291823</v>
      </c>
      <c r="I21" s="168">
        <f t="shared" si="8"/>
        <v>343594.57949917624</v>
      </c>
    </row>
    <row r="22" spans="1:9" s="24" customFormat="1" x14ac:dyDescent="0.2">
      <c r="A22" s="150" t="s">
        <v>280</v>
      </c>
      <c r="B22" s="173" t="s">
        <v>189</v>
      </c>
      <c r="C22" s="21" t="s">
        <v>6</v>
      </c>
      <c r="D22" s="145">
        <f>+'Detalle costos Componentes'!D13+'Detalle costos Componentes'!G13+'Detalle costos Componentes'!H13</f>
        <v>4628165.739839999</v>
      </c>
      <c r="E22" s="22">
        <f t="shared" si="5"/>
        <v>1381542.0118925369</v>
      </c>
      <c r="F22" s="22">
        <v>1</v>
      </c>
      <c r="G22" s="168">
        <f t="shared" si="6"/>
        <v>1381542.0118925369</v>
      </c>
      <c r="H22" s="168">
        <f t="shared" si="7"/>
        <v>1226809.3065605727</v>
      </c>
      <c r="I22" s="168">
        <f t="shared" si="8"/>
        <v>154732.70533196419</v>
      </c>
    </row>
    <row r="23" spans="1:9" x14ac:dyDescent="0.2">
      <c r="A23" s="150" t="s">
        <v>205</v>
      </c>
      <c r="B23" s="170" t="s">
        <v>194</v>
      </c>
      <c r="C23" s="147"/>
      <c r="D23" s="247">
        <f>SUM(D24:D28)</f>
        <v>54723329.572319999</v>
      </c>
      <c r="E23" s="247">
        <f>SUM(E24:E28)</f>
        <v>16335322.260394027</v>
      </c>
      <c r="F23" s="148"/>
      <c r="G23" s="148">
        <f t="shared" ref="G23:I23" si="9">SUM(G24:G28)</f>
        <v>16335322.260394027</v>
      </c>
      <c r="H23" s="148">
        <f t="shared" si="9"/>
        <v>14505766.167229898</v>
      </c>
      <c r="I23" s="148">
        <f t="shared" si="9"/>
        <v>1829556.0931641315</v>
      </c>
    </row>
    <row r="24" spans="1:9" s="24" customFormat="1" x14ac:dyDescent="0.2">
      <c r="A24" s="151" t="s">
        <v>281</v>
      </c>
      <c r="B24" s="174" t="s">
        <v>187</v>
      </c>
      <c r="C24" s="21" t="s">
        <v>6</v>
      </c>
      <c r="D24" s="145">
        <f>+'Detalle costos Componentes'!D12+'Detalle costos Componentes'!G12+'Detalle costos Componentes'!H12</f>
        <v>13817011.53816</v>
      </c>
      <c r="E24" s="22">
        <f>+D24/$C$4</f>
        <v>4124481.0561671639</v>
      </c>
      <c r="F24" s="22">
        <v>1</v>
      </c>
      <c r="G24" s="168">
        <f t="shared" ref="G24:G28" si="10">+E24*F24</f>
        <v>4124481.0561671639</v>
      </c>
      <c r="H24" s="168">
        <f t="shared" ref="H24:H28" si="11">+G24*0.888</f>
        <v>3662539.1778764417</v>
      </c>
      <c r="I24" s="168">
        <f t="shared" ref="I24:I28" si="12">+G24-H24</f>
        <v>461941.87829072215</v>
      </c>
    </row>
    <row r="25" spans="1:9" x14ac:dyDescent="0.2">
      <c r="A25" s="151" t="s">
        <v>282</v>
      </c>
      <c r="B25" s="174" t="s">
        <v>183</v>
      </c>
      <c r="C25" s="21" t="s">
        <v>6</v>
      </c>
      <c r="D25" s="145">
        <f>+'Detalle costos Componentes'!D10+'Detalle costos Componentes'!G10+'Detalle costos Componentes'!H10</f>
        <v>3752807.3971199999</v>
      </c>
      <c r="E25" s="22">
        <f>+D25/$C$4</f>
        <v>1120241.0140656715</v>
      </c>
      <c r="F25" s="22">
        <v>1</v>
      </c>
      <c r="G25" s="168">
        <f t="shared" si="10"/>
        <v>1120241.0140656715</v>
      </c>
      <c r="H25" s="168">
        <f t="shared" si="11"/>
        <v>994774.02049031632</v>
      </c>
      <c r="I25" s="168">
        <f t="shared" si="12"/>
        <v>125466.99357535515</v>
      </c>
    </row>
    <row r="26" spans="1:9" s="24" customFormat="1" x14ac:dyDescent="0.2">
      <c r="A26" s="151" t="s">
        <v>283</v>
      </c>
      <c r="B26" s="174" t="s">
        <v>191</v>
      </c>
      <c r="C26" s="21" t="s">
        <v>6</v>
      </c>
      <c r="D26" s="145">
        <f>+'Detalle costos Componentes'!D17+'Detalle costos Componentes'!G17+'Detalle costos Componentes'!H17</f>
        <v>32202383.943119999</v>
      </c>
      <c r="E26" s="22">
        <f>+D26/$C$4</f>
        <v>9612651.9233194031</v>
      </c>
      <c r="F26" s="22">
        <v>1</v>
      </c>
      <c r="G26" s="168">
        <f t="shared" si="10"/>
        <v>9612651.9233194031</v>
      </c>
      <c r="H26" s="168">
        <f t="shared" si="11"/>
        <v>8536034.9079076294</v>
      </c>
      <c r="I26" s="168">
        <f t="shared" si="12"/>
        <v>1076617.0154117737</v>
      </c>
    </row>
    <row r="27" spans="1:9" s="24" customFormat="1" x14ac:dyDescent="0.2">
      <c r="A27" s="151" t="s">
        <v>284</v>
      </c>
      <c r="B27" s="199" t="s">
        <v>188</v>
      </c>
      <c r="C27" s="21" t="s">
        <v>6</v>
      </c>
      <c r="D27" s="145">
        <f>+'Detalle costos Componentes'!D15+'Detalle costos Componentes'!G15+'Detalle costos Componentes'!H15</f>
        <v>4113021.8387999996</v>
      </c>
      <c r="E27" s="22">
        <f>+D27/$C$4</f>
        <v>1227767.7130746266</v>
      </c>
      <c r="F27" s="22">
        <v>1</v>
      </c>
      <c r="G27" s="168">
        <f t="shared" si="10"/>
        <v>1227767.7130746266</v>
      </c>
      <c r="H27" s="168">
        <f t="shared" si="11"/>
        <v>1090257.7292102685</v>
      </c>
      <c r="I27" s="168">
        <f t="shared" si="12"/>
        <v>137509.98386435816</v>
      </c>
    </row>
    <row r="28" spans="1:9" s="24" customFormat="1" x14ac:dyDescent="0.2">
      <c r="A28" s="151" t="s">
        <v>285</v>
      </c>
      <c r="B28" s="199" t="s">
        <v>192</v>
      </c>
      <c r="C28" s="21" t="s">
        <v>6</v>
      </c>
      <c r="D28" s="145">
        <f>+'Detalle costos Componentes'!D16+'Detalle costos Componentes'!G16+'Detalle costos Componentes'!H16</f>
        <v>838104.85511999996</v>
      </c>
      <c r="E28" s="22">
        <f>+D28/$C$4</f>
        <v>250180.55376716415</v>
      </c>
      <c r="F28" s="22">
        <v>1</v>
      </c>
      <c r="G28" s="168">
        <f t="shared" si="10"/>
        <v>250180.55376716415</v>
      </c>
      <c r="H28" s="168">
        <f t="shared" si="11"/>
        <v>222160.33174524177</v>
      </c>
      <c r="I28" s="168">
        <f t="shared" si="12"/>
        <v>28020.222021922382</v>
      </c>
    </row>
    <row r="29" spans="1:9" s="24" customFormat="1" x14ac:dyDescent="0.2">
      <c r="A29" s="151">
        <v>1.3</v>
      </c>
      <c r="B29" s="169" t="s">
        <v>195</v>
      </c>
      <c r="C29" s="143"/>
      <c r="D29" s="143"/>
      <c r="E29" s="144"/>
      <c r="F29" s="144"/>
      <c r="G29" s="144"/>
      <c r="H29" s="144">
        <f t="shared" ref="H29:I29" si="13">+H30+H31</f>
        <v>3293715.343283582</v>
      </c>
      <c r="I29" s="144">
        <f t="shared" si="13"/>
        <v>0</v>
      </c>
    </row>
    <row r="30" spans="1:9" s="24" customFormat="1" x14ac:dyDescent="0.2">
      <c r="A30" s="151" t="s">
        <v>286</v>
      </c>
      <c r="B30" s="175" t="s">
        <v>196</v>
      </c>
      <c r="C30" s="21" t="s">
        <v>6</v>
      </c>
      <c r="D30" s="145">
        <f>+'Detalle costos Componentes'!F124+'Detalle costos Componentes'!G124</f>
        <v>6769438.4000000004</v>
      </c>
      <c r="E30" s="22">
        <f>+D30/$C$4</f>
        <v>2020727.8805970149</v>
      </c>
      <c r="F30" s="22">
        <v>1</v>
      </c>
      <c r="G30" s="168">
        <f>+E30*F30</f>
        <v>2020727.8805970149</v>
      </c>
      <c r="H30" s="168">
        <f>+G30</f>
        <v>2020727.8805970149</v>
      </c>
      <c r="I30" s="168">
        <v>0</v>
      </c>
    </row>
    <row r="31" spans="1:9" s="24" customFormat="1" x14ac:dyDescent="0.2">
      <c r="A31" s="151" t="s">
        <v>287</v>
      </c>
      <c r="B31" s="175" t="s">
        <v>197</v>
      </c>
      <c r="C31" s="21" t="s">
        <v>6</v>
      </c>
      <c r="D31" s="145">
        <f>+'Detalle costos Componentes'!F125+'Detalle costos Componentes'!G125</f>
        <v>4264508</v>
      </c>
      <c r="E31" s="22">
        <f>+D31/$C$4</f>
        <v>1272987.4626865671</v>
      </c>
      <c r="F31" s="22">
        <v>1</v>
      </c>
      <c r="G31" s="168">
        <f>+E31*F31</f>
        <v>1272987.4626865671</v>
      </c>
      <c r="H31" s="168">
        <f>+G31</f>
        <v>1272987.4626865671</v>
      </c>
      <c r="I31" s="168">
        <v>0</v>
      </c>
    </row>
    <row r="32" spans="1:9" s="18" customFormat="1" x14ac:dyDescent="0.2">
      <c r="A32" s="150">
        <v>2</v>
      </c>
      <c r="B32" s="324" t="s">
        <v>237</v>
      </c>
      <c r="C32" s="324"/>
      <c r="D32" s="324"/>
      <c r="E32" s="324"/>
      <c r="F32" s="324"/>
      <c r="G32" s="17">
        <f>+G33+G46+G60+G59</f>
        <v>1279878.83880597</v>
      </c>
      <c r="H32" s="17">
        <f t="shared" ref="H32:I32" si="14">+H33+H46+H60+H59</f>
        <v>1024357.3910447761</v>
      </c>
      <c r="I32" s="17">
        <f t="shared" si="14"/>
        <v>255521.44776119402</v>
      </c>
    </row>
    <row r="33" spans="1:9" s="24" customFormat="1" x14ac:dyDescent="0.2">
      <c r="A33" s="151">
        <v>2.1</v>
      </c>
      <c r="B33" s="177" t="s">
        <v>243</v>
      </c>
      <c r="C33" s="21" t="s">
        <v>6</v>
      </c>
      <c r="D33" s="145">
        <f>SUM(D34:D45)</f>
        <v>604200</v>
      </c>
      <c r="E33" s="22">
        <f t="shared" ref="E33:E59" si="15">+D33/$C$4</f>
        <v>180358.20895522388</v>
      </c>
      <c r="F33" s="22">
        <v>1</v>
      </c>
      <c r="G33" s="168">
        <f t="shared" ref="G33:I33" si="16">SUM(G34:G45)</f>
        <v>180358.20895522388</v>
      </c>
      <c r="H33" s="168">
        <f t="shared" si="16"/>
        <v>160158.08955223882</v>
      </c>
      <c r="I33" s="168">
        <f t="shared" si="16"/>
        <v>20200.11940298507</v>
      </c>
    </row>
    <row r="34" spans="1:9" s="188" customFormat="1" x14ac:dyDescent="0.2">
      <c r="A34" s="182" t="s">
        <v>288</v>
      </c>
      <c r="B34" s="183" t="s">
        <v>182</v>
      </c>
      <c r="C34" s="184" t="s">
        <v>6</v>
      </c>
      <c r="D34" s="185">
        <f>+'Detalle costos Componentes'!E9</f>
        <v>44800</v>
      </c>
      <c r="E34" s="186">
        <f t="shared" si="15"/>
        <v>13373.134328358208</v>
      </c>
      <c r="F34" s="186">
        <v>1</v>
      </c>
      <c r="G34" s="187">
        <f t="shared" ref="G34:G45" si="17">+E34*F34</f>
        <v>13373.134328358208</v>
      </c>
      <c r="H34" s="168">
        <f t="shared" ref="H34:H45" si="18">+G34*0.888</f>
        <v>11875.343283582089</v>
      </c>
      <c r="I34" s="168">
        <f t="shared" ref="I34:I45" si="19">+G34-H34</f>
        <v>1497.7910447761187</v>
      </c>
    </row>
    <row r="35" spans="1:9" s="189" customFormat="1" x14ac:dyDescent="0.2">
      <c r="A35" s="182" t="s">
        <v>289</v>
      </c>
      <c r="B35" s="183" t="s">
        <v>186</v>
      </c>
      <c r="C35" s="184" t="s">
        <v>6</v>
      </c>
      <c r="D35" s="185">
        <f>+'Detalle costos Componentes'!E11</f>
        <v>47600</v>
      </c>
      <c r="E35" s="186">
        <f t="shared" si="15"/>
        <v>14208.955223880597</v>
      </c>
      <c r="F35" s="186">
        <v>1</v>
      </c>
      <c r="G35" s="187">
        <f t="shared" si="17"/>
        <v>14208.955223880597</v>
      </c>
      <c r="H35" s="168">
        <f t="shared" si="18"/>
        <v>12617.552238805971</v>
      </c>
      <c r="I35" s="168">
        <f t="shared" si="19"/>
        <v>1591.4029850746265</v>
      </c>
    </row>
    <row r="36" spans="1:9" s="188" customFormat="1" x14ac:dyDescent="0.2">
      <c r="A36" s="182" t="s">
        <v>290</v>
      </c>
      <c r="B36" s="183" t="s">
        <v>184</v>
      </c>
      <c r="C36" s="184" t="s">
        <v>6</v>
      </c>
      <c r="D36" s="185">
        <f>+'Detalle costos Componentes'!E7</f>
        <v>51800</v>
      </c>
      <c r="E36" s="186">
        <f t="shared" si="15"/>
        <v>15462.686567164179</v>
      </c>
      <c r="F36" s="186">
        <v>1</v>
      </c>
      <c r="G36" s="187">
        <f t="shared" si="17"/>
        <v>15462.686567164179</v>
      </c>
      <c r="H36" s="168">
        <f t="shared" si="18"/>
        <v>13730.865671641792</v>
      </c>
      <c r="I36" s="168">
        <f t="shared" si="19"/>
        <v>1731.8208955223872</v>
      </c>
    </row>
    <row r="37" spans="1:9" s="188" customFormat="1" x14ac:dyDescent="0.2">
      <c r="A37" s="182" t="s">
        <v>291</v>
      </c>
      <c r="B37" s="183" t="s">
        <v>185</v>
      </c>
      <c r="C37" s="184" t="s">
        <v>6</v>
      </c>
      <c r="D37" s="185">
        <f>+'Detalle costos Componentes'!E8</f>
        <v>46800</v>
      </c>
      <c r="E37" s="186">
        <f t="shared" si="15"/>
        <v>13970.149253731342</v>
      </c>
      <c r="F37" s="186">
        <v>1</v>
      </c>
      <c r="G37" s="187">
        <f t="shared" si="17"/>
        <v>13970.149253731342</v>
      </c>
      <c r="H37" s="168">
        <f t="shared" si="18"/>
        <v>12405.492537313432</v>
      </c>
      <c r="I37" s="168">
        <f t="shared" si="19"/>
        <v>1564.6567164179105</v>
      </c>
    </row>
    <row r="38" spans="1:9" s="189" customFormat="1" x14ac:dyDescent="0.2">
      <c r="A38" s="182" t="s">
        <v>292</v>
      </c>
      <c r="B38" s="183" t="s">
        <v>190</v>
      </c>
      <c r="C38" s="184" t="s">
        <v>6</v>
      </c>
      <c r="D38" s="185">
        <f>+'Detalle costos Componentes'!E6</f>
        <v>58800</v>
      </c>
      <c r="E38" s="186">
        <f t="shared" si="15"/>
        <v>17552.238805970148</v>
      </c>
      <c r="F38" s="186">
        <v>1</v>
      </c>
      <c r="G38" s="187">
        <f t="shared" si="17"/>
        <v>17552.238805970148</v>
      </c>
      <c r="H38" s="168">
        <f t="shared" si="18"/>
        <v>15586.388059701492</v>
      </c>
      <c r="I38" s="168">
        <f t="shared" si="19"/>
        <v>1965.8507462686557</v>
      </c>
    </row>
    <row r="39" spans="1:9" s="189" customFormat="1" x14ac:dyDescent="0.2">
      <c r="A39" s="182" t="s">
        <v>293</v>
      </c>
      <c r="B39" s="183" t="s">
        <v>198</v>
      </c>
      <c r="C39" s="184" t="s">
        <v>6</v>
      </c>
      <c r="D39" s="185">
        <f>+'Detalle costos Componentes'!E14</f>
        <v>47600</v>
      </c>
      <c r="E39" s="186">
        <f t="shared" si="15"/>
        <v>14208.955223880597</v>
      </c>
      <c r="F39" s="186">
        <v>1</v>
      </c>
      <c r="G39" s="187">
        <f t="shared" si="17"/>
        <v>14208.955223880597</v>
      </c>
      <c r="H39" s="168">
        <f t="shared" si="18"/>
        <v>12617.552238805971</v>
      </c>
      <c r="I39" s="168">
        <f t="shared" si="19"/>
        <v>1591.4029850746265</v>
      </c>
    </row>
    <row r="40" spans="1:9" s="189" customFormat="1" x14ac:dyDescent="0.2">
      <c r="A40" s="182" t="s">
        <v>294</v>
      </c>
      <c r="B40" s="183" t="s">
        <v>189</v>
      </c>
      <c r="C40" s="184" t="s">
        <v>6</v>
      </c>
      <c r="D40" s="185">
        <f>+'Detalle costos Componentes'!E13</f>
        <v>50800</v>
      </c>
      <c r="E40" s="186">
        <f t="shared" si="15"/>
        <v>15164.179104477611</v>
      </c>
      <c r="F40" s="186">
        <v>1</v>
      </c>
      <c r="G40" s="187">
        <f t="shared" si="17"/>
        <v>15164.179104477611</v>
      </c>
      <c r="H40" s="168">
        <f t="shared" si="18"/>
        <v>13465.791044776119</v>
      </c>
      <c r="I40" s="168">
        <f t="shared" si="19"/>
        <v>1698.3880597014922</v>
      </c>
    </row>
    <row r="41" spans="1:9" s="189" customFormat="1" x14ac:dyDescent="0.2">
      <c r="A41" s="182" t="s">
        <v>295</v>
      </c>
      <c r="B41" s="183" t="s">
        <v>187</v>
      </c>
      <c r="C41" s="184" t="s">
        <v>6</v>
      </c>
      <c r="D41" s="185">
        <f>+'Detalle costos Componentes'!E12</f>
        <v>49800</v>
      </c>
      <c r="E41" s="186">
        <f t="shared" si="15"/>
        <v>14865.671641791045</v>
      </c>
      <c r="F41" s="186">
        <v>1</v>
      </c>
      <c r="G41" s="187">
        <f t="shared" si="17"/>
        <v>14865.671641791045</v>
      </c>
      <c r="H41" s="168">
        <f t="shared" si="18"/>
        <v>13200.716417910447</v>
      </c>
      <c r="I41" s="168">
        <f t="shared" si="19"/>
        <v>1664.9552238805973</v>
      </c>
    </row>
    <row r="42" spans="1:9" s="188" customFormat="1" x14ac:dyDescent="0.2">
      <c r="A42" s="182" t="s">
        <v>296</v>
      </c>
      <c r="B42" s="183" t="s">
        <v>183</v>
      </c>
      <c r="C42" s="184" t="s">
        <v>6</v>
      </c>
      <c r="D42" s="185">
        <f>+'Detalle costos Componentes'!E10</f>
        <v>37800</v>
      </c>
      <c r="E42" s="186">
        <f t="shared" si="15"/>
        <v>11283.582089552239</v>
      </c>
      <c r="F42" s="186">
        <v>1</v>
      </c>
      <c r="G42" s="187">
        <f t="shared" si="17"/>
        <v>11283.582089552239</v>
      </c>
      <c r="H42" s="168">
        <f t="shared" si="18"/>
        <v>10019.820895522389</v>
      </c>
      <c r="I42" s="168">
        <f t="shared" si="19"/>
        <v>1263.7611940298502</v>
      </c>
    </row>
    <row r="43" spans="1:9" s="189" customFormat="1" x14ac:dyDescent="0.2">
      <c r="A43" s="182" t="s">
        <v>297</v>
      </c>
      <c r="B43" s="183" t="s">
        <v>191</v>
      </c>
      <c r="C43" s="184" t="s">
        <v>6</v>
      </c>
      <c r="D43" s="185">
        <f>+'Detalle costos Componentes'!E17</f>
        <v>70000</v>
      </c>
      <c r="E43" s="186">
        <f t="shared" si="15"/>
        <v>20895.5223880597</v>
      </c>
      <c r="F43" s="186">
        <v>1</v>
      </c>
      <c r="G43" s="187">
        <f t="shared" si="17"/>
        <v>20895.5223880597</v>
      </c>
      <c r="H43" s="168">
        <f t="shared" si="18"/>
        <v>18555.223880597016</v>
      </c>
      <c r="I43" s="168">
        <f t="shared" si="19"/>
        <v>2340.2985074626849</v>
      </c>
    </row>
    <row r="44" spans="1:9" s="189" customFormat="1" x14ac:dyDescent="0.2">
      <c r="A44" s="182" t="s">
        <v>298</v>
      </c>
      <c r="B44" s="183" t="s">
        <v>188</v>
      </c>
      <c r="C44" s="184" t="s">
        <v>6</v>
      </c>
      <c r="D44" s="185">
        <f>+'Detalle costos Componentes'!E15</f>
        <v>50800</v>
      </c>
      <c r="E44" s="186">
        <f t="shared" si="15"/>
        <v>15164.179104477611</v>
      </c>
      <c r="F44" s="186">
        <v>1</v>
      </c>
      <c r="G44" s="187">
        <f t="shared" si="17"/>
        <v>15164.179104477611</v>
      </c>
      <c r="H44" s="168">
        <f t="shared" si="18"/>
        <v>13465.791044776119</v>
      </c>
      <c r="I44" s="168">
        <f t="shared" si="19"/>
        <v>1698.3880597014922</v>
      </c>
    </row>
    <row r="45" spans="1:9" s="189" customFormat="1" x14ac:dyDescent="0.2">
      <c r="A45" s="182" t="s">
        <v>299</v>
      </c>
      <c r="B45" s="183" t="s">
        <v>192</v>
      </c>
      <c r="C45" s="184" t="s">
        <v>6</v>
      </c>
      <c r="D45" s="185">
        <f>+'Detalle costos Componentes'!E16</f>
        <v>47600</v>
      </c>
      <c r="E45" s="186">
        <f t="shared" si="15"/>
        <v>14208.955223880597</v>
      </c>
      <c r="F45" s="186">
        <v>1</v>
      </c>
      <c r="G45" s="187">
        <f t="shared" si="17"/>
        <v>14208.955223880597</v>
      </c>
      <c r="H45" s="168">
        <f t="shared" si="18"/>
        <v>12617.552238805971</v>
      </c>
      <c r="I45" s="168">
        <f t="shared" si="19"/>
        <v>1591.4029850746265</v>
      </c>
    </row>
    <row r="46" spans="1:9" s="24" customFormat="1" x14ac:dyDescent="0.2">
      <c r="A46" s="151">
        <v>2.2000000000000002</v>
      </c>
      <c r="B46" s="177" t="s">
        <v>270</v>
      </c>
      <c r="C46" s="21" t="s">
        <v>6</v>
      </c>
      <c r="D46" s="145">
        <f>SUM(D47:D58)</f>
        <v>1360050</v>
      </c>
      <c r="E46" s="22">
        <f>SUM(E47:E58)</f>
        <v>405985.07462686562</v>
      </c>
      <c r="F46" s="22">
        <v>1</v>
      </c>
      <c r="G46" s="168">
        <f>SUM(G47:G58)</f>
        <v>405985.07462686562</v>
      </c>
      <c r="H46" s="168">
        <f>SUM(H47:H58)</f>
        <v>360514.74626865669</v>
      </c>
      <c r="I46" s="168">
        <f>SUM(I47:I58)</f>
        <v>45470.328358208935</v>
      </c>
    </row>
    <row r="47" spans="1:9" s="188" customFormat="1" x14ac:dyDescent="0.2">
      <c r="A47" s="182" t="s">
        <v>300</v>
      </c>
      <c r="B47" s="183" t="s">
        <v>182</v>
      </c>
      <c r="C47" s="184" t="s">
        <v>6</v>
      </c>
      <c r="D47" s="185">
        <f>+'Practicas a la Poblacion (PIPs)'!E4</f>
        <v>120500</v>
      </c>
      <c r="E47" s="186">
        <f t="shared" si="15"/>
        <v>35970.149253731339</v>
      </c>
      <c r="F47" s="186">
        <v>1</v>
      </c>
      <c r="G47" s="187">
        <f t="shared" ref="G47:G58" si="20">+E47*F47</f>
        <v>35970.149253731339</v>
      </c>
      <c r="H47" s="168">
        <f>+('Practicas a la Poblacion (PIPs)'!E4*0.888/$C$4)</f>
        <v>31941.492537313432</v>
      </c>
      <c r="I47" s="168">
        <f t="shared" ref="I47:I58" si="21">+G47-H47</f>
        <v>4028.6567164179069</v>
      </c>
    </row>
    <row r="48" spans="1:9" s="189" customFormat="1" x14ac:dyDescent="0.2">
      <c r="A48" s="182" t="s">
        <v>301</v>
      </c>
      <c r="B48" s="183" t="s">
        <v>186</v>
      </c>
      <c r="C48" s="184" t="s">
        <v>6</v>
      </c>
      <c r="D48" s="185">
        <f>+'Practicas a la Poblacion (PIPs)'!E5</f>
        <v>105300</v>
      </c>
      <c r="E48" s="186">
        <f t="shared" si="15"/>
        <v>31432.835820895521</v>
      </c>
      <c r="F48" s="186">
        <v>1</v>
      </c>
      <c r="G48" s="187">
        <f t="shared" si="20"/>
        <v>31432.835820895521</v>
      </c>
      <c r="H48" s="168">
        <f>+('Practicas a la Poblacion (PIPs)'!E5*0.888/$C$4)</f>
        <v>27912.358208955222</v>
      </c>
      <c r="I48" s="168">
        <f t="shared" si="21"/>
        <v>3520.4776119402995</v>
      </c>
    </row>
    <row r="49" spans="1:9" s="188" customFormat="1" x14ac:dyDescent="0.2">
      <c r="A49" s="182" t="s">
        <v>302</v>
      </c>
      <c r="B49" s="183" t="s">
        <v>184</v>
      </c>
      <c r="C49" s="184" t="s">
        <v>6</v>
      </c>
      <c r="D49" s="185">
        <f>+'Practicas a la Poblacion (PIPs)'!E6</f>
        <v>159650</v>
      </c>
      <c r="E49" s="186">
        <f t="shared" si="15"/>
        <v>47656.716417910444</v>
      </c>
      <c r="F49" s="186">
        <v>1</v>
      </c>
      <c r="G49" s="187">
        <f t="shared" si="20"/>
        <v>47656.716417910444</v>
      </c>
      <c r="H49" s="168">
        <f>+('Practicas a la Poblacion (PIPs)'!E6*0.888/$C$4)</f>
        <v>42319.164179104482</v>
      </c>
      <c r="I49" s="168">
        <f t="shared" si="21"/>
        <v>5337.5522388059617</v>
      </c>
    </row>
    <row r="50" spans="1:9" s="188" customFormat="1" x14ac:dyDescent="0.2">
      <c r="A50" s="182" t="s">
        <v>303</v>
      </c>
      <c r="B50" s="183" t="s">
        <v>185</v>
      </c>
      <c r="C50" s="184" t="s">
        <v>6</v>
      </c>
      <c r="D50" s="185">
        <f>+'Practicas a la Poblacion (PIPs)'!E7</f>
        <v>105200</v>
      </c>
      <c r="E50" s="186">
        <f t="shared" si="15"/>
        <v>31402.985074626864</v>
      </c>
      <c r="F50" s="186">
        <v>1</v>
      </c>
      <c r="G50" s="187">
        <f t="shared" si="20"/>
        <v>31402.985074626864</v>
      </c>
      <c r="H50" s="168">
        <f>+('Practicas a la Poblacion (PIPs)'!E7*0.888/$C$4)</f>
        <v>27885.850746268658</v>
      </c>
      <c r="I50" s="168">
        <f t="shared" si="21"/>
        <v>3517.1343283582064</v>
      </c>
    </row>
    <row r="51" spans="1:9" s="189" customFormat="1" x14ac:dyDescent="0.2">
      <c r="A51" s="182" t="s">
        <v>304</v>
      </c>
      <c r="B51" s="183" t="s">
        <v>190</v>
      </c>
      <c r="C51" s="184" t="s">
        <v>6</v>
      </c>
      <c r="D51" s="185">
        <f>+'Practicas a la Poblacion (PIPs)'!E8</f>
        <v>75200</v>
      </c>
      <c r="E51" s="186">
        <f t="shared" si="15"/>
        <v>22447.761194029848</v>
      </c>
      <c r="F51" s="186">
        <v>1</v>
      </c>
      <c r="G51" s="187">
        <f t="shared" si="20"/>
        <v>22447.761194029848</v>
      </c>
      <c r="H51" s="168">
        <f>+('Practicas a la Poblacion (PIPs)'!E8*0.888/$C$4)</f>
        <v>19933.61194029851</v>
      </c>
      <c r="I51" s="168">
        <f t="shared" si="21"/>
        <v>2514.1492537313388</v>
      </c>
    </row>
    <row r="52" spans="1:9" s="189" customFormat="1" x14ac:dyDescent="0.2">
      <c r="A52" s="182" t="s">
        <v>305</v>
      </c>
      <c r="B52" s="183" t="s">
        <v>198</v>
      </c>
      <c r="C52" s="184" t="s">
        <v>6</v>
      </c>
      <c r="D52" s="185">
        <f>+'Practicas a la Poblacion (PIPs)'!E9</f>
        <v>105300</v>
      </c>
      <c r="E52" s="186">
        <f t="shared" si="15"/>
        <v>31432.835820895521</v>
      </c>
      <c r="F52" s="186">
        <v>1</v>
      </c>
      <c r="G52" s="187">
        <f t="shared" si="20"/>
        <v>31432.835820895521</v>
      </c>
      <c r="H52" s="168">
        <f>+('Practicas a la Poblacion (PIPs)'!E9*0.888/$C$4)</f>
        <v>27912.358208955222</v>
      </c>
      <c r="I52" s="168">
        <f t="shared" si="21"/>
        <v>3520.4776119402995</v>
      </c>
    </row>
    <row r="53" spans="1:9" s="189" customFormat="1" x14ac:dyDescent="0.2">
      <c r="A53" s="182" t="s">
        <v>306</v>
      </c>
      <c r="B53" s="183" t="s">
        <v>189</v>
      </c>
      <c r="C53" s="184" t="s">
        <v>6</v>
      </c>
      <c r="D53" s="185">
        <f>+'Practicas a la Poblacion (PIPs)'!E10</f>
        <v>135400</v>
      </c>
      <c r="E53" s="186">
        <f t="shared" si="15"/>
        <v>40417.910447761191</v>
      </c>
      <c r="F53" s="186">
        <v>1</v>
      </c>
      <c r="G53" s="187">
        <f t="shared" si="20"/>
        <v>40417.910447761191</v>
      </c>
      <c r="H53" s="168">
        <f>+('Practicas a la Poblacion (PIPs)'!E10*0.888/$C$4)</f>
        <v>35891.104477611938</v>
      </c>
      <c r="I53" s="168">
        <f t="shared" si="21"/>
        <v>4526.805970149253</v>
      </c>
    </row>
    <row r="54" spans="1:9" s="189" customFormat="1" x14ac:dyDescent="0.2">
      <c r="A54" s="182" t="s">
        <v>307</v>
      </c>
      <c r="B54" s="183" t="s">
        <v>187</v>
      </c>
      <c r="C54" s="184" t="s">
        <v>6</v>
      </c>
      <c r="D54" s="185">
        <f>+'Practicas a la Poblacion (PIPs)'!E11</f>
        <v>107800</v>
      </c>
      <c r="E54" s="186">
        <f t="shared" si="15"/>
        <v>32179.104477611938</v>
      </c>
      <c r="F54" s="186">
        <v>1</v>
      </c>
      <c r="G54" s="187">
        <f t="shared" si="20"/>
        <v>32179.104477611938</v>
      </c>
      <c r="H54" s="168">
        <f>+('Practicas a la Poblacion (PIPs)'!E11*0.888/$C$4)</f>
        <v>28575.044776119401</v>
      </c>
      <c r="I54" s="168">
        <f t="shared" si="21"/>
        <v>3604.059701492537</v>
      </c>
    </row>
    <row r="55" spans="1:9" s="188" customFormat="1" x14ac:dyDescent="0.2">
      <c r="A55" s="182" t="s">
        <v>308</v>
      </c>
      <c r="B55" s="183" t="s">
        <v>183</v>
      </c>
      <c r="C55" s="184" t="s">
        <v>6</v>
      </c>
      <c r="D55" s="185">
        <f>+'Practicas a la Poblacion (PIPs)'!E12</f>
        <v>84500</v>
      </c>
      <c r="E55" s="186">
        <f t="shared" si="15"/>
        <v>25223.880597014926</v>
      </c>
      <c r="F55" s="186">
        <v>1</v>
      </c>
      <c r="G55" s="187">
        <f t="shared" si="20"/>
        <v>25223.880597014926</v>
      </c>
      <c r="H55" s="168">
        <f>+('Practicas a la Poblacion (PIPs)'!E12*0.888/$C$4)</f>
        <v>22398.805970149253</v>
      </c>
      <c r="I55" s="168">
        <f t="shared" si="21"/>
        <v>2825.0746268656731</v>
      </c>
    </row>
    <row r="56" spans="1:9" s="189" customFormat="1" x14ac:dyDescent="0.2">
      <c r="A56" s="182" t="s">
        <v>309</v>
      </c>
      <c r="B56" s="183" t="s">
        <v>191</v>
      </c>
      <c r="C56" s="184" t="s">
        <v>6</v>
      </c>
      <c r="D56" s="185">
        <f>+'Practicas a la Poblacion (PIPs)'!E13</f>
        <v>120500</v>
      </c>
      <c r="E56" s="186">
        <f t="shared" si="15"/>
        <v>35970.149253731339</v>
      </c>
      <c r="F56" s="186">
        <v>1</v>
      </c>
      <c r="G56" s="187">
        <f t="shared" si="20"/>
        <v>35970.149253731339</v>
      </c>
      <c r="H56" s="168">
        <f>+('Practicas a la Poblacion (PIPs)'!E13*0.888/$C$4)</f>
        <v>31941.492537313432</v>
      </c>
      <c r="I56" s="168">
        <f t="shared" si="21"/>
        <v>4028.6567164179069</v>
      </c>
    </row>
    <row r="57" spans="1:9" s="189" customFormat="1" x14ac:dyDescent="0.2">
      <c r="A57" s="182" t="s">
        <v>310</v>
      </c>
      <c r="B57" s="183" t="s">
        <v>188</v>
      </c>
      <c r="C57" s="184" t="s">
        <v>6</v>
      </c>
      <c r="D57" s="185">
        <f>+'Practicas a la Poblacion (PIPs)'!E14</f>
        <v>135400</v>
      </c>
      <c r="E57" s="186">
        <f t="shared" si="15"/>
        <v>40417.910447761191</v>
      </c>
      <c r="F57" s="186">
        <v>1</v>
      </c>
      <c r="G57" s="187">
        <f t="shared" si="20"/>
        <v>40417.910447761191</v>
      </c>
      <c r="H57" s="168">
        <f>+('Practicas a la Poblacion (PIPs)'!E14*0.888/$C$4)</f>
        <v>35891.104477611938</v>
      </c>
      <c r="I57" s="168">
        <f t="shared" si="21"/>
        <v>4526.805970149253</v>
      </c>
    </row>
    <row r="58" spans="1:9" s="189" customFormat="1" x14ac:dyDescent="0.2">
      <c r="A58" s="182" t="s">
        <v>311</v>
      </c>
      <c r="B58" s="183" t="s">
        <v>192</v>
      </c>
      <c r="C58" s="184" t="s">
        <v>6</v>
      </c>
      <c r="D58" s="185">
        <f>+'Practicas a la Poblacion (PIPs)'!E15</f>
        <v>105300</v>
      </c>
      <c r="E58" s="186">
        <f t="shared" si="15"/>
        <v>31432.835820895521</v>
      </c>
      <c r="F58" s="186">
        <v>1</v>
      </c>
      <c r="G58" s="187">
        <f t="shared" si="20"/>
        <v>31432.835820895521</v>
      </c>
      <c r="H58" s="168">
        <f>+('Practicas a la Poblacion (PIPs)'!E15*0.888/$C$4)</f>
        <v>27912.358208955222</v>
      </c>
      <c r="I58" s="168">
        <f t="shared" si="21"/>
        <v>3520.4776119402995</v>
      </c>
    </row>
    <row r="59" spans="1:9" s="41" customFormat="1" x14ac:dyDescent="0.2">
      <c r="A59" s="211">
        <v>2.4</v>
      </c>
      <c r="B59" s="212" t="s">
        <v>271</v>
      </c>
      <c r="C59" s="213" t="s">
        <v>6</v>
      </c>
      <c r="D59" s="214">
        <f>+PISo_BID!F38+'Practicas a la Poblacion (PIPs)'!E34</f>
        <v>1687343.26</v>
      </c>
      <c r="E59" s="218">
        <f t="shared" si="15"/>
        <v>503684.55522388057</v>
      </c>
      <c r="F59" s="29">
        <v>1</v>
      </c>
      <c r="G59" s="219">
        <f>+E59*F59</f>
        <v>503684.55522388057</v>
      </c>
      <c r="H59" s="215">
        <f>+G59</f>
        <v>503684.55522388057</v>
      </c>
      <c r="I59" s="215">
        <v>0</v>
      </c>
    </row>
    <row r="60" spans="1:9" s="221" customFormat="1" x14ac:dyDescent="0.2">
      <c r="A60" s="249">
        <v>2.5</v>
      </c>
      <c r="B60" s="212" t="s">
        <v>244</v>
      </c>
      <c r="C60" s="216" t="s">
        <v>6</v>
      </c>
      <c r="D60" s="217">
        <v>189851</v>
      </c>
      <c r="E60" s="218">
        <f>+D60</f>
        <v>189851</v>
      </c>
      <c r="F60" s="218">
        <v>1</v>
      </c>
      <c r="G60" s="219">
        <f>+E60*F60</f>
        <v>189851</v>
      </c>
      <c r="H60" s="220">
        <v>0</v>
      </c>
      <c r="I60" s="220">
        <f>+G60</f>
        <v>189851</v>
      </c>
    </row>
    <row r="61" spans="1:9" x14ac:dyDescent="0.2">
      <c r="G61" s="317">
        <f>+G57+G56+G53+G54+G52+G47+G48</f>
        <v>247820.89552238808</v>
      </c>
      <c r="H61" s="319">
        <f>+H46/G46</f>
        <v>0.88800000000000001</v>
      </c>
      <c r="I61" s="26"/>
    </row>
    <row r="62" spans="1:9" x14ac:dyDescent="0.2">
      <c r="G62" s="318"/>
    </row>
  </sheetData>
  <mergeCells count="10">
    <mergeCell ref="B32:F32"/>
    <mergeCell ref="D6:D7"/>
    <mergeCell ref="B8:F8"/>
    <mergeCell ref="B2:I2"/>
    <mergeCell ref="B6:B7"/>
    <mergeCell ref="C6:C7"/>
    <mergeCell ref="E6:E7"/>
    <mergeCell ref="F6:F7"/>
    <mergeCell ref="H6:I6"/>
    <mergeCell ref="G6:G7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J61"/>
  <sheetViews>
    <sheetView topLeftCell="D1" zoomScaleNormal="100" workbookViewId="0">
      <selection activeCell="H1" sqref="H1:T1048576"/>
    </sheetView>
  </sheetViews>
  <sheetFormatPr defaultColWidth="11.42578125" defaultRowHeight="11.25" x14ac:dyDescent="0.2"/>
  <cols>
    <col min="1" max="1" width="33.85546875" style="16" customWidth="1"/>
    <col min="2" max="2" width="10" style="16" customWidth="1"/>
    <col min="3" max="3" width="11.28515625" style="16" customWidth="1"/>
    <col min="4" max="4" width="7.5703125" style="16" customWidth="1"/>
    <col min="5" max="5" width="9.5703125" style="16" customWidth="1"/>
    <col min="6" max="6" width="9" style="16" bestFit="1" customWidth="1"/>
    <col min="7" max="7" width="9.5703125" style="16" bestFit="1" customWidth="1"/>
    <col min="8" max="16384" width="11.42578125" style="16"/>
  </cols>
  <sheetData>
    <row r="1" spans="1:7" s="1" customFormat="1" ht="12.75" x14ac:dyDescent="0.25">
      <c r="B1" s="6"/>
      <c r="C1" s="8"/>
      <c r="D1" s="8"/>
      <c r="E1" s="8"/>
      <c r="F1" s="8"/>
      <c r="G1" s="8"/>
    </row>
    <row r="2" spans="1:7" s="1" customFormat="1" ht="12.75" x14ac:dyDescent="0.25">
      <c r="A2" s="326" t="s">
        <v>215</v>
      </c>
      <c r="B2" s="326"/>
      <c r="C2" s="326"/>
      <c r="D2" s="326"/>
      <c r="E2" s="326"/>
      <c r="F2" s="326"/>
      <c r="G2" s="326"/>
    </row>
    <row r="3" spans="1:7" s="1" customFormat="1" ht="12.75" x14ac:dyDescent="0.25">
      <c r="B3" s="6"/>
      <c r="C3" s="8"/>
      <c r="D3" s="8"/>
      <c r="E3" s="8"/>
      <c r="F3" s="8"/>
      <c r="G3" s="8"/>
    </row>
    <row r="4" spans="1:7" s="1" customFormat="1" ht="12.75" x14ac:dyDescent="0.25">
      <c r="A4" s="6" t="s">
        <v>32</v>
      </c>
      <c r="B4" s="9">
        <v>3.35</v>
      </c>
      <c r="D4" s="8"/>
      <c r="E4" s="8"/>
      <c r="F4" s="8"/>
      <c r="G4" s="8"/>
    </row>
    <row r="5" spans="1:7" s="1" customFormat="1" ht="12.75" x14ac:dyDescent="0.25">
      <c r="B5" s="6"/>
      <c r="C5" s="8"/>
      <c r="D5" s="8"/>
      <c r="E5" s="8"/>
      <c r="F5" s="8"/>
      <c r="G5" s="8"/>
    </row>
    <row r="6" spans="1:7" ht="15" customHeight="1" x14ac:dyDescent="0.2">
      <c r="A6" s="325" t="s">
        <v>20</v>
      </c>
      <c r="B6" s="325" t="s">
        <v>0</v>
      </c>
      <c r="C6" s="325" t="s">
        <v>41</v>
      </c>
      <c r="D6" s="325" t="s">
        <v>2</v>
      </c>
      <c r="E6" s="327" t="s">
        <v>3</v>
      </c>
      <c r="F6" s="325" t="s">
        <v>233</v>
      </c>
      <c r="G6" s="325"/>
    </row>
    <row r="7" spans="1:7" x14ac:dyDescent="0.2">
      <c r="A7" s="325"/>
      <c r="B7" s="325"/>
      <c r="C7" s="325"/>
      <c r="D7" s="325"/>
      <c r="E7" s="328"/>
      <c r="F7" s="42" t="s">
        <v>5</v>
      </c>
      <c r="G7" s="42" t="s">
        <v>115</v>
      </c>
    </row>
    <row r="8" spans="1:7" s="18" customFormat="1" x14ac:dyDescent="0.2">
      <c r="A8" s="324" t="s">
        <v>8</v>
      </c>
      <c r="B8" s="324"/>
      <c r="C8" s="324"/>
      <c r="D8" s="324"/>
      <c r="E8" s="17">
        <f t="shared" ref="E8:G8" si="0">+E9</f>
        <v>4130149.2537313434</v>
      </c>
      <c r="F8" s="17">
        <f t="shared" si="0"/>
        <v>145074.62686567166</v>
      </c>
      <c r="G8" s="17">
        <f t="shared" si="0"/>
        <v>3985074.6268656719</v>
      </c>
    </row>
    <row r="9" spans="1:7" s="20" customFormat="1" x14ac:dyDescent="0.2">
      <c r="A9" s="332" t="s">
        <v>19</v>
      </c>
      <c r="B9" s="332"/>
      <c r="C9" s="332"/>
      <c r="D9" s="332"/>
      <c r="E9" s="19">
        <f>+F9+G9</f>
        <v>4130149.2537313434</v>
      </c>
      <c r="F9" s="22">
        <f>+'Costos RRHH'!I34</f>
        <v>145074.62686567166</v>
      </c>
      <c r="G9" s="22">
        <f>+'Costos RRHH'!J34</f>
        <v>3985074.6268656719</v>
      </c>
    </row>
    <row r="10" spans="1:7" s="18" customFormat="1" x14ac:dyDescent="0.2">
      <c r="A10" s="324" t="s">
        <v>35</v>
      </c>
      <c r="B10" s="324"/>
      <c r="C10" s="324"/>
      <c r="D10" s="324"/>
      <c r="E10" s="17">
        <f t="shared" ref="E10:G10" si="1">SUM(E11:E15)</f>
        <v>173111.94029850746</v>
      </c>
      <c r="F10" s="17">
        <f t="shared" si="1"/>
        <v>0</v>
      </c>
      <c r="G10" s="17">
        <f t="shared" si="1"/>
        <v>173111.94029850746</v>
      </c>
    </row>
    <row r="11" spans="1:7" x14ac:dyDescent="0.2">
      <c r="A11" s="191" t="s">
        <v>36</v>
      </c>
      <c r="B11" s="21" t="s">
        <v>6</v>
      </c>
      <c r="C11" s="22">
        <f>45000/B4</f>
        <v>13432.835820895521</v>
      </c>
      <c r="D11" s="22">
        <v>1</v>
      </c>
      <c r="E11" s="168">
        <f>+D11*C11</f>
        <v>13432.835820895521</v>
      </c>
      <c r="F11" s="22">
        <v>0</v>
      </c>
      <c r="G11" s="22">
        <f>+E11</f>
        <v>13432.835820895521</v>
      </c>
    </row>
    <row r="12" spans="1:7" s="24" customFormat="1" x14ac:dyDescent="0.2">
      <c r="A12" s="32" t="s">
        <v>37</v>
      </c>
      <c r="B12" s="21" t="s">
        <v>6</v>
      </c>
      <c r="C12" s="23">
        <f>88760/B4</f>
        <v>26495.5223880597</v>
      </c>
      <c r="D12" s="23">
        <v>1</v>
      </c>
      <c r="E12" s="168">
        <f t="shared" ref="E12:E15" si="2">+D12*C12</f>
        <v>26495.5223880597</v>
      </c>
      <c r="F12" s="22">
        <v>0</v>
      </c>
      <c r="G12" s="22">
        <f>+E12</f>
        <v>26495.5223880597</v>
      </c>
    </row>
    <row r="13" spans="1:7" s="24" customFormat="1" x14ac:dyDescent="0.2">
      <c r="A13" s="32" t="s">
        <v>38</v>
      </c>
      <c r="B13" s="21" t="s">
        <v>22</v>
      </c>
      <c r="C13" s="23">
        <f>5500/B4</f>
        <v>1641.7910447761194</v>
      </c>
      <c r="D13" s="23">
        <v>24</v>
      </c>
      <c r="E13" s="168">
        <f t="shared" si="2"/>
        <v>39402.985074626864</v>
      </c>
      <c r="F13" s="22">
        <v>0</v>
      </c>
      <c r="G13" s="22">
        <f>+E13</f>
        <v>39402.985074626864</v>
      </c>
    </row>
    <row r="14" spans="1:7" s="24" customFormat="1" x14ac:dyDescent="0.2">
      <c r="A14" s="32" t="s">
        <v>39</v>
      </c>
      <c r="B14" s="21" t="s">
        <v>6</v>
      </c>
      <c r="C14" s="23">
        <f>164165/B4</f>
        <v>49004.477611940296</v>
      </c>
      <c r="D14" s="23">
        <v>1</v>
      </c>
      <c r="E14" s="168">
        <f t="shared" si="2"/>
        <v>49004.477611940296</v>
      </c>
      <c r="F14" s="22">
        <v>0</v>
      </c>
      <c r="G14" s="22">
        <f>+E14</f>
        <v>49004.477611940296</v>
      </c>
    </row>
    <row r="15" spans="1:7" s="24" customFormat="1" x14ac:dyDescent="0.2">
      <c r="A15" s="32" t="s">
        <v>40</v>
      </c>
      <c r="B15" s="21" t="s">
        <v>6</v>
      </c>
      <c r="C15" s="23">
        <f>150000/B4</f>
        <v>44776.119402985074</v>
      </c>
      <c r="D15" s="23">
        <v>1</v>
      </c>
      <c r="E15" s="168">
        <f t="shared" si="2"/>
        <v>44776.119402985074</v>
      </c>
      <c r="F15" s="22">
        <v>0</v>
      </c>
      <c r="G15" s="22">
        <f>+E15</f>
        <v>44776.119402985074</v>
      </c>
    </row>
    <row r="16" spans="1:7" s="18" customFormat="1" x14ac:dyDescent="0.2">
      <c r="A16" s="324" t="s">
        <v>42</v>
      </c>
      <c r="B16" s="324"/>
      <c r="C16" s="324"/>
      <c r="D16" s="324"/>
      <c r="E16" s="17">
        <f t="shared" ref="E16:G16" si="3">SUM(E17:E33)</f>
        <v>1508597.014925373</v>
      </c>
      <c r="F16" s="17">
        <f t="shared" si="3"/>
        <v>0</v>
      </c>
      <c r="G16" s="17">
        <f t="shared" si="3"/>
        <v>1508597.014925373</v>
      </c>
    </row>
    <row r="17" spans="1:7" x14ac:dyDescent="0.2">
      <c r="A17" s="191" t="s">
        <v>43</v>
      </c>
      <c r="B17" s="21" t="s">
        <v>6</v>
      </c>
      <c r="C17" s="25">
        <f>195000/B4</f>
        <v>58208.955223880599</v>
      </c>
      <c r="D17" s="22">
        <v>5</v>
      </c>
      <c r="E17" s="168">
        <f t="shared" ref="E17:E33" si="4">+D17*C17</f>
        <v>291044.77611940302</v>
      </c>
      <c r="F17" s="22">
        <v>0</v>
      </c>
      <c r="G17" s="22">
        <f t="shared" ref="G17:G33" si="5">+E17</f>
        <v>291044.77611940302</v>
      </c>
    </row>
    <row r="18" spans="1:7" s="24" customFormat="1" x14ac:dyDescent="0.2">
      <c r="A18" s="32" t="s">
        <v>252</v>
      </c>
      <c r="B18" s="21" t="s">
        <v>6</v>
      </c>
      <c r="C18" s="23">
        <f>16250/B4</f>
        <v>4850.746268656716</v>
      </c>
      <c r="D18" s="23">
        <v>1</v>
      </c>
      <c r="E18" s="168">
        <f t="shared" si="4"/>
        <v>4850.746268656716</v>
      </c>
      <c r="F18" s="22">
        <v>0</v>
      </c>
      <c r="G18" s="22">
        <f t="shared" si="5"/>
        <v>4850.746268656716</v>
      </c>
    </row>
    <row r="19" spans="1:7" s="24" customFormat="1" x14ac:dyDescent="0.2">
      <c r="A19" s="32" t="s">
        <v>44</v>
      </c>
      <c r="B19" s="21" t="s">
        <v>6</v>
      </c>
      <c r="C19" s="23">
        <f>2500/B4</f>
        <v>746.26865671641792</v>
      </c>
      <c r="D19" s="23">
        <v>5</v>
      </c>
      <c r="E19" s="168">
        <f t="shared" si="4"/>
        <v>3731.3432835820895</v>
      </c>
      <c r="F19" s="22">
        <v>0</v>
      </c>
      <c r="G19" s="22">
        <f t="shared" si="5"/>
        <v>3731.3432835820895</v>
      </c>
    </row>
    <row r="20" spans="1:7" s="24" customFormat="1" x14ac:dyDescent="0.2">
      <c r="A20" s="32" t="s">
        <v>45</v>
      </c>
      <c r="B20" s="21" t="s">
        <v>6</v>
      </c>
      <c r="C20" s="23">
        <f>7200/B4</f>
        <v>2149.2537313432836</v>
      </c>
      <c r="D20" s="23">
        <v>4</v>
      </c>
      <c r="E20" s="168">
        <f t="shared" si="4"/>
        <v>8597.0149253731342</v>
      </c>
      <c r="F20" s="22">
        <v>0</v>
      </c>
      <c r="G20" s="22">
        <f t="shared" si="5"/>
        <v>8597.0149253731342</v>
      </c>
    </row>
    <row r="21" spans="1:7" s="24" customFormat="1" x14ac:dyDescent="0.2">
      <c r="A21" s="32" t="s">
        <v>46</v>
      </c>
      <c r="B21" s="21" t="s">
        <v>6</v>
      </c>
      <c r="C21" s="23">
        <f>35000/B4</f>
        <v>10447.76119402985</v>
      </c>
      <c r="D21" s="23">
        <v>5</v>
      </c>
      <c r="E21" s="168">
        <f t="shared" si="4"/>
        <v>52238.805970149253</v>
      </c>
      <c r="F21" s="22">
        <v>0</v>
      </c>
      <c r="G21" s="22">
        <f t="shared" si="5"/>
        <v>52238.805970149253</v>
      </c>
    </row>
    <row r="22" spans="1:7" s="24" customFormat="1" x14ac:dyDescent="0.2">
      <c r="A22" s="32" t="s">
        <v>47</v>
      </c>
      <c r="B22" s="21" t="s">
        <v>6</v>
      </c>
      <c r="C22" s="23">
        <f>4800/B4</f>
        <v>1432.8358208955224</v>
      </c>
      <c r="D22" s="23">
        <v>5</v>
      </c>
      <c r="E22" s="168">
        <f t="shared" si="4"/>
        <v>7164.1791044776119</v>
      </c>
      <c r="F22" s="22">
        <v>0</v>
      </c>
      <c r="G22" s="22">
        <f t="shared" si="5"/>
        <v>7164.1791044776119</v>
      </c>
    </row>
    <row r="23" spans="1:7" s="24" customFormat="1" x14ac:dyDescent="0.2">
      <c r="A23" s="32" t="s">
        <v>355</v>
      </c>
      <c r="B23" s="21" t="s">
        <v>6</v>
      </c>
      <c r="C23" s="23">
        <v>90000</v>
      </c>
      <c r="D23" s="23">
        <v>5</v>
      </c>
      <c r="E23" s="168">
        <f t="shared" ref="E23" si="6">+D23*C23</f>
        <v>450000</v>
      </c>
      <c r="F23" s="22">
        <v>0</v>
      </c>
      <c r="G23" s="22">
        <f t="shared" si="5"/>
        <v>450000</v>
      </c>
    </row>
    <row r="24" spans="1:7" s="24" customFormat="1" x14ac:dyDescent="0.2">
      <c r="A24" s="32" t="s">
        <v>48</v>
      </c>
      <c r="B24" s="21" t="s">
        <v>6</v>
      </c>
      <c r="C24" s="23">
        <f>60000/B4</f>
        <v>17910.447761194031</v>
      </c>
      <c r="D24" s="23">
        <v>5</v>
      </c>
      <c r="E24" s="168">
        <f t="shared" si="4"/>
        <v>89552.238805970148</v>
      </c>
      <c r="F24" s="22">
        <v>0</v>
      </c>
      <c r="G24" s="22">
        <f t="shared" si="5"/>
        <v>89552.238805970148</v>
      </c>
    </row>
    <row r="25" spans="1:7" s="24" customFormat="1" x14ac:dyDescent="0.2">
      <c r="A25" s="32" t="s">
        <v>49</v>
      </c>
      <c r="B25" s="21" t="s">
        <v>6</v>
      </c>
      <c r="C25" s="23">
        <f>80000/B4</f>
        <v>23880.597014925374</v>
      </c>
      <c r="D25" s="23">
        <v>5</v>
      </c>
      <c r="E25" s="168">
        <f t="shared" si="4"/>
        <v>119402.98507462686</v>
      </c>
      <c r="F25" s="22">
        <v>0</v>
      </c>
      <c r="G25" s="22">
        <f t="shared" si="5"/>
        <v>119402.98507462686</v>
      </c>
    </row>
    <row r="26" spans="1:7" s="24" customFormat="1" ht="22.5" x14ac:dyDescent="0.2">
      <c r="A26" s="176" t="s">
        <v>50</v>
      </c>
      <c r="B26" s="21" t="s">
        <v>6</v>
      </c>
      <c r="C26" s="23">
        <f>108000/B4</f>
        <v>32238.805970149253</v>
      </c>
      <c r="D26" s="23">
        <v>5</v>
      </c>
      <c r="E26" s="168">
        <f t="shared" si="4"/>
        <v>161194.02985074627</v>
      </c>
      <c r="F26" s="22">
        <v>0</v>
      </c>
      <c r="G26" s="22">
        <f t="shared" si="5"/>
        <v>161194.02985074627</v>
      </c>
    </row>
    <row r="27" spans="1:7" s="41" customFormat="1" x14ac:dyDescent="0.2">
      <c r="A27" s="192" t="s">
        <v>51</v>
      </c>
      <c r="B27" s="193" t="s">
        <v>6</v>
      </c>
      <c r="C27" s="29">
        <f>8750/B4</f>
        <v>2611.9402985074626</v>
      </c>
      <c r="D27" s="29">
        <v>4</v>
      </c>
      <c r="E27" s="168">
        <f t="shared" si="4"/>
        <v>10447.76119402985</v>
      </c>
      <c r="F27" s="22">
        <v>0</v>
      </c>
      <c r="G27" s="22">
        <f t="shared" si="5"/>
        <v>10447.76119402985</v>
      </c>
    </row>
    <row r="28" spans="1:7" s="24" customFormat="1" x14ac:dyDescent="0.2">
      <c r="A28" s="32" t="s">
        <v>52</v>
      </c>
      <c r="B28" s="21" t="s">
        <v>6</v>
      </c>
      <c r="C28" s="23">
        <f>35000/B4</f>
        <v>10447.76119402985</v>
      </c>
      <c r="D28" s="23">
        <v>4</v>
      </c>
      <c r="E28" s="168">
        <f t="shared" si="4"/>
        <v>41791.044776119401</v>
      </c>
      <c r="F28" s="22">
        <v>0</v>
      </c>
      <c r="G28" s="22">
        <f t="shared" si="5"/>
        <v>41791.044776119401</v>
      </c>
    </row>
    <row r="29" spans="1:7" s="24" customFormat="1" ht="22.5" x14ac:dyDescent="0.2">
      <c r="A29" s="176" t="s">
        <v>53</v>
      </c>
      <c r="B29" s="21" t="s">
        <v>22</v>
      </c>
      <c r="C29" s="23">
        <f>36000/B4</f>
        <v>10746.268656716418</v>
      </c>
      <c r="D29" s="23">
        <v>10</v>
      </c>
      <c r="E29" s="168">
        <f t="shared" si="4"/>
        <v>107462.68656716419</v>
      </c>
      <c r="F29" s="22">
        <v>0</v>
      </c>
      <c r="G29" s="22">
        <f t="shared" si="5"/>
        <v>107462.68656716419</v>
      </c>
    </row>
    <row r="30" spans="1:7" s="24" customFormat="1" x14ac:dyDescent="0.2">
      <c r="A30" s="176" t="s">
        <v>57</v>
      </c>
      <c r="B30" s="21" t="s">
        <v>22</v>
      </c>
      <c r="C30" s="23">
        <f>1625/B4</f>
        <v>485.07462686567163</v>
      </c>
      <c r="D30" s="23">
        <v>150</v>
      </c>
      <c r="E30" s="168">
        <f t="shared" si="4"/>
        <v>72761.19402985074</v>
      </c>
      <c r="F30" s="22">
        <v>0</v>
      </c>
      <c r="G30" s="22">
        <f t="shared" si="5"/>
        <v>72761.19402985074</v>
      </c>
    </row>
    <row r="31" spans="1:7" s="24" customFormat="1" x14ac:dyDescent="0.2">
      <c r="A31" s="32" t="s">
        <v>54</v>
      </c>
      <c r="B31" s="21" t="s">
        <v>22</v>
      </c>
      <c r="C31" s="23">
        <f>520/B4</f>
        <v>155.22388059701493</v>
      </c>
      <c r="D31" s="23">
        <v>300</v>
      </c>
      <c r="E31" s="168">
        <f t="shared" si="4"/>
        <v>46567.164179104475</v>
      </c>
      <c r="F31" s="22">
        <v>0</v>
      </c>
      <c r="G31" s="22">
        <f t="shared" si="5"/>
        <v>46567.164179104475</v>
      </c>
    </row>
    <row r="32" spans="1:7" s="24" customFormat="1" x14ac:dyDescent="0.2">
      <c r="A32" s="32" t="s">
        <v>55</v>
      </c>
      <c r="B32" s="21" t="s">
        <v>22</v>
      </c>
      <c r="C32" s="23">
        <f>10000/B4</f>
        <v>2985.0746268656717</v>
      </c>
      <c r="D32" s="23">
        <v>4</v>
      </c>
      <c r="E32" s="168">
        <f t="shared" si="4"/>
        <v>11940.298507462687</v>
      </c>
      <c r="F32" s="22">
        <v>0</v>
      </c>
      <c r="G32" s="22">
        <f t="shared" si="5"/>
        <v>11940.298507462687</v>
      </c>
    </row>
    <row r="33" spans="1:10" s="24" customFormat="1" x14ac:dyDescent="0.2">
      <c r="A33" s="32" t="s">
        <v>56</v>
      </c>
      <c r="B33" s="21" t="s">
        <v>6</v>
      </c>
      <c r="C33" s="23">
        <f>100000/B4</f>
        <v>29850.746268656716</v>
      </c>
      <c r="D33" s="23">
        <v>1</v>
      </c>
      <c r="E33" s="168">
        <f t="shared" si="4"/>
        <v>29850.746268656716</v>
      </c>
      <c r="F33" s="22">
        <v>0</v>
      </c>
      <c r="G33" s="22">
        <f t="shared" si="5"/>
        <v>29850.746268656716</v>
      </c>
    </row>
    <row r="34" spans="1:10" s="18" customFormat="1" x14ac:dyDescent="0.2">
      <c r="A34" s="329" t="s">
        <v>249</v>
      </c>
      <c r="B34" s="329"/>
      <c r="C34" s="329"/>
      <c r="D34" s="329"/>
      <c r="E34" s="194">
        <f t="shared" ref="E34:G34" si="7">+E16+E10+E8</f>
        <v>5811858.2089552237</v>
      </c>
      <c r="F34" s="194">
        <f t="shared" si="7"/>
        <v>145074.62686567166</v>
      </c>
      <c r="G34" s="194">
        <f t="shared" si="7"/>
        <v>5666783.5820895527</v>
      </c>
      <c r="H34" s="27"/>
      <c r="I34" s="27"/>
      <c r="J34" s="28"/>
    </row>
    <row r="35" spans="1:10" s="18" customFormat="1" x14ac:dyDescent="0.2">
      <c r="A35" s="329" t="s">
        <v>250</v>
      </c>
      <c r="B35" s="329"/>
      <c r="C35" s="329"/>
      <c r="D35" s="329"/>
      <c r="E35" s="194"/>
      <c r="F35" s="194">
        <f>+F34</f>
        <v>145074.62686567166</v>
      </c>
      <c r="G35" s="194">
        <f>+G34*0.4</f>
        <v>2266713.4328358211</v>
      </c>
      <c r="H35" s="27"/>
      <c r="I35" s="27"/>
      <c r="J35" s="28"/>
    </row>
    <row r="36" spans="1:10" ht="9" customHeight="1" x14ac:dyDescent="0.2">
      <c r="A36" s="330"/>
      <c r="B36" s="331"/>
      <c r="C36" s="331"/>
      <c r="D36" s="331"/>
      <c r="E36" s="331"/>
      <c r="F36" s="331"/>
      <c r="G36" s="224"/>
    </row>
    <row r="37" spans="1:10" ht="11.25" customHeight="1" x14ac:dyDescent="0.2">
      <c r="A37" s="325" t="s">
        <v>210</v>
      </c>
      <c r="B37" s="325" t="s">
        <v>0</v>
      </c>
      <c r="C37" s="325" t="s">
        <v>1</v>
      </c>
      <c r="D37" s="325" t="s">
        <v>2</v>
      </c>
      <c r="E37" s="327" t="s">
        <v>3</v>
      </c>
      <c r="F37" s="325" t="s">
        <v>217</v>
      </c>
      <c r="G37" s="325"/>
    </row>
    <row r="38" spans="1:10" x14ac:dyDescent="0.2">
      <c r="A38" s="325"/>
      <c r="B38" s="325"/>
      <c r="C38" s="325"/>
      <c r="D38" s="325"/>
      <c r="E38" s="328"/>
      <c r="F38" s="42" t="s">
        <v>5</v>
      </c>
      <c r="G38" s="42" t="s">
        <v>115</v>
      </c>
    </row>
    <row r="39" spans="1:10" s="24" customFormat="1" x14ac:dyDescent="0.2">
      <c r="A39" s="155" t="s">
        <v>58</v>
      </c>
      <c r="B39" s="30" t="s">
        <v>60</v>
      </c>
      <c r="C39" s="195">
        <v>71044.800000000003</v>
      </c>
      <c r="D39" s="195">
        <v>5</v>
      </c>
      <c r="E39" s="23">
        <f>+D39*C39</f>
        <v>355224</v>
      </c>
      <c r="F39" s="22">
        <f>+E39</f>
        <v>355224</v>
      </c>
      <c r="G39" s="22">
        <v>0</v>
      </c>
    </row>
    <row r="40" spans="1:10" x14ac:dyDescent="0.2">
      <c r="A40" s="156" t="s">
        <v>59</v>
      </c>
      <c r="B40" s="30" t="s">
        <v>6</v>
      </c>
      <c r="C40" s="31">
        <f>422500/B4</f>
        <v>126119.40298507463</v>
      </c>
      <c r="D40" s="31">
        <v>1</v>
      </c>
      <c r="E40" s="314">
        <f>+D40*C40</f>
        <v>126119.40298507463</v>
      </c>
      <c r="F40" s="22">
        <f>+E40</f>
        <v>126119.40298507463</v>
      </c>
      <c r="G40" s="22">
        <v>0</v>
      </c>
    </row>
    <row r="41" spans="1:10" x14ac:dyDescent="0.2">
      <c r="A41" s="156" t="s">
        <v>245</v>
      </c>
      <c r="B41" s="30" t="s">
        <v>6</v>
      </c>
      <c r="C41" s="31">
        <v>123016</v>
      </c>
      <c r="D41" s="31">
        <v>1</v>
      </c>
      <c r="E41" s="314">
        <f>+D41*C41</f>
        <v>123016</v>
      </c>
      <c r="F41" s="22">
        <f>+E41</f>
        <v>123016</v>
      </c>
      <c r="G41" s="22">
        <v>0</v>
      </c>
    </row>
    <row r="42" spans="1:10" ht="11.25" customHeight="1" x14ac:dyDescent="0.2">
      <c r="A42" s="156" t="s">
        <v>246</v>
      </c>
      <c r="B42" s="30" t="s">
        <v>6</v>
      </c>
      <c r="C42" s="31"/>
      <c r="D42" s="31">
        <v>1</v>
      </c>
      <c r="E42" s="23">
        <f>+E43+E44</f>
        <v>329552.71641791041</v>
      </c>
      <c r="F42" s="23">
        <f>+F43+F44</f>
        <v>299463.1641791045</v>
      </c>
      <c r="G42" s="23">
        <f>+G43+G44</f>
        <v>44417.552238805976</v>
      </c>
    </row>
    <row r="43" spans="1:10" ht="11.25" customHeight="1" x14ac:dyDescent="0.2">
      <c r="A43" s="202" t="s">
        <v>247</v>
      </c>
      <c r="B43" s="30" t="s">
        <v>6</v>
      </c>
      <c r="C43" s="31">
        <v>60896</v>
      </c>
      <c r="D43" s="31">
        <v>1</v>
      </c>
      <c r="E43" s="22">
        <f>+C43*D43</f>
        <v>60896</v>
      </c>
      <c r="F43" s="22">
        <f>+E43</f>
        <v>60896</v>
      </c>
      <c r="G43" s="22">
        <v>14328</v>
      </c>
    </row>
    <row r="44" spans="1:10" x14ac:dyDescent="0.2">
      <c r="A44" s="202" t="s">
        <v>239</v>
      </c>
      <c r="B44" s="30"/>
      <c r="C44" s="31"/>
      <c r="D44" s="31"/>
      <c r="E44" s="22">
        <f>+E45+E53</f>
        <v>268656.71641791041</v>
      </c>
      <c r="F44" s="22">
        <f>+F45+F53</f>
        <v>238567.16417910447</v>
      </c>
      <c r="G44" s="22">
        <f>+G45+G53</f>
        <v>30089.552238805973</v>
      </c>
    </row>
    <row r="45" spans="1:10" s="206" customFormat="1" x14ac:dyDescent="0.2">
      <c r="A45" s="177" t="s">
        <v>208</v>
      </c>
      <c r="B45" s="30"/>
      <c r="C45" s="203"/>
      <c r="D45" s="204"/>
      <c r="E45" s="205">
        <f>SUM(E46:E52)</f>
        <v>143283.58208955225</v>
      </c>
      <c r="F45" s="205">
        <f>SUM(F46:F52)</f>
        <v>127235.82089552238</v>
      </c>
      <c r="G45" s="205">
        <f>SUM(G46:G52)</f>
        <v>16047.761194029852</v>
      </c>
    </row>
    <row r="46" spans="1:10" s="206" customFormat="1" x14ac:dyDescent="0.2">
      <c r="A46" s="207" t="s">
        <v>182</v>
      </c>
      <c r="B46" s="30" t="s">
        <v>6</v>
      </c>
      <c r="C46" s="203">
        <f>60000/B4</f>
        <v>17910.447761194031</v>
      </c>
      <c r="D46" s="204">
        <v>1</v>
      </c>
      <c r="E46" s="205">
        <f>+C46*D46</f>
        <v>17910.447761194031</v>
      </c>
      <c r="F46" s="205">
        <f>+E46*0.888</f>
        <v>15904.4776119403</v>
      </c>
      <c r="G46" s="315">
        <f>+C46-F46</f>
        <v>2005.9701492537315</v>
      </c>
    </row>
    <row r="47" spans="1:10" s="206" customFormat="1" x14ac:dyDescent="0.2">
      <c r="A47" s="207" t="s">
        <v>186</v>
      </c>
      <c r="B47" s="30" t="s">
        <v>6</v>
      </c>
      <c r="C47" s="203">
        <f>80000/B4</f>
        <v>23880.597014925374</v>
      </c>
      <c r="D47" s="204">
        <v>1</v>
      </c>
      <c r="E47" s="205">
        <f t="shared" ref="E47:E58" si="8">+C47*D47</f>
        <v>23880.597014925374</v>
      </c>
      <c r="F47" s="205">
        <f t="shared" ref="F47:F58" si="9">+E47*0.888</f>
        <v>21205.970149253732</v>
      </c>
      <c r="G47" s="315">
        <f t="shared" ref="G47:G52" si="10">+C47-F47</f>
        <v>2674.626865671642</v>
      </c>
    </row>
    <row r="48" spans="1:10" s="206" customFormat="1" x14ac:dyDescent="0.2">
      <c r="A48" s="207" t="s">
        <v>184</v>
      </c>
      <c r="B48" s="30" t="s">
        <v>6</v>
      </c>
      <c r="C48" s="203">
        <f>+C46</f>
        <v>17910.447761194031</v>
      </c>
      <c r="D48" s="204">
        <v>1</v>
      </c>
      <c r="E48" s="205">
        <f t="shared" si="8"/>
        <v>17910.447761194031</v>
      </c>
      <c r="F48" s="205">
        <f t="shared" si="9"/>
        <v>15904.4776119403</v>
      </c>
      <c r="G48" s="315">
        <f t="shared" si="10"/>
        <v>2005.9701492537315</v>
      </c>
    </row>
    <row r="49" spans="1:7" s="206" customFormat="1" x14ac:dyDescent="0.2">
      <c r="A49" s="207" t="s">
        <v>185</v>
      </c>
      <c r="B49" s="30" t="s">
        <v>6</v>
      </c>
      <c r="C49" s="203">
        <f>+C48</f>
        <v>17910.447761194031</v>
      </c>
      <c r="D49" s="204">
        <v>1</v>
      </c>
      <c r="E49" s="205">
        <f t="shared" si="8"/>
        <v>17910.447761194031</v>
      </c>
      <c r="F49" s="205">
        <f t="shared" si="9"/>
        <v>15904.4776119403</v>
      </c>
      <c r="G49" s="315">
        <f t="shared" si="10"/>
        <v>2005.9701492537315</v>
      </c>
    </row>
    <row r="50" spans="1:7" s="206" customFormat="1" x14ac:dyDescent="0.2">
      <c r="A50" s="207" t="s">
        <v>190</v>
      </c>
      <c r="B50" s="30" t="s">
        <v>6</v>
      </c>
      <c r="C50" s="203">
        <f>+C49</f>
        <v>17910.447761194031</v>
      </c>
      <c r="D50" s="204">
        <v>1</v>
      </c>
      <c r="E50" s="205">
        <f t="shared" si="8"/>
        <v>17910.447761194031</v>
      </c>
      <c r="F50" s="205">
        <f t="shared" si="9"/>
        <v>15904.4776119403</v>
      </c>
      <c r="G50" s="315">
        <f t="shared" si="10"/>
        <v>2005.9701492537315</v>
      </c>
    </row>
    <row r="51" spans="1:7" s="206" customFormat="1" x14ac:dyDescent="0.2">
      <c r="A51" s="207" t="s">
        <v>198</v>
      </c>
      <c r="B51" s="30" t="s">
        <v>6</v>
      </c>
      <c r="C51" s="203">
        <f>80000/B4</f>
        <v>23880.597014925374</v>
      </c>
      <c r="D51" s="204">
        <v>1</v>
      </c>
      <c r="E51" s="205">
        <f t="shared" si="8"/>
        <v>23880.597014925374</v>
      </c>
      <c r="F51" s="205">
        <f t="shared" si="9"/>
        <v>21205.970149253732</v>
      </c>
      <c r="G51" s="315">
        <f t="shared" si="10"/>
        <v>2674.626865671642</v>
      </c>
    </row>
    <row r="52" spans="1:7" s="206" customFormat="1" x14ac:dyDescent="0.2">
      <c r="A52" s="207" t="s">
        <v>189</v>
      </c>
      <c r="B52" s="30" t="s">
        <v>6</v>
      </c>
      <c r="C52" s="203">
        <f>80000/B4</f>
        <v>23880.597014925374</v>
      </c>
      <c r="D52" s="204">
        <v>1</v>
      </c>
      <c r="E52" s="205">
        <f t="shared" si="8"/>
        <v>23880.597014925374</v>
      </c>
      <c r="F52" s="205">
        <f t="shared" si="9"/>
        <v>21205.970149253732</v>
      </c>
      <c r="G52" s="315">
        <f t="shared" si="10"/>
        <v>2674.626865671642</v>
      </c>
    </row>
    <row r="53" spans="1:7" s="206" customFormat="1" x14ac:dyDescent="0.2">
      <c r="A53" s="177" t="s">
        <v>209</v>
      </c>
      <c r="B53" s="30"/>
      <c r="C53" s="203"/>
      <c r="D53" s="204"/>
      <c r="E53" s="205">
        <f>SUM(E54:E58)</f>
        <v>125373.1343283582</v>
      </c>
      <c r="F53" s="205">
        <f>SUM(F54:F58)</f>
        <v>111331.34328358209</v>
      </c>
      <c r="G53" s="205">
        <f>SUM(G54:G58)</f>
        <v>14041.791044776121</v>
      </c>
    </row>
    <row r="54" spans="1:7" s="206" customFormat="1" x14ac:dyDescent="0.2">
      <c r="A54" s="207" t="s">
        <v>187</v>
      </c>
      <c r="B54" s="30" t="s">
        <v>6</v>
      </c>
      <c r="C54" s="203">
        <f>100000/B4</f>
        <v>29850.746268656716</v>
      </c>
      <c r="D54" s="204">
        <v>1</v>
      </c>
      <c r="E54" s="205">
        <f t="shared" si="8"/>
        <v>29850.746268656716</v>
      </c>
      <c r="F54" s="205">
        <f t="shared" si="9"/>
        <v>26507.462686567163</v>
      </c>
      <c r="G54" s="315">
        <f t="shared" ref="G54:G58" si="11">+C54-F54</f>
        <v>3343.2835820895525</v>
      </c>
    </row>
    <row r="55" spans="1:7" s="206" customFormat="1" x14ac:dyDescent="0.2">
      <c r="A55" s="207" t="s">
        <v>183</v>
      </c>
      <c r="B55" s="30" t="s">
        <v>6</v>
      </c>
      <c r="C55" s="203">
        <f>80000/B4</f>
        <v>23880.597014925374</v>
      </c>
      <c r="D55" s="204">
        <v>1</v>
      </c>
      <c r="E55" s="205">
        <f t="shared" si="8"/>
        <v>23880.597014925374</v>
      </c>
      <c r="F55" s="205">
        <f t="shared" si="9"/>
        <v>21205.970149253732</v>
      </c>
      <c r="G55" s="315">
        <f t="shared" si="11"/>
        <v>2674.626865671642</v>
      </c>
    </row>
    <row r="56" spans="1:7" s="206" customFormat="1" x14ac:dyDescent="0.2">
      <c r="A56" s="207" t="s">
        <v>191</v>
      </c>
      <c r="B56" s="30" t="s">
        <v>6</v>
      </c>
      <c r="C56" s="203">
        <f>100000/B4</f>
        <v>29850.746268656716</v>
      </c>
      <c r="D56" s="204">
        <v>1</v>
      </c>
      <c r="E56" s="205">
        <f t="shared" si="8"/>
        <v>29850.746268656716</v>
      </c>
      <c r="F56" s="205">
        <f t="shared" si="9"/>
        <v>26507.462686567163</v>
      </c>
      <c r="G56" s="315">
        <f t="shared" si="11"/>
        <v>3343.2835820895525</v>
      </c>
    </row>
    <row r="57" spans="1:7" s="206" customFormat="1" x14ac:dyDescent="0.2">
      <c r="A57" s="207" t="s">
        <v>188</v>
      </c>
      <c r="B57" s="30" t="s">
        <v>6</v>
      </c>
      <c r="C57" s="203">
        <f>80000/B4</f>
        <v>23880.597014925374</v>
      </c>
      <c r="D57" s="204">
        <v>1</v>
      </c>
      <c r="E57" s="205">
        <f t="shared" si="8"/>
        <v>23880.597014925374</v>
      </c>
      <c r="F57" s="205">
        <f t="shared" si="9"/>
        <v>21205.970149253732</v>
      </c>
      <c r="G57" s="315">
        <f t="shared" si="11"/>
        <v>2674.626865671642</v>
      </c>
    </row>
    <row r="58" spans="1:7" s="206" customFormat="1" x14ac:dyDescent="0.2">
      <c r="A58" s="207" t="s">
        <v>192</v>
      </c>
      <c r="B58" s="30" t="s">
        <v>6</v>
      </c>
      <c r="C58" s="203">
        <f>+C50</f>
        <v>17910.447761194031</v>
      </c>
      <c r="D58" s="204">
        <v>1</v>
      </c>
      <c r="E58" s="205">
        <f t="shared" si="8"/>
        <v>17910.447761194031</v>
      </c>
      <c r="F58" s="205">
        <f t="shared" si="9"/>
        <v>15904.4776119403</v>
      </c>
      <c r="G58" s="315">
        <f t="shared" si="11"/>
        <v>2005.9701492537315</v>
      </c>
    </row>
    <row r="59" spans="1:7" s="18" customFormat="1" x14ac:dyDescent="0.2">
      <c r="A59" s="329" t="s">
        <v>23</v>
      </c>
      <c r="B59" s="329"/>
      <c r="C59" s="329"/>
      <c r="D59" s="329"/>
      <c r="E59" s="194">
        <f>SUM(E39:E42)</f>
        <v>933912.11940298497</v>
      </c>
      <c r="F59" s="194">
        <f>SUM(F39:F42)</f>
        <v>903822.56716417905</v>
      </c>
      <c r="G59" s="194">
        <f>SUM(G39:G42)</f>
        <v>44417.552238805976</v>
      </c>
    </row>
    <row r="61" spans="1:7" x14ac:dyDescent="0.2">
      <c r="C61" s="26"/>
      <c r="E61" s="201"/>
      <c r="F61" s="26"/>
      <c r="G61" s="26"/>
    </row>
  </sheetData>
  <mergeCells count="21">
    <mergeCell ref="A59:D59"/>
    <mergeCell ref="A37:A38"/>
    <mergeCell ref="B37:B38"/>
    <mergeCell ref="C37:C38"/>
    <mergeCell ref="D37:D38"/>
    <mergeCell ref="E37:E38"/>
    <mergeCell ref="A2:G2"/>
    <mergeCell ref="F6:G6"/>
    <mergeCell ref="F37:G37"/>
    <mergeCell ref="A34:D34"/>
    <mergeCell ref="A16:D16"/>
    <mergeCell ref="A36:F36"/>
    <mergeCell ref="A9:D9"/>
    <mergeCell ref="A10:D10"/>
    <mergeCell ref="A8:D8"/>
    <mergeCell ref="A6:A7"/>
    <mergeCell ref="B6:B7"/>
    <mergeCell ref="C6:C7"/>
    <mergeCell ref="D6:D7"/>
    <mergeCell ref="A35:D35"/>
    <mergeCell ref="E6:E7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V34"/>
  <sheetViews>
    <sheetView topLeftCell="A22" zoomScale="130" zoomScaleNormal="130" workbookViewId="0">
      <selection activeCell="E36" sqref="E36"/>
    </sheetView>
  </sheetViews>
  <sheetFormatPr defaultColWidth="11.42578125" defaultRowHeight="12.75" x14ac:dyDescent="0.25"/>
  <cols>
    <col min="1" max="1" width="6.85546875" style="208" customWidth="1"/>
    <col min="2" max="2" width="45.42578125" style="6" customWidth="1"/>
    <col min="3" max="3" width="9" style="1" customWidth="1"/>
    <col min="4" max="4" width="10" style="1" customWidth="1"/>
    <col min="5" max="5" width="8.7109375" style="1" customWidth="1"/>
    <col min="6" max="6" width="6.7109375" style="1" customWidth="1"/>
    <col min="7" max="7" width="8.140625" style="1" customWidth="1"/>
    <col min="8" max="8" width="10" style="39" customWidth="1"/>
    <col min="9" max="9" width="9" style="1" customWidth="1"/>
    <col min="10" max="10" width="10" style="1" bestFit="1" customWidth="1"/>
    <col min="11" max="11" width="8.5703125" style="1" bestFit="1" customWidth="1"/>
    <col min="12" max="12" width="8.28515625" style="165" bestFit="1" customWidth="1"/>
    <col min="13" max="13" width="8.5703125" style="1" bestFit="1" customWidth="1"/>
    <col min="14" max="14" width="8.28515625" style="165" bestFit="1" customWidth="1"/>
    <col min="15" max="15" width="8.5703125" style="1" bestFit="1" customWidth="1"/>
    <col min="16" max="16" width="8.28515625" style="165" bestFit="1" customWidth="1"/>
    <col min="17" max="17" width="8.5703125" style="1" bestFit="1" customWidth="1"/>
    <col min="18" max="18" width="10.85546875" style="1" customWidth="1"/>
    <col min="19" max="19" width="7.5703125" style="165" bestFit="1" customWidth="1"/>
    <col min="20" max="20" width="8.5703125" style="165" bestFit="1" customWidth="1"/>
    <col min="21" max="21" width="11" style="39" customWidth="1"/>
    <col min="22" max="22" width="11" style="1" customWidth="1"/>
    <col min="23" max="16384" width="11.42578125" style="1"/>
  </cols>
  <sheetData>
    <row r="1" spans="1:22" x14ac:dyDescent="0.25">
      <c r="C1" s="8"/>
      <c r="D1" s="8"/>
      <c r="E1" s="8"/>
      <c r="F1" s="8"/>
      <c r="G1" s="8"/>
      <c r="H1" s="3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37"/>
    </row>
    <row r="2" spans="1:22" x14ac:dyDescent="0.25">
      <c r="A2" s="200"/>
      <c r="B2" s="333" t="s">
        <v>352</v>
      </c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  <c r="T2" s="333"/>
      <c r="U2" s="333"/>
    </row>
    <row r="3" spans="1:22" x14ac:dyDescent="0.25">
      <c r="C3" s="8"/>
      <c r="D3" s="8"/>
      <c r="E3" s="8"/>
      <c r="F3" s="8"/>
      <c r="G3" s="8"/>
      <c r="H3" s="3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37"/>
    </row>
    <row r="4" spans="1:22" x14ac:dyDescent="0.25">
      <c r="B4" s="6" t="s">
        <v>32</v>
      </c>
      <c r="C4" s="9">
        <v>3.35</v>
      </c>
      <c r="D4" s="8"/>
      <c r="E4" s="8"/>
      <c r="F4" s="8"/>
      <c r="G4" s="8"/>
      <c r="H4" s="3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37"/>
    </row>
    <row r="5" spans="1:22" x14ac:dyDescent="0.25">
      <c r="C5" s="8"/>
      <c r="D5" s="8"/>
      <c r="E5" s="8"/>
      <c r="F5" s="8"/>
      <c r="G5" s="8"/>
      <c r="H5" s="37"/>
      <c r="I5" s="8"/>
      <c r="J5" s="8"/>
      <c r="K5" s="334" t="s">
        <v>34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</row>
    <row r="6" spans="1:22" ht="12.75" customHeight="1" x14ac:dyDescent="0.25">
      <c r="C6" s="8"/>
      <c r="D6" s="334" t="s">
        <v>16</v>
      </c>
      <c r="E6" s="334"/>
      <c r="F6" s="334" t="s">
        <v>15</v>
      </c>
      <c r="G6" s="334"/>
      <c r="H6" s="337" t="s">
        <v>61</v>
      </c>
      <c r="I6" s="335" t="s">
        <v>233</v>
      </c>
      <c r="J6" s="336"/>
      <c r="K6" s="335" t="s">
        <v>10</v>
      </c>
      <c r="L6" s="336"/>
      <c r="M6" s="335" t="s">
        <v>11</v>
      </c>
      <c r="N6" s="336"/>
      <c r="O6" s="335" t="s">
        <v>12</v>
      </c>
      <c r="P6" s="336"/>
      <c r="Q6" s="335" t="s">
        <v>13</v>
      </c>
      <c r="R6" s="336"/>
      <c r="S6" s="335" t="s">
        <v>14</v>
      </c>
      <c r="T6" s="336"/>
      <c r="U6" s="335" t="s">
        <v>4</v>
      </c>
      <c r="V6" s="336"/>
    </row>
    <row r="7" spans="1:22" x14ac:dyDescent="0.25">
      <c r="C7" s="10" t="s">
        <v>18</v>
      </c>
      <c r="D7" s="10" t="s">
        <v>33</v>
      </c>
      <c r="E7" s="10" t="s">
        <v>7</v>
      </c>
      <c r="F7" s="10" t="s">
        <v>9</v>
      </c>
      <c r="G7" s="10" t="s">
        <v>17</v>
      </c>
      <c r="H7" s="338"/>
      <c r="I7" s="10" t="s">
        <v>5</v>
      </c>
      <c r="J7" s="10" t="s">
        <v>115</v>
      </c>
      <c r="K7" s="10" t="s">
        <v>5</v>
      </c>
      <c r="L7" s="10" t="s">
        <v>115</v>
      </c>
      <c r="M7" s="10" t="s">
        <v>5</v>
      </c>
      <c r="N7" s="10" t="s">
        <v>115</v>
      </c>
      <c r="O7" s="10" t="s">
        <v>5</v>
      </c>
      <c r="P7" s="10" t="s">
        <v>115</v>
      </c>
      <c r="Q7" s="10" t="s">
        <v>5</v>
      </c>
      <c r="R7" s="10" t="s">
        <v>115</v>
      </c>
      <c r="S7" s="10" t="s">
        <v>5</v>
      </c>
      <c r="T7" s="10" t="s">
        <v>115</v>
      </c>
      <c r="U7" s="10" t="s">
        <v>5</v>
      </c>
      <c r="V7" s="10" t="s">
        <v>115</v>
      </c>
    </row>
    <row r="8" spans="1:22" x14ac:dyDescent="0.25">
      <c r="B8" s="11" t="s">
        <v>25</v>
      </c>
      <c r="C8" s="12"/>
      <c r="D8" s="12"/>
      <c r="E8" s="12"/>
      <c r="F8" s="10"/>
      <c r="G8" s="10"/>
      <c r="H8" s="35">
        <f t="shared" ref="H8:J8" si="0">SUM(H9:H12)</f>
        <v>805970.14925373136</v>
      </c>
      <c r="I8" s="35">
        <f t="shared" si="0"/>
        <v>28656.716417910451</v>
      </c>
      <c r="J8" s="35">
        <f t="shared" si="0"/>
        <v>777313.43283582083</v>
      </c>
      <c r="K8" s="35">
        <f t="shared" ref="K8:V8" si="1">SUM(K9:K12)</f>
        <v>5731.3432835820904</v>
      </c>
      <c r="L8" s="35">
        <f t="shared" si="1"/>
        <v>155462.68656716417</v>
      </c>
      <c r="M8" s="35">
        <f t="shared" si="1"/>
        <v>5731.3432835820904</v>
      </c>
      <c r="N8" s="35">
        <f t="shared" si="1"/>
        <v>155462.68656716417</v>
      </c>
      <c r="O8" s="35">
        <f t="shared" si="1"/>
        <v>5731.3432835820904</v>
      </c>
      <c r="P8" s="35">
        <f t="shared" si="1"/>
        <v>155462.68656716417</v>
      </c>
      <c r="Q8" s="35">
        <f t="shared" si="1"/>
        <v>5731.3432835820904</v>
      </c>
      <c r="R8" s="35">
        <f t="shared" si="1"/>
        <v>155462.68656716417</v>
      </c>
      <c r="S8" s="35">
        <f t="shared" si="1"/>
        <v>5731.3432835820904</v>
      </c>
      <c r="T8" s="35">
        <f t="shared" si="1"/>
        <v>155462.68656716417</v>
      </c>
      <c r="U8" s="35">
        <f t="shared" si="1"/>
        <v>28656.716417910451</v>
      </c>
      <c r="V8" s="35">
        <f t="shared" si="1"/>
        <v>777313.43283582083</v>
      </c>
    </row>
    <row r="9" spans="1:22" x14ac:dyDescent="0.25">
      <c r="A9" s="209">
        <v>1</v>
      </c>
      <c r="B9" s="197" t="s">
        <v>248</v>
      </c>
      <c r="C9" s="2">
        <v>1</v>
      </c>
      <c r="D9" s="7">
        <v>16000</v>
      </c>
      <c r="E9" s="7">
        <f>+D9/$C$4</f>
        <v>4776.1194029850749</v>
      </c>
      <c r="F9" s="3">
        <v>12</v>
      </c>
      <c r="G9" s="4">
        <v>5</v>
      </c>
      <c r="H9" s="38">
        <f>+G9*F9*E9</f>
        <v>286567.1641791045</v>
      </c>
      <c r="I9" s="222">
        <f>+H9*0.1</f>
        <v>28656.716417910451</v>
      </c>
      <c r="J9" s="222">
        <f>+H9*0.9</f>
        <v>257910.44776119405</v>
      </c>
      <c r="K9" s="38">
        <f t="shared" ref="K9:L12" si="2">+I9/5</f>
        <v>5731.3432835820904</v>
      </c>
      <c r="L9" s="38">
        <f t="shared" si="2"/>
        <v>51582.089552238809</v>
      </c>
      <c r="M9" s="38">
        <f t="shared" ref="M9:T12" si="3">+K9</f>
        <v>5731.3432835820904</v>
      </c>
      <c r="N9" s="38">
        <f t="shared" si="3"/>
        <v>51582.089552238809</v>
      </c>
      <c r="O9" s="38">
        <f t="shared" si="3"/>
        <v>5731.3432835820904</v>
      </c>
      <c r="P9" s="38">
        <f t="shared" si="3"/>
        <v>51582.089552238809</v>
      </c>
      <c r="Q9" s="38">
        <f t="shared" si="3"/>
        <v>5731.3432835820904</v>
      </c>
      <c r="R9" s="38">
        <f t="shared" si="3"/>
        <v>51582.089552238809</v>
      </c>
      <c r="S9" s="38">
        <f t="shared" si="3"/>
        <v>5731.3432835820904</v>
      </c>
      <c r="T9" s="38">
        <f t="shared" si="3"/>
        <v>51582.089552238809</v>
      </c>
      <c r="U9" s="38">
        <f t="shared" ref="U9:V12" si="4">+K9+M9+O9+Q9+S9</f>
        <v>28656.716417910451</v>
      </c>
      <c r="V9" s="38">
        <f t="shared" si="4"/>
        <v>257910.44776119405</v>
      </c>
    </row>
    <row r="10" spans="1:22" x14ac:dyDescent="0.25">
      <c r="A10" s="209">
        <f>+A9+1</f>
        <v>2</v>
      </c>
      <c r="B10" s="13" t="s">
        <v>236</v>
      </c>
      <c r="C10" s="2">
        <v>1</v>
      </c>
      <c r="D10" s="7">
        <v>5000</v>
      </c>
      <c r="E10" s="7">
        <f t="shared" ref="E10:E33" si="5">+D10/$C$4</f>
        <v>1492.5373134328358</v>
      </c>
      <c r="F10" s="3">
        <v>12</v>
      </c>
      <c r="G10" s="4">
        <v>5</v>
      </c>
      <c r="H10" s="38">
        <f t="shared" ref="H10:H12" si="6">+G10*F10*E10</f>
        <v>89552.238805970148</v>
      </c>
      <c r="I10" s="7">
        <v>0</v>
      </c>
      <c r="J10" s="7">
        <f>+H10</f>
        <v>89552.238805970148</v>
      </c>
      <c r="K10" s="34">
        <f t="shared" si="2"/>
        <v>0</v>
      </c>
      <c r="L10" s="34">
        <f t="shared" si="2"/>
        <v>17910.447761194031</v>
      </c>
      <c r="M10" s="34">
        <f t="shared" si="3"/>
        <v>0</v>
      </c>
      <c r="N10" s="34">
        <f t="shared" si="3"/>
        <v>17910.447761194031</v>
      </c>
      <c r="O10" s="34">
        <f t="shared" si="3"/>
        <v>0</v>
      </c>
      <c r="P10" s="34">
        <f t="shared" si="3"/>
        <v>17910.447761194031</v>
      </c>
      <c r="Q10" s="34">
        <f t="shared" si="3"/>
        <v>0</v>
      </c>
      <c r="R10" s="34">
        <f t="shared" si="3"/>
        <v>17910.447761194031</v>
      </c>
      <c r="S10" s="34">
        <f t="shared" si="3"/>
        <v>0</v>
      </c>
      <c r="T10" s="34">
        <f t="shared" si="3"/>
        <v>17910.447761194031</v>
      </c>
      <c r="U10" s="34">
        <f t="shared" si="4"/>
        <v>0</v>
      </c>
      <c r="V10" s="34">
        <f t="shared" si="4"/>
        <v>89552.238805970148</v>
      </c>
    </row>
    <row r="11" spans="1:22" x14ac:dyDescent="0.25">
      <c r="A11" s="209">
        <f t="shared" ref="A11:A17" si="7">+A10+1</f>
        <v>3</v>
      </c>
      <c r="B11" s="13" t="s">
        <v>24</v>
      </c>
      <c r="C11" s="2">
        <v>1</v>
      </c>
      <c r="D11" s="7">
        <v>12000</v>
      </c>
      <c r="E11" s="7">
        <f t="shared" si="5"/>
        <v>3582.0895522388059</v>
      </c>
      <c r="F11" s="3">
        <v>12</v>
      </c>
      <c r="G11" s="5">
        <v>5</v>
      </c>
      <c r="H11" s="38">
        <f t="shared" si="6"/>
        <v>214925.37313432834</v>
      </c>
      <c r="I11" s="7">
        <v>0</v>
      </c>
      <c r="J11" s="7">
        <f>+H11</f>
        <v>214925.37313432834</v>
      </c>
      <c r="K11" s="34">
        <f t="shared" si="2"/>
        <v>0</v>
      </c>
      <c r="L11" s="34">
        <f t="shared" si="2"/>
        <v>42985.074626865666</v>
      </c>
      <c r="M11" s="34">
        <f t="shared" si="3"/>
        <v>0</v>
      </c>
      <c r="N11" s="34">
        <f t="shared" si="3"/>
        <v>42985.074626865666</v>
      </c>
      <c r="O11" s="34">
        <f t="shared" si="3"/>
        <v>0</v>
      </c>
      <c r="P11" s="34">
        <f t="shared" si="3"/>
        <v>42985.074626865666</v>
      </c>
      <c r="Q11" s="34">
        <f t="shared" si="3"/>
        <v>0</v>
      </c>
      <c r="R11" s="34">
        <f t="shared" si="3"/>
        <v>42985.074626865666</v>
      </c>
      <c r="S11" s="34">
        <f t="shared" si="3"/>
        <v>0</v>
      </c>
      <c r="T11" s="34">
        <f t="shared" si="3"/>
        <v>42985.074626865666</v>
      </c>
      <c r="U11" s="34">
        <f t="shared" si="4"/>
        <v>0</v>
      </c>
      <c r="V11" s="34">
        <f t="shared" si="4"/>
        <v>214925.37313432834</v>
      </c>
    </row>
    <row r="12" spans="1:22" x14ac:dyDescent="0.25">
      <c r="A12" s="209">
        <f t="shared" si="7"/>
        <v>4</v>
      </c>
      <c r="B12" s="13" t="s">
        <v>26</v>
      </c>
      <c r="C12" s="2">
        <v>1</v>
      </c>
      <c r="D12" s="7">
        <v>12000</v>
      </c>
      <c r="E12" s="7">
        <f t="shared" si="5"/>
        <v>3582.0895522388059</v>
      </c>
      <c r="F12" s="3">
        <v>12</v>
      </c>
      <c r="G12" s="33">
        <v>5</v>
      </c>
      <c r="H12" s="38">
        <f t="shared" si="6"/>
        <v>214925.37313432834</v>
      </c>
      <c r="I12" s="7">
        <v>0</v>
      </c>
      <c r="J12" s="7">
        <f>+H12</f>
        <v>214925.37313432834</v>
      </c>
      <c r="K12" s="34">
        <f t="shared" si="2"/>
        <v>0</v>
      </c>
      <c r="L12" s="34">
        <f t="shared" si="2"/>
        <v>42985.074626865666</v>
      </c>
      <c r="M12" s="34">
        <f t="shared" si="3"/>
        <v>0</v>
      </c>
      <c r="N12" s="34">
        <f t="shared" si="3"/>
        <v>42985.074626865666</v>
      </c>
      <c r="O12" s="34">
        <f t="shared" si="3"/>
        <v>0</v>
      </c>
      <c r="P12" s="34">
        <f t="shared" si="3"/>
        <v>42985.074626865666</v>
      </c>
      <c r="Q12" s="34">
        <f t="shared" si="3"/>
        <v>0</v>
      </c>
      <c r="R12" s="34">
        <f t="shared" si="3"/>
        <v>42985.074626865666</v>
      </c>
      <c r="S12" s="34">
        <f t="shared" si="3"/>
        <v>0</v>
      </c>
      <c r="T12" s="34">
        <f t="shared" si="3"/>
        <v>42985.074626865666</v>
      </c>
      <c r="U12" s="34">
        <f t="shared" si="4"/>
        <v>0</v>
      </c>
      <c r="V12" s="34">
        <f t="shared" si="4"/>
        <v>214925.37313432834</v>
      </c>
    </row>
    <row r="13" spans="1:22" x14ac:dyDescent="0.25">
      <c r="B13" s="11" t="s">
        <v>27</v>
      </c>
      <c r="C13" s="12"/>
      <c r="D13" s="12"/>
      <c r="E13" s="12"/>
      <c r="F13" s="10"/>
      <c r="G13" s="10"/>
      <c r="H13" s="35">
        <f t="shared" ref="H13:V13" si="8">SUM(H14:H23)</f>
        <v>1749850.7462686566</v>
      </c>
      <c r="I13" s="35">
        <f t="shared" si="8"/>
        <v>68955.223880597026</v>
      </c>
      <c r="J13" s="35">
        <f t="shared" si="8"/>
        <v>1680895.5223880596</v>
      </c>
      <c r="K13" s="35">
        <f t="shared" si="8"/>
        <v>13791.044776119405</v>
      </c>
      <c r="L13" s="35">
        <f t="shared" si="8"/>
        <v>310388.05970149249</v>
      </c>
      <c r="M13" s="35">
        <f t="shared" si="8"/>
        <v>13791.044776119405</v>
      </c>
      <c r="N13" s="35">
        <f t="shared" si="8"/>
        <v>310388.05970149249</v>
      </c>
      <c r="O13" s="35">
        <f t="shared" si="8"/>
        <v>13791.044776119405</v>
      </c>
      <c r="P13" s="35">
        <f t="shared" si="8"/>
        <v>353373.13432835817</v>
      </c>
      <c r="Q13" s="35">
        <f t="shared" si="8"/>
        <v>13791.044776119405</v>
      </c>
      <c r="R13" s="35">
        <f t="shared" si="8"/>
        <v>353373.13432835817</v>
      </c>
      <c r="S13" s="35">
        <f t="shared" si="8"/>
        <v>13791.044776119405</v>
      </c>
      <c r="T13" s="35">
        <f t="shared" si="8"/>
        <v>353373.13432835817</v>
      </c>
      <c r="U13" s="35">
        <f t="shared" si="8"/>
        <v>68955.223880597026</v>
      </c>
      <c r="V13" s="35">
        <f t="shared" si="8"/>
        <v>1680895.5223880596</v>
      </c>
    </row>
    <row r="14" spans="1:22" x14ac:dyDescent="0.25">
      <c r="A14" s="209">
        <f>+A12+1</f>
        <v>5</v>
      </c>
      <c r="B14" s="197" t="s">
        <v>223</v>
      </c>
      <c r="C14" s="2">
        <v>1</v>
      </c>
      <c r="D14" s="7">
        <v>14500</v>
      </c>
      <c r="E14" s="7">
        <f t="shared" si="5"/>
        <v>4328.3582089552237</v>
      </c>
      <c r="F14" s="3">
        <v>12</v>
      </c>
      <c r="G14" s="5">
        <v>5</v>
      </c>
      <c r="H14" s="38">
        <f>+G14*F14*E14</f>
        <v>259701.49253731343</v>
      </c>
      <c r="I14" s="222">
        <f>+H14*0.1</f>
        <v>25970.149253731346</v>
      </c>
      <c r="J14" s="222">
        <f>+H14*0.9</f>
        <v>233731.3432835821</v>
      </c>
      <c r="K14" s="38">
        <f t="shared" ref="K14:L18" si="9">+I14/5</f>
        <v>5194.0298507462694</v>
      </c>
      <c r="L14" s="38">
        <f t="shared" si="9"/>
        <v>46746.26865671642</v>
      </c>
      <c r="M14" s="38">
        <f t="shared" ref="M14:T18" si="10">+K14</f>
        <v>5194.0298507462694</v>
      </c>
      <c r="N14" s="38">
        <f t="shared" si="10"/>
        <v>46746.26865671642</v>
      </c>
      <c r="O14" s="38">
        <f t="shared" si="10"/>
        <v>5194.0298507462694</v>
      </c>
      <c r="P14" s="38">
        <f t="shared" si="10"/>
        <v>46746.26865671642</v>
      </c>
      <c r="Q14" s="38">
        <f t="shared" si="10"/>
        <v>5194.0298507462694</v>
      </c>
      <c r="R14" s="38">
        <f t="shared" si="10"/>
        <v>46746.26865671642</v>
      </c>
      <c r="S14" s="38">
        <f t="shared" si="10"/>
        <v>5194.0298507462694</v>
      </c>
      <c r="T14" s="38">
        <f t="shared" si="10"/>
        <v>46746.26865671642</v>
      </c>
      <c r="U14" s="38">
        <f t="shared" ref="U14:V17" si="11">+K14+M14+O14+Q14+S14</f>
        <v>25970.149253731346</v>
      </c>
      <c r="V14" s="38">
        <f t="shared" si="11"/>
        <v>233731.3432835821</v>
      </c>
    </row>
    <row r="15" spans="1:22" x14ac:dyDescent="0.25">
      <c r="A15" s="209">
        <f t="shared" si="7"/>
        <v>6</v>
      </c>
      <c r="B15" s="13" t="s">
        <v>28</v>
      </c>
      <c r="C15" s="2">
        <v>1</v>
      </c>
      <c r="D15" s="7">
        <v>12000</v>
      </c>
      <c r="E15" s="7">
        <f t="shared" si="5"/>
        <v>3582.0895522388059</v>
      </c>
      <c r="F15" s="3">
        <v>12</v>
      </c>
      <c r="G15" s="5">
        <v>5</v>
      </c>
      <c r="H15" s="38">
        <f t="shared" ref="H15:H17" si="12">+G15*F15*E15</f>
        <v>214925.37313432834</v>
      </c>
      <c r="I15" s="7">
        <v>0</v>
      </c>
      <c r="J15" s="7">
        <f>+H15</f>
        <v>214925.37313432834</v>
      </c>
      <c r="K15" s="34">
        <f t="shared" si="9"/>
        <v>0</v>
      </c>
      <c r="L15" s="34">
        <f t="shared" si="9"/>
        <v>42985.074626865666</v>
      </c>
      <c r="M15" s="34">
        <f t="shared" si="10"/>
        <v>0</v>
      </c>
      <c r="N15" s="34">
        <f t="shared" si="10"/>
        <v>42985.074626865666</v>
      </c>
      <c r="O15" s="34">
        <f t="shared" si="10"/>
        <v>0</v>
      </c>
      <c r="P15" s="34">
        <f t="shared" si="10"/>
        <v>42985.074626865666</v>
      </c>
      <c r="Q15" s="34">
        <f t="shared" si="10"/>
        <v>0</v>
      </c>
      <c r="R15" s="34">
        <f t="shared" si="10"/>
        <v>42985.074626865666</v>
      </c>
      <c r="S15" s="34">
        <f t="shared" si="10"/>
        <v>0</v>
      </c>
      <c r="T15" s="34">
        <f t="shared" si="10"/>
        <v>42985.074626865666</v>
      </c>
      <c r="U15" s="34">
        <f t="shared" si="11"/>
        <v>0</v>
      </c>
      <c r="V15" s="34">
        <f t="shared" si="11"/>
        <v>214925.37313432834</v>
      </c>
    </row>
    <row r="16" spans="1:22" x14ac:dyDescent="0.25">
      <c r="A16" s="209">
        <f t="shared" si="7"/>
        <v>7</v>
      </c>
      <c r="B16" s="197" t="s">
        <v>224</v>
      </c>
      <c r="C16" s="2">
        <v>1</v>
      </c>
      <c r="D16" s="7">
        <v>12000</v>
      </c>
      <c r="E16" s="7">
        <f t="shared" si="5"/>
        <v>3582.0895522388059</v>
      </c>
      <c r="F16" s="3">
        <v>12</v>
      </c>
      <c r="G16" s="33">
        <v>5</v>
      </c>
      <c r="H16" s="38">
        <f t="shared" si="12"/>
        <v>214925.37313432834</v>
      </c>
      <c r="I16" s="222">
        <f>+H16*0.1</f>
        <v>21492.537313432837</v>
      </c>
      <c r="J16" s="222">
        <f>+H16*0.9</f>
        <v>193432.8358208955</v>
      </c>
      <c r="K16" s="38">
        <f t="shared" si="9"/>
        <v>4298.5074626865671</v>
      </c>
      <c r="L16" s="38">
        <f t="shared" si="9"/>
        <v>38686.567164179098</v>
      </c>
      <c r="M16" s="38">
        <f t="shared" si="10"/>
        <v>4298.5074626865671</v>
      </c>
      <c r="N16" s="38">
        <f t="shared" si="10"/>
        <v>38686.567164179098</v>
      </c>
      <c r="O16" s="38">
        <f t="shared" si="10"/>
        <v>4298.5074626865671</v>
      </c>
      <c r="P16" s="38">
        <f t="shared" si="10"/>
        <v>38686.567164179098</v>
      </c>
      <c r="Q16" s="38">
        <f t="shared" si="10"/>
        <v>4298.5074626865671</v>
      </c>
      <c r="R16" s="38">
        <f t="shared" si="10"/>
        <v>38686.567164179098</v>
      </c>
      <c r="S16" s="38">
        <f t="shared" si="10"/>
        <v>4298.5074626865671</v>
      </c>
      <c r="T16" s="38">
        <f t="shared" si="10"/>
        <v>38686.567164179098</v>
      </c>
      <c r="U16" s="38">
        <f t="shared" si="11"/>
        <v>21492.537313432837</v>
      </c>
      <c r="V16" s="38">
        <f t="shared" si="11"/>
        <v>193432.8358208955</v>
      </c>
    </row>
    <row r="17" spans="1:22" x14ac:dyDescent="0.25">
      <c r="A17" s="209">
        <f t="shared" si="7"/>
        <v>8</v>
      </c>
      <c r="B17" s="197" t="s">
        <v>225</v>
      </c>
      <c r="C17" s="2">
        <v>1</v>
      </c>
      <c r="D17" s="7">
        <v>12000</v>
      </c>
      <c r="E17" s="7">
        <f t="shared" si="5"/>
        <v>3582.0895522388059</v>
      </c>
      <c r="F17" s="3">
        <v>12</v>
      </c>
      <c r="G17" s="33">
        <v>5</v>
      </c>
      <c r="H17" s="38">
        <f t="shared" si="12"/>
        <v>214925.37313432834</v>
      </c>
      <c r="I17" s="222">
        <f>+H17*0.1</f>
        <v>21492.537313432837</v>
      </c>
      <c r="J17" s="222">
        <f>+H17*0.9</f>
        <v>193432.8358208955</v>
      </c>
      <c r="K17" s="38">
        <f t="shared" si="9"/>
        <v>4298.5074626865671</v>
      </c>
      <c r="L17" s="38">
        <f t="shared" si="9"/>
        <v>38686.567164179098</v>
      </c>
      <c r="M17" s="38">
        <f t="shared" si="10"/>
        <v>4298.5074626865671</v>
      </c>
      <c r="N17" s="38">
        <f t="shared" si="10"/>
        <v>38686.567164179098</v>
      </c>
      <c r="O17" s="38">
        <f t="shared" si="10"/>
        <v>4298.5074626865671</v>
      </c>
      <c r="P17" s="38">
        <f t="shared" si="10"/>
        <v>38686.567164179098</v>
      </c>
      <c r="Q17" s="38">
        <f t="shared" si="10"/>
        <v>4298.5074626865671</v>
      </c>
      <c r="R17" s="38">
        <f t="shared" si="10"/>
        <v>38686.567164179098</v>
      </c>
      <c r="S17" s="38">
        <f t="shared" si="10"/>
        <v>4298.5074626865671</v>
      </c>
      <c r="T17" s="38">
        <f t="shared" si="10"/>
        <v>38686.567164179098</v>
      </c>
      <c r="U17" s="38">
        <f t="shared" si="11"/>
        <v>21492.537313432837</v>
      </c>
      <c r="V17" s="38">
        <f t="shared" si="11"/>
        <v>193432.8358208955</v>
      </c>
    </row>
    <row r="18" spans="1:22" x14ac:dyDescent="0.25">
      <c r="A18" s="209">
        <f>+A17+1</f>
        <v>9</v>
      </c>
      <c r="B18" s="13" t="s">
        <v>251</v>
      </c>
      <c r="C18" s="2">
        <v>1</v>
      </c>
      <c r="D18" s="7">
        <v>9000</v>
      </c>
      <c r="E18" s="7">
        <f t="shared" si="5"/>
        <v>2686.5671641791046</v>
      </c>
      <c r="F18" s="3">
        <v>12</v>
      </c>
      <c r="G18" s="33">
        <v>5</v>
      </c>
      <c r="H18" s="38">
        <f>+G18*F18*E18</f>
        <v>161194.02985074627</v>
      </c>
      <c r="I18" s="7">
        <v>0</v>
      </c>
      <c r="J18" s="7">
        <f t="shared" ref="J18:J23" si="13">+H18</f>
        <v>161194.02985074627</v>
      </c>
      <c r="K18" s="34">
        <f t="shared" si="9"/>
        <v>0</v>
      </c>
      <c r="L18" s="34">
        <f t="shared" si="9"/>
        <v>32238.805970149253</v>
      </c>
      <c r="M18" s="34">
        <f t="shared" si="10"/>
        <v>0</v>
      </c>
      <c r="N18" s="34">
        <f t="shared" si="10"/>
        <v>32238.805970149253</v>
      </c>
      <c r="O18" s="34">
        <f t="shared" si="10"/>
        <v>0</v>
      </c>
      <c r="P18" s="34">
        <f t="shared" si="10"/>
        <v>32238.805970149253</v>
      </c>
      <c r="Q18" s="34">
        <f t="shared" si="10"/>
        <v>0</v>
      </c>
      <c r="R18" s="34">
        <f t="shared" si="10"/>
        <v>32238.805970149253</v>
      </c>
      <c r="S18" s="34">
        <f t="shared" si="10"/>
        <v>0</v>
      </c>
      <c r="T18" s="34">
        <f t="shared" si="10"/>
        <v>32238.805970149253</v>
      </c>
      <c r="U18" s="34">
        <f t="shared" ref="U18:U23" si="14">+K18+M18+O18+Q18+S18</f>
        <v>0</v>
      </c>
      <c r="V18" s="34">
        <f t="shared" ref="V18:V23" si="15">+L18+N18+P18+R18+T18</f>
        <v>161194.02985074627</v>
      </c>
    </row>
    <row r="19" spans="1:22" x14ac:dyDescent="0.25">
      <c r="A19" s="209">
        <f>A18+1</f>
        <v>10</v>
      </c>
      <c r="B19" s="13" t="s">
        <v>226</v>
      </c>
      <c r="C19" s="5">
        <v>1</v>
      </c>
      <c r="D19" s="7">
        <v>12000</v>
      </c>
      <c r="E19" s="7">
        <f t="shared" si="5"/>
        <v>3582.0895522388059</v>
      </c>
      <c r="F19" s="3">
        <v>12</v>
      </c>
      <c r="G19" s="33">
        <v>3</v>
      </c>
      <c r="H19" s="38">
        <f>+G19*F19*E19</f>
        <v>128955.22388059701</v>
      </c>
      <c r="I19" s="7">
        <v>0</v>
      </c>
      <c r="J19" s="7">
        <f t="shared" si="13"/>
        <v>128955.22388059701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f>+J19/3</f>
        <v>42985.074626865673</v>
      </c>
      <c r="Q19" s="34"/>
      <c r="R19" s="34">
        <f>+P19</f>
        <v>42985.074626865673</v>
      </c>
      <c r="S19" s="34"/>
      <c r="T19" s="34">
        <f>+R19</f>
        <v>42985.074626865673</v>
      </c>
      <c r="U19" s="34">
        <f t="shared" si="14"/>
        <v>0</v>
      </c>
      <c r="V19" s="34">
        <f t="shared" si="15"/>
        <v>128955.22388059701</v>
      </c>
    </row>
    <row r="20" spans="1:22" x14ac:dyDescent="0.25">
      <c r="A20" s="209">
        <f t="shared" ref="A20:A23" si="16">A19+1</f>
        <v>11</v>
      </c>
      <c r="B20" s="13" t="s">
        <v>232</v>
      </c>
      <c r="C20" s="2">
        <v>1</v>
      </c>
      <c r="D20" s="7">
        <v>12000</v>
      </c>
      <c r="E20" s="7">
        <f t="shared" si="5"/>
        <v>3582.0895522388059</v>
      </c>
      <c r="F20" s="3">
        <v>12</v>
      </c>
      <c r="G20" s="33">
        <v>5</v>
      </c>
      <c r="H20" s="38">
        <f>+G20*F20*E20</f>
        <v>214925.37313432834</v>
      </c>
      <c r="I20" s="7">
        <v>0</v>
      </c>
      <c r="J20" s="7">
        <f t="shared" si="13"/>
        <v>214925.37313432834</v>
      </c>
      <c r="K20" s="34">
        <f t="shared" ref="K20:L23" si="17">+I20/5</f>
        <v>0</v>
      </c>
      <c r="L20" s="34">
        <f t="shared" si="17"/>
        <v>42985.074626865666</v>
      </c>
      <c r="M20" s="34">
        <f t="shared" ref="M20:Q23" si="18">+K20</f>
        <v>0</v>
      </c>
      <c r="N20" s="34">
        <f t="shared" si="18"/>
        <v>42985.074626865666</v>
      </c>
      <c r="O20" s="34">
        <f t="shared" si="18"/>
        <v>0</v>
      </c>
      <c r="P20" s="34">
        <f t="shared" si="18"/>
        <v>42985.074626865666</v>
      </c>
      <c r="Q20" s="34">
        <f t="shared" si="18"/>
        <v>0</v>
      </c>
      <c r="R20" s="34">
        <f>+P20</f>
        <v>42985.074626865666</v>
      </c>
      <c r="S20" s="34">
        <f>+Q20</f>
        <v>0</v>
      </c>
      <c r="T20" s="34">
        <f>+R20</f>
        <v>42985.074626865666</v>
      </c>
      <c r="U20" s="34">
        <f t="shared" si="14"/>
        <v>0</v>
      </c>
      <c r="V20" s="34">
        <f t="shared" si="15"/>
        <v>214925.37313432834</v>
      </c>
    </row>
    <row r="21" spans="1:22" x14ac:dyDescent="0.25">
      <c r="A21" s="209">
        <f t="shared" si="16"/>
        <v>12</v>
      </c>
      <c r="B21" s="13" t="s">
        <v>227</v>
      </c>
      <c r="C21" s="2">
        <v>1</v>
      </c>
      <c r="D21" s="7">
        <v>9000</v>
      </c>
      <c r="E21" s="7">
        <f t="shared" si="5"/>
        <v>2686.5671641791046</v>
      </c>
      <c r="F21" s="3">
        <v>12</v>
      </c>
      <c r="G21" s="33">
        <v>5</v>
      </c>
      <c r="H21" s="38">
        <f t="shared" ref="H21:H23" si="19">+G21*F21*E21</f>
        <v>161194.02985074627</v>
      </c>
      <c r="I21" s="7">
        <v>0</v>
      </c>
      <c r="J21" s="7">
        <f t="shared" si="13"/>
        <v>161194.02985074627</v>
      </c>
      <c r="K21" s="34">
        <f t="shared" si="17"/>
        <v>0</v>
      </c>
      <c r="L21" s="34">
        <f t="shared" si="17"/>
        <v>32238.805970149253</v>
      </c>
      <c r="M21" s="34">
        <f t="shared" si="18"/>
        <v>0</v>
      </c>
      <c r="N21" s="34">
        <f t="shared" si="18"/>
        <v>32238.805970149253</v>
      </c>
      <c r="O21" s="34">
        <f t="shared" si="18"/>
        <v>0</v>
      </c>
      <c r="P21" s="34">
        <f t="shared" si="18"/>
        <v>32238.805970149253</v>
      </c>
      <c r="Q21" s="34">
        <f t="shared" si="18"/>
        <v>0</v>
      </c>
      <c r="R21" s="34">
        <f>+P21</f>
        <v>32238.805970149253</v>
      </c>
      <c r="S21" s="34">
        <f>+Q21</f>
        <v>0</v>
      </c>
      <c r="T21" s="34">
        <f>+R21</f>
        <v>32238.805970149253</v>
      </c>
      <c r="U21" s="34">
        <f t="shared" si="14"/>
        <v>0</v>
      </c>
      <c r="V21" s="34">
        <f t="shared" si="15"/>
        <v>161194.02985074627</v>
      </c>
    </row>
    <row r="22" spans="1:22" x14ac:dyDescent="0.25">
      <c r="A22" s="209">
        <f>A21+1</f>
        <v>13</v>
      </c>
      <c r="B22" s="13" t="s">
        <v>29</v>
      </c>
      <c r="C22" s="2">
        <v>1</v>
      </c>
      <c r="D22" s="7">
        <v>6000</v>
      </c>
      <c r="E22" s="7">
        <f t="shared" si="5"/>
        <v>1791.044776119403</v>
      </c>
      <c r="F22" s="3">
        <v>12</v>
      </c>
      <c r="G22" s="5">
        <v>5</v>
      </c>
      <c r="H22" s="38">
        <f t="shared" si="19"/>
        <v>107462.68656716417</v>
      </c>
      <c r="I22" s="7">
        <v>0</v>
      </c>
      <c r="J22" s="7">
        <f t="shared" si="13"/>
        <v>107462.68656716417</v>
      </c>
      <c r="K22" s="34">
        <f t="shared" si="17"/>
        <v>0</v>
      </c>
      <c r="L22" s="34">
        <f t="shared" si="17"/>
        <v>21492.537313432833</v>
      </c>
      <c r="M22" s="34">
        <f t="shared" si="18"/>
        <v>0</v>
      </c>
      <c r="N22" s="34">
        <f t="shared" si="18"/>
        <v>21492.537313432833</v>
      </c>
      <c r="O22" s="34">
        <f t="shared" si="18"/>
        <v>0</v>
      </c>
      <c r="P22" s="34">
        <f t="shared" si="18"/>
        <v>21492.537313432833</v>
      </c>
      <c r="Q22" s="34">
        <f t="shared" si="18"/>
        <v>0</v>
      </c>
      <c r="R22" s="34">
        <f>+P22</f>
        <v>21492.537313432833</v>
      </c>
      <c r="S22" s="34">
        <f>+Q22</f>
        <v>0</v>
      </c>
      <c r="T22" s="34">
        <f>+R22</f>
        <v>21492.537313432833</v>
      </c>
      <c r="U22" s="34">
        <f t="shared" si="14"/>
        <v>0</v>
      </c>
      <c r="V22" s="34">
        <f t="shared" si="15"/>
        <v>107462.68656716417</v>
      </c>
    </row>
    <row r="23" spans="1:22" x14ac:dyDescent="0.25">
      <c r="A23" s="209">
        <f t="shared" si="16"/>
        <v>14</v>
      </c>
      <c r="B23" s="13" t="s">
        <v>30</v>
      </c>
      <c r="C23" s="5">
        <v>1</v>
      </c>
      <c r="D23" s="34">
        <v>4000</v>
      </c>
      <c r="E23" s="7">
        <f t="shared" si="5"/>
        <v>1194.0298507462687</v>
      </c>
      <c r="F23" s="3">
        <v>12</v>
      </c>
      <c r="G23" s="5">
        <v>5</v>
      </c>
      <c r="H23" s="38">
        <f t="shared" si="19"/>
        <v>71641.791044776124</v>
      </c>
      <c r="I23" s="7">
        <v>0</v>
      </c>
      <c r="J23" s="7">
        <f t="shared" si="13"/>
        <v>71641.791044776124</v>
      </c>
      <c r="K23" s="34">
        <f t="shared" si="17"/>
        <v>0</v>
      </c>
      <c r="L23" s="34">
        <f t="shared" si="17"/>
        <v>14328.358208955226</v>
      </c>
      <c r="M23" s="34">
        <f t="shared" si="18"/>
        <v>0</v>
      </c>
      <c r="N23" s="34">
        <f t="shared" si="18"/>
        <v>14328.358208955226</v>
      </c>
      <c r="O23" s="34">
        <f t="shared" si="18"/>
        <v>0</v>
      </c>
      <c r="P23" s="34">
        <f t="shared" si="18"/>
        <v>14328.358208955226</v>
      </c>
      <c r="Q23" s="34">
        <f t="shared" si="18"/>
        <v>0</v>
      </c>
      <c r="R23" s="34">
        <f>+P23</f>
        <v>14328.358208955226</v>
      </c>
      <c r="S23" s="34">
        <f>+Q23</f>
        <v>0</v>
      </c>
      <c r="T23" s="34">
        <f>+R23</f>
        <v>14328.358208955226</v>
      </c>
      <c r="U23" s="34">
        <f t="shared" si="14"/>
        <v>0</v>
      </c>
      <c r="V23" s="34">
        <f t="shared" si="15"/>
        <v>71641.791044776124</v>
      </c>
    </row>
    <row r="24" spans="1:22" x14ac:dyDescent="0.25">
      <c r="B24" s="11" t="s">
        <v>31</v>
      </c>
      <c r="C24" s="12"/>
      <c r="D24" s="12"/>
      <c r="E24" s="12"/>
      <c r="F24" s="10"/>
      <c r="G24" s="10"/>
      <c r="H24" s="35">
        <f>SUM(H25:H33)</f>
        <v>1574328.3582089553</v>
      </c>
      <c r="I24" s="35">
        <f t="shared" ref="I24:S24" si="20">SUM(I25:I33)</f>
        <v>47462.686567164186</v>
      </c>
      <c r="J24" s="35">
        <f t="shared" si="20"/>
        <v>1526865.6716417912</v>
      </c>
      <c r="K24" s="35">
        <f t="shared" si="20"/>
        <v>9492.5373134328365</v>
      </c>
      <c r="L24" s="35">
        <f t="shared" si="20"/>
        <v>178567.16417910447</v>
      </c>
      <c r="M24" s="35">
        <f t="shared" si="20"/>
        <v>9492.5373134328365</v>
      </c>
      <c r="N24" s="35">
        <f t="shared" si="20"/>
        <v>275283.58208955225</v>
      </c>
      <c r="O24" s="35">
        <f t="shared" si="20"/>
        <v>9492.5373134328365</v>
      </c>
      <c r="P24" s="35">
        <f t="shared" si="20"/>
        <v>393492.53731343284</v>
      </c>
      <c r="Q24" s="35">
        <f t="shared" si="20"/>
        <v>9492.5373134328365</v>
      </c>
      <c r="R24" s="35">
        <f t="shared" si="20"/>
        <v>339761.19402985071</v>
      </c>
      <c r="S24" s="35">
        <f t="shared" si="20"/>
        <v>9492.5373134328365</v>
      </c>
      <c r="T24" s="35">
        <f>SUM(T25:T33)</f>
        <v>339761.19402985071</v>
      </c>
      <c r="U24" s="35">
        <f>SUM(U25:U33)</f>
        <v>47462.686567164186</v>
      </c>
      <c r="V24" s="35">
        <f>SUM(V25:V33)</f>
        <v>1526865.6716417912</v>
      </c>
    </row>
    <row r="25" spans="1:22" x14ac:dyDescent="0.25">
      <c r="A25" s="209">
        <v>15</v>
      </c>
      <c r="B25" s="197" t="s">
        <v>228</v>
      </c>
      <c r="C25" s="5">
        <v>1</v>
      </c>
      <c r="D25" s="34">
        <v>14500</v>
      </c>
      <c r="E25" s="7">
        <f t="shared" si="5"/>
        <v>4328.3582089552237</v>
      </c>
      <c r="F25" s="3">
        <v>12</v>
      </c>
      <c r="G25" s="5">
        <v>5</v>
      </c>
      <c r="H25" s="38">
        <f>+G25*F25*E25</f>
        <v>259701.49253731343</v>
      </c>
      <c r="I25" s="222">
        <f>++H25*0.1</f>
        <v>25970.149253731346</v>
      </c>
      <c r="J25" s="222">
        <f>+H25*0.9</f>
        <v>233731.3432835821</v>
      </c>
      <c r="K25" s="38">
        <f>+I25/5</f>
        <v>5194.0298507462694</v>
      </c>
      <c r="L25" s="38">
        <f>+J25/5</f>
        <v>46746.26865671642</v>
      </c>
      <c r="M25" s="38">
        <f t="shared" ref="M25:T25" si="21">+K25</f>
        <v>5194.0298507462694</v>
      </c>
      <c r="N25" s="38">
        <f t="shared" si="21"/>
        <v>46746.26865671642</v>
      </c>
      <c r="O25" s="38">
        <f t="shared" si="21"/>
        <v>5194.0298507462694</v>
      </c>
      <c r="P25" s="38">
        <f t="shared" si="21"/>
        <v>46746.26865671642</v>
      </c>
      <c r="Q25" s="38">
        <f t="shared" si="21"/>
        <v>5194.0298507462694</v>
      </c>
      <c r="R25" s="38">
        <f t="shared" si="21"/>
        <v>46746.26865671642</v>
      </c>
      <c r="S25" s="38">
        <f t="shared" si="21"/>
        <v>5194.0298507462694</v>
      </c>
      <c r="T25" s="38">
        <f t="shared" si="21"/>
        <v>46746.26865671642</v>
      </c>
      <c r="U25" s="38">
        <f>+K25+M25+O25+Q25+S25</f>
        <v>25970.149253731346</v>
      </c>
      <c r="V25" s="38">
        <f>+L25+N25+P25+R25+T25</f>
        <v>233731.3432835821</v>
      </c>
    </row>
    <row r="26" spans="1:22" x14ac:dyDescent="0.25">
      <c r="A26" s="209">
        <f>+A25+1</f>
        <v>16</v>
      </c>
      <c r="B26" s="13" t="s">
        <v>220</v>
      </c>
      <c r="C26" s="5">
        <v>1</v>
      </c>
      <c r="D26" s="34">
        <v>12000</v>
      </c>
      <c r="E26" s="7">
        <f t="shared" si="5"/>
        <v>3582.0895522388059</v>
      </c>
      <c r="F26" s="196">
        <v>12</v>
      </c>
      <c r="G26" s="33">
        <v>2.5</v>
      </c>
      <c r="H26" s="34">
        <f t="shared" ref="H26" si="22">+G26*F26*E26</f>
        <v>107462.68656716417</v>
      </c>
      <c r="I26" s="7">
        <v>0</v>
      </c>
      <c r="J26" s="7">
        <f>+H26</f>
        <v>107462.68656716417</v>
      </c>
      <c r="K26" s="34">
        <f>+I26/5</f>
        <v>0</v>
      </c>
      <c r="L26" s="34">
        <f>+J26*0.4</f>
        <v>42985.074626865673</v>
      </c>
      <c r="M26" s="34">
        <f>+K26</f>
        <v>0</v>
      </c>
      <c r="N26" s="34">
        <f>+L26</f>
        <v>42985.074626865673</v>
      </c>
      <c r="O26" s="34">
        <f>+M26</f>
        <v>0</v>
      </c>
      <c r="P26" s="34">
        <f>+J26*0.2</f>
        <v>21492.537313432837</v>
      </c>
      <c r="Q26" s="34">
        <f>+O26</f>
        <v>0</v>
      </c>
      <c r="R26" s="34">
        <v>0</v>
      </c>
      <c r="S26" s="34">
        <v>0</v>
      </c>
      <c r="T26" s="34">
        <v>0</v>
      </c>
      <c r="U26" s="34">
        <f t="shared" ref="U26:U29" si="23">+K26+M26+O26+Q26+S26</f>
        <v>0</v>
      </c>
      <c r="V26" s="34">
        <f t="shared" ref="V26:V29" si="24">+L26+N26+P26+R26+T26</f>
        <v>107462.68656716419</v>
      </c>
    </row>
    <row r="27" spans="1:22" x14ac:dyDescent="0.25">
      <c r="A27" s="209">
        <f t="shared" ref="A27:A33" si="25">+A26+1</f>
        <v>17</v>
      </c>
      <c r="B27" s="13" t="s">
        <v>221</v>
      </c>
      <c r="C27" s="5">
        <v>2</v>
      </c>
      <c r="D27" s="198">
        <v>12000</v>
      </c>
      <c r="E27" s="40">
        <f t="shared" si="5"/>
        <v>3582.0895522388059</v>
      </c>
      <c r="F27" s="196">
        <v>12</v>
      </c>
      <c r="G27" s="33">
        <v>3</v>
      </c>
      <c r="H27" s="34">
        <f>+G27*F27*E27*C27</f>
        <v>257910.44776119402</v>
      </c>
      <c r="I27" s="7">
        <v>0</v>
      </c>
      <c r="J27" s="7">
        <f>+H27</f>
        <v>257910.44776119402</v>
      </c>
      <c r="K27" s="223">
        <v>0</v>
      </c>
      <c r="L27" s="223">
        <v>0</v>
      </c>
      <c r="M27" s="223">
        <v>0</v>
      </c>
      <c r="N27" s="223">
        <v>0</v>
      </c>
      <c r="O27" s="223">
        <v>0</v>
      </c>
      <c r="P27" s="223">
        <f>+J27/3</f>
        <v>85970.149253731346</v>
      </c>
      <c r="Q27" s="223">
        <v>0</v>
      </c>
      <c r="R27" s="223">
        <f>+P27</f>
        <v>85970.149253731346</v>
      </c>
      <c r="S27" s="223">
        <v>0</v>
      </c>
      <c r="T27" s="223">
        <f t="shared" ref="T27:T33" si="26">+R27</f>
        <v>85970.149253731346</v>
      </c>
      <c r="U27" s="34">
        <f t="shared" si="23"/>
        <v>0</v>
      </c>
      <c r="V27" s="34">
        <f t="shared" si="24"/>
        <v>257910.44776119402</v>
      </c>
    </row>
    <row r="28" spans="1:22" x14ac:dyDescent="0.25">
      <c r="A28" s="209">
        <f t="shared" si="25"/>
        <v>18</v>
      </c>
      <c r="B28" s="13" t="s">
        <v>222</v>
      </c>
      <c r="C28" s="5">
        <v>1</v>
      </c>
      <c r="D28" s="34">
        <v>12000</v>
      </c>
      <c r="E28" s="7">
        <f t="shared" si="5"/>
        <v>3582.0895522388059</v>
      </c>
      <c r="F28" s="196">
        <v>12</v>
      </c>
      <c r="G28" s="33">
        <v>3.5</v>
      </c>
      <c r="H28" s="34">
        <f t="shared" ref="H28" si="27">+G28*F28*E28</f>
        <v>150447.76119402985</v>
      </c>
      <c r="I28" s="7">
        <v>0</v>
      </c>
      <c r="J28" s="7">
        <f>+H28</f>
        <v>150447.76119402985</v>
      </c>
      <c r="K28" s="223">
        <v>0</v>
      </c>
      <c r="L28" s="223">
        <v>0</v>
      </c>
      <c r="M28" s="223">
        <v>0</v>
      </c>
      <c r="N28" s="223">
        <f>+J28*0.142857142857143</f>
        <v>21492.537313432855</v>
      </c>
      <c r="O28" s="223">
        <v>0</v>
      </c>
      <c r="P28" s="223">
        <f>+J28*0.285714285714286</f>
        <v>42985.074626865709</v>
      </c>
      <c r="Q28" s="223">
        <v>0</v>
      </c>
      <c r="R28" s="223">
        <f>+P28</f>
        <v>42985.074626865709</v>
      </c>
      <c r="S28" s="223">
        <v>0</v>
      </c>
      <c r="T28" s="223">
        <f t="shared" si="26"/>
        <v>42985.074626865709</v>
      </c>
      <c r="U28" s="34">
        <f t="shared" si="23"/>
        <v>0</v>
      </c>
      <c r="V28" s="34">
        <f t="shared" si="24"/>
        <v>150447.76119403</v>
      </c>
    </row>
    <row r="29" spans="1:22" x14ac:dyDescent="0.25">
      <c r="A29" s="209">
        <f t="shared" si="25"/>
        <v>19</v>
      </c>
      <c r="B29" s="13" t="s">
        <v>234</v>
      </c>
      <c r="C29" s="5">
        <v>1</v>
      </c>
      <c r="D29" s="34">
        <v>12000</v>
      </c>
      <c r="E29" s="7">
        <f t="shared" si="5"/>
        <v>3582.0895522388059</v>
      </c>
      <c r="F29" s="196">
        <v>12</v>
      </c>
      <c r="G29" s="33">
        <v>4</v>
      </c>
      <c r="H29" s="34">
        <f>+G29*F29*E29</f>
        <v>171940.29850746269</v>
      </c>
      <c r="I29" s="7">
        <v>0</v>
      </c>
      <c r="J29" s="7">
        <f>+H29</f>
        <v>171940.29850746269</v>
      </c>
      <c r="K29" s="223">
        <v>0</v>
      </c>
      <c r="L29" s="223">
        <v>0</v>
      </c>
      <c r="M29" s="223">
        <v>0</v>
      </c>
      <c r="N29" s="223">
        <f>+J29/4</f>
        <v>42985.074626865673</v>
      </c>
      <c r="O29" s="223">
        <v>0</v>
      </c>
      <c r="P29" s="223">
        <f>+N29</f>
        <v>42985.074626865673</v>
      </c>
      <c r="Q29" s="223">
        <v>0</v>
      </c>
      <c r="R29" s="223">
        <f>+P29</f>
        <v>42985.074626865673</v>
      </c>
      <c r="S29" s="223">
        <v>0</v>
      </c>
      <c r="T29" s="223">
        <f t="shared" si="26"/>
        <v>42985.074626865673</v>
      </c>
      <c r="U29" s="34">
        <f t="shared" si="23"/>
        <v>0</v>
      </c>
      <c r="V29" s="34">
        <f t="shared" si="24"/>
        <v>171940.29850746269</v>
      </c>
    </row>
    <row r="30" spans="1:22" x14ac:dyDescent="0.25">
      <c r="A30" s="209">
        <f t="shared" si="25"/>
        <v>20</v>
      </c>
      <c r="B30" s="197" t="s">
        <v>231</v>
      </c>
      <c r="C30" s="5">
        <v>1</v>
      </c>
      <c r="D30" s="34">
        <v>12000</v>
      </c>
      <c r="E30" s="7">
        <f t="shared" si="5"/>
        <v>3582.0895522388059</v>
      </c>
      <c r="F30" s="196">
        <v>12</v>
      </c>
      <c r="G30" s="33">
        <v>5</v>
      </c>
      <c r="H30" s="38">
        <f t="shared" ref="H30:H33" si="28">+G30*F30*E30</f>
        <v>214925.37313432834</v>
      </c>
      <c r="I30" s="222">
        <f>+H30*0.1</f>
        <v>21492.537313432837</v>
      </c>
      <c r="J30" s="222">
        <f>+H30*0.9</f>
        <v>193432.8358208955</v>
      </c>
      <c r="K30" s="38">
        <f>+I30/5</f>
        <v>4298.5074626865671</v>
      </c>
      <c r="L30" s="38">
        <f>+J30/5</f>
        <v>38686.567164179098</v>
      </c>
      <c r="M30" s="38">
        <f>+K30</f>
        <v>4298.5074626865671</v>
      </c>
      <c r="N30" s="38">
        <f>+L30</f>
        <v>38686.567164179098</v>
      </c>
      <c r="O30" s="38">
        <f>+M30</f>
        <v>4298.5074626865671</v>
      </c>
      <c r="P30" s="38">
        <f>+N30</f>
        <v>38686.567164179098</v>
      </c>
      <c r="Q30" s="38">
        <f>+O30</f>
        <v>4298.5074626865671</v>
      </c>
      <c r="R30" s="38">
        <f>+P30</f>
        <v>38686.567164179098</v>
      </c>
      <c r="S30" s="38">
        <f>+Q30</f>
        <v>4298.5074626865671</v>
      </c>
      <c r="T30" s="38">
        <f t="shared" si="26"/>
        <v>38686.567164179098</v>
      </c>
      <c r="U30" s="38">
        <f>+K30+M30+O30+Q30+S30</f>
        <v>21492.537313432837</v>
      </c>
      <c r="V30" s="38">
        <f>+L30+N30+P30+R30+T30</f>
        <v>193432.8358208955</v>
      </c>
    </row>
    <row r="31" spans="1:22" x14ac:dyDescent="0.25">
      <c r="A31" s="209">
        <f t="shared" si="25"/>
        <v>21</v>
      </c>
      <c r="B31" s="13" t="s">
        <v>229</v>
      </c>
      <c r="C31" s="5">
        <v>1</v>
      </c>
      <c r="D31" s="34">
        <v>9000</v>
      </c>
      <c r="E31" s="7">
        <f t="shared" si="5"/>
        <v>2686.5671641791046</v>
      </c>
      <c r="F31" s="3">
        <v>12</v>
      </c>
      <c r="G31" s="33">
        <v>4</v>
      </c>
      <c r="H31" s="34">
        <f t="shared" si="28"/>
        <v>128955.22388059701</v>
      </c>
      <c r="I31" s="7">
        <v>0</v>
      </c>
      <c r="J31" s="7">
        <f t="shared" ref="J31:J33" si="29">+H31</f>
        <v>128955.22388059701</v>
      </c>
      <c r="K31" s="223">
        <v>0</v>
      </c>
      <c r="L31" s="223">
        <v>0</v>
      </c>
      <c r="M31" s="223">
        <v>0</v>
      </c>
      <c r="N31" s="223">
        <f>+J31/4</f>
        <v>32238.805970149253</v>
      </c>
      <c r="O31" s="223">
        <v>0</v>
      </c>
      <c r="P31" s="223">
        <f>+N31</f>
        <v>32238.805970149253</v>
      </c>
      <c r="Q31" s="223">
        <v>0</v>
      </c>
      <c r="R31" s="223">
        <f>+P31</f>
        <v>32238.805970149253</v>
      </c>
      <c r="S31" s="223">
        <v>0</v>
      </c>
      <c r="T31" s="223">
        <f t="shared" si="26"/>
        <v>32238.805970149253</v>
      </c>
      <c r="U31" s="34">
        <f t="shared" ref="U31:U33" si="30">+K31+M31+O31+Q31+S31</f>
        <v>0</v>
      </c>
      <c r="V31" s="34">
        <f t="shared" ref="V31:V33" si="31">+L31+N31+P31+R31+T31</f>
        <v>128955.22388059701</v>
      </c>
    </row>
    <row r="32" spans="1:22" x14ac:dyDescent="0.25">
      <c r="A32" s="209">
        <f t="shared" si="25"/>
        <v>22</v>
      </c>
      <c r="B32" s="13" t="s">
        <v>230</v>
      </c>
      <c r="C32" s="5">
        <v>2</v>
      </c>
      <c r="D32" s="34">
        <v>9000</v>
      </c>
      <c r="E32" s="7">
        <f t="shared" si="5"/>
        <v>2686.5671641791046</v>
      </c>
      <c r="F32" s="3">
        <v>12</v>
      </c>
      <c r="G32" s="33">
        <v>3</v>
      </c>
      <c r="H32" s="34">
        <f>+G32*F32*E32*C32</f>
        <v>193432.83582089553</v>
      </c>
      <c r="I32" s="7">
        <v>0</v>
      </c>
      <c r="J32" s="7">
        <f t="shared" si="29"/>
        <v>193432.83582089553</v>
      </c>
      <c r="K32" s="34">
        <v>0</v>
      </c>
      <c r="L32" s="34">
        <f>+J32/6</f>
        <v>32238.805970149257</v>
      </c>
      <c r="M32" s="34">
        <v>0</v>
      </c>
      <c r="N32" s="34">
        <f>+L32</f>
        <v>32238.805970149257</v>
      </c>
      <c r="O32" s="34">
        <v>0</v>
      </c>
      <c r="P32" s="34">
        <f>+N32*2</f>
        <v>64477.611940298513</v>
      </c>
      <c r="Q32" s="34">
        <v>0</v>
      </c>
      <c r="R32" s="34">
        <f>+N32</f>
        <v>32238.805970149257</v>
      </c>
      <c r="S32" s="34"/>
      <c r="T32" s="34">
        <f t="shared" si="26"/>
        <v>32238.805970149257</v>
      </c>
      <c r="U32" s="34">
        <f t="shared" si="30"/>
        <v>0</v>
      </c>
      <c r="V32" s="34">
        <f t="shared" si="31"/>
        <v>193432.83582089553</v>
      </c>
    </row>
    <row r="33" spans="1:22" s="165" customFormat="1" x14ac:dyDescent="0.25">
      <c r="A33" s="209">
        <f t="shared" si="25"/>
        <v>23</v>
      </c>
      <c r="B33" s="13" t="s">
        <v>235</v>
      </c>
      <c r="C33" s="5">
        <v>1</v>
      </c>
      <c r="D33" s="34">
        <v>5000</v>
      </c>
      <c r="E33" s="7">
        <f t="shared" si="5"/>
        <v>1492.5373134328358</v>
      </c>
      <c r="F33" s="3">
        <v>12</v>
      </c>
      <c r="G33" s="33">
        <v>5</v>
      </c>
      <c r="H33" s="34">
        <f t="shared" si="28"/>
        <v>89552.238805970148</v>
      </c>
      <c r="I33" s="7">
        <v>0</v>
      </c>
      <c r="J33" s="7">
        <f t="shared" si="29"/>
        <v>89552.238805970148</v>
      </c>
      <c r="K33" s="34">
        <f>+I33/5</f>
        <v>0</v>
      </c>
      <c r="L33" s="34">
        <f>+J33/5</f>
        <v>17910.447761194031</v>
      </c>
      <c r="M33" s="34">
        <f>+K33</f>
        <v>0</v>
      </c>
      <c r="N33" s="34">
        <f>+L33</f>
        <v>17910.447761194031</v>
      </c>
      <c r="O33" s="34">
        <f>+M33</f>
        <v>0</v>
      </c>
      <c r="P33" s="34">
        <f>+N33</f>
        <v>17910.447761194031</v>
      </c>
      <c r="Q33" s="34">
        <f>+O33</f>
        <v>0</v>
      </c>
      <c r="R33" s="34">
        <f>+P33</f>
        <v>17910.447761194031</v>
      </c>
      <c r="S33" s="34">
        <f>+Q33</f>
        <v>0</v>
      </c>
      <c r="T33" s="34">
        <f t="shared" si="26"/>
        <v>17910.447761194031</v>
      </c>
      <c r="U33" s="34">
        <f t="shared" si="30"/>
        <v>0</v>
      </c>
      <c r="V33" s="34">
        <f t="shared" si="31"/>
        <v>89552.238805970148</v>
      </c>
    </row>
    <row r="34" spans="1:22" x14ac:dyDescent="0.25">
      <c r="A34" s="210"/>
      <c r="B34" s="14" t="s">
        <v>21</v>
      </c>
      <c r="C34" s="15">
        <f>SUM(C9:C33)</f>
        <v>25</v>
      </c>
      <c r="D34" s="15"/>
      <c r="E34" s="15"/>
      <c r="F34" s="15"/>
      <c r="G34" s="15">
        <v>0</v>
      </c>
      <c r="H34" s="36">
        <f t="shared" ref="H34:V34" si="32">+H24+H13+H8</f>
        <v>4130149.253731343</v>
      </c>
      <c r="I34" s="36">
        <f t="shared" si="32"/>
        <v>145074.62686567166</v>
      </c>
      <c r="J34" s="36">
        <f t="shared" si="32"/>
        <v>3985074.6268656719</v>
      </c>
      <c r="K34" s="36">
        <f t="shared" si="32"/>
        <v>29014.925373134331</v>
      </c>
      <c r="L34" s="36">
        <f t="shared" si="32"/>
        <v>644417.91044776107</v>
      </c>
      <c r="M34" s="36">
        <f t="shared" si="32"/>
        <v>29014.925373134331</v>
      </c>
      <c r="N34" s="36">
        <f t="shared" si="32"/>
        <v>741134.32835820888</v>
      </c>
      <c r="O34" s="36">
        <f t="shared" si="32"/>
        <v>29014.925373134331</v>
      </c>
      <c r="P34" s="36">
        <f t="shared" si="32"/>
        <v>902328.35820895515</v>
      </c>
      <c r="Q34" s="36">
        <f t="shared" si="32"/>
        <v>29014.925373134331</v>
      </c>
      <c r="R34" s="36">
        <f t="shared" si="32"/>
        <v>848597.01492537302</v>
      </c>
      <c r="S34" s="36">
        <f t="shared" si="32"/>
        <v>29014.925373134331</v>
      </c>
      <c r="T34" s="36">
        <f t="shared" si="32"/>
        <v>848597.01492537302</v>
      </c>
      <c r="U34" s="36">
        <f t="shared" si="32"/>
        <v>145074.62686567166</v>
      </c>
      <c r="V34" s="36">
        <f t="shared" si="32"/>
        <v>3985074.6268656719</v>
      </c>
    </row>
  </sheetData>
  <mergeCells count="12">
    <mergeCell ref="B2:U2"/>
    <mergeCell ref="F6:G6"/>
    <mergeCell ref="D6:E6"/>
    <mergeCell ref="I6:J6"/>
    <mergeCell ref="H6:H7"/>
    <mergeCell ref="K5:V5"/>
    <mergeCell ref="K6:L6"/>
    <mergeCell ref="M6:N6"/>
    <mergeCell ref="O6:P6"/>
    <mergeCell ref="Q6:R6"/>
    <mergeCell ref="S6:T6"/>
    <mergeCell ref="U6:V6"/>
  </mergeCells>
  <pageMargins left="0.70866141732283472" right="0.70866141732283472" top="0.74803149606299213" bottom="0.74803149606299213" header="0.31496062992125984" footer="0.31496062992125984"/>
  <pageSetup paperSize="9" fitToWidth="3" fitToHeight="2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N276"/>
  <sheetViews>
    <sheetView topLeftCell="C1" zoomScale="85" zoomScaleNormal="85" workbookViewId="0">
      <selection activeCell="G20" sqref="G20"/>
    </sheetView>
  </sheetViews>
  <sheetFormatPr defaultColWidth="11.42578125" defaultRowHeight="12.75" x14ac:dyDescent="0.2"/>
  <cols>
    <col min="1" max="1" width="5" style="43" customWidth="1"/>
    <col min="2" max="2" width="7.85546875" style="43" customWidth="1"/>
    <col min="3" max="3" width="61" style="43" customWidth="1"/>
    <col min="4" max="4" width="17.42578125" style="45" customWidth="1"/>
    <col min="5" max="5" width="15.28515625" style="45" customWidth="1"/>
    <col min="6" max="6" width="17.7109375" style="45" customWidth="1"/>
    <col min="7" max="7" width="18.28515625" style="45" customWidth="1"/>
    <col min="8" max="8" width="17.140625" style="45" customWidth="1"/>
    <col min="9" max="10" width="17.85546875" style="45" customWidth="1"/>
    <col min="11" max="11" width="18.5703125" style="45" customWidth="1"/>
    <col min="12" max="12" width="16.140625" style="44" customWidth="1"/>
    <col min="13" max="13" width="15.7109375" style="46" bestFit="1" customWidth="1"/>
    <col min="14" max="15" width="11.42578125" style="46"/>
    <col min="16" max="99" width="11.42578125" style="47"/>
    <col min="100" max="222" width="11.42578125" style="48"/>
    <col min="223" max="16384" width="11.42578125" style="43"/>
  </cols>
  <sheetData>
    <row r="2" spans="1:222" x14ac:dyDescent="0.2">
      <c r="C2" s="44" t="s">
        <v>63</v>
      </c>
      <c r="D2" s="129">
        <f>+D18+G18+H18</f>
        <v>81490287.731279984</v>
      </c>
      <c r="E2" s="146">
        <f>+D2/3.35</f>
        <v>24325459.024262682</v>
      </c>
    </row>
    <row r="3" spans="1:222" ht="24.75" customHeight="1" x14ac:dyDescent="0.2">
      <c r="D3" s="339" t="s">
        <v>313</v>
      </c>
      <c r="E3" s="339"/>
      <c r="F3" s="339"/>
      <c r="G3" s="339"/>
      <c r="H3" s="339"/>
      <c r="I3" s="339"/>
      <c r="J3" s="339"/>
      <c r="K3" s="339"/>
      <c r="L3" s="339"/>
    </row>
    <row r="4" spans="1:222" ht="15.75" customHeight="1" x14ac:dyDescent="0.2">
      <c r="A4" s="340" t="s">
        <v>64</v>
      </c>
      <c r="B4" s="342" t="s">
        <v>181</v>
      </c>
      <c r="C4" s="340" t="s">
        <v>65</v>
      </c>
      <c r="D4" s="340" t="s">
        <v>66</v>
      </c>
      <c r="E4" s="341" t="s">
        <v>67</v>
      </c>
      <c r="F4" s="341" t="s">
        <v>68</v>
      </c>
      <c r="G4" s="340" t="s">
        <v>69</v>
      </c>
      <c r="H4" s="340" t="s">
        <v>70</v>
      </c>
      <c r="I4" s="340" t="s">
        <v>71</v>
      </c>
      <c r="J4" s="342" t="s">
        <v>72</v>
      </c>
      <c r="K4" s="340"/>
      <c r="L4" s="340" t="s">
        <v>73</v>
      </c>
    </row>
    <row r="5" spans="1:222" ht="37.5" customHeight="1" x14ac:dyDescent="0.2">
      <c r="A5" s="340"/>
      <c r="B5" s="343"/>
      <c r="C5" s="340"/>
      <c r="D5" s="340"/>
      <c r="E5" s="341"/>
      <c r="F5" s="341"/>
      <c r="G5" s="340"/>
      <c r="H5" s="340"/>
      <c r="I5" s="340"/>
      <c r="J5" s="343"/>
      <c r="K5" s="340"/>
      <c r="L5" s="340"/>
    </row>
    <row r="6" spans="1:222" s="56" customFormat="1" ht="15.75" customHeight="1" x14ac:dyDescent="0.2">
      <c r="A6" s="49">
        <v>1</v>
      </c>
      <c r="B6" s="49"/>
      <c r="C6" s="49" t="s">
        <v>75</v>
      </c>
      <c r="D6" s="50">
        <v>835132.4068</v>
      </c>
      <c r="E6" s="50">
        <v>58800</v>
      </c>
      <c r="F6" s="50">
        <v>75200</v>
      </c>
      <c r="G6" s="50">
        <v>82493.240680000003</v>
      </c>
      <c r="H6" s="50">
        <v>82493.240680000003</v>
      </c>
      <c r="I6" s="50">
        <v>60000</v>
      </c>
      <c r="J6" s="50">
        <f>SUM(D6:I6)</f>
        <v>1194118.8881600001</v>
      </c>
      <c r="K6" s="51"/>
      <c r="L6" s="52"/>
      <c r="M6" s="53"/>
      <c r="N6" s="53"/>
      <c r="O6" s="53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54"/>
      <c r="BZ6" s="54"/>
      <c r="CA6" s="54"/>
      <c r="CB6" s="54"/>
      <c r="CC6" s="54"/>
      <c r="CD6" s="54"/>
      <c r="CE6" s="54"/>
      <c r="CF6" s="54"/>
      <c r="CG6" s="54"/>
      <c r="CH6" s="54"/>
      <c r="CI6" s="54"/>
      <c r="CJ6" s="54"/>
      <c r="CK6" s="54"/>
      <c r="CL6" s="54"/>
      <c r="CM6" s="54"/>
      <c r="CN6" s="54"/>
      <c r="CO6" s="54"/>
      <c r="CP6" s="54"/>
      <c r="CQ6" s="54"/>
      <c r="CR6" s="54"/>
      <c r="CS6" s="54"/>
      <c r="CT6" s="54"/>
      <c r="CU6" s="54"/>
      <c r="CV6" s="55"/>
      <c r="CW6" s="55"/>
      <c r="CX6" s="55"/>
      <c r="CY6" s="55"/>
      <c r="CZ6" s="55"/>
      <c r="DA6" s="55"/>
      <c r="DB6" s="55"/>
      <c r="DC6" s="55"/>
      <c r="DD6" s="55"/>
      <c r="DE6" s="55"/>
      <c r="DF6" s="55"/>
      <c r="DG6" s="55"/>
      <c r="DH6" s="55"/>
      <c r="DI6" s="55"/>
      <c r="DJ6" s="55"/>
      <c r="DK6" s="55"/>
      <c r="DL6" s="55"/>
      <c r="DM6" s="55"/>
      <c r="DN6" s="55"/>
      <c r="DO6" s="55"/>
      <c r="DP6" s="55"/>
      <c r="DQ6" s="55"/>
      <c r="DR6" s="55"/>
      <c r="DS6" s="55"/>
      <c r="DT6" s="55"/>
      <c r="DU6" s="55"/>
      <c r="DV6" s="55"/>
      <c r="DW6" s="55"/>
      <c r="DX6" s="55"/>
      <c r="DY6" s="55"/>
      <c r="DZ6" s="55"/>
      <c r="EA6" s="55"/>
      <c r="EB6" s="55"/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U6" s="55"/>
      <c r="EV6" s="55"/>
      <c r="EW6" s="55"/>
      <c r="EX6" s="55"/>
      <c r="EY6" s="55"/>
      <c r="EZ6" s="55"/>
      <c r="FA6" s="55"/>
      <c r="FB6" s="55"/>
      <c r="FC6" s="55"/>
      <c r="FD6" s="55"/>
      <c r="FE6" s="55"/>
      <c r="FF6" s="55"/>
      <c r="FG6" s="55"/>
      <c r="FH6" s="55"/>
      <c r="FI6" s="55"/>
      <c r="FJ6" s="55"/>
      <c r="FK6" s="55"/>
      <c r="FL6" s="55"/>
      <c r="FM6" s="55"/>
      <c r="FN6" s="55"/>
      <c r="FO6" s="55"/>
      <c r="FP6" s="55"/>
      <c r="FQ6" s="55"/>
      <c r="FR6" s="55"/>
      <c r="FS6" s="55"/>
      <c r="FT6" s="55"/>
      <c r="FU6" s="55"/>
      <c r="FV6" s="55"/>
      <c r="FW6" s="55"/>
      <c r="FX6" s="55"/>
      <c r="FY6" s="55"/>
      <c r="FZ6" s="55"/>
      <c r="GA6" s="55"/>
      <c r="GB6" s="55"/>
      <c r="GC6" s="55"/>
      <c r="GD6" s="55"/>
      <c r="GE6" s="55"/>
      <c r="GF6" s="55"/>
      <c r="GG6" s="55"/>
      <c r="GH6" s="55"/>
      <c r="GI6" s="55"/>
      <c r="GJ6" s="55"/>
      <c r="GK6" s="55"/>
      <c r="GL6" s="55"/>
      <c r="GM6" s="55"/>
      <c r="GN6" s="55"/>
      <c r="GO6" s="55"/>
      <c r="GP6" s="55"/>
      <c r="GQ6" s="55"/>
      <c r="GR6" s="55"/>
      <c r="GS6" s="55"/>
      <c r="GT6" s="55"/>
      <c r="GU6" s="55"/>
      <c r="GV6" s="55"/>
      <c r="GW6" s="55"/>
      <c r="GX6" s="55"/>
      <c r="GY6" s="55"/>
      <c r="GZ6" s="55"/>
      <c r="HA6" s="55"/>
      <c r="HB6" s="55"/>
      <c r="HC6" s="55"/>
      <c r="HD6" s="55"/>
      <c r="HE6" s="55"/>
      <c r="HF6" s="55"/>
      <c r="HG6" s="55"/>
      <c r="HH6" s="55"/>
      <c r="HI6" s="55"/>
      <c r="HJ6" s="55"/>
      <c r="HK6" s="55"/>
      <c r="HL6" s="55"/>
      <c r="HM6" s="55"/>
      <c r="HN6" s="55"/>
    </row>
    <row r="7" spans="1:222" s="56" customFormat="1" x14ac:dyDescent="0.2">
      <c r="A7" s="49">
        <v>2</v>
      </c>
      <c r="B7" s="49"/>
      <c r="C7" s="49" t="s">
        <v>76</v>
      </c>
      <c r="D7" s="50">
        <v>591238.63159999996</v>
      </c>
      <c r="E7" s="50">
        <v>51800</v>
      </c>
      <c r="F7" s="50">
        <v>159650</v>
      </c>
      <c r="G7" s="50">
        <v>58103.863160000001</v>
      </c>
      <c r="H7" s="50">
        <v>58103.863160000001</v>
      </c>
      <c r="I7" s="50">
        <v>60000</v>
      </c>
      <c r="J7" s="50">
        <f t="shared" ref="J7:J36" si="0">SUM(D7:I7)</f>
        <v>978896.35791999986</v>
      </c>
      <c r="K7" s="51"/>
      <c r="L7" s="52"/>
      <c r="M7" s="53"/>
      <c r="N7" s="53"/>
      <c r="O7" s="53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  <c r="DJ7" s="55"/>
      <c r="DK7" s="55"/>
      <c r="DL7" s="55"/>
      <c r="DM7" s="55"/>
      <c r="DN7" s="55"/>
      <c r="DO7" s="55"/>
      <c r="DP7" s="55"/>
      <c r="DQ7" s="55"/>
      <c r="DR7" s="55"/>
      <c r="DS7" s="55"/>
      <c r="DT7" s="55"/>
      <c r="DU7" s="55"/>
      <c r="DV7" s="55"/>
      <c r="DW7" s="55"/>
      <c r="DX7" s="55"/>
      <c r="DY7" s="55"/>
      <c r="DZ7" s="55"/>
      <c r="EA7" s="55"/>
      <c r="EB7" s="55"/>
      <c r="EC7" s="55"/>
      <c r="ED7" s="55"/>
      <c r="EE7" s="55"/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  <c r="HG7" s="55"/>
      <c r="HH7" s="55"/>
      <c r="HI7" s="55"/>
      <c r="HJ7" s="55"/>
      <c r="HK7" s="55"/>
      <c r="HL7" s="55"/>
      <c r="HM7" s="55"/>
      <c r="HN7" s="55"/>
    </row>
    <row r="8" spans="1:222" s="56" customFormat="1" x14ac:dyDescent="0.2">
      <c r="A8" s="49">
        <v>3</v>
      </c>
      <c r="B8" s="49"/>
      <c r="C8" s="57" t="s">
        <v>77</v>
      </c>
      <c r="D8" s="58">
        <v>2676328.0726000001</v>
      </c>
      <c r="E8" s="58">
        <v>46800</v>
      </c>
      <c r="F8" s="58">
        <v>105200</v>
      </c>
      <c r="G8" s="58">
        <v>266612.80725999997</v>
      </c>
      <c r="H8" s="58">
        <v>266612.80725999997</v>
      </c>
      <c r="I8" s="58">
        <v>60000</v>
      </c>
      <c r="J8" s="58">
        <f t="shared" si="0"/>
        <v>3421553.6871200004</v>
      </c>
      <c r="K8" s="59"/>
      <c r="L8" s="58">
        <f>+J8</f>
        <v>3421553.6871200004</v>
      </c>
      <c r="M8" s="53"/>
      <c r="N8" s="53"/>
      <c r="O8" s="53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5"/>
      <c r="CW8" s="55"/>
      <c r="CX8" s="55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Q8" s="55"/>
      <c r="DR8" s="55"/>
      <c r="DS8" s="55"/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G8" s="55"/>
      <c r="EH8" s="55"/>
      <c r="EI8" s="55"/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  <c r="FF8" s="55"/>
      <c r="FG8" s="55"/>
      <c r="FH8" s="55"/>
      <c r="FI8" s="55"/>
      <c r="FJ8" s="55"/>
      <c r="FK8" s="55"/>
      <c r="FL8" s="55"/>
      <c r="FM8" s="55"/>
      <c r="FN8" s="55"/>
      <c r="FO8" s="55"/>
      <c r="FP8" s="55"/>
      <c r="FQ8" s="55"/>
      <c r="FR8" s="55"/>
      <c r="FS8" s="55"/>
      <c r="FT8" s="55"/>
      <c r="FU8" s="55"/>
      <c r="FV8" s="55"/>
      <c r="FW8" s="55"/>
      <c r="FX8" s="55"/>
      <c r="FY8" s="55"/>
      <c r="FZ8" s="55"/>
      <c r="GA8" s="55"/>
      <c r="GB8" s="55"/>
      <c r="GC8" s="55"/>
      <c r="GD8" s="55"/>
      <c r="GE8" s="55"/>
      <c r="GF8" s="55"/>
      <c r="GG8" s="55"/>
      <c r="GH8" s="55"/>
      <c r="GI8" s="55"/>
      <c r="GJ8" s="55"/>
      <c r="GK8" s="55"/>
      <c r="GL8" s="55"/>
      <c r="GM8" s="55"/>
      <c r="GN8" s="55"/>
      <c r="GO8" s="55"/>
      <c r="GP8" s="55"/>
      <c r="GQ8" s="55"/>
      <c r="GR8" s="55"/>
      <c r="GS8" s="55"/>
      <c r="GT8" s="55"/>
      <c r="GU8" s="55"/>
      <c r="GV8" s="55"/>
      <c r="GW8" s="55"/>
      <c r="GX8" s="55"/>
      <c r="GY8" s="55"/>
      <c r="GZ8" s="55"/>
      <c r="HA8" s="55"/>
      <c r="HB8" s="55"/>
      <c r="HC8" s="55"/>
      <c r="HD8" s="55"/>
      <c r="HE8" s="55"/>
      <c r="HF8" s="55"/>
      <c r="HG8" s="55"/>
      <c r="HH8" s="55"/>
      <c r="HI8" s="55"/>
      <c r="HJ8" s="55"/>
      <c r="HK8" s="55"/>
      <c r="HL8" s="55"/>
      <c r="HM8" s="55"/>
      <c r="HN8" s="55"/>
    </row>
    <row r="9" spans="1:222" s="60" customFormat="1" x14ac:dyDescent="0.2">
      <c r="A9" s="49">
        <v>4</v>
      </c>
      <c r="B9" s="49">
        <v>1</v>
      </c>
      <c r="C9" s="49" t="s">
        <v>78</v>
      </c>
      <c r="D9" s="51">
        <v>2457275.0556000001</v>
      </c>
      <c r="E9" s="51">
        <v>44800</v>
      </c>
      <c r="F9" s="51">
        <v>146500</v>
      </c>
      <c r="G9" s="51">
        <v>244707.50555999999</v>
      </c>
      <c r="H9" s="51">
        <v>244707.50555999999</v>
      </c>
      <c r="I9" s="51">
        <v>60000</v>
      </c>
      <c r="J9" s="50">
        <f t="shared" si="0"/>
        <v>3197990.06672</v>
      </c>
      <c r="K9" s="51"/>
      <c r="L9" s="52"/>
      <c r="M9" s="53"/>
      <c r="N9" s="53"/>
      <c r="O9" s="53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4"/>
      <c r="CG9" s="54"/>
      <c r="CH9" s="54"/>
      <c r="CI9" s="54"/>
      <c r="CJ9" s="54"/>
      <c r="CK9" s="54"/>
      <c r="CL9" s="54"/>
      <c r="CM9" s="54"/>
      <c r="CN9" s="54"/>
      <c r="CO9" s="54"/>
      <c r="CP9" s="54"/>
      <c r="CQ9" s="54"/>
      <c r="CR9" s="54"/>
      <c r="CS9" s="54"/>
      <c r="CT9" s="54"/>
      <c r="CU9" s="54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55"/>
      <c r="DG9" s="55"/>
      <c r="DH9" s="55"/>
      <c r="DI9" s="55"/>
      <c r="DJ9" s="55"/>
      <c r="DK9" s="55"/>
      <c r="DL9" s="55"/>
      <c r="DM9" s="55"/>
      <c r="DN9" s="55"/>
      <c r="DO9" s="55"/>
      <c r="DP9" s="55"/>
      <c r="DQ9" s="55"/>
      <c r="DR9" s="55"/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5"/>
      <c r="ED9" s="55"/>
      <c r="EE9" s="55"/>
      <c r="EF9" s="55"/>
      <c r="EG9" s="55"/>
      <c r="EH9" s="55"/>
      <c r="EI9" s="55"/>
      <c r="EJ9" s="55"/>
      <c r="EK9" s="55"/>
      <c r="EL9" s="55"/>
      <c r="EM9" s="55"/>
      <c r="EN9" s="55"/>
      <c r="EO9" s="55"/>
      <c r="EP9" s="55"/>
      <c r="EQ9" s="55"/>
      <c r="ER9" s="55"/>
      <c r="ES9" s="55"/>
      <c r="ET9" s="55"/>
      <c r="EU9" s="55"/>
      <c r="EV9" s="55"/>
      <c r="EW9" s="55"/>
      <c r="EX9" s="55"/>
      <c r="EY9" s="55"/>
      <c r="EZ9" s="55"/>
      <c r="FA9" s="55"/>
      <c r="FB9" s="55"/>
      <c r="FC9" s="55"/>
      <c r="FD9" s="55"/>
      <c r="FE9" s="55"/>
      <c r="FF9" s="55"/>
      <c r="FG9" s="55"/>
      <c r="FH9" s="55"/>
      <c r="FI9" s="55"/>
      <c r="FJ9" s="55"/>
      <c r="FK9" s="55"/>
      <c r="FL9" s="55"/>
      <c r="FM9" s="55"/>
      <c r="FN9" s="55"/>
      <c r="FO9" s="55"/>
      <c r="FP9" s="55"/>
      <c r="FQ9" s="55"/>
      <c r="FR9" s="55"/>
      <c r="FS9" s="55"/>
      <c r="FT9" s="55"/>
      <c r="FU9" s="55"/>
      <c r="FV9" s="55"/>
      <c r="FW9" s="55"/>
      <c r="FX9" s="55"/>
      <c r="FY9" s="55"/>
      <c r="FZ9" s="55"/>
      <c r="GA9" s="55"/>
      <c r="GB9" s="55"/>
      <c r="GC9" s="55"/>
      <c r="GD9" s="55"/>
      <c r="GE9" s="55"/>
      <c r="GF9" s="55"/>
      <c r="GG9" s="55"/>
      <c r="GH9" s="55"/>
      <c r="GI9" s="55"/>
      <c r="GJ9" s="55"/>
      <c r="GK9" s="55"/>
      <c r="GL9" s="55"/>
      <c r="GM9" s="55"/>
      <c r="GN9" s="55"/>
      <c r="GO9" s="55"/>
      <c r="GP9" s="55"/>
      <c r="GQ9" s="55"/>
      <c r="GR9" s="55"/>
      <c r="GS9" s="55"/>
      <c r="GT9" s="55"/>
      <c r="GU9" s="55"/>
      <c r="GV9" s="55"/>
      <c r="GW9" s="55"/>
      <c r="GX9" s="55"/>
      <c r="GY9" s="55"/>
      <c r="GZ9" s="55"/>
      <c r="HA9" s="55"/>
      <c r="HB9" s="55"/>
      <c r="HC9" s="55"/>
      <c r="HD9" s="55"/>
      <c r="HE9" s="55"/>
      <c r="HF9" s="55"/>
      <c r="HG9" s="55"/>
      <c r="HH9" s="55"/>
      <c r="HI9" s="55"/>
      <c r="HJ9" s="55"/>
      <c r="HK9" s="55"/>
      <c r="HL9" s="55"/>
      <c r="HM9" s="55"/>
      <c r="HN9" s="55"/>
    </row>
    <row r="10" spans="1:222" s="61" customFormat="1" x14ac:dyDescent="0.2">
      <c r="A10" s="49">
        <v>5</v>
      </c>
      <c r="B10" s="49"/>
      <c r="C10" s="57" t="s">
        <v>79</v>
      </c>
      <c r="D10" s="59">
        <v>3129039.4975999999</v>
      </c>
      <c r="E10" s="59">
        <v>37800</v>
      </c>
      <c r="F10" s="59">
        <v>84500</v>
      </c>
      <c r="G10" s="59">
        <v>311883.94975999999</v>
      </c>
      <c r="H10" s="59">
        <v>311883.94975999999</v>
      </c>
      <c r="I10" s="59">
        <v>80000</v>
      </c>
      <c r="J10" s="58">
        <f t="shared" si="0"/>
        <v>3955107.3971199999</v>
      </c>
      <c r="K10" s="59"/>
      <c r="L10" s="58">
        <f>+J10</f>
        <v>3955107.3971199999</v>
      </c>
      <c r="M10" s="46"/>
      <c r="N10" s="46"/>
      <c r="O10" s="46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  <c r="FP10" s="48"/>
      <c r="FQ10" s="48"/>
      <c r="FR10" s="48"/>
      <c r="FS10" s="48"/>
      <c r="FT10" s="48"/>
      <c r="FU10" s="48"/>
      <c r="FV10" s="48"/>
      <c r="FW10" s="48"/>
      <c r="FX10" s="48"/>
      <c r="FY10" s="48"/>
      <c r="FZ10" s="48"/>
      <c r="GA10" s="48"/>
      <c r="GB10" s="48"/>
      <c r="GC10" s="48"/>
      <c r="GD10" s="48"/>
      <c r="GE10" s="48"/>
      <c r="GF10" s="48"/>
      <c r="GG10" s="48"/>
      <c r="GH10" s="48"/>
      <c r="GI10" s="48"/>
      <c r="GJ10" s="48"/>
      <c r="GK10" s="48"/>
      <c r="GL10" s="48"/>
      <c r="GM10" s="48"/>
      <c r="GN10" s="48"/>
      <c r="GO10" s="48"/>
      <c r="GP10" s="48"/>
      <c r="GQ10" s="48"/>
      <c r="GR10" s="48"/>
      <c r="GS10" s="48"/>
      <c r="GT10" s="48"/>
      <c r="GU10" s="48"/>
      <c r="GV10" s="48"/>
      <c r="GW10" s="48"/>
      <c r="GX10" s="48"/>
      <c r="GY10" s="48"/>
      <c r="GZ10" s="48"/>
      <c r="HA10" s="48"/>
      <c r="HB10" s="48"/>
      <c r="HC10" s="48"/>
      <c r="HD10" s="48"/>
      <c r="HE10" s="48"/>
      <c r="HF10" s="48"/>
      <c r="HG10" s="48"/>
      <c r="HH10" s="48"/>
      <c r="HI10" s="48"/>
      <c r="HJ10" s="48"/>
      <c r="HK10" s="48"/>
      <c r="HL10" s="48"/>
      <c r="HM10" s="48"/>
      <c r="HN10" s="48"/>
    </row>
    <row r="11" spans="1:222" s="61" customFormat="1" x14ac:dyDescent="0.2">
      <c r="A11" s="49">
        <v>6</v>
      </c>
      <c r="B11" s="49"/>
      <c r="C11" s="57" t="s">
        <v>80</v>
      </c>
      <c r="D11" s="59">
        <v>3333220.1014</v>
      </c>
      <c r="E11" s="59">
        <v>47600</v>
      </c>
      <c r="F11" s="59">
        <v>118300</v>
      </c>
      <c r="G11" s="59">
        <v>332302.01014000003</v>
      </c>
      <c r="H11" s="59">
        <v>332302.01014000003</v>
      </c>
      <c r="I11" s="59">
        <v>80000</v>
      </c>
      <c r="J11" s="58">
        <f t="shared" si="0"/>
        <v>4243724.1216799999</v>
      </c>
      <c r="K11" s="59"/>
      <c r="L11" s="58">
        <f>+J11</f>
        <v>4243724.1216799999</v>
      </c>
      <c r="M11" s="46"/>
      <c r="N11" s="46"/>
      <c r="O11" s="46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48"/>
      <c r="FV11" s="48"/>
      <c r="FW11" s="48"/>
      <c r="FX11" s="48"/>
      <c r="FY11" s="48"/>
      <c r="FZ11" s="48"/>
      <c r="GA11" s="48"/>
      <c r="GB11" s="48"/>
      <c r="GC11" s="48"/>
      <c r="GD11" s="48"/>
      <c r="GE11" s="48"/>
      <c r="GF11" s="48"/>
      <c r="GG11" s="48"/>
      <c r="GH11" s="48"/>
      <c r="GI11" s="48"/>
      <c r="GJ11" s="48"/>
      <c r="GK11" s="48"/>
      <c r="GL11" s="48"/>
      <c r="GM11" s="48"/>
      <c r="GN11" s="48"/>
      <c r="GO11" s="48"/>
      <c r="GP11" s="48"/>
      <c r="GQ11" s="48"/>
      <c r="GR11" s="48"/>
      <c r="GS11" s="48"/>
      <c r="GT11" s="48"/>
      <c r="GU11" s="48"/>
      <c r="GV11" s="48"/>
      <c r="GW11" s="48"/>
      <c r="GX11" s="48"/>
      <c r="GY11" s="48"/>
      <c r="GZ11" s="48"/>
      <c r="HA11" s="48"/>
      <c r="HB11" s="48"/>
      <c r="HC11" s="48"/>
      <c r="HD11" s="48"/>
      <c r="HE11" s="48"/>
      <c r="HF11" s="48"/>
      <c r="HG11" s="48"/>
      <c r="HH11" s="48"/>
      <c r="HI11" s="48"/>
      <c r="HJ11" s="48"/>
      <c r="HK11" s="48"/>
      <c r="HL11" s="48"/>
      <c r="HM11" s="48"/>
      <c r="HN11" s="48"/>
    </row>
    <row r="12" spans="1:222" s="62" customFormat="1" x14ac:dyDescent="0.2">
      <c r="A12" s="49">
        <v>7</v>
      </c>
      <c r="B12" s="49"/>
      <c r="C12" s="57" t="s">
        <v>81</v>
      </c>
      <c r="D12" s="59">
        <v>11514176.2818</v>
      </c>
      <c r="E12" s="59">
        <v>49800</v>
      </c>
      <c r="F12" s="59">
        <v>158800</v>
      </c>
      <c r="G12" s="59">
        <v>1151417.62818</v>
      </c>
      <c r="H12" s="59">
        <v>1151417.62818</v>
      </c>
      <c r="I12" s="59">
        <v>100000</v>
      </c>
      <c r="J12" s="58">
        <f t="shared" si="0"/>
        <v>14125611.53816</v>
      </c>
      <c r="K12" s="59"/>
      <c r="L12" s="58">
        <f>+J12</f>
        <v>14125611.53816</v>
      </c>
      <c r="M12" s="46"/>
      <c r="N12" s="46"/>
      <c r="O12" s="46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  <c r="FP12" s="48"/>
      <c r="FQ12" s="48"/>
      <c r="FR12" s="48"/>
      <c r="FS12" s="48"/>
      <c r="FT12" s="48"/>
      <c r="FU12" s="48"/>
      <c r="FV12" s="48"/>
      <c r="FW12" s="48"/>
      <c r="FX12" s="48"/>
      <c r="FY12" s="48"/>
      <c r="FZ12" s="48"/>
      <c r="GA12" s="48"/>
      <c r="GB12" s="48"/>
      <c r="GC12" s="48"/>
      <c r="GD12" s="48"/>
      <c r="GE12" s="48"/>
      <c r="GF12" s="48"/>
      <c r="GG12" s="48"/>
      <c r="GH12" s="48"/>
      <c r="GI12" s="48"/>
      <c r="GJ12" s="48"/>
      <c r="GK12" s="48"/>
      <c r="GL12" s="48"/>
      <c r="GM12" s="48"/>
      <c r="GN12" s="48"/>
      <c r="GO12" s="48"/>
      <c r="GP12" s="48"/>
      <c r="GQ12" s="48"/>
      <c r="GR12" s="48"/>
      <c r="GS12" s="48"/>
      <c r="GT12" s="48"/>
      <c r="GU12" s="48"/>
      <c r="GV12" s="48"/>
      <c r="GW12" s="48"/>
      <c r="GX12" s="48"/>
      <c r="GY12" s="48"/>
      <c r="GZ12" s="48"/>
      <c r="HA12" s="48"/>
      <c r="HB12" s="48"/>
      <c r="HC12" s="48"/>
      <c r="HD12" s="48"/>
      <c r="HE12" s="48"/>
      <c r="HF12" s="48"/>
      <c r="HG12" s="48"/>
      <c r="HH12" s="48"/>
      <c r="HI12" s="48"/>
      <c r="HJ12" s="48"/>
      <c r="HK12" s="48"/>
      <c r="HL12" s="48"/>
      <c r="HM12" s="48"/>
      <c r="HN12" s="48"/>
    </row>
    <row r="13" spans="1:222" s="62" customFormat="1" x14ac:dyDescent="0.2">
      <c r="A13" s="49">
        <v>8</v>
      </c>
      <c r="B13" s="49"/>
      <c r="C13" s="49" t="s">
        <v>82</v>
      </c>
      <c r="D13" s="51">
        <v>3858504.7831999995</v>
      </c>
      <c r="E13" s="51">
        <v>50800</v>
      </c>
      <c r="F13" s="51">
        <v>159400</v>
      </c>
      <c r="G13" s="51">
        <v>384830.47832000005</v>
      </c>
      <c r="H13" s="51">
        <v>384830.47832000005</v>
      </c>
      <c r="I13" s="51">
        <v>80000</v>
      </c>
      <c r="J13" s="50">
        <f t="shared" si="0"/>
        <v>4918365.739839999</v>
      </c>
      <c r="K13" s="51"/>
      <c r="L13" s="52"/>
      <c r="M13" s="46"/>
      <c r="N13" s="46"/>
      <c r="O13" s="46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  <c r="FP13" s="48"/>
      <c r="FQ13" s="48"/>
      <c r="FR13" s="48"/>
      <c r="FS13" s="48"/>
      <c r="FT13" s="48"/>
      <c r="FU13" s="48"/>
      <c r="FV13" s="48"/>
      <c r="FW13" s="48"/>
      <c r="FX13" s="48"/>
      <c r="FY13" s="48"/>
      <c r="FZ13" s="48"/>
      <c r="GA13" s="48"/>
      <c r="GB13" s="48"/>
      <c r="GC13" s="48"/>
      <c r="GD13" s="48"/>
      <c r="GE13" s="48"/>
      <c r="GF13" s="48"/>
      <c r="GG13" s="48"/>
      <c r="GH13" s="48"/>
      <c r="GI13" s="48"/>
      <c r="GJ13" s="48"/>
      <c r="GK13" s="48"/>
      <c r="GL13" s="48"/>
      <c r="GM13" s="48"/>
      <c r="GN13" s="48"/>
      <c r="GO13" s="48"/>
      <c r="GP13" s="48"/>
      <c r="GQ13" s="48"/>
      <c r="GR13" s="48"/>
      <c r="GS13" s="48"/>
      <c r="GT13" s="48"/>
      <c r="GU13" s="48"/>
      <c r="GV13" s="48"/>
      <c r="GW13" s="48"/>
      <c r="GX13" s="48"/>
      <c r="GY13" s="48"/>
      <c r="GZ13" s="48"/>
      <c r="HA13" s="48"/>
      <c r="HB13" s="48"/>
      <c r="HC13" s="48"/>
      <c r="HD13" s="48"/>
      <c r="HE13" s="48"/>
      <c r="HF13" s="48"/>
      <c r="HG13" s="48"/>
      <c r="HH13" s="48"/>
      <c r="HI13" s="48"/>
      <c r="HJ13" s="48"/>
      <c r="HK13" s="48"/>
      <c r="HL13" s="48"/>
      <c r="HM13" s="48"/>
      <c r="HN13" s="48"/>
    </row>
    <row r="14" spans="1:222" s="62" customFormat="1" x14ac:dyDescent="0.2">
      <c r="A14" s="49">
        <v>9</v>
      </c>
      <c r="B14" s="49"/>
      <c r="C14" s="49" t="s">
        <v>83</v>
      </c>
      <c r="D14" s="51">
        <v>8565999.4145999998</v>
      </c>
      <c r="E14" s="51">
        <v>47600</v>
      </c>
      <c r="F14" s="51">
        <v>125300</v>
      </c>
      <c r="G14" s="51">
        <v>855579.94146</v>
      </c>
      <c r="H14" s="51">
        <v>855579.94146</v>
      </c>
      <c r="I14" s="51">
        <v>80000</v>
      </c>
      <c r="J14" s="50">
        <f t="shared" si="0"/>
        <v>10530059.29752</v>
      </c>
      <c r="K14" s="51"/>
      <c r="L14" s="50"/>
      <c r="M14" s="46"/>
      <c r="N14" s="46"/>
      <c r="O14" s="46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48"/>
      <c r="FV14" s="48"/>
      <c r="FW14" s="48"/>
      <c r="FX14" s="48"/>
      <c r="FY14" s="48"/>
      <c r="FZ14" s="48"/>
      <c r="GA14" s="48"/>
      <c r="GB14" s="48"/>
      <c r="GC14" s="48"/>
      <c r="GD14" s="48"/>
      <c r="GE14" s="48"/>
      <c r="GF14" s="48"/>
      <c r="GG14" s="48"/>
      <c r="GH14" s="48"/>
      <c r="GI14" s="48"/>
      <c r="GJ14" s="48"/>
      <c r="GK14" s="48"/>
      <c r="GL14" s="48"/>
      <c r="GM14" s="48"/>
      <c r="GN14" s="48"/>
      <c r="GO14" s="48"/>
      <c r="GP14" s="48"/>
      <c r="GQ14" s="48"/>
      <c r="GR14" s="48"/>
      <c r="GS14" s="48"/>
      <c r="GT14" s="48"/>
      <c r="GU14" s="48"/>
      <c r="GV14" s="48"/>
      <c r="GW14" s="48"/>
      <c r="GX14" s="48"/>
      <c r="GY14" s="48"/>
      <c r="GZ14" s="48"/>
      <c r="HA14" s="48"/>
      <c r="HB14" s="48"/>
      <c r="HC14" s="48"/>
      <c r="HD14" s="48"/>
      <c r="HE14" s="48"/>
      <c r="HF14" s="48"/>
      <c r="HG14" s="48"/>
      <c r="HH14" s="48"/>
      <c r="HI14" s="48"/>
      <c r="HJ14" s="48"/>
      <c r="HK14" s="48"/>
      <c r="HL14" s="48"/>
      <c r="HM14" s="48"/>
      <c r="HN14" s="48"/>
    </row>
    <row r="15" spans="1:222" s="62" customFormat="1" x14ac:dyDescent="0.2">
      <c r="A15" s="49">
        <v>10</v>
      </c>
      <c r="B15" s="49"/>
      <c r="C15" s="49" t="s">
        <v>84</v>
      </c>
      <c r="D15" s="51">
        <v>3429218.1989999996</v>
      </c>
      <c r="E15" s="51">
        <v>50800</v>
      </c>
      <c r="F15" s="51">
        <v>159400</v>
      </c>
      <c r="G15" s="51">
        <v>341901.8199</v>
      </c>
      <c r="H15" s="51">
        <v>341901.8199</v>
      </c>
      <c r="I15" s="51">
        <v>80000</v>
      </c>
      <c r="J15" s="50">
        <f t="shared" si="0"/>
        <v>4403221.8388</v>
      </c>
      <c r="K15" s="51"/>
      <c r="L15" s="52"/>
      <c r="M15" s="46"/>
      <c r="N15" s="46"/>
      <c r="O15" s="46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</row>
    <row r="16" spans="1:222" s="62" customFormat="1" x14ac:dyDescent="0.2">
      <c r="A16" s="49">
        <v>11</v>
      </c>
      <c r="B16" s="49"/>
      <c r="C16" s="49" t="s">
        <v>85</v>
      </c>
      <c r="D16" s="51">
        <v>700120.71259999997</v>
      </c>
      <c r="E16" s="51">
        <v>47600</v>
      </c>
      <c r="F16" s="51">
        <v>105300</v>
      </c>
      <c r="G16" s="51">
        <v>68992.071259999997</v>
      </c>
      <c r="H16" s="51">
        <v>68992.071259999997</v>
      </c>
      <c r="I16" s="51">
        <v>60000</v>
      </c>
      <c r="J16" s="50">
        <f t="shared" si="0"/>
        <v>1051004.85512</v>
      </c>
      <c r="K16" s="51"/>
      <c r="L16" s="52"/>
      <c r="M16" s="46"/>
      <c r="N16" s="46"/>
      <c r="O16" s="46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48"/>
      <c r="FV16" s="48"/>
      <c r="FW16" s="48"/>
      <c r="FX16" s="48"/>
      <c r="FY16" s="48"/>
      <c r="FZ16" s="48"/>
      <c r="GA16" s="48"/>
      <c r="GB16" s="48"/>
      <c r="GC16" s="48"/>
      <c r="GD16" s="48"/>
      <c r="GE16" s="48"/>
      <c r="GF16" s="48"/>
      <c r="GG16" s="48"/>
      <c r="GH16" s="48"/>
      <c r="GI16" s="48"/>
      <c r="GJ16" s="48"/>
      <c r="GK16" s="48"/>
      <c r="GL16" s="48"/>
      <c r="GM16" s="48"/>
      <c r="GN16" s="48"/>
      <c r="GO16" s="48"/>
      <c r="GP16" s="48"/>
      <c r="GQ16" s="48"/>
      <c r="GR16" s="48"/>
      <c r="GS16" s="48"/>
      <c r="GT16" s="48"/>
      <c r="GU16" s="48"/>
      <c r="GV16" s="48"/>
      <c r="GW16" s="48"/>
      <c r="GX16" s="48"/>
      <c r="GY16" s="48"/>
      <c r="GZ16" s="48"/>
      <c r="HA16" s="48"/>
      <c r="HB16" s="48"/>
      <c r="HC16" s="48"/>
      <c r="HD16" s="48"/>
      <c r="HE16" s="48"/>
      <c r="HF16" s="48"/>
      <c r="HG16" s="48"/>
      <c r="HH16" s="48"/>
      <c r="HI16" s="48"/>
      <c r="HJ16" s="48"/>
      <c r="HK16" s="48"/>
      <c r="HL16" s="48"/>
      <c r="HM16" s="48"/>
      <c r="HN16" s="48"/>
    </row>
    <row r="17" spans="1:222" s="62" customFormat="1" x14ac:dyDescent="0.2">
      <c r="A17" s="49">
        <v>12</v>
      </c>
      <c r="B17" s="49"/>
      <c r="C17" s="57" t="s">
        <v>86</v>
      </c>
      <c r="D17" s="63">
        <v>26835319.952599999</v>
      </c>
      <c r="E17" s="59">
        <v>70000</v>
      </c>
      <c r="F17" s="59">
        <v>200500</v>
      </c>
      <c r="G17" s="59">
        <v>2683531.9952600002</v>
      </c>
      <c r="H17" s="59">
        <v>2683531.9952600002</v>
      </c>
      <c r="I17" s="59">
        <v>100000</v>
      </c>
      <c r="J17" s="58">
        <f t="shared" si="0"/>
        <v>32572883.943119999</v>
      </c>
      <c r="K17" s="59"/>
      <c r="L17" s="58">
        <f>+J17</f>
        <v>32572883.943119999</v>
      </c>
      <c r="M17" s="46"/>
      <c r="N17" s="46"/>
      <c r="O17" s="46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  <c r="FV17" s="48"/>
      <c r="FW17" s="48"/>
      <c r="FX17" s="48"/>
      <c r="FY17" s="48"/>
      <c r="FZ17" s="48"/>
      <c r="GA17" s="48"/>
      <c r="GB17" s="48"/>
      <c r="GC17" s="48"/>
      <c r="GD17" s="48"/>
      <c r="GE17" s="48"/>
      <c r="GF17" s="48"/>
      <c r="GG17" s="48"/>
      <c r="GH17" s="48"/>
      <c r="GI17" s="48"/>
      <c r="GJ17" s="48"/>
      <c r="GK17" s="48"/>
      <c r="GL17" s="48"/>
      <c r="GM17" s="48"/>
      <c r="GN17" s="48"/>
      <c r="GO17" s="48"/>
      <c r="GP17" s="48"/>
      <c r="GQ17" s="48"/>
      <c r="GR17" s="48"/>
      <c r="GS17" s="48"/>
      <c r="GT17" s="48"/>
      <c r="GU17" s="48"/>
      <c r="GV17" s="48"/>
      <c r="GW17" s="48"/>
      <c r="GX17" s="48"/>
      <c r="GY17" s="48"/>
      <c r="GZ17" s="48"/>
      <c r="HA17" s="48"/>
      <c r="HB17" s="48"/>
      <c r="HC17" s="48"/>
      <c r="HD17" s="48"/>
      <c r="HE17" s="48"/>
      <c r="HF17" s="48"/>
      <c r="HG17" s="48"/>
      <c r="HH17" s="48"/>
      <c r="HI17" s="48"/>
      <c r="HJ17" s="48"/>
      <c r="HK17" s="48"/>
      <c r="HL17" s="48"/>
      <c r="HM17" s="48"/>
      <c r="HN17" s="48"/>
    </row>
    <row r="18" spans="1:222" s="67" customFormat="1" ht="15" customHeight="1" x14ac:dyDescent="0.2">
      <c r="A18" s="64"/>
      <c r="B18" s="64"/>
      <c r="C18" s="65" t="s">
        <v>87</v>
      </c>
      <c r="D18" s="66">
        <f t="shared" ref="D18:J18" si="1">SUM(D6:D17)</f>
        <v>67925573.109399989</v>
      </c>
      <c r="E18" s="66">
        <f t="shared" si="1"/>
        <v>604200</v>
      </c>
      <c r="F18" s="66">
        <f t="shared" si="1"/>
        <v>1598050</v>
      </c>
      <c r="G18" s="66">
        <f t="shared" si="1"/>
        <v>6782357.3109400002</v>
      </c>
      <c r="H18" s="66">
        <f t="shared" si="1"/>
        <v>6782357.3109400002</v>
      </c>
      <c r="I18" s="66">
        <f t="shared" si="1"/>
        <v>900000</v>
      </c>
      <c r="J18" s="66">
        <f t="shared" si="1"/>
        <v>84592537.731279999</v>
      </c>
      <c r="K18" s="66">
        <f>SUM(D18:I18)</f>
        <v>84592537.731279984</v>
      </c>
      <c r="L18" s="66">
        <f>SUM(L6:L17)</f>
        <v>58318880.687199995</v>
      </c>
      <c r="M18" s="46"/>
      <c r="N18" s="46"/>
      <c r="O18" s="46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  <c r="GO18" s="48"/>
      <c r="GP18" s="48"/>
      <c r="GQ18" s="48"/>
      <c r="GR18" s="48"/>
      <c r="GS18" s="48"/>
      <c r="GT18" s="48"/>
      <c r="GU18" s="48"/>
      <c r="GV18" s="48"/>
      <c r="GW18" s="48"/>
      <c r="GX18" s="48"/>
      <c r="GY18" s="48"/>
      <c r="GZ18" s="48"/>
      <c r="HA18" s="48"/>
      <c r="HB18" s="48"/>
      <c r="HC18" s="48"/>
      <c r="HD18" s="48"/>
      <c r="HE18" s="48"/>
      <c r="HF18" s="48"/>
      <c r="HG18" s="48"/>
      <c r="HH18" s="48"/>
      <c r="HI18" s="48"/>
      <c r="HJ18" s="48"/>
      <c r="HK18" s="48"/>
      <c r="HL18" s="48"/>
      <c r="HM18" s="48"/>
      <c r="HN18" s="48"/>
    </row>
    <row r="19" spans="1:222" s="61" customFormat="1" x14ac:dyDescent="0.2">
      <c r="A19" s="49">
        <v>13</v>
      </c>
      <c r="B19" s="49"/>
      <c r="C19" s="57" t="s">
        <v>88</v>
      </c>
      <c r="D19" s="59">
        <v>1666811.2773999998</v>
      </c>
      <c r="E19" s="59">
        <v>62800</v>
      </c>
      <c r="F19" s="59">
        <v>145885.68</v>
      </c>
      <c r="G19" s="59">
        <v>128196.3</v>
      </c>
      <c r="H19" s="59">
        <f>+D19*0.1</f>
        <v>166681.12774</v>
      </c>
      <c r="I19" s="59">
        <v>80605.8</v>
      </c>
      <c r="J19" s="59">
        <f t="shared" si="0"/>
        <v>2250980.1851399997</v>
      </c>
      <c r="K19" s="63" t="s">
        <v>89</v>
      </c>
      <c r="L19" s="58">
        <f>+J19</f>
        <v>2250980.1851399997</v>
      </c>
      <c r="M19" s="46"/>
      <c r="N19" s="46"/>
      <c r="O19" s="46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</row>
    <row r="20" spans="1:222" s="48" customFormat="1" x14ac:dyDescent="0.2">
      <c r="A20" s="49">
        <v>14</v>
      </c>
      <c r="B20" s="49"/>
      <c r="C20" s="68" t="s">
        <v>90</v>
      </c>
      <c r="D20" s="69">
        <v>7584000.1839999985</v>
      </c>
      <c r="E20" s="51">
        <v>62800</v>
      </c>
      <c r="F20" s="51">
        <v>47885.68</v>
      </c>
      <c r="G20" s="51">
        <v>363950.73333333334</v>
      </c>
      <c r="H20" s="51">
        <v>758400.01839999994</v>
      </c>
      <c r="I20" s="51">
        <v>67693.945000000007</v>
      </c>
      <c r="J20" s="51">
        <f t="shared" si="0"/>
        <v>8884730.5607333314</v>
      </c>
      <c r="K20" s="69" t="s">
        <v>89</v>
      </c>
      <c r="L20" s="50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</row>
    <row r="21" spans="1:222" s="48" customFormat="1" x14ac:dyDescent="0.2">
      <c r="A21" s="49">
        <v>15</v>
      </c>
      <c r="B21" s="49"/>
      <c r="C21" s="68" t="s">
        <v>91</v>
      </c>
      <c r="D21" s="69">
        <v>4914309.9745999984</v>
      </c>
      <c r="E21" s="51">
        <v>62800</v>
      </c>
      <c r="F21" s="51">
        <v>153885.68</v>
      </c>
      <c r="G21" s="51">
        <v>281976.33333333337</v>
      </c>
      <c r="H21" s="51">
        <v>491430.99745999987</v>
      </c>
      <c r="I21" s="51">
        <v>73246.78899999999</v>
      </c>
      <c r="J21" s="51">
        <f t="shared" si="0"/>
        <v>5977649.7743933313</v>
      </c>
      <c r="K21" s="69" t="s">
        <v>89</v>
      </c>
      <c r="L21" s="50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</row>
    <row r="22" spans="1:222" s="48" customFormat="1" x14ac:dyDescent="0.2">
      <c r="A22" s="49">
        <v>16</v>
      </c>
      <c r="B22" s="49"/>
      <c r="C22" s="57" t="s">
        <v>92</v>
      </c>
      <c r="D22" s="59">
        <v>6899051.3069999991</v>
      </c>
      <c r="E22" s="59">
        <v>62800</v>
      </c>
      <c r="F22" s="59">
        <v>169885.68</v>
      </c>
      <c r="G22" s="59">
        <v>244872.23333333334</v>
      </c>
      <c r="H22" s="59">
        <v>689905.13069999998</v>
      </c>
      <c r="I22" s="59">
        <v>81128.244999999995</v>
      </c>
      <c r="J22" s="59">
        <f t="shared" si="0"/>
        <v>8147642.5960333319</v>
      </c>
      <c r="K22" s="63" t="s">
        <v>89</v>
      </c>
      <c r="L22" s="58">
        <f>+J22</f>
        <v>8147642.5960333319</v>
      </c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</row>
    <row r="23" spans="1:222" s="48" customFormat="1" x14ac:dyDescent="0.2">
      <c r="A23" s="49">
        <v>17</v>
      </c>
      <c r="B23" s="49"/>
      <c r="C23" s="57" t="s">
        <v>93</v>
      </c>
      <c r="D23" s="59">
        <v>2943874.7261999999</v>
      </c>
      <c r="E23" s="59">
        <v>62800</v>
      </c>
      <c r="F23" s="59">
        <v>71885.679999999993</v>
      </c>
      <c r="G23" s="59">
        <v>227178.33333333331</v>
      </c>
      <c r="H23" s="59">
        <v>294387.47262000002</v>
      </c>
      <c r="I23" s="59">
        <v>80755.070000000007</v>
      </c>
      <c r="J23" s="59">
        <f t="shared" si="0"/>
        <v>3680881.2821533335</v>
      </c>
      <c r="K23" s="63" t="s">
        <v>89</v>
      </c>
      <c r="L23" s="58">
        <f>+J23</f>
        <v>3680881.2821533335</v>
      </c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</row>
    <row r="24" spans="1:222" s="48" customFormat="1" x14ac:dyDescent="0.2">
      <c r="A24" s="49">
        <v>18</v>
      </c>
      <c r="B24" s="49"/>
      <c r="C24" s="68" t="s">
        <v>94</v>
      </c>
      <c r="D24" s="51">
        <v>5293167.5713999979</v>
      </c>
      <c r="E24" s="51">
        <f>+E23</f>
        <v>62800</v>
      </c>
      <c r="F24" s="51">
        <v>153885.68</v>
      </c>
      <c r="G24" s="51">
        <v>324921.16666666663</v>
      </c>
      <c r="H24" s="51">
        <v>529316.75713999977</v>
      </c>
      <c r="I24" s="51">
        <v>75008.175000000003</v>
      </c>
      <c r="J24" s="51">
        <f t="shared" si="0"/>
        <v>6439099.3502066638</v>
      </c>
      <c r="K24" s="69" t="s">
        <v>89</v>
      </c>
      <c r="L24" s="50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</row>
    <row r="25" spans="1:222" s="48" customFormat="1" x14ac:dyDescent="0.2">
      <c r="A25" s="49">
        <v>19</v>
      </c>
      <c r="B25" s="49"/>
      <c r="C25" s="49" t="s">
        <v>95</v>
      </c>
      <c r="D25" s="51">
        <v>7487647.873999998</v>
      </c>
      <c r="E25" s="51">
        <f>+E24</f>
        <v>62800</v>
      </c>
      <c r="F25" s="51">
        <v>137885.68</v>
      </c>
      <c r="G25" s="51">
        <v>200857.66666666669</v>
      </c>
      <c r="H25" s="51">
        <v>748764.7873999998</v>
      </c>
      <c r="I25" s="51">
        <v>78516.02</v>
      </c>
      <c r="J25" s="51">
        <f t="shared" si="0"/>
        <v>8716472.0280666649</v>
      </c>
      <c r="K25" s="69" t="s">
        <v>89</v>
      </c>
      <c r="L25" s="50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</row>
    <row r="26" spans="1:222" s="48" customFormat="1" x14ac:dyDescent="0.2">
      <c r="A26" s="49">
        <v>20</v>
      </c>
      <c r="B26" s="49"/>
      <c r="C26" s="68" t="s">
        <v>96</v>
      </c>
      <c r="D26" s="51">
        <v>2872717.5047999988</v>
      </c>
      <c r="E26" s="51">
        <v>62800</v>
      </c>
      <c r="F26" s="51">
        <v>129885.68</v>
      </c>
      <c r="G26" s="51">
        <v>292715.98333333334</v>
      </c>
      <c r="H26" s="51">
        <v>287271.75047999987</v>
      </c>
      <c r="I26" s="51">
        <v>82620.945000000007</v>
      </c>
      <c r="J26" s="51">
        <f t="shared" si="0"/>
        <v>3728011.8636133322</v>
      </c>
      <c r="K26" s="69" t="s">
        <v>89</v>
      </c>
      <c r="L26" s="50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</row>
    <row r="27" spans="1:222" s="48" customFormat="1" x14ac:dyDescent="0.2">
      <c r="A27" s="49">
        <v>21</v>
      </c>
      <c r="B27" s="49"/>
      <c r="C27" s="68" t="s">
        <v>97</v>
      </c>
      <c r="D27" s="51">
        <v>4054402.4858000004</v>
      </c>
      <c r="E27" s="51">
        <f>+E19</f>
        <v>62800</v>
      </c>
      <c r="F27" s="51">
        <v>129885.68</v>
      </c>
      <c r="G27" s="51">
        <v>305583.16666666663</v>
      </c>
      <c r="H27" s="51">
        <v>405440.24858000007</v>
      </c>
      <c r="I27" s="51">
        <v>80307.260000000009</v>
      </c>
      <c r="J27" s="51">
        <f t="shared" si="0"/>
        <v>5038418.8410466677</v>
      </c>
      <c r="K27" s="69" t="s">
        <v>89</v>
      </c>
      <c r="L27" s="50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</row>
    <row r="28" spans="1:222" s="48" customFormat="1" x14ac:dyDescent="0.2">
      <c r="A28" s="49">
        <v>22</v>
      </c>
      <c r="B28" s="49"/>
      <c r="C28" s="57" t="s">
        <v>98</v>
      </c>
      <c r="D28" s="59">
        <v>2294812.3041999997</v>
      </c>
      <c r="E28" s="59">
        <v>62800</v>
      </c>
      <c r="F28" s="59">
        <v>129885.68</v>
      </c>
      <c r="G28" s="59">
        <v>160390.81666666665</v>
      </c>
      <c r="H28" s="59">
        <v>229481.23041999998</v>
      </c>
      <c r="I28" s="59">
        <v>76948.684999999998</v>
      </c>
      <c r="J28" s="59">
        <f t="shared" si="0"/>
        <v>2954318.7162866662</v>
      </c>
      <c r="K28" s="63" t="s">
        <v>89</v>
      </c>
      <c r="L28" s="58">
        <f>+J28</f>
        <v>2954318.7162866662</v>
      </c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</row>
    <row r="29" spans="1:222" s="48" customFormat="1" x14ac:dyDescent="0.2">
      <c r="A29" s="49">
        <v>23</v>
      </c>
      <c r="B29" s="49"/>
      <c r="C29" s="57" t="s">
        <v>99</v>
      </c>
      <c r="D29" s="59">
        <v>8361349.3739999998</v>
      </c>
      <c r="E29" s="59">
        <v>105500</v>
      </c>
      <c r="F29" s="59">
        <v>31885.68</v>
      </c>
      <c r="G29" s="59">
        <v>324921.16666666663</v>
      </c>
      <c r="H29" s="59">
        <v>836134.93740000005</v>
      </c>
      <c r="I29" s="59">
        <v>75008.175000000003</v>
      </c>
      <c r="J29" s="59">
        <f t="shared" si="0"/>
        <v>9734799.3330666665</v>
      </c>
      <c r="K29" s="63" t="s">
        <v>89</v>
      </c>
      <c r="L29" s="58">
        <f>+J29</f>
        <v>9734799.3330666665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</row>
    <row r="30" spans="1:222" s="48" customFormat="1" x14ac:dyDescent="0.2">
      <c r="A30" s="49">
        <v>24</v>
      </c>
      <c r="B30" s="49"/>
      <c r="C30" s="57" t="s">
        <v>100</v>
      </c>
      <c r="D30" s="59">
        <v>10295697.130800001</v>
      </c>
      <c r="E30" s="59">
        <v>62800</v>
      </c>
      <c r="F30" s="59">
        <v>241885.68</v>
      </c>
      <c r="G30" s="59">
        <v>395063.23333333334</v>
      </c>
      <c r="H30" s="59">
        <f t="shared" ref="H30:H31" si="2">+D30*0.1</f>
        <v>1029569.7130800001</v>
      </c>
      <c r="I30" s="59">
        <v>76575.509999999995</v>
      </c>
      <c r="J30" s="59">
        <f t="shared" si="0"/>
        <v>12101591.267213333</v>
      </c>
      <c r="K30" s="63" t="s">
        <v>89</v>
      </c>
      <c r="L30" s="58">
        <f>+J30</f>
        <v>12101591.267213333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</row>
    <row r="31" spans="1:222" s="48" customFormat="1" x14ac:dyDescent="0.2">
      <c r="A31" s="49">
        <v>25</v>
      </c>
      <c r="B31" s="49"/>
      <c r="C31" s="57" t="s">
        <v>101</v>
      </c>
      <c r="D31" s="59">
        <v>1972855.8532</v>
      </c>
      <c r="E31" s="59">
        <f>+E19</f>
        <v>62800</v>
      </c>
      <c r="F31" s="59">
        <v>121885.68</v>
      </c>
      <c r="G31" s="59">
        <v>186394.33333333331</v>
      </c>
      <c r="H31" s="59">
        <f t="shared" si="2"/>
        <v>197285.58532000001</v>
      </c>
      <c r="I31" s="59">
        <v>74187.19</v>
      </c>
      <c r="J31" s="59">
        <f t="shared" si="0"/>
        <v>2615408.6418533335</v>
      </c>
      <c r="K31" s="63" t="s">
        <v>89</v>
      </c>
      <c r="L31" s="58">
        <f>+J31</f>
        <v>2615408.6418533335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</row>
    <row r="32" spans="1:222" s="71" customFormat="1" x14ac:dyDescent="0.2">
      <c r="A32" s="49">
        <v>26</v>
      </c>
      <c r="B32" s="49"/>
      <c r="C32" s="57" t="s">
        <v>102</v>
      </c>
      <c r="D32" s="59">
        <v>2737293.4006000003</v>
      </c>
      <c r="E32" s="59">
        <v>62800</v>
      </c>
      <c r="F32" s="59">
        <v>121885.68</v>
      </c>
      <c r="G32" s="59">
        <v>182939.66666666669</v>
      </c>
      <c r="H32" s="59">
        <v>273729.34006000002</v>
      </c>
      <c r="I32" s="59">
        <v>78232.407000000007</v>
      </c>
      <c r="J32" s="59">
        <f t="shared" si="0"/>
        <v>3456880.4943266669</v>
      </c>
      <c r="K32" s="63" t="s">
        <v>89</v>
      </c>
      <c r="L32" s="58">
        <f>+J32</f>
        <v>3456880.4943266669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70"/>
      <c r="CK32" s="70"/>
      <c r="CL32" s="70"/>
      <c r="CM32" s="70"/>
      <c r="CN32" s="70"/>
      <c r="CO32" s="70"/>
      <c r="CP32" s="70"/>
      <c r="CQ32" s="70"/>
      <c r="CR32" s="70"/>
      <c r="CS32" s="70"/>
      <c r="CT32" s="70"/>
      <c r="CU32" s="70"/>
    </row>
    <row r="33" spans="1:222" s="48" customFormat="1" x14ac:dyDescent="0.2">
      <c r="A33" s="49">
        <v>27</v>
      </c>
      <c r="B33" s="49"/>
      <c r="C33" s="68" t="s">
        <v>103</v>
      </c>
      <c r="D33" s="69">
        <v>5263831.4615999982</v>
      </c>
      <c r="E33" s="51">
        <v>62800</v>
      </c>
      <c r="F33" s="51">
        <v>145885.68</v>
      </c>
      <c r="G33" s="51">
        <v>350313.16666666663</v>
      </c>
      <c r="H33" s="51">
        <v>526383.14615999989</v>
      </c>
      <c r="I33" s="51">
        <v>74261.824999999997</v>
      </c>
      <c r="J33" s="51">
        <f t="shared" si="0"/>
        <v>6423475.279426665</v>
      </c>
      <c r="K33" s="69" t="s">
        <v>89</v>
      </c>
      <c r="L33" s="50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</row>
    <row r="34" spans="1:222" s="48" customFormat="1" x14ac:dyDescent="0.2">
      <c r="A34" s="49">
        <v>28</v>
      </c>
      <c r="B34" s="49"/>
      <c r="C34" s="68" t="s">
        <v>104</v>
      </c>
      <c r="D34" s="51">
        <v>7256152.169999999</v>
      </c>
      <c r="E34" s="51">
        <v>62800</v>
      </c>
      <c r="F34" s="51">
        <v>185885.68</v>
      </c>
      <c r="G34" s="51">
        <v>417813.16666666669</v>
      </c>
      <c r="H34" s="51">
        <v>725615.21699999995</v>
      </c>
      <c r="I34" s="51">
        <v>82202.989000000001</v>
      </c>
      <c r="J34" s="51">
        <f t="shared" si="0"/>
        <v>8730469.2226666659</v>
      </c>
      <c r="K34" s="69" t="s">
        <v>89</v>
      </c>
      <c r="L34" s="50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</row>
    <row r="35" spans="1:222" s="72" customFormat="1" x14ac:dyDescent="0.2">
      <c r="A35" s="49">
        <v>29</v>
      </c>
      <c r="B35" s="49"/>
      <c r="C35" s="68" t="s">
        <v>105</v>
      </c>
      <c r="D35" s="69">
        <v>1908023.0306000002</v>
      </c>
      <c r="E35" s="51">
        <f t="shared" ref="E35:E36" si="3">+E34</f>
        <v>62800</v>
      </c>
      <c r="F35" s="51">
        <v>121885.68</v>
      </c>
      <c r="G35" s="51">
        <v>172734.4</v>
      </c>
      <c r="H35" s="51">
        <v>190802.30306000003</v>
      </c>
      <c r="I35" s="51">
        <v>74037.919999999998</v>
      </c>
      <c r="J35" s="51">
        <f t="shared" si="0"/>
        <v>2530283.33366</v>
      </c>
      <c r="K35" s="69" t="s">
        <v>89</v>
      </c>
      <c r="L35" s="50"/>
      <c r="M35" s="46"/>
      <c r="N35" s="46"/>
      <c r="O35" s="46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  <c r="FP35" s="48"/>
      <c r="FQ35" s="48"/>
      <c r="FR35" s="48"/>
      <c r="FS35" s="48"/>
      <c r="FT35" s="48"/>
      <c r="FU35" s="48"/>
      <c r="FV35" s="48"/>
      <c r="FW35" s="48"/>
      <c r="FX35" s="48"/>
      <c r="FY35" s="48"/>
      <c r="FZ35" s="48"/>
      <c r="GA35" s="48"/>
      <c r="GB35" s="48"/>
      <c r="GC35" s="48"/>
      <c r="GD35" s="48"/>
      <c r="GE35" s="48"/>
      <c r="GF35" s="48"/>
      <c r="GG35" s="48"/>
      <c r="GH35" s="48"/>
      <c r="GI35" s="48"/>
      <c r="GJ35" s="48"/>
      <c r="GK35" s="48"/>
      <c r="GL35" s="48"/>
      <c r="GM35" s="48"/>
      <c r="GN35" s="48"/>
      <c r="GO35" s="48"/>
      <c r="GP35" s="48"/>
      <c r="GQ35" s="48"/>
      <c r="GR35" s="48"/>
      <c r="GS35" s="48"/>
      <c r="GT35" s="48"/>
      <c r="GU35" s="48"/>
      <c r="GV35" s="48"/>
      <c r="GW35" s="48"/>
      <c r="GX35" s="48"/>
      <c r="GY35" s="48"/>
      <c r="GZ35" s="48"/>
      <c r="HA35" s="48"/>
      <c r="HB35" s="48"/>
      <c r="HC35" s="48"/>
      <c r="HD35" s="48"/>
      <c r="HE35" s="48"/>
      <c r="HF35" s="48"/>
      <c r="HG35" s="48"/>
      <c r="HH35" s="48"/>
      <c r="HI35" s="48"/>
      <c r="HJ35" s="48"/>
      <c r="HK35" s="48"/>
      <c r="HL35" s="48"/>
      <c r="HM35" s="48"/>
      <c r="HN35" s="48"/>
    </row>
    <row r="36" spans="1:222" s="62" customFormat="1" x14ac:dyDescent="0.2">
      <c r="A36" s="49">
        <v>30</v>
      </c>
      <c r="B36" s="49"/>
      <c r="C36" s="49" t="s">
        <v>106</v>
      </c>
      <c r="D36" s="51">
        <v>4550250.6634</v>
      </c>
      <c r="E36" s="51">
        <f t="shared" si="3"/>
        <v>62800</v>
      </c>
      <c r="F36" s="51">
        <v>153885.68</v>
      </c>
      <c r="G36" s="51">
        <v>305215.98333333334</v>
      </c>
      <c r="H36" s="51">
        <v>455025.06634000002</v>
      </c>
      <c r="I36" s="51">
        <v>84606.23599999999</v>
      </c>
      <c r="J36" s="51">
        <f t="shared" si="0"/>
        <v>5611783.629073333</v>
      </c>
      <c r="K36" s="69" t="s">
        <v>89</v>
      </c>
      <c r="L36" s="50"/>
      <c r="M36" s="46"/>
      <c r="N36" s="46"/>
      <c r="O36" s="46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  <c r="FP36" s="48"/>
      <c r="FQ36" s="48"/>
      <c r="FR36" s="48"/>
      <c r="FS36" s="48"/>
      <c r="FT36" s="48"/>
      <c r="FU36" s="48"/>
      <c r="FV36" s="48"/>
      <c r="FW36" s="48"/>
      <c r="FX36" s="48"/>
      <c r="FY36" s="48"/>
      <c r="FZ36" s="48"/>
      <c r="GA36" s="48"/>
      <c r="GB36" s="48"/>
      <c r="GC36" s="48"/>
      <c r="GD36" s="48"/>
      <c r="GE36" s="48"/>
      <c r="GF36" s="48"/>
      <c r="GG36" s="48"/>
      <c r="GH36" s="48"/>
      <c r="GI36" s="48"/>
      <c r="GJ36" s="48"/>
      <c r="GK36" s="48"/>
      <c r="GL36" s="48"/>
      <c r="GM36" s="48"/>
      <c r="GN36" s="48"/>
      <c r="GO36" s="48"/>
      <c r="GP36" s="48"/>
      <c r="GQ36" s="48"/>
      <c r="GR36" s="48"/>
      <c r="GS36" s="48"/>
      <c r="GT36" s="48"/>
      <c r="GU36" s="48"/>
      <c r="GV36" s="48"/>
      <c r="GW36" s="48"/>
      <c r="GX36" s="48"/>
      <c r="GY36" s="48"/>
      <c r="GZ36" s="48"/>
      <c r="HA36" s="48"/>
      <c r="HB36" s="48"/>
      <c r="HC36" s="48"/>
      <c r="HD36" s="48"/>
      <c r="HE36" s="48"/>
      <c r="HF36" s="48"/>
      <c r="HG36" s="48"/>
      <c r="HH36" s="48"/>
      <c r="HI36" s="48"/>
      <c r="HJ36" s="48"/>
      <c r="HK36" s="48"/>
      <c r="HL36" s="48"/>
      <c r="HM36" s="48"/>
      <c r="HN36" s="48"/>
    </row>
    <row r="37" spans="1:222" x14ac:dyDescent="0.2">
      <c r="A37" s="344" t="s">
        <v>107</v>
      </c>
      <c r="B37" s="345"/>
      <c r="C37" s="346"/>
      <c r="D37" s="66">
        <f>SUM(D19:D36)</f>
        <v>88356248.293599993</v>
      </c>
      <c r="E37" s="66">
        <f t="shared" ref="E37:J37" si="4">SUM(E19:E36)</f>
        <v>1173100</v>
      </c>
      <c r="F37" s="66">
        <f t="shared" si="4"/>
        <v>2395942.2399999998</v>
      </c>
      <c r="G37" s="66">
        <f t="shared" si="4"/>
        <v>4866037.8500000006</v>
      </c>
      <c r="H37" s="66">
        <f t="shared" si="4"/>
        <v>8835624.8293599989</v>
      </c>
      <c r="I37" s="66">
        <f t="shared" si="4"/>
        <v>1395943.186</v>
      </c>
      <c r="J37" s="66">
        <f t="shared" si="4"/>
        <v>107022896.39895999</v>
      </c>
      <c r="K37" s="66">
        <f>SUM(D37:I37)</f>
        <v>107022896.39895998</v>
      </c>
      <c r="L37" s="66">
        <f>SUM(L19:L36)</f>
        <v>44942502.516073331</v>
      </c>
      <c r="M37" s="73"/>
    </row>
    <row r="38" spans="1:222" x14ac:dyDescent="0.2">
      <c r="A38" s="344" t="s">
        <v>4</v>
      </c>
      <c r="B38" s="345"/>
      <c r="C38" s="346"/>
      <c r="D38" s="66">
        <f t="shared" ref="D38:I38" si="5">+D18+D37</f>
        <v>156281821.403</v>
      </c>
      <c r="E38" s="66">
        <f t="shared" si="5"/>
        <v>1777300</v>
      </c>
      <c r="F38" s="66">
        <f t="shared" si="5"/>
        <v>3993992.2399999998</v>
      </c>
      <c r="G38" s="66">
        <f t="shared" si="5"/>
        <v>11648395.160940001</v>
      </c>
      <c r="H38" s="66">
        <f t="shared" si="5"/>
        <v>15617982.140299998</v>
      </c>
      <c r="I38" s="66">
        <f t="shared" si="5"/>
        <v>2295943.1859999998</v>
      </c>
      <c r="J38" s="66">
        <f>+J37+J18</f>
        <v>191615434.13023999</v>
      </c>
      <c r="K38" s="66">
        <f>SUM(D38:I38)</f>
        <v>191615434.13023999</v>
      </c>
      <c r="L38" s="66">
        <f>+L37+L18</f>
        <v>103261383.20327333</v>
      </c>
    </row>
    <row r="39" spans="1:222" x14ac:dyDescent="0.2">
      <c r="A39" s="43">
        <f>+A36-A19+1</f>
        <v>18</v>
      </c>
      <c r="C39" s="43" t="s">
        <v>108</v>
      </c>
      <c r="K39" s="45" t="s">
        <v>109</v>
      </c>
      <c r="L39" s="74">
        <f>+L38/$L$134</f>
        <v>0.38248857229211386</v>
      </c>
    </row>
    <row r="40" spans="1:222" x14ac:dyDescent="0.2">
      <c r="D40" s="75">
        <f>+D38/1.18</f>
        <v>132442221.52796611</v>
      </c>
      <c r="E40" s="75">
        <f t="shared" ref="E40:I40" si="6">+E38/1.18</f>
        <v>1506186.4406779662</v>
      </c>
      <c r="F40" s="75">
        <f t="shared" si="6"/>
        <v>3384739.1864406778</v>
      </c>
      <c r="G40" s="75">
        <f t="shared" si="6"/>
        <v>9871521.3228305094</v>
      </c>
      <c r="H40" s="75">
        <f t="shared" si="6"/>
        <v>13235578.084999999</v>
      </c>
      <c r="I40" s="75">
        <f t="shared" si="6"/>
        <v>1945714.5644067796</v>
      </c>
      <c r="J40" s="76">
        <f>SUM(D40:I40)</f>
        <v>162385961.12732205</v>
      </c>
    </row>
    <row r="41" spans="1:222" x14ac:dyDescent="0.2">
      <c r="C41" s="44" t="s">
        <v>110</v>
      </c>
    </row>
    <row r="43" spans="1:222" x14ac:dyDescent="0.2">
      <c r="A43" s="340" t="s">
        <v>64</v>
      </c>
      <c r="B43" s="141"/>
      <c r="C43" s="347" t="str">
        <f>+C4</f>
        <v>FUENTE DE FINANCIAMIENTO / PROYECTO</v>
      </c>
      <c r="D43" s="340" t="s">
        <v>66</v>
      </c>
      <c r="E43" s="340" t="s">
        <v>67</v>
      </c>
      <c r="F43" s="340" t="s">
        <v>68</v>
      </c>
      <c r="G43" s="340" t="s">
        <v>69</v>
      </c>
      <c r="H43" s="340" t="s">
        <v>70</v>
      </c>
      <c r="I43" s="340" t="str">
        <f>+I4</f>
        <v>EVALUACIÓN EXPOST</v>
      </c>
      <c r="J43" s="342" t="s">
        <v>72</v>
      </c>
      <c r="K43" s="340"/>
      <c r="L43" s="340"/>
    </row>
    <row r="44" spans="1:222" ht="38.25" customHeight="1" x14ac:dyDescent="0.2">
      <c r="A44" s="340"/>
      <c r="B44" s="142"/>
      <c r="C44" s="348"/>
      <c r="D44" s="340"/>
      <c r="E44" s="340"/>
      <c r="F44" s="340"/>
      <c r="G44" s="340"/>
      <c r="H44" s="340"/>
      <c r="I44" s="340"/>
      <c r="J44" s="343"/>
      <c r="K44" s="340"/>
      <c r="L44" s="340"/>
    </row>
    <row r="45" spans="1:222" s="56" customFormat="1" x14ac:dyDescent="0.2">
      <c r="A45" s="77">
        <f t="shared" ref="A45:C56" si="7">+A6</f>
        <v>1</v>
      </c>
      <c r="B45" s="77"/>
      <c r="C45" s="77" t="str">
        <f t="shared" si="7"/>
        <v>BID - YAUYOS</v>
      </c>
      <c r="D45" s="51">
        <v>686430.11371512502</v>
      </c>
      <c r="E45" s="51">
        <v>51556.811048336502</v>
      </c>
      <c r="F45" s="51">
        <v>64151.412429378499</v>
      </c>
      <c r="G45" s="51">
        <v>69909.525999999998</v>
      </c>
      <c r="H45" s="51">
        <v>69909.525999999998</v>
      </c>
      <c r="I45" s="51">
        <v>50847.457627118645</v>
      </c>
      <c r="J45" s="51">
        <f>SUM(D45:I45)</f>
        <v>992804.84681995865</v>
      </c>
      <c r="K45" s="50"/>
      <c r="L45" s="50"/>
      <c r="M45" s="53"/>
      <c r="N45" s="53"/>
      <c r="O45" s="53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54"/>
      <c r="BB45" s="54"/>
      <c r="BC45" s="54"/>
      <c r="BD45" s="54"/>
      <c r="BE45" s="54"/>
      <c r="BF45" s="54"/>
      <c r="BG45" s="54"/>
      <c r="BH45" s="54"/>
      <c r="BI45" s="54"/>
      <c r="BJ45" s="54"/>
      <c r="BK45" s="54"/>
      <c r="BL45" s="54"/>
      <c r="BM45" s="54"/>
      <c r="BN45" s="54"/>
      <c r="BO45" s="54"/>
      <c r="BP45" s="54"/>
      <c r="BQ45" s="54"/>
      <c r="BR45" s="54"/>
      <c r="BS45" s="54"/>
      <c r="BT45" s="54"/>
      <c r="BU45" s="54"/>
      <c r="BV45" s="54"/>
      <c r="BW45" s="54"/>
      <c r="BX45" s="54"/>
      <c r="BY45" s="54"/>
      <c r="BZ45" s="54"/>
      <c r="CA45" s="54"/>
      <c r="CB45" s="54"/>
      <c r="CC45" s="54"/>
      <c r="CD45" s="54"/>
      <c r="CE45" s="54"/>
      <c r="CF45" s="54"/>
      <c r="CG45" s="54"/>
      <c r="CH45" s="54"/>
      <c r="CI45" s="54"/>
      <c r="CJ45" s="54"/>
      <c r="CK45" s="54"/>
      <c r="CL45" s="54"/>
      <c r="CM45" s="54"/>
      <c r="CN45" s="54"/>
      <c r="CO45" s="54"/>
      <c r="CP45" s="54"/>
      <c r="CQ45" s="54"/>
      <c r="CR45" s="54"/>
      <c r="CS45" s="54"/>
      <c r="CT45" s="54"/>
      <c r="CU45" s="54"/>
      <c r="CV45" s="55"/>
      <c r="CW45" s="55"/>
      <c r="CX45" s="55"/>
      <c r="CY45" s="55"/>
      <c r="CZ45" s="55"/>
      <c r="DA45" s="55"/>
      <c r="DB45" s="55"/>
      <c r="DC45" s="55"/>
      <c r="DD45" s="55"/>
      <c r="DE45" s="55"/>
      <c r="DF45" s="55"/>
      <c r="DG45" s="55"/>
      <c r="DH45" s="55"/>
      <c r="DI45" s="55"/>
      <c r="DJ45" s="55"/>
      <c r="DK45" s="55"/>
      <c r="DL45" s="55"/>
      <c r="DM45" s="55"/>
      <c r="DN45" s="55"/>
      <c r="DO45" s="55"/>
      <c r="DP45" s="55"/>
      <c r="DQ45" s="55"/>
      <c r="DR45" s="55"/>
      <c r="DS45" s="55"/>
      <c r="DT45" s="55"/>
      <c r="DU45" s="55"/>
      <c r="DV45" s="55"/>
      <c r="DW45" s="55"/>
      <c r="DX45" s="55"/>
      <c r="DY45" s="55"/>
      <c r="DZ45" s="55"/>
      <c r="EA45" s="55"/>
      <c r="EB45" s="55"/>
      <c r="EC45" s="55"/>
      <c r="ED45" s="55"/>
      <c r="EE45" s="55"/>
      <c r="EF45" s="55"/>
      <c r="EG45" s="55"/>
      <c r="EH45" s="55"/>
      <c r="EI45" s="55"/>
      <c r="EJ45" s="55"/>
      <c r="EK45" s="55"/>
      <c r="EL45" s="55"/>
      <c r="EM45" s="55"/>
      <c r="EN45" s="55"/>
      <c r="EO45" s="55"/>
      <c r="EP45" s="55"/>
      <c r="EQ45" s="55"/>
      <c r="ER45" s="55"/>
      <c r="ES45" s="55"/>
      <c r="ET45" s="55"/>
      <c r="EU45" s="55"/>
      <c r="EV45" s="55"/>
      <c r="EW45" s="55"/>
      <c r="EX45" s="55"/>
      <c r="EY45" s="55"/>
      <c r="EZ45" s="55"/>
      <c r="FA45" s="55"/>
      <c r="FB45" s="55"/>
      <c r="FC45" s="55"/>
      <c r="FD45" s="55"/>
      <c r="FE45" s="55"/>
      <c r="FF45" s="55"/>
      <c r="FG45" s="55"/>
      <c r="FH45" s="55"/>
      <c r="FI45" s="55"/>
      <c r="FJ45" s="55"/>
      <c r="FK45" s="55"/>
      <c r="FL45" s="55"/>
      <c r="FM45" s="55"/>
      <c r="FN45" s="55"/>
      <c r="FO45" s="55"/>
      <c r="FP45" s="55"/>
      <c r="FQ45" s="55"/>
      <c r="FR45" s="55"/>
      <c r="FS45" s="55"/>
      <c r="FT45" s="55"/>
      <c r="FU45" s="55"/>
      <c r="FV45" s="55"/>
      <c r="FW45" s="55"/>
      <c r="FX45" s="55"/>
      <c r="FY45" s="55"/>
      <c r="FZ45" s="55"/>
      <c r="GA45" s="55"/>
      <c r="GB45" s="55"/>
      <c r="GC45" s="55"/>
      <c r="GD45" s="55"/>
      <c r="GE45" s="55"/>
      <c r="GF45" s="55"/>
      <c r="GG45" s="55"/>
      <c r="GH45" s="55"/>
      <c r="GI45" s="55"/>
      <c r="GJ45" s="55"/>
      <c r="GK45" s="55"/>
      <c r="GL45" s="55"/>
      <c r="GM45" s="55"/>
      <c r="GN45" s="55"/>
      <c r="GO45" s="55"/>
      <c r="GP45" s="55"/>
      <c r="GQ45" s="55"/>
      <c r="GR45" s="55"/>
      <c r="GS45" s="55"/>
      <c r="GT45" s="55"/>
      <c r="GU45" s="55"/>
      <c r="GV45" s="55"/>
      <c r="GW45" s="55"/>
      <c r="GX45" s="55"/>
      <c r="GY45" s="55"/>
      <c r="GZ45" s="55"/>
      <c r="HA45" s="55"/>
      <c r="HB45" s="55"/>
      <c r="HC45" s="55"/>
      <c r="HD45" s="55"/>
      <c r="HE45" s="55"/>
      <c r="HF45" s="55"/>
      <c r="HG45" s="55"/>
      <c r="HH45" s="55"/>
      <c r="HI45" s="55"/>
      <c r="HJ45" s="55"/>
      <c r="HK45" s="55"/>
      <c r="HL45" s="55"/>
      <c r="HM45" s="55"/>
      <c r="HN45" s="55"/>
    </row>
    <row r="46" spans="1:222" s="56" customFormat="1" x14ac:dyDescent="0.2">
      <c r="A46" s="77">
        <f t="shared" si="7"/>
        <v>2</v>
      </c>
      <c r="B46" s="77"/>
      <c r="C46" s="77" t="str">
        <f t="shared" si="7"/>
        <v>BID - POZUZO</v>
      </c>
      <c r="D46" s="51">
        <v>491554.52577622602</v>
      </c>
      <c r="E46" s="51">
        <v>45781.544256120498</v>
      </c>
      <c r="F46" s="51">
        <v>133730.91525423701</v>
      </c>
      <c r="G46" s="51">
        <v>49240.561999999998</v>
      </c>
      <c r="H46" s="51">
        <v>49240.561999999998</v>
      </c>
      <c r="I46" s="51">
        <v>50847.457627118645</v>
      </c>
      <c r="J46" s="51">
        <f t="shared" ref="J46:J56" si="8">SUM(D46:I46)</f>
        <v>820395.56691370229</v>
      </c>
      <c r="K46" s="50"/>
      <c r="L46" s="50"/>
      <c r="M46" s="53"/>
      <c r="N46" s="53"/>
      <c r="O46" s="53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54"/>
      <c r="BB46" s="54"/>
      <c r="BC46" s="54"/>
      <c r="BD46" s="54"/>
      <c r="BE46" s="54"/>
      <c r="BF46" s="54"/>
      <c r="BG46" s="54"/>
      <c r="BH46" s="54"/>
      <c r="BI46" s="54"/>
      <c r="BJ46" s="54"/>
      <c r="BK46" s="54"/>
      <c r="BL46" s="54"/>
      <c r="BM46" s="54"/>
      <c r="BN46" s="54"/>
      <c r="BO46" s="54"/>
      <c r="BP46" s="54"/>
      <c r="BQ46" s="54"/>
      <c r="BR46" s="54"/>
      <c r="BS46" s="54"/>
      <c r="BT46" s="54"/>
      <c r="BU46" s="54"/>
      <c r="BV46" s="54"/>
      <c r="BW46" s="54"/>
      <c r="BX46" s="54"/>
      <c r="BY46" s="54"/>
      <c r="BZ46" s="54"/>
      <c r="CA46" s="54"/>
      <c r="CB46" s="54"/>
      <c r="CC46" s="54"/>
      <c r="CD46" s="54"/>
      <c r="CE46" s="54"/>
      <c r="CF46" s="54"/>
      <c r="CG46" s="54"/>
      <c r="CH46" s="54"/>
      <c r="CI46" s="54"/>
      <c r="CJ46" s="54"/>
      <c r="CK46" s="54"/>
      <c r="CL46" s="54"/>
      <c r="CM46" s="54"/>
      <c r="CN46" s="54"/>
      <c r="CO46" s="54"/>
      <c r="CP46" s="54"/>
      <c r="CQ46" s="54"/>
      <c r="CR46" s="54"/>
      <c r="CS46" s="54"/>
      <c r="CT46" s="54"/>
      <c r="CU46" s="54"/>
      <c r="CV46" s="55"/>
      <c r="CW46" s="55"/>
      <c r="CX46" s="55"/>
      <c r="CY46" s="55"/>
      <c r="CZ46" s="55"/>
      <c r="DA46" s="55"/>
      <c r="DB46" s="55"/>
      <c r="DC46" s="55"/>
      <c r="DD46" s="55"/>
      <c r="DE46" s="55"/>
      <c r="DF46" s="55"/>
      <c r="DG46" s="55"/>
      <c r="DH46" s="55"/>
      <c r="DI46" s="55"/>
      <c r="DJ46" s="55"/>
      <c r="DK46" s="55"/>
      <c r="DL46" s="55"/>
      <c r="DM46" s="55"/>
      <c r="DN46" s="55"/>
      <c r="DO46" s="55"/>
      <c r="DP46" s="55"/>
      <c r="DQ46" s="55"/>
      <c r="DR46" s="55"/>
      <c r="DS46" s="55"/>
      <c r="DT46" s="55"/>
      <c r="DU46" s="55"/>
      <c r="DV46" s="55"/>
      <c r="DW46" s="55"/>
      <c r="DX46" s="55"/>
      <c r="DY46" s="55"/>
      <c r="DZ46" s="55"/>
      <c r="EA46" s="55"/>
      <c r="EB46" s="55"/>
      <c r="EC46" s="55"/>
      <c r="ED46" s="55"/>
      <c r="EE46" s="55"/>
      <c r="EF46" s="55"/>
      <c r="EG46" s="55"/>
      <c r="EH46" s="55"/>
      <c r="EI46" s="55"/>
      <c r="EJ46" s="55"/>
      <c r="EK46" s="55"/>
      <c r="EL46" s="55"/>
      <c r="EM46" s="55"/>
      <c r="EN46" s="55"/>
      <c r="EO46" s="55"/>
      <c r="EP46" s="55"/>
      <c r="EQ46" s="55"/>
      <c r="ER46" s="55"/>
      <c r="ES46" s="55"/>
      <c r="ET46" s="55"/>
      <c r="EU46" s="55"/>
      <c r="EV46" s="55"/>
      <c r="EW46" s="55"/>
      <c r="EX46" s="55"/>
      <c r="EY46" s="55"/>
      <c r="EZ46" s="55"/>
      <c r="FA46" s="55"/>
      <c r="FB46" s="55"/>
      <c r="FC46" s="55"/>
      <c r="FD46" s="55"/>
      <c r="FE46" s="55"/>
      <c r="FF46" s="55"/>
      <c r="FG46" s="55"/>
      <c r="FH46" s="55"/>
      <c r="FI46" s="55"/>
      <c r="FJ46" s="55"/>
      <c r="FK46" s="55"/>
      <c r="FL46" s="55"/>
      <c r="FM46" s="55"/>
      <c r="FN46" s="55"/>
      <c r="FO46" s="55"/>
      <c r="FP46" s="55"/>
      <c r="FQ46" s="55"/>
      <c r="FR46" s="55"/>
      <c r="FS46" s="55"/>
      <c r="FT46" s="55"/>
      <c r="FU46" s="55"/>
      <c r="FV46" s="55"/>
      <c r="FW46" s="55"/>
      <c r="FX46" s="55"/>
      <c r="FY46" s="55"/>
      <c r="FZ46" s="55"/>
      <c r="GA46" s="55"/>
      <c r="GB46" s="55"/>
      <c r="GC46" s="55"/>
      <c r="GD46" s="55"/>
      <c r="GE46" s="55"/>
      <c r="GF46" s="55"/>
      <c r="GG46" s="55"/>
      <c r="GH46" s="55"/>
      <c r="GI46" s="55"/>
      <c r="GJ46" s="55"/>
      <c r="GK46" s="55"/>
      <c r="GL46" s="55"/>
      <c r="GM46" s="55"/>
      <c r="GN46" s="55"/>
      <c r="GO46" s="55"/>
      <c r="GP46" s="55"/>
      <c r="GQ46" s="55"/>
      <c r="GR46" s="55"/>
      <c r="GS46" s="55"/>
      <c r="GT46" s="55"/>
      <c r="GU46" s="55"/>
      <c r="GV46" s="55"/>
      <c r="GW46" s="55"/>
      <c r="GX46" s="55"/>
      <c r="GY46" s="55"/>
      <c r="GZ46" s="55"/>
      <c r="HA46" s="55"/>
      <c r="HB46" s="55"/>
      <c r="HC46" s="55"/>
      <c r="HD46" s="55"/>
      <c r="HE46" s="55"/>
      <c r="HF46" s="55"/>
      <c r="HG46" s="55"/>
      <c r="HH46" s="55"/>
      <c r="HI46" s="55"/>
      <c r="HJ46" s="55"/>
      <c r="HK46" s="55"/>
      <c r="HL46" s="55"/>
      <c r="HM46" s="55"/>
      <c r="HN46" s="55"/>
    </row>
    <row r="47" spans="1:222" s="56" customFormat="1" x14ac:dyDescent="0.2">
      <c r="A47" s="77">
        <f t="shared" si="7"/>
        <v>3</v>
      </c>
      <c r="B47" s="77"/>
      <c r="C47" s="77" t="str">
        <f t="shared" si="7"/>
        <v>BID - OXAPAMPA</v>
      </c>
      <c r="D47" s="51">
        <v>2216983.3359711398</v>
      </c>
      <c r="E47" s="51">
        <v>41073.446327683603</v>
      </c>
      <c r="F47" s="51">
        <v>84803.389830508502</v>
      </c>
      <c r="G47" s="51">
        <v>225943.057</v>
      </c>
      <c r="H47" s="51">
        <v>225943.057</v>
      </c>
      <c r="I47" s="51">
        <v>50847.457627118645</v>
      </c>
      <c r="J47" s="51">
        <f t="shared" si="8"/>
        <v>2845593.7437564507</v>
      </c>
      <c r="K47" s="50"/>
      <c r="L47" s="50"/>
      <c r="M47" s="53"/>
      <c r="N47" s="53"/>
      <c r="O47" s="53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4"/>
      <c r="BI47" s="54"/>
      <c r="BJ47" s="54"/>
      <c r="BK47" s="54"/>
      <c r="BL47" s="54"/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  <c r="BX47" s="54"/>
      <c r="BY47" s="54"/>
      <c r="BZ47" s="54"/>
      <c r="CA47" s="54"/>
      <c r="CB47" s="54"/>
      <c r="CC47" s="54"/>
      <c r="CD47" s="54"/>
      <c r="CE47" s="54"/>
      <c r="CF47" s="54"/>
      <c r="CG47" s="54"/>
      <c r="CH47" s="54"/>
      <c r="CI47" s="54"/>
      <c r="CJ47" s="54"/>
      <c r="CK47" s="54"/>
      <c r="CL47" s="54"/>
      <c r="CM47" s="54"/>
      <c r="CN47" s="54"/>
      <c r="CO47" s="54"/>
      <c r="CP47" s="54"/>
      <c r="CQ47" s="54"/>
      <c r="CR47" s="54"/>
      <c r="CS47" s="54"/>
      <c r="CT47" s="54"/>
      <c r="CU47" s="54"/>
      <c r="CV47" s="55"/>
      <c r="CW47" s="55"/>
      <c r="CX47" s="55"/>
      <c r="CY47" s="55"/>
      <c r="CZ47" s="55"/>
      <c r="DA47" s="55"/>
      <c r="DB47" s="55"/>
      <c r="DC47" s="55"/>
      <c r="DD47" s="55"/>
      <c r="DE47" s="55"/>
      <c r="DF47" s="55"/>
      <c r="DG47" s="55"/>
      <c r="DH47" s="55"/>
      <c r="DI47" s="55"/>
      <c r="DJ47" s="55"/>
      <c r="DK47" s="55"/>
      <c r="DL47" s="55"/>
      <c r="DM47" s="55"/>
      <c r="DN47" s="55"/>
      <c r="DO47" s="55"/>
      <c r="DP47" s="55"/>
      <c r="DQ47" s="55"/>
      <c r="DR47" s="55"/>
      <c r="DS47" s="55"/>
      <c r="DT47" s="55"/>
      <c r="DU47" s="55"/>
      <c r="DV47" s="55"/>
      <c r="DW47" s="55"/>
      <c r="DX47" s="55"/>
      <c r="DY47" s="55"/>
      <c r="DZ47" s="55"/>
      <c r="EA47" s="55"/>
      <c r="EB47" s="55"/>
      <c r="EC47" s="55"/>
      <c r="ED47" s="55"/>
      <c r="EE47" s="55"/>
      <c r="EF47" s="55"/>
      <c r="EG47" s="55"/>
      <c r="EH47" s="55"/>
      <c r="EI47" s="55"/>
      <c r="EJ47" s="55"/>
      <c r="EK47" s="55"/>
      <c r="EL47" s="55"/>
      <c r="EM47" s="55"/>
      <c r="EN47" s="55"/>
      <c r="EO47" s="55"/>
      <c r="EP47" s="55"/>
      <c r="EQ47" s="55"/>
      <c r="ER47" s="55"/>
      <c r="ES47" s="55"/>
      <c r="ET47" s="55"/>
      <c r="EU47" s="55"/>
      <c r="EV47" s="55"/>
      <c r="EW47" s="55"/>
      <c r="EX47" s="55"/>
      <c r="EY47" s="55"/>
      <c r="EZ47" s="55"/>
      <c r="FA47" s="55"/>
      <c r="FB47" s="55"/>
      <c r="FC47" s="55"/>
      <c r="FD47" s="55"/>
      <c r="FE47" s="55"/>
      <c r="FF47" s="55"/>
      <c r="FG47" s="55"/>
      <c r="FH47" s="55"/>
      <c r="FI47" s="55"/>
      <c r="FJ47" s="55"/>
      <c r="FK47" s="55"/>
      <c r="FL47" s="55"/>
      <c r="FM47" s="55"/>
      <c r="FN47" s="55"/>
      <c r="FO47" s="55"/>
      <c r="FP47" s="55"/>
      <c r="FQ47" s="55"/>
      <c r="FR47" s="55"/>
      <c r="FS47" s="55"/>
      <c r="FT47" s="55"/>
      <c r="FU47" s="55"/>
      <c r="FV47" s="55"/>
      <c r="FW47" s="55"/>
      <c r="FX47" s="55"/>
      <c r="FY47" s="55"/>
      <c r="FZ47" s="55"/>
      <c r="GA47" s="55"/>
      <c r="GB47" s="55"/>
      <c r="GC47" s="55"/>
      <c r="GD47" s="55"/>
      <c r="GE47" s="55"/>
      <c r="GF47" s="55"/>
      <c r="GG47" s="55"/>
      <c r="GH47" s="55"/>
      <c r="GI47" s="55"/>
      <c r="GJ47" s="55"/>
      <c r="GK47" s="55"/>
      <c r="GL47" s="55"/>
      <c r="GM47" s="55"/>
      <c r="GN47" s="55"/>
      <c r="GO47" s="55"/>
      <c r="GP47" s="55"/>
      <c r="GQ47" s="55"/>
      <c r="GR47" s="55"/>
      <c r="GS47" s="55"/>
      <c r="GT47" s="55"/>
      <c r="GU47" s="55"/>
      <c r="GV47" s="55"/>
      <c r="GW47" s="55"/>
      <c r="GX47" s="55"/>
      <c r="GY47" s="55"/>
      <c r="GZ47" s="55"/>
      <c r="HA47" s="55"/>
      <c r="HB47" s="55"/>
      <c r="HC47" s="55"/>
      <c r="HD47" s="55"/>
      <c r="HE47" s="55"/>
      <c r="HF47" s="55"/>
      <c r="HG47" s="55"/>
      <c r="HH47" s="55"/>
      <c r="HI47" s="55"/>
      <c r="HJ47" s="55"/>
      <c r="HK47" s="55"/>
      <c r="HL47" s="55"/>
      <c r="HM47" s="55"/>
      <c r="HN47" s="55"/>
    </row>
    <row r="48" spans="1:222" s="56" customFormat="1" x14ac:dyDescent="0.2">
      <c r="A48" s="77">
        <f t="shared" si="7"/>
        <v>4</v>
      </c>
      <c r="B48" s="77"/>
      <c r="C48" s="77" t="str">
        <f t="shared" si="7"/>
        <v>BID - CHANCAY</v>
      </c>
      <c r="D48" s="51">
        <v>2064742.5664338099</v>
      </c>
      <c r="E48" s="51">
        <v>39692.404268675455</v>
      </c>
      <c r="F48" s="51">
        <v>126034.90269930899</v>
      </c>
      <c r="G48" s="51">
        <v>207379.242</v>
      </c>
      <c r="H48" s="51">
        <v>207379.242</v>
      </c>
      <c r="I48" s="51">
        <v>55555.555555555547</v>
      </c>
      <c r="J48" s="51">
        <f t="shared" si="8"/>
        <v>2700783.9129573498</v>
      </c>
      <c r="K48" s="50"/>
      <c r="L48" s="50"/>
      <c r="M48" s="53"/>
      <c r="N48" s="53"/>
      <c r="O48" s="53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  <c r="BX48" s="54"/>
      <c r="BY48" s="54"/>
      <c r="BZ48" s="54"/>
      <c r="CA48" s="54"/>
      <c r="CB48" s="54"/>
      <c r="CC48" s="54"/>
      <c r="CD48" s="54"/>
      <c r="CE48" s="54"/>
      <c r="CF48" s="54"/>
      <c r="CG48" s="54"/>
      <c r="CH48" s="54"/>
      <c r="CI48" s="54"/>
      <c r="CJ48" s="54"/>
      <c r="CK48" s="54"/>
      <c r="CL48" s="54"/>
      <c r="CM48" s="54"/>
      <c r="CN48" s="54"/>
      <c r="CO48" s="54"/>
      <c r="CP48" s="54"/>
      <c r="CQ48" s="54"/>
      <c r="CR48" s="54"/>
      <c r="CS48" s="54"/>
      <c r="CT48" s="54"/>
      <c r="CU48" s="54"/>
      <c r="CV48" s="55"/>
      <c r="CW48" s="55"/>
      <c r="CX48" s="55"/>
      <c r="CY48" s="55"/>
      <c r="CZ48" s="55"/>
      <c r="DA48" s="55"/>
      <c r="DB48" s="55"/>
      <c r="DC48" s="55"/>
      <c r="DD48" s="55"/>
      <c r="DE48" s="55"/>
      <c r="DF48" s="55"/>
      <c r="DG48" s="55"/>
      <c r="DH48" s="55"/>
      <c r="DI48" s="55"/>
      <c r="DJ48" s="55"/>
      <c r="DK48" s="55"/>
      <c r="DL48" s="55"/>
      <c r="DM48" s="55"/>
      <c r="DN48" s="55"/>
      <c r="DO48" s="55"/>
      <c r="DP48" s="55"/>
      <c r="DQ48" s="55"/>
      <c r="DR48" s="55"/>
      <c r="DS48" s="55"/>
      <c r="DT48" s="55"/>
      <c r="DU48" s="55"/>
      <c r="DV48" s="55"/>
      <c r="DW48" s="55"/>
      <c r="DX48" s="55"/>
      <c r="DY48" s="55"/>
      <c r="DZ48" s="55"/>
      <c r="EA48" s="55"/>
      <c r="EB48" s="55"/>
      <c r="EC48" s="55"/>
      <c r="ED48" s="55"/>
      <c r="EE48" s="55"/>
      <c r="EF48" s="55"/>
      <c r="EG48" s="55"/>
      <c r="EH48" s="55"/>
      <c r="EI48" s="55"/>
      <c r="EJ48" s="55"/>
      <c r="EK48" s="55"/>
      <c r="EL48" s="55"/>
      <c r="EM48" s="55"/>
      <c r="EN48" s="55"/>
      <c r="EO48" s="55"/>
      <c r="EP48" s="55"/>
      <c r="EQ48" s="55"/>
      <c r="ER48" s="55"/>
      <c r="ES48" s="55"/>
      <c r="ET48" s="55"/>
      <c r="EU48" s="55"/>
      <c r="EV48" s="55"/>
      <c r="EW48" s="55"/>
      <c r="EX48" s="55"/>
      <c r="EY48" s="55"/>
      <c r="EZ48" s="55"/>
      <c r="FA48" s="55"/>
      <c r="FB48" s="55"/>
      <c r="FC48" s="55"/>
      <c r="FD48" s="55"/>
      <c r="FE48" s="55"/>
      <c r="FF48" s="55"/>
      <c r="FG48" s="55"/>
      <c r="FH48" s="55"/>
      <c r="FI48" s="55"/>
      <c r="FJ48" s="55"/>
      <c r="FK48" s="55"/>
      <c r="FL48" s="55"/>
      <c r="FM48" s="55"/>
      <c r="FN48" s="55"/>
      <c r="FO48" s="55"/>
      <c r="FP48" s="55"/>
      <c r="FQ48" s="55"/>
      <c r="FR48" s="55"/>
      <c r="FS48" s="55"/>
      <c r="FT48" s="55"/>
      <c r="FU48" s="55"/>
      <c r="FV48" s="55"/>
      <c r="FW48" s="55"/>
      <c r="FX48" s="55"/>
      <c r="FY48" s="55"/>
      <c r="FZ48" s="55"/>
      <c r="GA48" s="55"/>
      <c r="GB48" s="55"/>
      <c r="GC48" s="55"/>
      <c r="GD48" s="55"/>
      <c r="GE48" s="55"/>
      <c r="GF48" s="55"/>
      <c r="GG48" s="55"/>
      <c r="GH48" s="55"/>
      <c r="GI48" s="55"/>
      <c r="GJ48" s="55"/>
      <c r="GK48" s="55"/>
      <c r="GL48" s="55"/>
      <c r="GM48" s="55"/>
      <c r="GN48" s="55"/>
      <c r="GO48" s="55"/>
      <c r="GP48" s="55"/>
      <c r="GQ48" s="55"/>
      <c r="GR48" s="55"/>
      <c r="GS48" s="55"/>
      <c r="GT48" s="55"/>
      <c r="GU48" s="55"/>
      <c r="GV48" s="55"/>
      <c r="GW48" s="55"/>
      <c r="GX48" s="55"/>
      <c r="GY48" s="55"/>
      <c r="GZ48" s="55"/>
      <c r="HA48" s="55"/>
      <c r="HB48" s="55"/>
      <c r="HC48" s="55"/>
      <c r="HD48" s="55"/>
      <c r="HE48" s="55"/>
      <c r="HF48" s="55"/>
      <c r="HG48" s="55"/>
      <c r="HH48" s="55"/>
      <c r="HI48" s="55"/>
      <c r="HJ48" s="55"/>
      <c r="HK48" s="55"/>
      <c r="HL48" s="55"/>
      <c r="HM48" s="55"/>
      <c r="HN48" s="55"/>
    </row>
    <row r="49" spans="1:222" s="56" customFormat="1" x14ac:dyDescent="0.2">
      <c r="A49" s="77">
        <f t="shared" si="7"/>
        <v>5</v>
      </c>
      <c r="B49" s="77"/>
      <c r="C49" s="77" t="str">
        <f t="shared" si="7"/>
        <v>BID - TARMA</v>
      </c>
      <c r="D49" s="51">
        <v>2591264.6141963899</v>
      </c>
      <c r="E49" s="51">
        <v>34450.721908349027</v>
      </c>
      <c r="F49" s="51">
        <v>71868.650345260496</v>
      </c>
      <c r="G49" s="51">
        <v>264308.43199999997</v>
      </c>
      <c r="H49" s="51">
        <v>264308.43199999997</v>
      </c>
      <c r="I49" s="51">
        <v>67796.610169491527</v>
      </c>
      <c r="J49" s="51">
        <f t="shared" si="8"/>
        <v>3293997.4606194911</v>
      </c>
      <c r="K49" s="50"/>
      <c r="L49" s="50"/>
      <c r="M49" s="53"/>
      <c r="N49" s="53"/>
      <c r="O49" s="53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  <c r="BY49" s="54"/>
      <c r="BZ49" s="54"/>
      <c r="CA49" s="54"/>
      <c r="CB49" s="54"/>
      <c r="CC49" s="54"/>
      <c r="CD49" s="54"/>
      <c r="CE49" s="54"/>
      <c r="CF49" s="54"/>
      <c r="CG49" s="54"/>
      <c r="CH49" s="54"/>
      <c r="CI49" s="54"/>
      <c r="CJ49" s="54"/>
      <c r="CK49" s="54"/>
      <c r="CL49" s="54"/>
      <c r="CM49" s="54"/>
      <c r="CN49" s="54"/>
      <c r="CO49" s="54"/>
      <c r="CP49" s="54"/>
      <c r="CQ49" s="54"/>
      <c r="CR49" s="54"/>
      <c r="CS49" s="54"/>
      <c r="CT49" s="54"/>
      <c r="CU49" s="54"/>
      <c r="CV49" s="55"/>
      <c r="CW49" s="55"/>
      <c r="CX49" s="55"/>
      <c r="CY49" s="55"/>
      <c r="CZ49" s="55"/>
      <c r="DA49" s="55"/>
      <c r="DB49" s="55"/>
      <c r="DC49" s="55"/>
      <c r="DD49" s="55"/>
      <c r="DE49" s="55"/>
      <c r="DF49" s="55"/>
      <c r="DG49" s="55"/>
      <c r="DH49" s="55"/>
      <c r="DI49" s="55"/>
      <c r="DJ49" s="55"/>
      <c r="DK49" s="55"/>
      <c r="DL49" s="55"/>
      <c r="DM49" s="55"/>
      <c r="DN49" s="55"/>
      <c r="DO49" s="55"/>
      <c r="DP49" s="55"/>
      <c r="DQ49" s="55"/>
      <c r="DR49" s="55"/>
      <c r="DS49" s="55"/>
      <c r="DT49" s="55"/>
      <c r="DU49" s="55"/>
      <c r="DV49" s="55"/>
      <c r="DW49" s="55"/>
      <c r="DX49" s="55"/>
      <c r="DY49" s="55"/>
      <c r="DZ49" s="55"/>
      <c r="EA49" s="55"/>
      <c r="EB49" s="55"/>
      <c r="EC49" s="55"/>
      <c r="ED49" s="55"/>
      <c r="EE49" s="55"/>
      <c r="EF49" s="55"/>
      <c r="EG49" s="55"/>
      <c r="EH49" s="55"/>
      <c r="EI49" s="55"/>
      <c r="EJ49" s="55"/>
      <c r="EK49" s="55"/>
      <c r="EL49" s="55"/>
      <c r="EM49" s="55"/>
      <c r="EN49" s="55"/>
      <c r="EO49" s="55"/>
      <c r="EP49" s="55"/>
      <c r="EQ49" s="55"/>
      <c r="ER49" s="55"/>
      <c r="ES49" s="55"/>
      <c r="ET49" s="55"/>
      <c r="EU49" s="55"/>
      <c r="EV49" s="55"/>
      <c r="EW49" s="55"/>
      <c r="EX49" s="55"/>
      <c r="EY49" s="55"/>
      <c r="EZ49" s="55"/>
      <c r="FA49" s="55"/>
      <c r="FB49" s="55"/>
      <c r="FC49" s="55"/>
      <c r="FD49" s="55"/>
      <c r="FE49" s="55"/>
      <c r="FF49" s="55"/>
      <c r="FG49" s="55"/>
      <c r="FH49" s="55"/>
      <c r="FI49" s="55"/>
      <c r="FJ49" s="55"/>
      <c r="FK49" s="55"/>
      <c r="FL49" s="55"/>
      <c r="FM49" s="55"/>
      <c r="FN49" s="55"/>
      <c r="FO49" s="55"/>
      <c r="FP49" s="55"/>
      <c r="FQ49" s="55"/>
      <c r="FR49" s="55"/>
      <c r="FS49" s="55"/>
      <c r="FT49" s="55"/>
      <c r="FU49" s="55"/>
      <c r="FV49" s="55"/>
      <c r="FW49" s="55"/>
      <c r="FX49" s="55"/>
      <c r="FY49" s="55"/>
      <c r="FZ49" s="55"/>
      <c r="GA49" s="55"/>
      <c r="GB49" s="55"/>
      <c r="GC49" s="55"/>
      <c r="GD49" s="55"/>
      <c r="GE49" s="55"/>
      <c r="GF49" s="55"/>
      <c r="GG49" s="55"/>
      <c r="GH49" s="55"/>
      <c r="GI49" s="55"/>
      <c r="GJ49" s="55"/>
      <c r="GK49" s="55"/>
      <c r="GL49" s="55"/>
      <c r="GM49" s="55"/>
      <c r="GN49" s="55"/>
      <c r="GO49" s="55"/>
      <c r="GP49" s="55"/>
      <c r="GQ49" s="55"/>
      <c r="GR49" s="55"/>
      <c r="GS49" s="55"/>
      <c r="GT49" s="55"/>
      <c r="GU49" s="55"/>
      <c r="GV49" s="55"/>
      <c r="GW49" s="55"/>
      <c r="GX49" s="55"/>
      <c r="GY49" s="55"/>
      <c r="GZ49" s="55"/>
      <c r="HA49" s="55"/>
      <c r="HB49" s="55"/>
      <c r="HC49" s="55"/>
      <c r="HD49" s="55"/>
      <c r="HE49" s="55"/>
      <c r="HF49" s="55"/>
      <c r="HG49" s="55"/>
      <c r="HH49" s="55"/>
      <c r="HI49" s="55"/>
      <c r="HJ49" s="55"/>
      <c r="HK49" s="55"/>
      <c r="HL49" s="55"/>
      <c r="HM49" s="55"/>
      <c r="HN49" s="55"/>
    </row>
    <row r="50" spans="1:222" s="56" customFormat="1" x14ac:dyDescent="0.2">
      <c r="A50" s="77">
        <f t="shared" si="7"/>
        <v>6</v>
      </c>
      <c r="B50" s="77"/>
      <c r="C50" s="77" t="str">
        <f t="shared" si="7"/>
        <v>BID - BAGUA - LA PECA</v>
      </c>
      <c r="D50" s="51">
        <v>2762392.5549438498</v>
      </c>
      <c r="E50" s="51">
        <v>41908.349026993099</v>
      </c>
      <c r="F50" s="51">
        <v>102255.178907721</v>
      </c>
      <c r="G50" s="51">
        <v>281611.87300000002</v>
      </c>
      <c r="H50" s="51">
        <v>281611.87300000002</v>
      </c>
      <c r="I50" s="51">
        <v>67796.610169491527</v>
      </c>
      <c r="J50" s="51">
        <f t="shared" si="8"/>
        <v>3537576.4390480556</v>
      </c>
      <c r="K50" s="50"/>
      <c r="L50" s="50"/>
      <c r="M50" s="53"/>
      <c r="N50" s="53"/>
      <c r="O50" s="53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4"/>
      <c r="CA50" s="54"/>
      <c r="CB50" s="54"/>
      <c r="CC50" s="54"/>
      <c r="CD50" s="54"/>
      <c r="CE50" s="54"/>
      <c r="CF50" s="54"/>
      <c r="CG50" s="54"/>
      <c r="CH50" s="54"/>
      <c r="CI50" s="54"/>
      <c r="CJ50" s="54"/>
      <c r="CK50" s="54"/>
      <c r="CL50" s="54"/>
      <c r="CM50" s="54"/>
      <c r="CN50" s="54"/>
      <c r="CO50" s="54"/>
      <c r="CP50" s="54"/>
      <c r="CQ50" s="54"/>
      <c r="CR50" s="54"/>
      <c r="CS50" s="54"/>
      <c r="CT50" s="54"/>
      <c r="CU50" s="54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55"/>
      <c r="FL50" s="55"/>
      <c r="FM50" s="55"/>
      <c r="FN50" s="55"/>
      <c r="FO50" s="55"/>
      <c r="FP50" s="55"/>
      <c r="FQ50" s="55"/>
      <c r="FR50" s="55"/>
      <c r="FS50" s="55"/>
      <c r="FT50" s="55"/>
      <c r="FU50" s="55"/>
      <c r="FV50" s="55"/>
      <c r="FW50" s="55"/>
      <c r="FX50" s="55"/>
      <c r="FY50" s="55"/>
      <c r="FZ50" s="55"/>
      <c r="GA50" s="55"/>
      <c r="GB50" s="55"/>
      <c r="GC50" s="55"/>
      <c r="GD50" s="55"/>
      <c r="GE50" s="55"/>
      <c r="GF50" s="55"/>
      <c r="GG50" s="55"/>
      <c r="GH50" s="55"/>
      <c r="GI50" s="55"/>
      <c r="GJ50" s="55"/>
      <c r="GK50" s="55"/>
      <c r="GL50" s="55"/>
      <c r="GM50" s="55"/>
      <c r="GN50" s="55"/>
      <c r="GO50" s="55"/>
      <c r="GP50" s="55"/>
      <c r="GQ50" s="55"/>
      <c r="GR50" s="55"/>
      <c r="GS50" s="55"/>
      <c r="GT50" s="55"/>
      <c r="GU50" s="55"/>
      <c r="GV50" s="55"/>
      <c r="GW50" s="55"/>
      <c r="GX50" s="55"/>
      <c r="GY50" s="55"/>
      <c r="GZ50" s="55"/>
      <c r="HA50" s="55"/>
      <c r="HB50" s="55"/>
      <c r="HC50" s="55"/>
      <c r="HD50" s="55"/>
      <c r="HE50" s="55"/>
      <c r="HF50" s="55"/>
      <c r="HG50" s="55"/>
      <c r="HH50" s="55"/>
      <c r="HI50" s="55"/>
      <c r="HJ50" s="55"/>
      <c r="HK50" s="55"/>
      <c r="HL50" s="55"/>
      <c r="HM50" s="55"/>
      <c r="HN50" s="55"/>
    </row>
    <row r="51" spans="1:222" s="56" customFormat="1" ht="12.75" customHeight="1" x14ac:dyDescent="0.2">
      <c r="A51" s="77">
        <f t="shared" si="7"/>
        <v>7</v>
      </c>
      <c r="B51" s="77"/>
      <c r="C51" s="77" t="str">
        <f t="shared" si="7"/>
        <v>BID - HUACHO</v>
      </c>
      <c r="D51" s="51">
        <v>9649493.4149673004</v>
      </c>
      <c r="E51" s="51">
        <v>44306.340238543598</v>
      </c>
      <c r="F51" s="51">
        <v>137112.24105461399</v>
      </c>
      <c r="G51" s="51">
        <v>975777.65099999995</v>
      </c>
      <c r="H51" s="51">
        <v>975777.65099999995</v>
      </c>
      <c r="I51" s="51">
        <v>84745.762711864416</v>
      </c>
      <c r="J51" s="51">
        <f t="shared" si="8"/>
        <v>11867213.060972322</v>
      </c>
      <c r="K51" s="50"/>
      <c r="L51" s="50"/>
      <c r="M51" s="53"/>
      <c r="N51" s="53"/>
      <c r="O51" s="53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  <c r="BI51" s="54"/>
      <c r="BJ51" s="54"/>
      <c r="BK51" s="54"/>
      <c r="BL51" s="54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  <c r="BX51" s="54"/>
      <c r="BY51" s="54"/>
      <c r="BZ51" s="54"/>
      <c r="CA51" s="54"/>
      <c r="CB51" s="54"/>
      <c r="CC51" s="54"/>
      <c r="CD51" s="54"/>
      <c r="CE51" s="54"/>
      <c r="CF51" s="54"/>
      <c r="CG51" s="54"/>
      <c r="CH51" s="54"/>
      <c r="CI51" s="54"/>
      <c r="CJ51" s="54"/>
      <c r="CK51" s="54"/>
      <c r="CL51" s="54"/>
      <c r="CM51" s="54"/>
      <c r="CN51" s="54"/>
      <c r="CO51" s="54"/>
      <c r="CP51" s="54"/>
      <c r="CQ51" s="54"/>
      <c r="CR51" s="54"/>
      <c r="CS51" s="54"/>
      <c r="CT51" s="54"/>
      <c r="CU51" s="54"/>
      <c r="CV51" s="55"/>
      <c r="CW51" s="55"/>
      <c r="CX51" s="55"/>
      <c r="CY51" s="55"/>
      <c r="CZ51" s="55"/>
      <c r="DA51" s="55"/>
      <c r="DB51" s="55"/>
      <c r="DC51" s="55"/>
      <c r="DD51" s="55"/>
      <c r="DE51" s="55"/>
      <c r="DF51" s="55"/>
      <c r="DG51" s="55"/>
      <c r="DH51" s="55"/>
      <c r="DI51" s="55"/>
      <c r="DJ51" s="55"/>
      <c r="DK51" s="55"/>
      <c r="DL51" s="55"/>
      <c r="DM51" s="55"/>
      <c r="DN51" s="55"/>
      <c r="DO51" s="55"/>
      <c r="DP51" s="55"/>
      <c r="DQ51" s="55"/>
      <c r="DR51" s="55"/>
      <c r="DS51" s="55"/>
      <c r="DT51" s="55"/>
      <c r="DU51" s="55"/>
      <c r="DV51" s="55"/>
      <c r="DW51" s="55"/>
      <c r="DX51" s="55"/>
      <c r="DY51" s="55"/>
      <c r="DZ51" s="55"/>
      <c r="EA51" s="55"/>
      <c r="EB51" s="55"/>
      <c r="EC51" s="55"/>
      <c r="ED51" s="55"/>
      <c r="EE51" s="55"/>
      <c r="EF51" s="55"/>
      <c r="EG51" s="55"/>
      <c r="EH51" s="55"/>
      <c r="EI51" s="55"/>
      <c r="EJ51" s="55"/>
      <c r="EK51" s="55"/>
      <c r="EL51" s="55"/>
      <c r="EM51" s="55"/>
      <c r="EN51" s="55"/>
      <c r="EO51" s="55"/>
      <c r="EP51" s="55"/>
      <c r="EQ51" s="55"/>
      <c r="ER51" s="55"/>
      <c r="ES51" s="55"/>
      <c r="ET51" s="55"/>
      <c r="EU51" s="55"/>
      <c r="EV51" s="55"/>
      <c r="EW51" s="55"/>
      <c r="EX51" s="55"/>
      <c r="EY51" s="55"/>
      <c r="EZ51" s="55"/>
      <c r="FA51" s="55"/>
      <c r="FB51" s="55"/>
      <c r="FC51" s="55"/>
      <c r="FD51" s="55"/>
      <c r="FE51" s="55"/>
      <c r="FF51" s="55"/>
      <c r="FG51" s="55"/>
      <c r="FH51" s="55"/>
      <c r="FI51" s="55"/>
      <c r="FJ51" s="55"/>
      <c r="FK51" s="55"/>
      <c r="FL51" s="55"/>
      <c r="FM51" s="55"/>
      <c r="FN51" s="55"/>
      <c r="FO51" s="55"/>
      <c r="FP51" s="55"/>
      <c r="FQ51" s="55"/>
      <c r="FR51" s="55"/>
      <c r="FS51" s="55"/>
      <c r="FT51" s="55"/>
      <c r="FU51" s="55"/>
      <c r="FV51" s="55"/>
      <c r="FW51" s="55"/>
      <c r="FX51" s="55"/>
      <c r="FY51" s="55"/>
      <c r="FZ51" s="55"/>
      <c r="GA51" s="55"/>
      <c r="GB51" s="55"/>
      <c r="GC51" s="55"/>
      <c r="GD51" s="55"/>
      <c r="GE51" s="55"/>
      <c r="GF51" s="55"/>
      <c r="GG51" s="55"/>
      <c r="GH51" s="55"/>
      <c r="GI51" s="55"/>
      <c r="GJ51" s="55"/>
      <c r="GK51" s="55"/>
      <c r="GL51" s="55"/>
      <c r="GM51" s="55"/>
      <c r="GN51" s="55"/>
      <c r="GO51" s="55"/>
      <c r="GP51" s="55"/>
      <c r="GQ51" s="55"/>
      <c r="GR51" s="55"/>
      <c r="GS51" s="55"/>
      <c r="GT51" s="55"/>
      <c r="GU51" s="55"/>
      <c r="GV51" s="55"/>
      <c r="GW51" s="55"/>
      <c r="GX51" s="55"/>
      <c r="GY51" s="55"/>
      <c r="GZ51" s="55"/>
      <c r="HA51" s="55"/>
      <c r="HB51" s="55"/>
      <c r="HC51" s="55"/>
      <c r="HD51" s="55"/>
      <c r="HE51" s="55"/>
      <c r="HF51" s="55"/>
      <c r="HG51" s="55"/>
      <c r="HH51" s="55"/>
      <c r="HI51" s="55"/>
      <c r="HJ51" s="55"/>
      <c r="HK51" s="55"/>
      <c r="HL51" s="55"/>
      <c r="HM51" s="55"/>
      <c r="HN51" s="55"/>
    </row>
    <row r="52" spans="1:222" s="56" customFormat="1" ht="13.5" customHeight="1" x14ac:dyDescent="0.2">
      <c r="A52" s="77">
        <f t="shared" si="7"/>
        <v>8</v>
      </c>
      <c r="B52" s="77"/>
      <c r="C52" s="77" t="str">
        <f t="shared" si="7"/>
        <v>BID- ANDAHUAYLAS</v>
      </c>
      <c r="D52" s="51">
        <v>3192769.7322897292</v>
      </c>
      <c r="E52" s="51">
        <v>45781.544256120527</v>
      </c>
      <c r="F52" s="51">
        <v>132018.83239171375</v>
      </c>
      <c r="G52" s="51">
        <v>326127.52400000009</v>
      </c>
      <c r="H52" s="51">
        <v>326127.52400000009</v>
      </c>
      <c r="I52" s="51">
        <v>67796.610169491527</v>
      </c>
      <c r="J52" s="51">
        <f t="shared" si="8"/>
        <v>4090621.7671070555</v>
      </c>
      <c r="K52" s="50"/>
      <c r="L52" s="50"/>
      <c r="M52" s="53"/>
      <c r="N52" s="53"/>
      <c r="O52" s="53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W52" s="54"/>
      <c r="BX52" s="54"/>
      <c r="BY52" s="54"/>
      <c r="BZ52" s="54"/>
      <c r="CA52" s="54"/>
      <c r="CB52" s="54"/>
      <c r="CC52" s="54"/>
      <c r="CD52" s="54"/>
      <c r="CE52" s="54"/>
      <c r="CF52" s="54"/>
      <c r="CG52" s="54"/>
      <c r="CH52" s="54"/>
      <c r="CI52" s="54"/>
      <c r="CJ52" s="54"/>
      <c r="CK52" s="54"/>
      <c r="CL52" s="54"/>
      <c r="CM52" s="54"/>
      <c r="CN52" s="54"/>
      <c r="CO52" s="54"/>
      <c r="CP52" s="54"/>
      <c r="CQ52" s="54"/>
      <c r="CR52" s="54"/>
      <c r="CS52" s="54"/>
      <c r="CT52" s="54"/>
      <c r="CU52" s="54"/>
      <c r="CV52" s="55"/>
      <c r="CW52" s="55"/>
      <c r="CX52" s="55"/>
      <c r="CY52" s="55"/>
      <c r="CZ52" s="55"/>
      <c r="DA52" s="55"/>
      <c r="DB52" s="55"/>
      <c r="DC52" s="55"/>
      <c r="DD52" s="55"/>
      <c r="DE52" s="55"/>
      <c r="DF52" s="55"/>
      <c r="DG52" s="55"/>
      <c r="DH52" s="55"/>
      <c r="DI52" s="55"/>
      <c r="DJ52" s="55"/>
      <c r="DK52" s="55"/>
      <c r="DL52" s="55"/>
      <c r="DM52" s="55"/>
      <c r="DN52" s="55"/>
      <c r="DO52" s="55"/>
      <c r="DP52" s="55"/>
      <c r="DQ52" s="55"/>
      <c r="DR52" s="55"/>
      <c r="DS52" s="55"/>
      <c r="DT52" s="55"/>
      <c r="DU52" s="55"/>
      <c r="DV52" s="55"/>
      <c r="DW52" s="55"/>
      <c r="DX52" s="55"/>
      <c r="DY52" s="55"/>
      <c r="DZ52" s="55"/>
      <c r="EA52" s="55"/>
      <c r="EB52" s="55"/>
      <c r="EC52" s="55"/>
      <c r="ED52" s="55"/>
      <c r="EE52" s="55"/>
      <c r="EF52" s="55"/>
      <c r="EG52" s="55"/>
      <c r="EH52" s="55"/>
      <c r="EI52" s="55"/>
      <c r="EJ52" s="55"/>
      <c r="EK52" s="55"/>
      <c r="EL52" s="55"/>
      <c r="EM52" s="55"/>
      <c r="EN52" s="55"/>
      <c r="EO52" s="55"/>
      <c r="EP52" s="55"/>
      <c r="EQ52" s="55"/>
      <c r="ER52" s="55"/>
      <c r="ES52" s="55"/>
      <c r="ET52" s="55"/>
      <c r="EU52" s="55"/>
      <c r="EV52" s="55"/>
      <c r="EW52" s="55"/>
      <c r="EX52" s="55"/>
      <c r="EY52" s="55"/>
      <c r="EZ52" s="55"/>
      <c r="FA52" s="55"/>
      <c r="FB52" s="55"/>
      <c r="FC52" s="55"/>
      <c r="FD52" s="55"/>
      <c r="FE52" s="55"/>
      <c r="FF52" s="55"/>
      <c r="FG52" s="55"/>
      <c r="FH52" s="55"/>
      <c r="FI52" s="55"/>
      <c r="FJ52" s="55"/>
      <c r="FK52" s="55"/>
      <c r="FL52" s="55"/>
      <c r="FM52" s="55"/>
      <c r="FN52" s="55"/>
      <c r="FO52" s="55"/>
      <c r="FP52" s="55"/>
      <c r="FQ52" s="55"/>
      <c r="FR52" s="55"/>
      <c r="FS52" s="55"/>
      <c r="FT52" s="55"/>
      <c r="FU52" s="55"/>
      <c r="FV52" s="55"/>
      <c r="FW52" s="55"/>
      <c r="FX52" s="55"/>
      <c r="FY52" s="55"/>
      <c r="FZ52" s="55"/>
      <c r="GA52" s="55"/>
      <c r="GB52" s="55"/>
      <c r="GC52" s="55"/>
      <c r="GD52" s="55"/>
      <c r="GE52" s="55"/>
      <c r="GF52" s="55"/>
      <c r="GG52" s="55"/>
      <c r="GH52" s="55"/>
      <c r="GI52" s="55"/>
      <c r="GJ52" s="55"/>
      <c r="GK52" s="55"/>
      <c r="GL52" s="55"/>
      <c r="GM52" s="55"/>
      <c r="GN52" s="55"/>
      <c r="GO52" s="55"/>
      <c r="GP52" s="55"/>
      <c r="GQ52" s="55"/>
      <c r="GR52" s="55"/>
      <c r="GS52" s="55"/>
      <c r="GT52" s="55"/>
      <c r="GU52" s="55"/>
      <c r="GV52" s="55"/>
      <c r="GW52" s="55"/>
      <c r="GX52" s="55"/>
      <c r="GY52" s="55"/>
      <c r="GZ52" s="55"/>
      <c r="HA52" s="55"/>
      <c r="HB52" s="55"/>
      <c r="HC52" s="55"/>
      <c r="HD52" s="55"/>
      <c r="HE52" s="55"/>
      <c r="HF52" s="55"/>
      <c r="HG52" s="55"/>
      <c r="HH52" s="55"/>
      <c r="HI52" s="55"/>
      <c r="HJ52" s="55"/>
      <c r="HK52" s="55"/>
      <c r="HL52" s="55"/>
      <c r="HM52" s="55"/>
      <c r="HN52" s="55"/>
    </row>
    <row r="53" spans="1:222" s="60" customFormat="1" ht="13.5" customHeight="1" x14ac:dyDescent="0.2">
      <c r="A53" s="77">
        <f t="shared" si="7"/>
        <v>9</v>
      </c>
      <c r="B53" s="77"/>
      <c r="C53" s="77" t="str">
        <f t="shared" si="7"/>
        <v>BID - HUAMANGA</v>
      </c>
      <c r="D53" s="51">
        <v>7112388.1430220054</v>
      </c>
      <c r="E53" s="51">
        <v>42897.049591964846</v>
      </c>
      <c r="F53" s="51">
        <v>106545.82548650345</v>
      </c>
      <c r="G53" s="51">
        <v>725067.74700000009</v>
      </c>
      <c r="H53" s="51">
        <v>725067.74700000009</v>
      </c>
      <c r="I53" s="51">
        <v>67796.610169491527</v>
      </c>
      <c r="J53" s="51">
        <f t="shared" si="8"/>
        <v>8779763.1222699657</v>
      </c>
      <c r="K53" s="50"/>
      <c r="L53" s="50"/>
      <c r="M53" s="53"/>
      <c r="N53" s="53"/>
      <c r="O53" s="53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  <c r="BX53" s="54"/>
      <c r="BY53" s="54"/>
      <c r="BZ53" s="54"/>
      <c r="CA53" s="54"/>
      <c r="CB53" s="54"/>
      <c r="CC53" s="54"/>
      <c r="CD53" s="54"/>
      <c r="CE53" s="54"/>
      <c r="CF53" s="54"/>
      <c r="CG53" s="54"/>
      <c r="CH53" s="54"/>
      <c r="CI53" s="54"/>
      <c r="CJ53" s="54"/>
      <c r="CK53" s="54"/>
      <c r="CL53" s="54"/>
      <c r="CM53" s="54"/>
      <c r="CN53" s="54"/>
      <c r="CO53" s="54"/>
      <c r="CP53" s="54"/>
      <c r="CQ53" s="54"/>
      <c r="CR53" s="54"/>
      <c r="CS53" s="54"/>
      <c r="CT53" s="54"/>
      <c r="CU53" s="54"/>
      <c r="CV53" s="55"/>
      <c r="CW53" s="55"/>
      <c r="CX53" s="55"/>
      <c r="CY53" s="55"/>
      <c r="CZ53" s="55"/>
      <c r="DA53" s="55"/>
      <c r="DB53" s="55"/>
      <c r="DC53" s="55"/>
      <c r="DD53" s="55"/>
      <c r="DE53" s="55"/>
      <c r="DF53" s="55"/>
      <c r="DG53" s="55"/>
      <c r="DH53" s="55"/>
      <c r="DI53" s="55"/>
      <c r="DJ53" s="55"/>
      <c r="DK53" s="55"/>
      <c r="DL53" s="55"/>
      <c r="DM53" s="55"/>
      <c r="DN53" s="55"/>
      <c r="DO53" s="55"/>
      <c r="DP53" s="55"/>
      <c r="DQ53" s="55"/>
      <c r="DR53" s="55"/>
      <c r="DS53" s="55"/>
      <c r="DT53" s="55"/>
      <c r="DU53" s="55"/>
      <c r="DV53" s="55"/>
      <c r="DW53" s="55"/>
      <c r="DX53" s="55"/>
      <c r="DY53" s="55"/>
      <c r="DZ53" s="55"/>
      <c r="EA53" s="55"/>
      <c r="EB53" s="55"/>
      <c r="EC53" s="55"/>
      <c r="ED53" s="55"/>
      <c r="EE53" s="55"/>
      <c r="EF53" s="55"/>
      <c r="EG53" s="55"/>
      <c r="EH53" s="55"/>
      <c r="EI53" s="55"/>
      <c r="EJ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55"/>
      <c r="FL53" s="55"/>
      <c r="FM53" s="55"/>
      <c r="FN53" s="55"/>
      <c r="FO53" s="55"/>
      <c r="FP53" s="55"/>
      <c r="FQ53" s="55"/>
      <c r="FR53" s="55"/>
      <c r="FS53" s="55"/>
      <c r="FT53" s="55"/>
      <c r="FU53" s="55"/>
      <c r="FV53" s="55"/>
      <c r="FW53" s="55"/>
      <c r="FX53" s="55"/>
      <c r="FY53" s="55"/>
      <c r="FZ53" s="55"/>
      <c r="GA53" s="55"/>
      <c r="GB53" s="55"/>
      <c r="GC53" s="55"/>
      <c r="GD53" s="55"/>
      <c r="GE53" s="55"/>
      <c r="GF53" s="55"/>
      <c r="GG53" s="55"/>
      <c r="GH53" s="55"/>
      <c r="GI53" s="55"/>
      <c r="GJ53" s="55"/>
      <c r="GK53" s="55"/>
      <c r="GL53" s="55"/>
      <c r="GM53" s="55"/>
      <c r="GN53" s="55"/>
      <c r="GO53" s="55"/>
      <c r="GP53" s="55"/>
      <c r="GQ53" s="55"/>
      <c r="GR53" s="55"/>
      <c r="GS53" s="55"/>
      <c r="GT53" s="55"/>
      <c r="GU53" s="55"/>
      <c r="GV53" s="55"/>
      <c r="GW53" s="55"/>
      <c r="GX53" s="55"/>
      <c r="GY53" s="55"/>
      <c r="GZ53" s="55"/>
      <c r="HA53" s="55"/>
      <c r="HB53" s="55"/>
      <c r="HC53" s="55"/>
      <c r="HD53" s="55"/>
      <c r="HE53" s="55"/>
      <c r="HF53" s="55"/>
      <c r="HG53" s="55"/>
      <c r="HH53" s="55"/>
      <c r="HI53" s="55"/>
      <c r="HJ53" s="55"/>
      <c r="HK53" s="55"/>
      <c r="HL53" s="55"/>
      <c r="HM53" s="55"/>
      <c r="HN53" s="55"/>
    </row>
    <row r="54" spans="1:222" s="61" customFormat="1" x14ac:dyDescent="0.2">
      <c r="A54" s="77">
        <f t="shared" si="7"/>
        <v>10</v>
      </c>
      <c r="B54" s="77"/>
      <c r="C54" s="77" t="str">
        <f t="shared" si="7"/>
        <v>BID - ABANCAY</v>
      </c>
      <c r="D54" s="51">
        <v>2804752.5690223211</v>
      </c>
      <c r="E54" s="51">
        <v>45781.544256120527</v>
      </c>
      <c r="F54" s="51">
        <v>134372.88135593222</v>
      </c>
      <c r="G54" s="51">
        <v>289747.30500000005</v>
      </c>
      <c r="H54" s="51">
        <v>289747.30500000005</v>
      </c>
      <c r="I54" s="51">
        <v>67796.610169491527</v>
      </c>
      <c r="J54" s="51">
        <f t="shared" si="8"/>
        <v>3632198.2148038661</v>
      </c>
      <c r="K54" s="50"/>
      <c r="L54" s="50"/>
      <c r="M54" s="46"/>
      <c r="N54" s="46"/>
      <c r="O54" s="46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  <c r="FP54" s="48"/>
      <c r="FQ54" s="48"/>
      <c r="FR54" s="48"/>
      <c r="FS54" s="48"/>
      <c r="FT54" s="48"/>
      <c r="FU54" s="48"/>
      <c r="FV54" s="48"/>
      <c r="FW54" s="48"/>
      <c r="FX54" s="48"/>
      <c r="FY54" s="48"/>
      <c r="FZ54" s="48"/>
      <c r="GA54" s="48"/>
      <c r="GB54" s="48"/>
      <c r="GC54" s="48"/>
      <c r="GD54" s="48"/>
      <c r="GE54" s="48"/>
      <c r="GF54" s="48"/>
      <c r="GG54" s="48"/>
      <c r="GH54" s="48"/>
      <c r="GI54" s="48"/>
      <c r="GJ54" s="48"/>
      <c r="GK54" s="48"/>
      <c r="GL54" s="48"/>
      <c r="GM54" s="48"/>
      <c r="GN54" s="48"/>
      <c r="GO54" s="48"/>
      <c r="GP54" s="48"/>
      <c r="GQ54" s="48"/>
      <c r="GR54" s="48"/>
      <c r="GS54" s="48"/>
      <c r="GT54" s="48"/>
      <c r="GU54" s="48"/>
      <c r="GV54" s="48"/>
      <c r="GW54" s="48"/>
      <c r="GX54" s="48"/>
      <c r="GY54" s="48"/>
      <c r="GZ54" s="48"/>
      <c r="HA54" s="48"/>
      <c r="HB54" s="48"/>
      <c r="HC54" s="48"/>
      <c r="HD54" s="48"/>
      <c r="HE54" s="48"/>
      <c r="HF54" s="48"/>
      <c r="HG54" s="48"/>
      <c r="HH54" s="48"/>
      <c r="HI54" s="48"/>
      <c r="HJ54" s="48"/>
      <c r="HK54" s="48"/>
      <c r="HL54" s="48"/>
      <c r="HM54" s="48"/>
      <c r="HN54" s="48"/>
    </row>
    <row r="55" spans="1:222" s="61" customFormat="1" x14ac:dyDescent="0.2">
      <c r="A55" s="77">
        <f t="shared" si="7"/>
        <v>11</v>
      </c>
      <c r="B55" s="77"/>
      <c r="C55" s="77" t="str">
        <f t="shared" si="7"/>
        <v>BID - AYMARAES - CHALHUANCA</v>
      </c>
      <c r="D55" s="51">
        <v>576665.17069322034</v>
      </c>
      <c r="E55" s="51">
        <v>41908.349026993099</v>
      </c>
      <c r="F55" s="51">
        <v>91120.527306967982</v>
      </c>
      <c r="G55" s="51">
        <v>58467.857000000004</v>
      </c>
      <c r="H55" s="51">
        <v>58467.857000000004</v>
      </c>
      <c r="I55" s="51">
        <v>50847.457627118645</v>
      </c>
      <c r="J55" s="51">
        <f t="shared" si="8"/>
        <v>877477.21865430009</v>
      </c>
      <c r="K55" s="50"/>
      <c r="L55" s="50"/>
      <c r="M55" s="46"/>
      <c r="N55" s="46"/>
      <c r="O55" s="46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  <c r="FP55" s="48"/>
      <c r="FQ55" s="48"/>
      <c r="FR55" s="48"/>
      <c r="FS55" s="48"/>
      <c r="FT55" s="48"/>
      <c r="FU55" s="48"/>
      <c r="FV55" s="48"/>
      <c r="FW55" s="48"/>
      <c r="FX55" s="48"/>
      <c r="FY55" s="48"/>
      <c r="FZ55" s="48"/>
      <c r="GA55" s="48"/>
      <c r="GB55" s="48"/>
      <c r="GC55" s="48"/>
      <c r="GD55" s="48"/>
      <c r="GE55" s="48"/>
      <c r="GF55" s="48"/>
      <c r="GG55" s="48"/>
      <c r="GH55" s="48"/>
      <c r="GI55" s="48"/>
      <c r="GJ55" s="48"/>
      <c r="GK55" s="48"/>
      <c r="GL55" s="48"/>
      <c r="GM55" s="48"/>
      <c r="GN55" s="48"/>
      <c r="GO55" s="48"/>
      <c r="GP55" s="48"/>
      <c r="GQ55" s="48"/>
      <c r="GR55" s="48"/>
      <c r="GS55" s="48"/>
      <c r="GT55" s="48"/>
      <c r="GU55" s="48"/>
      <c r="GV55" s="48"/>
      <c r="GW55" s="48"/>
      <c r="GX55" s="48"/>
      <c r="GY55" s="48"/>
      <c r="GZ55" s="48"/>
      <c r="HA55" s="48"/>
      <c r="HB55" s="48"/>
      <c r="HC55" s="48"/>
      <c r="HD55" s="48"/>
      <c r="HE55" s="48"/>
      <c r="HF55" s="48"/>
      <c r="HG55" s="48"/>
      <c r="HH55" s="48"/>
      <c r="HI55" s="48"/>
      <c r="HJ55" s="48"/>
      <c r="HK55" s="48"/>
      <c r="HL55" s="48"/>
      <c r="HM55" s="48"/>
      <c r="HN55" s="48"/>
    </row>
    <row r="56" spans="1:222" s="62" customFormat="1" x14ac:dyDescent="0.2">
      <c r="A56" s="77">
        <f t="shared" si="7"/>
        <v>12</v>
      </c>
      <c r="B56" s="77"/>
      <c r="C56" s="77" t="str">
        <f t="shared" si="7"/>
        <v>BID - CHINCHA - CHINCHA ALTA</v>
      </c>
      <c r="D56" s="69">
        <v>22483916.996057</v>
      </c>
      <c r="E56" s="51">
        <v>62303.829252981799</v>
      </c>
      <c r="F56" s="51">
        <v>175877.966101695</v>
      </c>
      <c r="G56" s="51">
        <v>2274179.6570000001</v>
      </c>
      <c r="H56" s="51">
        <v>2274179.6570000001</v>
      </c>
      <c r="I56" s="51">
        <v>84745.762711864416</v>
      </c>
      <c r="J56" s="51">
        <f t="shared" si="8"/>
        <v>27355203.868123543</v>
      </c>
      <c r="K56" s="50"/>
      <c r="L56" s="50"/>
      <c r="M56" s="46"/>
      <c r="N56" s="46"/>
      <c r="O56" s="46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  <c r="FP56" s="48"/>
      <c r="FQ56" s="48"/>
      <c r="FR56" s="48"/>
      <c r="FS56" s="48"/>
      <c r="FT56" s="48"/>
      <c r="FU56" s="48"/>
      <c r="FV56" s="48"/>
      <c r="FW56" s="48"/>
      <c r="FX56" s="48"/>
      <c r="FY56" s="48"/>
      <c r="FZ56" s="48"/>
      <c r="GA56" s="48"/>
      <c r="GB56" s="48"/>
      <c r="GC56" s="48"/>
      <c r="GD56" s="48"/>
      <c r="GE56" s="48"/>
      <c r="GF56" s="48"/>
      <c r="GG56" s="48"/>
      <c r="GH56" s="48"/>
      <c r="GI56" s="48"/>
      <c r="GJ56" s="48"/>
      <c r="GK56" s="48"/>
      <c r="GL56" s="48"/>
      <c r="GM56" s="48"/>
      <c r="GN56" s="48"/>
      <c r="GO56" s="48"/>
      <c r="GP56" s="48"/>
      <c r="GQ56" s="48"/>
      <c r="GR56" s="48"/>
      <c r="GS56" s="48"/>
      <c r="GT56" s="48"/>
      <c r="GU56" s="48"/>
      <c r="GV56" s="48"/>
      <c r="GW56" s="48"/>
      <c r="GX56" s="48"/>
      <c r="GY56" s="48"/>
      <c r="GZ56" s="48"/>
      <c r="HA56" s="48"/>
      <c r="HB56" s="48"/>
      <c r="HC56" s="48"/>
      <c r="HD56" s="48"/>
      <c r="HE56" s="48"/>
      <c r="HF56" s="48"/>
      <c r="HG56" s="48"/>
      <c r="HH56" s="48"/>
      <c r="HI56" s="48"/>
      <c r="HJ56" s="48"/>
      <c r="HK56" s="48"/>
      <c r="HL56" s="48"/>
      <c r="HM56" s="48"/>
      <c r="HN56" s="48"/>
    </row>
    <row r="57" spans="1:222" s="67" customFormat="1" x14ac:dyDescent="0.2">
      <c r="A57" s="78"/>
      <c r="B57" s="78"/>
      <c r="C57" s="79" t="s">
        <v>87</v>
      </c>
      <c r="D57" s="80">
        <f t="shared" ref="D57:I57" si="9">SUM(D45:D56)</f>
        <v>56633353.737088114</v>
      </c>
      <c r="E57" s="80">
        <f t="shared" si="9"/>
        <v>537441.9334588825</v>
      </c>
      <c r="F57" s="80">
        <f t="shared" si="9"/>
        <v>1359892.7231638408</v>
      </c>
      <c r="G57" s="80">
        <f t="shared" si="9"/>
        <v>5747760.4330000002</v>
      </c>
      <c r="H57" s="80">
        <f t="shared" si="9"/>
        <v>5747760.4330000002</v>
      </c>
      <c r="I57" s="80">
        <f t="shared" si="9"/>
        <v>767419.96233521658</v>
      </c>
      <c r="J57" s="80">
        <f>SUM(D57:I57)</f>
        <v>70793629.222046047</v>
      </c>
      <c r="K57" s="66"/>
      <c r="L57" s="66"/>
      <c r="M57" s="46"/>
      <c r="N57" s="46"/>
      <c r="O57" s="46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  <c r="FP57" s="48"/>
      <c r="FQ57" s="48"/>
      <c r="FR57" s="48"/>
      <c r="FS57" s="48"/>
      <c r="FT57" s="48"/>
      <c r="FU57" s="48"/>
      <c r="FV57" s="48"/>
      <c r="FW57" s="48"/>
      <c r="FX57" s="48"/>
      <c r="FY57" s="48"/>
      <c r="FZ57" s="48"/>
      <c r="GA57" s="48"/>
      <c r="GB57" s="48"/>
      <c r="GC57" s="48"/>
      <c r="GD57" s="48"/>
      <c r="GE57" s="48"/>
      <c r="GF57" s="48"/>
      <c r="GG57" s="48"/>
      <c r="GH57" s="48"/>
      <c r="GI57" s="48"/>
      <c r="GJ57" s="48"/>
      <c r="GK57" s="48"/>
      <c r="GL57" s="48"/>
      <c r="GM57" s="48"/>
      <c r="GN57" s="48"/>
      <c r="GO57" s="48"/>
      <c r="GP57" s="48"/>
      <c r="GQ57" s="48"/>
      <c r="GR57" s="48"/>
      <c r="GS57" s="48"/>
      <c r="GT57" s="48"/>
      <c r="GU57" s="48"/>
      <c r="GV57" s="48"/>
      <c r="GW57" s="48"/>
      <c r="GX57" s="48"/>
      <c r="GY57" s="48"/>
      <c r="GZ57" s="48"/>
      <c r="HA57" s="48"/>
      <c r="HB57" s="48"/>
      <c r="HC57" s="48"/>
      <c r="HD57" s="48"/>
      <c r="HE57" s="48"/>
      <c r="HF57" s="48"/>
      <c r="HG57" s="48"/>
      <c r="HH57" s="48"/>
      <c r="HI57" s="48"/>
      <c r="HJ57" s="48"/>
      <c r="HK57" s="48"/>
      <c r="HL57" s="48"/>
      <c r="HM57" s="48"/>
      <c r="HN57" s="48"/>
    </row>
    <row r="58" spans="1:222" s="61" customFormat="1" x14ac:dyDescent="0.2">
      <c r="A58" s="77">
        <f>+A19</f>
        <v>13</v>
      </c>
      <c r="B58" s="77"/>
      <c r="C58" s="77" t="str">
        <f>+C19</f>
        <v>JICA - TALARA - PARIÑAS</v>
      </c>
      <c r="D58" s="51">
        <v>1382039.4580638658</v>
      </c>
      <c r="E58" s="51">
        <v>55025.109855618328</v>
      </c>
      <c r="F58" s="51">
        <v>126770.66415568111</v>
      </c>
      <c r="G58" s="51">
        <v>108640.93220338984</v>
      </c>
      <c r="H58" s="51">
        <v>141255.193</v>
      </c>
      <c r="I58" s="51">
        <v>68310.000000000015</v>
      </c>
      <c r="J58" s="51">
        <f>SUM(D58:I58)</f>
        <v>1882041.3572785552</v>
      </c>
      <c r="K58" s="69" t="s">
        <v>89</v>
      </c>
      <c r="L58" s="81"/>
      <c r="M58" s="46"/>
      <c r="N58" s="46"/>
      <c r="O58" s="46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  <c r="FP58" s="48"/>
      <c r="FQ58" s="48"/>
      <c r="FR58" s="48"/>
      <c r="FS58" s="48"/>
      <c r="FT58" s="48"/>
      <c r="FU58" s="48"/>
      <c r="FV58" s="48"/>
      <c r="FW58" s="48"/>
      <c r="FX58" s="48"/>
      <c r="FY58" s="48"/>
      <c r="FZ58" s="48"/>
      <c r="GA58" s="48"/>
      <c r="GB58" s="48"/>
      <c r="GC58" s="48"/>
      <c r="GD58" s="48"/>
      <c r="GE58" s="48"/>
      <c r="GF58" s="48"/>
      <c r="GG58" s="48"/>
      <c r="GH58" s="48"/>
      <c r="GI58" s="48"/>
      <c r="GJ58" s="48"/>
      <c r="GK58" s="48"/>
      <c r="GL58" s="48"/>
      <c r="GM58" s="48"/>
      <c r="GN58" s="48"/>
      <c r="GO58" s="48"/>
      <c r="GP58" s="48"/>
      <c r="GQ58" s="48"/>
      <c r="GR58" s="48"/>
      <c r="GS58" s="48"/>
      <c r="GT58" s="48"/>
      <c r="GU58" s="48"/>
      <c r="GV58" s="48"/>
      <c r="GW58" s="48"/>
      <c r="GX58" s="48"/>
      <c r="GY58" s="48"/>
      <c r="GZ58" s="48"/>
      <c r="HA58" s="48"/>
      <c r="HB58" s="48"/>
      <c r="HC58" s="48"/>
      <c r="HD58" s="48"/>
      <c r="HE58" s="48"/>
      <c r="HF58" s="48"/>
      <c r="HG58" s="48"/>
      <c r="HH58" s="48"/>
      <c r="HI58" s="48"/>
      <c r="HJ58" s="48"/>
      <c r="HK58" s="48"/>
      <c r="HL58" s="48"/>
      <c r="HM58" s="48"/>
      <c r="HN58" s="48"/>
    </row>
    <row r="59" spans="1:222" s="48" customFormat="1" x14ac:dyDescent="0.2">
      <c r="A59" s="77">
        <f t="shared" ref="A59:C74" si="10">+A20</f>
        <v>14</v>
      </c>
      <c r="B59" s="77"/>
      <c r="C59" s="77" t="str">
        <f t="shared" si="10"/>
        <v>JICA - TAMBOPATA</v>
      </c>
      <c r="D59" s="69">
        <v>6259959.1252372749</v>
      </c>
      <c r="E59" s="51">
        <v>55025.109855618328</v>
      </c>
      <c r="F59" s="51">
        <v>119991.00313873195</v>
      </c>
      <c r="G59" s="51">
        <v>308432.82485875709</v>
      </c>
      <c r="H59" s="51">
        <v>642711.88</v>
      </c>
      <c r="I59" s="51">
        <v>57367.750000000007</v>
      </c>
      <c r="J59" s="51">
        <f t="shared" ref="J59:J75" si="11">SUM(D59:I59)</f>
        <v>7443487.693090382</v>
      </c>
      <c r="K59" s="69" t="s">
        <v>89</v>
      </c>
      <c r="L59" s="50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</row>
    <row r="60" spans="1:222" s="48" customFormat="1" x14ac:dyDescent="0.2">
      <c r="A60" s="77">
        <f t="shared" si="10"/>
        <v>15</v>
      </c>
      <c r="B60" s="77"/>
      <c r="C60" s="77" t="str">
        <f t="shared" si="10"/>
        <v>JICA - PUNO</v>
      </c>
      <c r="D60" s="69">
        <v>4024474.6676778379</v>
      </c>
      <c r="E60" s="51">
        <v>55025.109855618328</v>
      </c>
      <c r="F60" s="51">
        <v>133550.32517263026</v>
      </c>
      <c r="G60" s="51">
        <v>238962.99435028253</v>
      </c>
      <c r="H60" s="51">
        <v>402447.4667677838</v>
      </c>
      <c r="I60" s="51">
        <v>62073.549999999996</v>
      </c>
      <c r="J60" s="51">
        <f t="shared" si="11"/>
        <v>4916534.1138241533</v>
      </c>
      <c r="K60" s="69" t="s">
        <v>89</v>
      </c>
      <c r="L60" s="50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</row>
    <row r="61" spans="1:222" s="48" customFormat="1" x14ac:dyDescent="0.2">
      <c r="A61" s="77">
        <f t="shared" si="10"/>
        <v>16</v>
      </c>
      <c r="B61" s="77"/>
      <c r="C61" s="77" t="str">
        <f t="shared" si="10"/>
        <v>JICA - SULLANA</v>
      </c>
      <c r="D61" s="51">
        <v>5837223.0677192677</v>
      </c>
      <c r="E61" s="51">
        <v>55025.109855618328</v>
      </c>
      <c r="F61" s="51">
        <v>147109.64720652858</v>
      </c>
      <c r="G61" s="51">
        <v>207518.84180790963</v>
      </c>
      <c r="H61" s="51">
        <v>584665.36499999999</v>
      </c>
      <c r="I61" s="51">
        <v>68752.75</v>
      </c>
      <c r="J61" s="51">
        <f t="shared" si="11"/>
        <v>6900294.7815893237</v>
      </c>
      <c r="K61" s="69" t="s">
        <v>89</v>
      </c>
      <c r="L61" s="50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</row>
    <row r="62" spans="1:222" s="48" customFormat="1" x14ac:dyDescent="0.2">
      <c r="A62" s="77">
        <f t="shared" si="10"/>
        <v>17</v>
      </c>
      <c r="B62" s="77"/>
      <c r="C62" s="77" t="str">
        <f t="shared" si="10"/>
        <v>JICA - HUANUCO</v>
      </c>
      <c r="D62" s="51">
        <v>2385908.7732176105</v>
      </c>
      <c r="E62" s="51">
        <v>55025.109855618328</v>
      </c>
      <c r="F62" s="51">
        <v>60920.067796610172</v>
      </c>
      <c r="G62" s="51">
        <v>192524.01129943502</v>
      </c>
      <c r="H62" s="51">
        <v>238590.87732176107</v>
      </c>
      <c r="I62" s="51">
        <f>+I23/1.18</f>
        <v>68436.500000000015</v>
      </c>
      <c r="J62" s="51">
        <f t="shared" si="11"/>
        <v>3001405.3394910353</v>
      </c>
      <c r="K62" s="69" t="s">
        <v>89</v>
      </c>
      <c r="L62" s="50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</row>
    <row r="63" spans="1:222" s="48" customFormat="1" x14ac:dyDescent="0.2">
      <c r="A63" s="77">
        <f t="shared" si="10"/>
        <v>18</v>
      </c>
      <c r="B63" s="77"/>
      <c r="C63" s="77" t="str">
        <f t="shared" si="10"/>
        <v>JICA - SAN MARTIN - TARAPOTO</v>
      </c>
      <c r="D63" s="51">
        <v>4333836.6119073592</v>
      </c>
      <c r="E63" s="51">
        <v>55025.109855618328</v>
      </c>
      <c r="F63" s="51">
        <v>133550.32517263026</v>
      </c>
      <c r="G63" s="51">
        <v>275356.92090395477</v>
      </c>
      <c r="H63" s="51">
        <v>433383.66119073593</v>
      </c>
      <c r="I63" s="51">
        <v>63566.250000000007</v>
      </c>
      <c r="J63" s="51">
        <f t="shared" si="11"/>
        <v>5294718.8790302984</v>
      </c>
      <c r="K63" s="69" t="s">
        <v>89</v>
      </c>
      <c r="L63" s="50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</row>
    <row r="64" spans="1:222" s="48" customFormat="1" x14ac:dyDescent="0.2">
      <c r="A64" s="77">
        <f t="shared" si="10"/>
        <v>19</v>
      </c>
      <c r="B64" s="77"/>
      <c r="C64" s="77" t="str">
        <f t="shared" si="10"/>
        <v>JICA - PAITA</v>
      </c>
      <c r="D64" s="51">
        <v>6335686.3336238712</v>
      </c>
      <c r="E64" s="51">
        <v>55025.109855618328</v>
      </c>
      <c r="F64" s="51">
        <v>119991.00313873195</v>
      </c>
      <c r="G64" s="51">
        <v>170218.36158192094</v>
      </c>
      <c r="H64" s="51">
        <v>633568.63336238719</v>
      </c>
      <c r="I64" s="51">
        <v>66539</v>
      </c>
      <c r="J64" s="51">
        <f t="shared" si="11"/>
        <v>7381028.4415625297</v>
      </c>
      <c r="K64" s="69" t="s">
        <v>89</v>
      </c>
      <c r="L64" s="50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</row>
    <row r="65" spans="1:222" s="48" customFormat="1" x14ac:dyDescent="0.2">
      <c r="A65" s="77">
        <f t="shared" si="10"/>
        <v>20</v>
      </c>
      <c r="B65" s="77"/>
      <c r="C65" s="77" t="str">
        <f t="shared" si="10"/>
        <v>JICA - FERREÑAFE</v>
      </c>
      <c r="D65" s="69">
        <v>2430143.9565818533</v>
      </c>
      <c r="E65" s="51">
        <v>55025.109855618328</v>
      </c>
      <c r="F65" s="51">
        <v>113211.3421217828</v>
      </c>
      <c r="G65" s="51">
        <v>248064.39265536726</v>
      </c>
      <c r="H65" s="51">
        <v>243450.63599999991</v>
      </c>
      <c r="I65" s="51">
        <v>70017.750000000015</v>
      </c>
      <c r="J65" s="51">
        <f t="shared" si="11"/>
        <v>3159913.1872146213</v>
      </c>
      <c r="K65" s="69" t="s">
        <v>89</v>
      </c>
      <c r="L65" s="50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</row>
    <row r="66" spans="1:222" s="48" customFormat="1" x14ac:dyDescent="0.2">
      <c r="A66" s="77">
        <f t="shared" si="10"/>
        <v>21</v>
      </c>
      <c r="B66" s="77"/>
      <c r="C66" s="77" t="str">
        <f t="shared" si="10"/>
        <v>JICA - MOYOBAMBA</v>
      </c>
      <c r="D66" s="51">
        <v>3295113.917812807</v>
      </c>
      <c r="E66" s="51">
        <v>55025.109855618328</v>
      </c>
      <c r="F66" s="51">
        <v>113211.3421217828</v>
      </c>
      <c r="G66" s="51">
        <v>258968.78531073444</v>
      </c>
      <c r="H66" s="51">
        <v>329511.39178128075</v>
      </c>
      <c r="I66" s="51">
        <v>68057.000000000015</v>
      </c>
      <c r="J66" s="51">
        <f t="shared" si="11"/>
        <v>4119887.5468822233</v>
      </c>
      <c r="K66" s="69" t="s">
        <v>89</v>
      </c>
      <c r="L66" s="50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</row>
    <row r="67" spans="1:222" s="48" customFormat="1" x14ac:dyDescent="0.2">
      <c r="A67" s="77">
        <f t="shared" si="10"/>
        <v>22</v>
      </c>
      <c r="B67" s="77"/>
      <c r="C67" s="77" t="str">
        <f t="shared" si="10"/>
        <v>JICA - SECHURA</v>
      </c>
      <c r="D67" s="51">
        <v>1940439.2704319833</v>
      </c>
      <c r="E67" s="51">
        <v>55025.109855618328</v>
      </c>
      <c r="F67" s="51">
        <v>113211.3421217828</v>
      </c>
      <c r="G67" s="51">
        <v>135924.4209039548</v>
      </c>
      <c r="H67" s="51">
        <v>194043.92704319835</v>
      </c>
      <c r="I67" s="51">
        <v>65210.75</v>
      </c>
      <c r="J67" s="51">
        <f t="shared" si="11"/>
        <v>2503854.8203565371</v>
      </c>
      <c r="K67" s="69" t="s">
        <v>89</v>
      </c>
      <c r="L67" s="50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</row>
    <row r="68" spans="1:222" s="48" customFormat="1" x14ac:dyDescent="0.2">
      <c r="A68" s="77">
        <f t="shared" si="10"/>
        <v>23</v>
      </c>
      <c r="B68" s="77"/>
      <c r="C68" s="77" t="str">
        <f t="shared" si="10"/>
        <v>JICA - CHACHAPOYAS</v>
      </c>
      <c r="D68" s="51">
        <v>7231690.8754018517</v>
      </c>
      <c r="E68" s="51">
        <v>91721.594475831764</v>
      </c>
      <c r="F68" s="51">
        <v>27021.762711864409</v>
      </c>
      <c r="G68" s="51">
        <f t="shared" ref="G68:I68" si="12">+G29/1.18</f>
        <v>275356.92090395477</v>
      </c>
      <c r="H68" s="51">
        <v>723169.0875401852</v>
      </c>
      <c r="I68" s="51">
        <f t="shared" si="12"/>
        <v>63566.250000000007</v>
      </c>
      <c r="J68" s="51">
        <f t="shared" si="11"/>
        <v>8412526.4910336882</v>
      </c>
      <c r="K68" s="69" t="s">
        <v>89</v>
      </c>
      <c r="L68" s="50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</row>
    <row r="69" spans="1:222" s="48" customFormat="1" x14ac:dyDescent="0.2">
      <c r="A69" s="77">
        <f t="shared" si="10"/>
        <v>24</v>
      </c>
      <c r="B69" s="77"/>
      <c r="C69" s="77" t="str">
        <f t="shared" si="10"/>
        <v>JICA - PIURA</v>
      </c>
      <c r="D69" s="51">
        <v>8707652.0819167234</v>
      </c>
      <c r="E69" s="51">
        <v>55025.109855618328</v>
      </c>
      <c r="F69" s="51">
        <v>208126.59635907094</v>
      </c>
      <c r="G69" s="51">
        <v>334799.35028248589</v>
      </c>
      <c r="H69" s="51">
        <v>870765.20819167234</v>
      </c>
      <c r="I69" s="51">
        <v>64894.5</v>
      </c>
      <c r="J69" s="51">
        <f t="shared" si="11"/>
        <v>10241262.846605571</v>
      </c>
      <c r="K69" s="69" t="s">
        <v>89</v>
      </c>
      <c r="L69" s="50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</row>
    <row r="70" spans="1:222" s="48" customFormat="1" x14ac:dyDescent="0.2">
      <c r="A70" s="77">
        <f t="shared" si="10"/>
        <v>25</v>
      </c>
      <c r="B70" s="77"/>
      <c r="C70" s="77" t="str">
        <f t="shared" si="10"/>
        <v>JICA -  ILAVE</v>
      </c>
      <c r="D70" s="51">
        <v>1604258.1709276871</v>
      </c>
      <c r="E70" s="51">
        <v>55025.109855618328</v>
      </c>
      <c r="F70" s="51">
        <v>106431.68110483364</v>
      </c>
      <c r="G70" s="51">
        <v>157961.29943502825</v>
      </c>
      <c r="H70" s="51">
        <v>160425.81709276873</v>
      </c>
      <c r="I70" s="51">
        <v>62870.500000000007</v>
      </c>
      <c r="J70" s="51">
        <f t="shared" si="11"/>
        <v>2146972.5784159363</v>
      </c>
      <c r="K70" s="69" t="s">
        <v>89</v>
      </c>
      <c r="L70" s="50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</row>
    <row r="71" spans="1:222" s="48" customFormat="1" x14ac:dyDescent="0.2">
      <c r="A71" s="77">
        <f t="shared" si="10"/>
        <v>26</v>
      </c>
      <c r="B71" s="77"/>
      <c r="C71" s="77" t="str">
        <f t="shared" si="10"/>
        <v>JICA - AZANGARO</v>
      </c>
      <c r="D71" s="51">
        <v>2245414.2432359653</v>
      </c>
      <c r="E71" s="51">
        <v>55025.109855618328</v>
      </c>
      <c r="F71" s="51">
        <v>106431.68110483364</v>
      </c>
      <c r="G71" s="51">
        <v>155033.61581920905</v>
      </c>
      <c r="H71" s="51">
        <v>224541.42432359653</v>
      </c>
      <c r="I71" s="51">
        <v>66298.650000000009</v>
      </c>
      <c r="J71" s="51">
        <f t="shared" si="11"/>
        <v>2852744.724339223</v>
      </c>
      <c r="K71" s="69" t="s">
        <v>89</v>
      </c>
      <c r="L71" s="50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</row>
    <row r="72" spans="1:222" s="48" customFormat="1" x14ac:dyDescent="0.2">
      <c r="A72" s="77">
        <f t="shared" si="10"/>
        <v>27</v>
      </c>
      <c r="B72" s="77"/>
      <c r="C72" s="77" t="str">
        <f t="shared" si="10"/>
        <v>JICA - TUMBES</v>
      </c>
      <c r="D72" s="69">
        <v>4267826.6536405711</v>
      </c>
      <c r="E72" s="51">
        <v>55025.109855618328</v>
      </c>
      <c r="F72" s="51">
        <v>126770.66415568111</v>
      </c>
      <c r="G72" s="51">
        <v>296875.56497175142</v>
      </c>
      <c r="H72" s="51">
        <v>426782.66536405712</v>
      </c>
      <c r="I72" s="51">
        <v>62933.75</v>
      </c>
      <c r="J72" s="51">
        <f t="shared" si="11"/>
        <v>5236214.4079876784</v>
      </c>
      <c r="K72" s="69" t="s">
        <v>89</v>
      </c>
      <c r="L72" s="50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</row>
    <row r="73" spans="1:222" s="48" customFormat="1" x14ac:dyDescent="0.2">
      <c r="A73" s="77">
        <f t="shared" si="10"/>
        <v>28</v>
      </c>
      <c r="B73" s="77"/>
      <c r="C73" s="77" t="str">
        <f t="shared" si="10"/>
        <v>JICA - SAN ROMAN - JULIACA</v>
      </c>
      <c r="D73" s="51">
        <v>5808612.3672351949</v>
      </c>
      <c r="E73" s="51">
        <v>55025.109855618328</v>
      </c>
      <c r="F73" s="51">
        <v>160668.96924042687</v>
      </c>
      <c r="G73" s="51">
        <v>354078.95480225992</v>
      </c>
      <c r="H73" s="51">
        <v>580861.23672351951</v>
      </c>
      <c r="I73" s="51">
        <v>69663.55</v>
      </c>
      <c r="J73" s="51">
        <f t="shared" si="11"/>
        <v>7028910.1878570197</v>
      </c>
      <c r="K73" s="69" t="s">
        <v>89</v>
      </c>
      <c r="L73" s="50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</row>
    <row r="74" spans="1:222" s="72" customFormat="1" x14ac:dyDescent="0.2">
      <c r="A74" s="77">
        <f t="shared" si="10"/>
        <v>29</v>
      </c>
      <c r="B74" s="77"/>
      <c r="C74" s="77" t="str">
        <f t="shared" si="10"/>
        <v>JICA - SANTIAGO</v>
      </c>
      <c r="D74" s="69">
        <v>1611756.1753060375</v>
      </c>
      <c r="E74" s="51">
        <v>55025.109855618328</v>
      </c>
      <c r="F74" s="51">
        <v>106431.68110483364</v>
      </c>
      <c r="G74" s="51">
        <v>146385.08474576272</v>
      </c>
      <c r="H74" s="51">
        <v>161175.61753060378</v>
      </c>
      <c r="I74" s="51">
        <v>62744</v>
      </c>
      <c r="J74" s="51">
        <f t="shared" si="11"/>
        <v>2143517.6685428559</v>
      </c>
      <c r="K74" s="69" t="s">
        <v>89</v>
      </c>
      <c r="L74" s="81"/>
      <c r="M74" s="46"/>
      <c r="N74" s="46"/>
      <c r="O74" s="46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  <c r="FP74" s="48"/>
      <c r="FQ74" s="48"/>
      <c r="FR74" s="48"/>
      <c r="FS74" s="48"/>
      <c r="FT74" s="48"/>
      <c r="FU74" s="48"/>
      <c r="FV74" s="48"/>
      <c r="FW74" s="48"/>
      <c r="FX74" s="48"/>
      <c r="FY74" s="48"/>
      <c r="FZ74" s="48"/>
      <c r="GA74" s="48"/>
      <c r="GB74" s="48"/>
      <c r="GC74" s="48"/>
      <c r="GD74" s="48"/>
      <c r="GE74" s="48"/>
      <c r="GF74" s="48"/>
      <c r="GG74" s="48"/>
      <c r="GH74" s="48"/>
      <c r="GI74" s="48"/>
      <c r="GJ74" s="48"/>
      <c r="GK74" s="48"/>
      <c r="GL74" s="48"/>
      <c r="GM74" s="48"/>
      <c r="GN74" s="48"/>
      <c r="GO74" s="48"/>
      <c r="GP74" s="48"/>
      <c r="GQ74" s="48"/>
      <c r="GR74" s="48"/>
      <c r="GS74" s="48"/>
      <c r="GT74" s="48"/>
      <c r="GU74" s="48"/>
      <c r="GV74" s="48"/>
      <c r="GW74" s="48"/>
      <c r="GX74" s="48"/>
      <c r="GY74" s="48"/>
      <c r="GZ74" s="48"/>
      <c r="HA74" s="48"/>
      <c r="HB74" s="48"/>
      <c r="HC74" s="48"/>
      <c r="HD74" s="48"/>
      <c r="HE74" s="48"/>
      <c r="HF74" s="48"/>
      <c r="HG74" s="48"/>
      <c r="HH74" s="48"/>
      <c r="HI74" s="48"/>
      <c r="HJ74" s="48"/>
      <c r="HK74" s="48"/>
      <c r="HL74" s="48"/>
      <c r="HM74" s="48"/>
      <c r="HN74" s="48"/>
    </row>
    <row r="75" spans="1:222" s="62" customFormat="1" x14ac:dyDescent="0.2">
      <c r="A75" s="77">
        <f t="shared" ref="A75:C75" si="13">+A36</f>
        <v>30</v>
      </c>
      <c r="B75" s="77"/>
      <c r="C75" s="77" t="str">
        <f t="shared" si="13"/>
        <v>JICA - NUEVO CHIMBOTE</v>
      </c>
      <c r="D75" s="51">
        <v>3838522.7655341984</v>
      </c>
      <c r="E75" s="51">
        <v>55025.109855618328</v>
      </c>
      <c r="F75" s="51">
        <v>133550.32517263026</v>
      </c>
      <c r="G75" s="51">
        <f t="shared" ref="G75:I75" si="14">+G36/1.18</f>
        <v>258657.61299435029</v>
      </c>
      <c r="H75" s="51">
        <f t="shared" si="14"/>
        <v>385614.46300000005</v>
      </c>
      <c r="I75" s="51">
        <f t="shared" si="14"/>
        <v>71700.2</v>
      </c>
      <c r="J75" s="51">
        <f t="shared" si="11"/>
        <v>4743070.4765567975</v>
      </c>
      <c r="K75" s="69" t="s">
        <v>89</v>
      </c>
      <c r="L75" s="82"/>
      <c r="M75" s="46"/>
      <c r="N75" s="46"/>
      <c r="O75" s="46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  <c r="FP75" s="48"/>
      <c r="FQ75" s="48"/>
      <c r="FR75" s="48"/>
      <c r="FS75" s="48"/>
      <c r="FT75" s="48"/>
      <c r="FU75" s="48"/>
      <c r="FV75" s="48"/>
      <c r="FW75" s="48"/>
      <c r="FX75" s="48"/>
      <c r="FY75" s="48"/>
      <c r="FZ75" s="48"/>
      <c r="GA75" s="48"/>
      <c r="GB75" s="48"/>
      <c r="GC75" s="48"/>
      <c r="GD75" s="48"/>
      <c r="GE75" s="48"/>
      <c r="GF75" s="48"/>
      <c r="GG75" s="48"/>
      <c r="GH75" s="48"/>
      <c r="GI75" s="48"/>
      <c r="GJ75" s="48"/>
      <c r="GK75" s="48"/>
      <c r="GL75" s="48"/>
      <c r="GM75" s="48"/>
      <c r="GN75" s="48"/>
      <c r="GO75" s="48"/>
      <c r="GP75" s="48"/>
      <c r="GQ75" s="48"/>
      <c r="GR75" s="48"/>
      <c r="GS75" s="48"/>
      <c r="GT75" s="48"/>
      <c r="GU75" s="48"/>
      <c r="GV75" s="48"/>
      <c r="GW75" s="48"/>
      <c r="GX75" s="48"/>
      <c r="GY75" s="48"/>
      <c r="GZ75" s="48"/>
      <c r="HA75" s="48"/>
      <c r="HB75" s="48"/>
      <c r="HC75" s="48"/>
      <c r="HD75" s="48"/>
      <c r="HE75" s="48"/>
      <c r="HF75" s="48"/>
      <c r="HG75" s="48"/>
      <c r="HH75" s="48"/>
      <c r="HI75" s="48"/>
      <c r="HJ75" s="48"/>
      <c r="HK75" s="48"/>
      <c r="HL75" s="48"/>
      <c r="HM75" s="48"/>
      <c r="HN75" s="48"/>
    </row>
    <row r="76" spans="1:222" x14ac:dyDescent="0.2">
      <c r="A76" s="83"/>
      <c r="B76" s="83"/>
      <c r="C76" s="84" t="s">
        <v>107</v>
      </c>
      <c r="D76" s="80">
        <f t="shared" ref="D76:I76" si="15">SUM(D58:D75)</f>
        <v>73540558.51547195</v>
      </c>
      <c r="E76" s="80">
        <f t="shared" si="15"/>
        <v>1027148.4620213433</v>
      </c>
      <c r="F76" s="80">
        <f t="shared" si="15"/>
        <v>2156950.4231010671</v>
      </c>
      <c r="G76" s="80">
        <f t="shared" si="15"/>
        <v>4123760.8898305092</v>
      </c>
      <c r="H76" s="80">
        <f t="shared" si="15"/>
        <v>7376964.5512335505</v>
      </c>
      <c r="I76" s="80">
        <f t="shared" si="15"/>
        <v>1183002.7</v>
      </c>
      <c r="J76" s="80">
        <f>SUM(D76:I76)</f>
        <v>89408385.541658416</v>
      </c>
      <c r="K76" s="66"/>
      <c r="L76" s="66"/>
    </row>
    <row r="77" spans="1:222" x14ac:dyDescent="0.2">
      <c r="A77" s="85"/>
      <c r="B77" s="85"/>
      <c r="C77" s="84" t="s">
        <v>4</v>
      </c>
      <c r="D77" s="80">
        <f t="shared" ref="D77:I77" si="16">+D57+D76</f>
        <v>130173912.25256006</v>
      </c>
      <c r="E77" s="80">
        <f t="shared" si="16"/>
        <v>1564590.3954802258</v>
      </c>
      <c r="F77" s="80">
        <f t="shared" si="16"/>
        <v>3516843.1462649079</v>
      </c>
      <c r="G77" s="80">
        <f t="shared" si="16"/>
        <v>9871521.3228305094</v>
      </c>
      <c r="H77" s="80">
        <f t="shared" si="16"/>
        <v>13124724.984233551</v>
      </c>
      <c r="I77" s="80">
        <f t="shared" si="16"/>
        <v>1950422.6623352165</v>
      </c>
      <c r="J77" s="80">
        <f>SUM(D77:I77)</f>
        <v>160202014.76370448</v>
      </c>
      <c r="K77" s="66">
        <f>+J57+J76</f>
        <v>160202014.76370448</v>
      </c>
      <c r="L77" s="66"/>
    </row>
    <row r="80" spans="1:222" hidden="1" x14ac:dyDescent="0.2">
      <c r="D80" s="86">
        <f>+D58/D19</f>
        <v>0.82915173229428851</v>
      </c>
      <c r="E80" s="86">
        <f t="shared" ref="E80:K80" si="17">+E58/E19</f>
        <v>0.876196016809209</v>
      </c>
      <c r="F80" s="86">
        <f t="shared" si="17"/>
        <v>0.86897263772346345</v>
      </c>
      <c r="G80" s="86">
        <f t="shared" si="17"/>
        <v>0.84745762711864403</v>
      </c>
      <c r="H80" s="86">
        <f t="shared" si="17"/>
        <v>0.84745762711864403</v>
      </c>
      <c r="I80" s="86">
        <f t="shared" si="17"/>
        <v>0.84745762711864425</v>
      </c>
      <c r="J80" s="86"/>
      <c r="K80" s="86" t="e">
        <f t="shared" si="17"/>
        <v>#VALUE!</v>
      </c>
      <c r="L80" s="86"/>
    </row>
    <row r="81" spans="4:12" hidden="1" x14ac:dyDescent="0.2">
      <c r="D81" s="86">
        <f t="shared" ref="D81:K96" si="18">+D59/D20</f>
        <v>0.82541653129755199</v>
      </c>
      <c r="E81" s="86">
        <f t="shared" si="18"/>
        <v>0.876196016809209</v>
      </c>
      <c r="F81" s="86">
        <f t="shared" si="18"/>
        <v>2.505780499279366</v>
      </c>
      <c r="G81" s="86">
        <f t="shared" si="18"/>
        <v>0.84745762711864414</v>
      </c>
      <c r="H81" s="86">
        <f t="shared" si="18"/>
        <v>0.84745762711864414</v>
      </c>
      <c r="I81" s="86">
        <f t="shared" si="18"/>
        <v>0.84745762711864414</v>
      </c>
      <c r="J81" s="86"/>
      <c r="K81" s="86" t="e">
        <f t="shared" si="18"/>
        <v>#VALUE!</v>
      </c>
      <c r="L81" s="86"/>
    </row>
    <row r="82" spans="4:12" hidden="1" x14ac:dyDescent="0.2">
      <c r="D82" s="86">
        <f t="shared" si="18"/>
        <v>0.81892975585151428</v>
      </c>
      <c r="E82" s="86">
        <f t="shared" si="18"/>
        <v>0.876196016809209</v>
      </c>
      <c r="F82" s="86">
        <f t="shared" si="18"/>
        <v>0.86785414453528265</v>
      </c>
      <c r="G82" s="86">
        <f t="shared" si="18"/>
        <v>0.84745762711864414</v>
      </c>
      <c r="H82" s="86">
        <f t="shared" si="18"/>
        <v>0.81892975585151417</v>
      </c>
      <c r="I82" s="86">
        <f t="shared" si="18"/>
        <v>0.84745762711864414</v>
      </c>
      <c r="J82" s="86"/>
      <c r="K82" s="86" t="e">
        <f t="shared" si="18"/>
        <v>#VALUE!</v>
      </c>
      <c r="L82" s="86"/>
    </row>
    <row r="83" spans="4:12" hidden="1" x14ac:dyDescent="0.2">
      <c r="D83" s="86">
        <f t="shared" si="18"/>
        <v>0.84609068812064547</v>
      </c>
      <c r="E83" s="86">
        <f t="shared" si="18"/>
        <v>0.876196016809209</v>
      </c>
      <c r="F83" s="86">
        <f t="shared" si="18"/>
        <v>0.86593318051603041</v>
      </c>
      <c r="G83" s="86">
        <f t="shared" si="18"/>
        <v>0.84745762711864414</v>
      </c>
      <c r="H83" s="86">
        <f t="shared" si="18"/>
        <v>0.84745762711864403</v>
      </c>
      <c r="I83" s="86">
        <f t="shared" si="18"/>
        <v>0.84745762711864414</v>
      </c>
      <c r="J83" s="86"/>
      <c r="K83" s="86" t="e">
        <f t="shared" si="18"/>
        <v>#VALUE!</v>
      </c>
      <c r="L83" s="86"/>
    </row>
    <row r="84" spans="4:12" hidden="1" x14ac:dyDescent="0.2">
      <c r="D84" s="86">
        <f t="shared" si="18"/>
        <v>0.81046545628569577</v>
      </c>
      <c r="E84" s="86">
        <f t="shared" si="18"/>
        <v>0.876196016809209</v>
      </c>
      <c r="F84" s="86">
        <f t="shared" si="18"/>
        <v>0.84745762711864414</v>
      </c>
      <c r="G84" s="86">
        <f t="shared" si="18"/>
        <v>0.84745762711864414</v>
      </c>
      <c r="H84" s="86">
        <f t="shared" si="18"/>
        <v>0.81046545628569577</v>
      </c>
      <c r="I84" s="86">
        <f t="shared" si="18"/>
        <v>0.84745762711864414</v>
      </c>
      <c r="J84" s="86"/>
      <c r="K84" s="86" t="e">
        <f t="shared" si="18"/>
        <v>#VALUE!</v>
      </c>
      <c r="L84" s="86"/>
    </row>
    <row r="85" spans="4:12" hidden="1" x14ac:dyDescent="0.2">
      <c r="D85" s="86">
        <f t="shared" si="18"/>
        <v>0.81876051597608801</v>
      </c>
      <c r="E85" s="86">
        <f t="shared" si="18"/>
        <v>0.876196016809209</v>
      </c>
      <c r="F85" s="86">
        <f t="shared" si="18"/>
        <v>0.86785414453528265</v>
      </c>
      <c r="G85" s="86">
        <f t="shared" si="18"/>
        <v>0.84745762711864403</v>
      </c>
      <c r="H85" s="86">
        <f t="shared" si="18"/>
        <v>0.81876051597608812</v>
      </c>
      <c r="I85" s="86">
        <f t="shared" si="18"/>
        <v>0.84745762711864414</v>
      </c>
      <c r="J85" s="86"/>
      <c r="K85" s="86" t="e">
        <f t="shared" si="18"/>
        <v>#VALUE!</v>
      </c>
      <c r="L85" s="86"/>
    </row>
    <row r="86" spans="4:12" hidden="1" x14ac:dyDescent="0.2">
      <c r="D86" s="86">
        <f t="shared" si="18"/>
        <v>0.84615174754996403</v>
      </c>
      <c r="E86" s="86">
        <f t="shared" si="18"/>
        <v>0.876196016809209</v>
      </c>
      <c r="F86" s="86">
        <f t="shared" si="18"/>
        <v>0.87022091879832597</v>
      </c>
      <c r="G86" s="86">
        <f t="shared" si="18"/>
        <v>0.84745762711864414</v>
      </c>
      <c r="H86" s="86">
        <f t="shared" si="18"/>
        <v>0.84615174754996414</v>
      </c>
      <c r="I86" s="86">
        <f t="shared" si="18"/>
        <v>0.84745762711864403</v>
      </c>
      <c r="J86" s="86"/>
      <c r="K86" s="86" t="e">
        <f t="shared" si="18"/>
        <v>#VALUE!</v>
      </c>
      <c r="L86" s="86"/>
    </row>
    <row r="87" spans="4:12" hidden="1" x14ac:dyDescent="0.2">
      <c r="D87" s="86">
        <f t="shared" si="18"/>
        <v>0.84593906380329664</v>
      </c>
      <c r="E87" s="86">
        <f t="shared" si="18"/>
        <v>0.876196016809209</v>
      </c>
      <c r="F87" s="86">
        <f t="shared" si="18"/>
        <v>0.87162296968982877</v>
      </c>
      <c r="G87" s="86">
        <f t="shared" si="18"/>
        <v>0.84745762711864414</v>
      </c>
      <c r="H87" s="86">
        <f t="shared" si="18"/>
        <v>0.84745762711864414</v>
      </c>
      <c r="I87" s="86">
        <f t="shared" si="18"/>
        <v>0.84745762711864414</v>
      </c>
      <c r="J87" s="86"/>
      <c r="K87" s="86" t="e">
        <f t="shared" si="18"/>
        <v>#VALUE!</v>
      </c>
      <c r="L87" s="86"/>
    </row>
    <row r="88" spans="4:12" hidden="1" x14ac:dyDescent="0.2">
      <c r="D88" s="86">
        <f t="shared" si="18"/>
        <v>0.81272491553404003</v>
      </c>
      <c r="E88" s="86">
        <f t="shared" si="18"/>
        <v>0.876196016809209</v>
      </c>
      <c r="F88" s="86">
        <f t="shared" si="18"/>
        <v>0.87162296968982877</v>
      </c>
      <c r="G88" s="86">
        <f t="shared" si="18"/>
        <v>0.84745762711864414</v>
      </c>
      <c r="H88" s="86">
        <f t="shared" si="18"/>
        <v>0.81272491553404003</v>
      </c>
      <c r="I88" s="86">
        <f t="shared" si="18"/>
        <v>0.84745762711864414</v>
      </c>
      <c r="J88" s="86"/>
      <c r="K88" s="86" t="e">
        <f t="shared" si="18"/>
        <v>#VALUE!</v>
      </c>
      <c r="L88" s="86"/>
    </row>
    <row r="89" spans="4:12" hidden="1" x14ac:dyDescent="0.2">
      <c r="D89" s="86">
        <f t="shared" si="18"/>
        <v>0.84557646256321806</v>
      </c>
      <c r="E89" s="86">
        <f t="shared" si="18"/>
        <v>0.876196016809209</v>
      </c>
      <c r="F89" s="86">
        <f t="shared" si="18"/>
        <v>0.87162296968982877</v>
      </c>
      <c r="G89" s="86">
        <f t="shared" si="18"/>
        <v>0.84745762711864414</v>
      </c>
      <c r="H89" s="86">
        <f t="shared" si="18"/>
        <v>0.84557646256321817</v>
      </c>
      <c r="I89" s="86">
        <f t="shared" si="18"/>
        <v>0.84745762711864414</v>
      </c>
      <c r="J89" s="86"/>
      <c r="K89" s="86" t="e">
        <f t="shared" si="18"/>
        <v>#VALUE!</v>
      </c>
      <c r="L89" s="86"/>
    </row>
    <row r="90" spans="4:12" hidden="1" x14ac:dyDescent="0.2">
      <c r="D90" s="86">
        <f t="shared" si="18"/>
        <v>0.86489519238235957</v>
      </c>
      <c r="E90" s="86">
        <f t="shared" si="18"/>
        <v>0.86939899977091717</v>
      </c>
      <c r="F90" s="86">
        <f t="shared" si="18"/>
        <v>0.84745762711864414</v>
      </c>
      <c r="G90" s="86">
        <f t="shared" si="18"/>
        <v>0.84745762711864403</v>
      </c>
      <c r="H90" s="86">
        <f t="shared" si="18"/>
        <v>0.86489519238235957</v>
      </c>
      <c r="I90" s="86">
        <f t="shared" si="18"/>
        <v>0.84745762711864414</v>
      </c>
      <c r="J90" s="86"/>
      <c r="K90" s="86" t="e">
        <f t="shared" si="18"/>
        <v>#VALUE!</v>
      </c>
      <c r="L90" s="86"/>
    </row>
    <row r="91" spans="4:12" hidden="1" x14ac:dyDescent="0.2">
      <c r="D91" s="86">
        <f t="shared" si="18"/>
        <v>0.84575643312849835</v>
      </c>
      <c r="E91" s="86">
        <f t="shared" si="18"/>
        <v>0.876196016809209</v>
      </c>
      <c r="F91" s="86">
        <f t="shared" si="18"/>
        <v>0.86043372372879179</v>
      </c>
      <c r="G91" s="86">
        <f t="shared" si="18"/>
        <v>0.84745762711864414</v>
      </c>
      <c r="H91" s="86">
        <f t="shared" si="18"/>
        <v>0.84575643312849835</v>
      </c>
      <c r="I91" s="86">
        <f t="shared" si="18"/>
        <v>0.84745762711864414</v>
      </c>
      <c r="J91" s="86"/>
      <c r="K91" s="86" t="e">
        <f t="shared" si="18"/>
        <v>#VALUE!</v>
      </c>
      <c r="L91" s="86"/>
    </row>
    <row r="92" spans="4:12" hidden="1" x14ac:dyDescent="0.2">
      <c r="D92" s="86">
        <f t="shared" si="18"/>
        <v>0.81316542631614863</v>
      </c>
      <c r="E92" s="86">
        <f t="shared" si="18"/>
        <v>0.876196016809209</v>
      </c>
      <c r="F92" s="86">
        <f t="shared" si="18"/>
        <v>0.87320906857010305</v>
      </c>
      <c r="G92" s="86">
        <f t="shared" si="18"/>
        <v>0.84745762711864414</v>
      </c>
      <c r="H92" s="86">
        <f t="shared" si="18"/>
        <v>0.81316542631614863</v>
      </c>
      <c r="I92" s="86">
        <f t="shared" si="18"/>
        <v>0.84745762711864414</v>
      </c>
      <c r="J92" s="86"/>
      <c r="K92" s="86" t="e">
        <f t="shared" si="18"/>
        <v>#VALUE!</v>
      </c>
      <c r="L92" s="86"/>
    </row>
    <row r="93" spans="4:12" hidden="1" x14ac:dyDescent="0.2">
      <c r="D93" s="86">
        <f t="shared" si="18"/>
        <v>0.82030455439807159</v>
      </c>
      <c r="E93" s="86">
        <f t="shared" si="18"/>
        <v>0.876196016809209</v>
      </c>
      <c r="F93" s="86">
        <f t="shared" si="18"/>
        <v>0.87320906857010305</v>
      </c>
      <c r="G93" s="86">
        <f t="shared" si="18"/>
        <v>0.84745762711864403</v>
      </c>
      <c r="H93" s="86">
        <f t="shared" si="18"/>
        <v>0.82030455439807159</v>
      </c>
      <c r="I93" s="86">
        <f t="shared" si="18"/>
        <v>0.84745762711864414</v>
      </c>
      <c r="J93" s="86"/>
      <c r="K93" s="86" t="e">
        <f t="shared" si="18"/>
        <v>#VALUE!</v>
      </c>
      <c r="L93" s="86"/>
    </row>
    <row r="94" spans="4:12" hidden="1" x14ac:dyDescent="0.2">
      <c r="D94" s="86">
        <f t="shared" si="18"/>
        <v>0.81078330200627646</v>
      </c>
      <c r="E94" s="86">
        <f t="shared" si="18"/>
        <v>0.876196016809209</v>
      </c>
      <c r="F94" s="86">
        <f t="shared" si="18"/>
        <v>0.86897263772346345</v>
      </c>
      <c r="G94" s="86">
        <f t="shared" si="18"/>
        <v>0.84745762711864414</v>
      </c>
      <c r="H94" s="86">
        <f t="shared" si="18"/>
        <v>0.81078330200627635</v>
      </c>
      <c r="I94" s="86">
        <f t="shared" si="18"/>
        <v>0.84745762711864414</v>
      </c>
      <c r="J94" s="86"/>
      <c r="K94" s="86" t="e">
        <f t="shared" si="18"/>
        <v>#VALUE!</v>
      </c>
      <c r="L94" s="86"/>
    </row>
    <row r="95" spans="4:12" hidden="1" x14ac:dyDescent="0.2">
      <c r="D95" s="86">
        <f t="shared" si="18"/>
        <v>0.80050862098102826</v>
      </c>
      <c r="E95" s="86">
        <f t="shared" si="18"/>
        <v>0.876196016809209</v>
      </c>
      <c r="F95" s="86">
        <f t="shared" si="18"/>
        <v>0.8643429081811298</v>
      </c>
      <c r="G95" s="86">
        <f t="shared" si="18"/>
        <v>0.84745762711864414</v>
      </c>
      <c r="H95" s="86">
        <f t="shared" si="18"/>
        <v>0.80050862098102826</v>
      </c>
      <c r="I95" s="86">
        <f t="shared" si="18"/>
        <v>0.84745762711864414</v>
      </c>
      <c r="J95" s="86"/>
      <c r="K95" s="86" t="e">
        <f t="shared" si="18"/>
        <v>#VALUE!</v>
      </c>
      <c r="L95" s="86"/>
    </row>
    <row r="96" spans="4:12" hidden="1" x14ac:dyDescent="0.2">
      <c r="D96" s="86">
        <f>+D74/D35</f>
        <v>0.844725744635903</v>
      </c>
      <c r="E96" s="86">
        <f t="shared" si="18"/>
        <v>0.876196016809209</v>
      </c>
      <c r="F96" s="86">
        <f t="shared" si="18"/>
        <v>0.87320906857010305</v>
      </c>
      <c r="G96" s="86">
        <f t="shared" si="18"/>
        <v>0.84745762711864414</v>
      </c>
      <c r="H96" s="86">
        <f t="shared" si="18"/>
        <v>0.84472574463590311</v>
      </c>
      <c r="I96" s="86">
        <f t="shared" si="18"/>
        <v>0.84745762711864414</v>
      </c>
      <c r="J96" s="86"/>
      <c r="K96" s="86" t="e">
        <f t="shared" si="18"/>
        <v>#VALUE!</v>
      </c>
      <c r="L96" s="86"/>
    </row>
    <row r="97" spans="3:222" hidden="1" x14ac:dyDescent="0.2">
      <c r="D97" s="86">
        <f t="shared" ref="D97:K97" si="19">+D75/D36</f>
        <v>0.84358490322509172</v>
      </c>
      <c r="E97" s="86">
        <f t="shared" si="19"/>
        <v>0.876196016809209</v>
      </c>
      <c r="F97" s="86">
        <f t="shared" si="19"/>
        <v>0.86785414453528265</v>
      </c>
      <c r="G97" s="86">
        <f t="shared" si="19"/>
        <v>0.84745762711864403</v>
      </c>
      <c r="H97" s="86">
        <f t="shared" si="19"/>
        <v>0.84745762711864414</v>
      </c>
      <c r="I97" s="86">
        <f t="shared" si="19"/>
        <v>0.84745762711864414</v>
      </c>
      <c r="J97" s="86"/>
      <c r="K97" s="86" t="e">
        <f t="shared" si="19"/>
        <v>#VALUE!</v>
      </c>
      <c r="L97" s="86"/>
    </row>
    <row r="98" spans="3:222" hidden="1" x14ac:dyDescent="0.2"/>
    <row r="99" spans="3:222" hidden="1" x14ac:dyDescent="0.2"/>
    <row r="103" spans="3:222" s="90" customFormat="1" ht="15.75" x14ac:dyDescent="0.25">
      <c r="C103" s="349" t="s">
        <v>111</v>
      </c>
      <c r="D103" s="350"/>
      <c r="E103" s="350"/>
      <c r="F103" s="350"/>
      <c r="G103" s="350"/>
      <c r="H103" s="350"/>
      <c r="I103" s="350"/>
      <c r="J103" s="350"/>
      <c r="K103" s="350"/>
      <c r="L103" s="351"/>
      <c r="M103" s="87"/>
      <c r="N103" s="87"/>
      <c r="O103" s="87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8"/>
      <c r="AL103" s="88"/>
      <c r="AM103" s="88"/>
      <c r="AN103" s="88"/>
      <c r="AO103" s="88"/>
      <c r="AP103" s="88"/>
      <c r="AQ103" s="88"/>
      <c r="AR103" s="88"/>
      <c r="AS103" s="88"/>
      <c r="AT103" s="88"/>
      <c r="AU103" s="88"/>
      <c r="AV103" s="88"/>
      <c r="AW103" s="88"/>
      <c r="AX103" s="88"/>
      <c r="AY103" s="88"/>
      <c r="AZ103" s="88"/>
      <c r="BA103" s="88"/>
      <c r="BB103" s="88"/>
      <c r="BC103" s="88"/>
      <c r="BD103" s="88"/>
      <c r="BE103" s="88"/>
      <c r="BF103" s="88"/>
      <c r="BG103" s="88"/>
      <c r="BH103" s="88"/>
      <c r="BI103" s="88"/>
      <c r="BJ103" s="88"/>
      <c r="BK103" s="88"/>
      <c r="BL103" s="88"/>
      <c r="BM103" s="88"/>
      <c r="BN103" s="88"/>
      <c r="BO103" s="88"/>
      <c r="BP103" s="88"/>
      <c r="BQ103" s="88"/>
      <c r="BR103" s="88"/>
      <c r="BS103" s="88"/>
      <c r="BT103" s="88"/>
      <c r="BU103" s="88"/>
      <c r="BV103" s="88"/>
      <c r="BW103" s="88"/>
      <c r="BX103" s="88"/>
      <c r="BY103" s="88"/>
      <c r="BZ103" s="88"/>
      <c r="CA103" s="88"/>
      <c r="CB103" s="88"/>
      <c r="CC103" s="88"/>
      <c r="CD103" s="88"/>
      <c r="CE103" s="88"/>
      <c r="CF103" s="88"/>
      <c r="CG103" s="88"/>
      <c r="CH103" s="88"/>
      <c r="CI103" s="88"/>
      <c r="CJ103" s="88"/>
      <c r="CK103" s="88"/>
      <c r="CL103" s="88"/>
      <c r="CM103" s="88"/>
      <c r="CN103" s="88"/>
      <c r="CO103" s="88"/>
      <c r="CP103" s="88"/>
      <c r="CQ103" s="88"/>
      <c r="CR103" s="88"/>
      <c r="CS103" s="88"/>
      <c r="CT103" s="88"/>
      <c r="CU103" s="88"/>
      <c r="CV103" s="89"/>
      <c r="CW103" s="89"/>
      <c r="CX103" s="89"/>
      <c r="CY103" s="89"/>
      <c r="CZ103" s="89"/>
      <c r="DA103" s="89"/>
      <c r="DB103" s="89"/>
      <c r="DC103" s="89"/>
      <c r="DD103" s="89"/>
      <c r="DE103" s="89"/>
      <c r="DF103" s="89"/>
      <c r="DG103" s="89"/>
      <c r="DH103" s="89"/>
      <c r="DI103" s="89"/>
      <c r="DJ103" s="89"/>
      <c r="DK103" s="89"/>
      <c r="DL103" s="89"/>
      <c r="DM103" s="89"/>
      <c r="DN103" s="89"/>
      <c r="DO103" s="89"/>
      <c r="DP103" s="89"/>
      <c r="DQ103" s="89"/>
      <c r="DR103" s="89"/>
      <c r="DS103" s="89"/>
      <c r="DT103" s="89"/>
      <c r="DU103" s="89"/>
      <c r="DV103" s="89"/>
      <c r="DW103" s="89"/>
      <c r="DX103" s="89"/>
      <c r="DY103" s="89"/>
      <c r="DZ103" s="89"/>
      <c r="EA103" s="89"/>
      <c r="EB103" s="89"/>
      <c r="EC103" s="89"/>
      <c r="ED103" s="89"/>
      <c r="EE103" s="89"/>
      <c r="EF103" s="89"/>
      <c r="EG103" s="89"/>
      <c r="EH103" s="89"/>
      <c r="EI103" s="89"/>
      <c r="EJ103" s="89"/>
      <c r="EK103" s="89"/>
      <c r="EL103" s="89"/>
      <c r="EM103" s="89"/>
      <c r="EN103" s="89"/>
      <c r="EO103" s="89"/>
      <c r="EP103" s="89"/>
      <c r="EQ103" s="89"/>
      <c r="ER103" s="89"/>
      <c r="ES103" s="89"/>
      <c r="ET103" s="89"/>
      <c r="EU103" s="89"/>
      <c r="EV103" s="89"/>
      <c r="EW103" s="89"/>
      <c r="EX103" s="89"/>
      <c r="EY103" s="89"/>
      <c r="EZ103" s="89"/>
      <c r="FA103" s="89"/>
      <c r="FB103" s="89"/>
      <c r="FC103" s="89"/>
      <c r="FD103" s="89"/>
      <c r="FE103" s="89"/>
      <c r="FF103" s="89"/>
      <c r="FG103" s="89"/>
      <c r="FH103" s="89"/>
      <c r="FI103" s="89"/>
      <c r="FJ103" s="89"/>
      <c r="FK103" s="89"/>
      <c r="FL103" s="89"/>
      <c r="FM103" s="89"/>
      <c r="FN103" s="89"/>
      <c r="FO103" s="89"/>
      <c r="FP103" s="89"/>
      <c r="FQ103" s="89"/>
      <c r="FR103" s="89"/>
      <c r="FS103" s="89"/>
      <c r="FT103" s="89"/>
      <c r="FU103" s="89"/>
      <c r="FV103" s="89"/>
      <c r="FW103" s="89"/>
      <c r="FX103" s="89"/>
      <c r="FY103" s="89"/>
      <c r="FZ103" s="89"/>
      <c r="GA103" s="89"/>
      <c r="GB103" s="89"/>
      <c r="GC103" s="89"/>
      <c r="GD103" s="89"/>
      <c r="GE103" s="89"/>
      <c r="GF103" s="89"/>
      <c r="GG103" s="89"/>
      <c r="GH103" s="89"/>
      <c r="GI103" s="89"/>
      <c r="GJ103" s="89"/>
      <c r="GK103" s="89"/>
      <c r="GL103" s="89"/>
      <c r="GM103" s="89"/>
      <c r="GN103" s="89"/>
      <c r="GO103" s="89"/>
      <c r="GP103" s="89"/>
      <c r="GQ103" s="89"/>
      <c r="GR103" s="89"/>
      <c r="GS103" s="89"/>
      <c r="GT103" s="89"/>
      <c r="GU103" s="89"/>
      <c r="GV103" s="89"/>
      <c r="GW103" s="89"/>
      <c r="GX103" s="89"/>
      <c r="GY103" s="89"/>
      <c r="GZ103" s="89"/>
      <c r="HA103" s="89"/>
      <c r="HB103" s="89"/>
      <c r="HC103" s="89"/>
      <c r="HD103" s="89"/>
      <c r="HE103" s="89"/>
      <c r="HF103" s="89"/>
      <c r="HG103" s="89"/>
      <c r="HH103" s="89"/>
      <c r="HI103" s="89"/>
      <c r="HJ103" s="89"/>
      <c r="HK103" s="89"/>
      <c r="HL103" s="89"/>
      <c r="HM103" s="89"/>
      <c r="HN103" s="89"/>
    </row>
    <row r="104" spans="3:222" s="92" customFormat="1" ht="28.5" customHeight="1" x14ac:dyDescent="0.25">
      <c r="C104" s="358" t="s">
        <v>112</v>
      </c>
      <c r="D104" s="91" t="s">
        <v>113</v>
      </c>
      <c r="E104" s="91" t="s">
        <v>114</v>
      </c>
      <c r="F104" s="91" t="s">
        <v>5</v>
      </c>
      <c r="G104" s="91" t="s">
        <v>114</v>
      </c>
      <c r="H104" s="91" t="s">
        <v>115</v>
      </c>
      <c r="I104" s="91" t="s">
        <v>114</v>
      </c>
      <c r="J104" s="352" t="s">
        <v>116</v>
      </c>
      <c r="K104" s="354" t="s">
        <v>117</v>
      </c>
      <c r="L104" s="352" t="s">
        <v>118</v>
      </c>
      <c r="M104" s="94"/>
      <c r="N104" s="94"/>
      <c r="O104" s="94"/>
      <c r="P104" s="94"/>
      <c r="Q104" s="94"/>
      <c r="R104" s="94"/>
      <c r="S104" s="94"/>
      <c r="T104" s="94"/>
      <c r="U104" s="94"/>
      <c r="V104" s="94"/>
      <c r="W104" s="94"/>
      <c r="X104" s="94"/>
      <c r="Y104" s="94"/>
      <c r="Z104" s="94"/>
      <c r="AA104" s="94"/>
      <c r="AB104" s="94"/>
      <c r="AC104" s="94"/>
      <c r="AD104" s="94"/>
      <c r="AE104" s="94"/>
      <c r="AF104" s="94"/>
      <c r="AG104" s="94"/>
      <c r="AH104" s="94"/>
      <c r="AI104" s="94"/>
      <c r="AJ104" s="94"/>
      <c r="AK104" s="94"/>
      <c r="AL104" s="94"/>
      <c r="AM104" s="94"/>
      <c r="AN104" s="94"/>
      <c r="AO104" s="94"/>
      <c r="AP104" s="94"/>
      <c r="AQ104" s="94"/>
      <c r="AR104" s="94"/>
      <c r="AS104" s="94"/>
      <c r="AT104" s="94"/>
      <c r="AU104" s="94"/>
      <c r="AV104" s="94"/>
      <c r="AW104" s="94"/>
      <c r="AX104" s="94"/>
      <c r="AY104" s="94"/>
      <c r="AZ104" s="94"/>
      <c r="BA104" s="94"/>
      <c r="BB104" s="94"/>
      <c r="BC104" s="94"/>
      <c r="BD104" s="94"/>
      <c r="BE104" s="94"/>
      <c r="BF104" s="94"/>
      <c r="BG104" s="94"/>
      <c r="BH104" s="94"/>
      <c r="BI104" s="94"/>
      <c r="BJ104" s="94"/>
      <c r="BK104" s="94"/>
      <c r="BL104" s="94"/>
      <c r="BM104" s="94"/>
      <c r="BN104" s="94"/>
      <c r="BO104" s="94"/>
      <c r="BP104" s="94"/>
      <c r="BQ104" s="94"/>
      <c r="BR104" s="94"/>
      <c r="BS104" s="94"/>
      <c r="BT104" s="94"/>
      <c r="BU104" s="94"/>
      <c r="BV104" s="94"/>
      <c r="BW104" s="94"/>
      <c r="BX104" s="94"/>
      <c r="BY104" s="94"/>
      <c r="BZ104" s="94"/>
      <c r="CA104" s="94"/>
      <c r="CB104" s="94"/>
      <c r="CC104" s="94"/>
      <c r="CD104" s="94"/>
      <c r="CE104" s="94"/>
      <c r="CF104" s="94"/>
      <c r="CG104" s="94"/>
      <c r="CH104" s="94"/>
      <c r="CI104" s="94"/>
      <c r="CJ104" s="94"/>
      <c r="CK104" s="94"/>
      <c r="CL104" s="94"/>
      <c r="CM104" s="94"/>
      <c r="CN104" s="94"/>
      <c r="CO104" s="94"/>
      <c r="CP104" s="94"/>
      <c r="CQ104" s="94"/>
      <c r="CR104" s="94"/>
      <c r="CS104" s="95"/>
      <c r="CT104" s="95"/>
      <c r="CU104" s="95"/>
      <c r="CV104" s="95"/>
      <c r="CW104" s="95"/>
      <c r="CX104" s="95"/>
      <c r="CY104" s="95"/>
      <c r="CZ104" s="95"/>
      <c r="DA104" s="95"/>
      <c r="DB104" s="95"/>
      <c r="DC104" s="95"/>
      <c r="DD104" s="95"/>
      <c r="DE104" s="95"/>
      <c r="DF104" s="95"/>
      <c r="DG104" s="95"/>
      <c r="DH104" s="95"/>
      <c r="DI104" s="95"/>
      <c r="DJ104" s="95"/>
      <c r="DK104" s="95"/>
      <c r="DL104" s="95"/>
      <c r="DM104" s="95"/>
      <c r="DN104" s="95"/>
      <c r="DO104" s="95"/>
      <c r="DP104" s="95"/>
      <c r="DQ104" s="95"/>
      <c r="DR104" s="95"/>
      <c r="DS104" s="95"/>
      <c r="DT104" s="95"/>
      <c r="DU104" s="95"/>
      <c r="DV104" s="95"/>
      <c r="DW104" s="95"/>
      <c r="DX104" s="95"/>
      <c r="DY104" s="95"/>
      <c r="DZ104" s="95"/>
      <c r="EA104" s="95"/>
      <c r="EB104" s="95"/>
      <c r="EC104" s="95"/>
      <c r="ED104" s="95"/>
      <c r="EE104" s="95"/>
      <c r="EF104" s="95"/>
      <c r="EG104" s="95"/>
      <c r="EH104" s="95"/>
      <c r="EI104" s="95"/>
      <c r="EJ104" s="95"/>
      <c r="EK104" s="95"/>
      <c r="EL104" s="95"/>
      <c r="EM104" s="95"/>
      <c r="EN104" s="95"/>
      <c r="EO104" s="95"/>
      <c r="EP104" s="95"/>
      <c r="EQ104" s="95"/>
      <c r="ER104" s="95"/>
      <c r="ES104" s="95"/>
      <c r="ET104" s="95"/>
      <c r="EU104" s="95"/>
      <c r="EV104" s="95"/>
      <c r="EW104" s="95"/>
      <c r="EX104" s="95"/>
      <c r="EY104" s="95"/>
      <c r="EZ104" s="95"/>
      <c r="FA104" s="95"/>
      <c r="FB104" s="95"/>
      <c r="FC104" s="95"/>
      <c r="FD104" s="95"/>
      <c r="FE104" s="95"/>
      <c r="FF104" s="95"/>
      <c r="FG104" s="95"/>
      <c r="FH104" s="95"/>
      <c r="FI104" s="95"/>
      <c r="FJ104" s="95"/>
      <c r="FK104" s="95"/>
      <c r="FL104" s="95"/>
      <c r="FM104" s="95"/>
      <c r="FN104" s="95"/>
      <c r="FO104" s="95"/>
      <c r="FP104" s="95"/>
      <c r="FQ104" s="95"/>
      <c r="FR104" s="95"/>
      <c r="FS104" s="95"/>
      <c r="FT104" s="95"/>
      <c r="FU104" s="95"/>
      <c r="FV104" s="95"/>
      <c r="FW104" s="95"/>
      <c r="FX104" s="95"/>
      <c r="FY104" s="95"/>
      <c r="FZ104" s="95"/>
      <c r="GA104" s="95"/>
      <c r="GB104" s="95"/>
      <c r="GC104" s="95"/>
      <c r="GD104" s="95"/>
      <c r="GE104" s="95"/>
      <c r="GF104" s="95"/>
      <c r="GG104" s="95"/>
      <c r="GH104" s="95"/>
      <c r="GI104" s="95"/>
      <c r="GJ104" s="95"/>
      <c r="GK104" s="95"/>
      <c r="GL104" s="95"/>
      <c r="GM104" s="95"/>
      <c r="GN104" s="95"/>
      <c r="GO104" s="95"/>
      <c r="GP104" s="95"/>
      <c r="GQ104" s="95"/>
      <c r="GR104" s="95"/>
      <c r="GS104" s="95"/>
      <c r="GT104" s="95"/>
      <c r="GU104" s="95"/>
      <c r="GV104" s="95"/>
      <c r="GW104" s="95"/>
      <c r="GX104" s="95"/>
      <c r="GY104" s="95"/>
      <c r="GZ104" s="95"/>
      <c r="HA104" s="95"/>
      <c r="HB104" s="95"/>
      <c r="HC104" s="95"/>
      <c r="HD104" s="95"/>
      <c r="HE104" s="95"/>
      <c r="HF104" s="95"/>
      <c r="HG104" s="95"/>
      <c r="HH104" s="95"/>
      <c r="HI104" s="95"/>
      <c r="HJ104" s="95"/>
      <c r="HK104" s="95"/>
    </row>
    <row r="105" spans="3:222" s="92" customFormat="1" ht="15.75" x14ac:dyDescent="0.25">
      <c r="C105" s="359"/>
      <c r="D105" s="91" t="s">
        <v>119</v>
      </c>
      <c r="E105" s="96">
        <v>0.18</v>
      </c>
      <c r="F105" s="91" t="s">
        <v>119</v>
      </c>
      <c r="G105" s="96">
        <v>0.18</v>
      </c>
      <c r="H105" s="96" t="s">
        <v>119</v>
      </c>
      <c r="I105" s="96">
        <v>0.18</v>
      </c>
      <c r="J105" s="353"/>
      <c r="K105" s="355"/>
      <c r="L105" s="353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94"/>
      <c r="X105" s="94"/>
      <c r="Y105" s="94"/>
      <c r="Z105" s="94"/>
      <c r="AA105" s="94"/>
      <c r="AB105" s="94"/>
      <c r="AC105" s="94"/>
      <c r="AD105" s="94"/>
      <c r="AE105" s="94"/>
      <c r="AF105" s="94"/>
      <c r="AG105" s="94"/>
      <c r="AH105" s="94"/>
      <c r="AI105" s="94"/>
      <c r="AJ105" s="94"/>
      <c r="AK105" s="94"/>
      <c r="AL105" s="94"/>
      <c r="AM105" s="94"/>
      <c r="AN105" s="94"/>
      <c r="AO105" s="94"/>
      <c r="AP105" s="94"/>
      <c r="AQ105" s="94"/>
      <c r="AR105" s="94"/>
      <c r="AS105" s="94"/>
      <c r="AT105" s="94"/>
      <c r="AU105" s="94"/>
      <c r="AV105" s="94"/>
      <c r="AW105" s="94"/>
      <c r="AX105" s="94"/>
      <c r="AY105" s="94"/>
      <c r="AZ105" s="94"/>
      <c r="BA105" s="94"/>
      <c r="BB105" s="94"/>
      <c r="BC105" s="94"/>
      <c r="BD105" s="94"/>
      <c r="BE105" s="94"/>
      <c r="BF105" s="94"/>
      <c r="BG105" s="94"/>
      <c r="BH105" s="94"/>
      <c r="BI105" s="94"/>
      <c r="BJ105" s="94"/>
      <c r="BK105" s="94"/>
      <c r="BL105" s="94"/>
      <c r="BM105" s="94"/>
      <c r="BN105" s="94"/>
      <c r="BO105" s="94"/>
      <c r="BP105" s="94"/>
      <c r="BQ105" s="94"/>
      <c r="BR105" s="94"/>
      <c r="BS105" s="94"/>
      <c r="BT105" s="94"/>
      <c r="BU105" s="94"/>
      <c r="BV105" s="94"/>
      <c r="BW105" s="94"/>
      <c r="BX105" s="94"/>
      <c r="BY105" s="94"/>
      <c r="BZ105" s="94"/>
      <c r="CA105" s="94"/>
      <c r="CB105" s="94"/>
      <c r="CC105" s="94"/>
      <c r="CD105" s="94"/>
      <c r="CE105" s="94"/>
      <c r="CF105" s="94"/>
      <c r="CG105" s="94"/>
      <c r="CH105" s="94"/>
      <c r="CI105" s="94"/>
      <c r="CJ105" s="94"/>
      <c r="CK105" s="94"/>
      <c r="CL105" s="94"/>
      <c r="CM105" s="94"/>
      <c r="CN105" s="94"/>
      <c r="CO105" s="94"/>
      <c r="CP105" s="94"/>
      <c r="CQ105" s="94"/>
      <c r="CR105" s="94"/>
      <c r="CS105" s="95"/>
      <c r="CT105" s="95"/>
      <c r="CU105" s="95"/>
      <c r="CV105" s="95"/>
      <c r="CW105" s="95"/>
      <c r="CX105" s="95"/>
      <c r="CY105" s="95"/>
      <c r="CZ105" s="95"/>
      <c r="DA105" s="95"/>
      <c r="DB105" s="95"/>
      <c r="DC105" s="95"/>
      <c r="DD105" s="95"/>
      <c r="DE105" s="95"/>
      <c r="DF105" s="95"/>
      <c r="DG105" s="95"/>
      <c r="DH105" s="95"/>
      <c r="DI105" s="95"/>
      <c r="DJ105" s="95"/>
      <c r="DK105" s="95"/>
      <c r="DL105" s="95"/>
      <c r="DM105" s="95"/>
      <c r="DN105" s="95"/>
      <c r="DO105" s="95"/>
      <c r="DP105" s="95"/>
      <c r="DQ105" s="95"/>
      <c r="DR105" s="95"/>
      <c r="DS105" s="95"/>
      <c r="DT105" s="95"/>
      <c r="DU105" s="95"/>
      <c r="DV105" s="95"/>
      <c r="DW105" s="95"/>
      <c r="DX105" s="95"/>
      <c r="DY105" s="95"/>
      <c r="DZ105" s="95"/>
      <c r="EA105" s="95"/>
      <c r="EB105" s="95"/>
      <c r="EC105" s="95"/>
      <c r="ED105" s="95"/>
      <c r="EE105" s="95"/>
      <c r="EF105" s="95"/>
      <c r="EG105" s="95"/>
      <c r="EH105" s="95"/>
      <c r="EI105" s="95"/>
      <c r="EJ105" s="95"/>
      <c r="EK105" s="95"/>
      <c r="EL105" s="95"/>
      <c r="EM105" s="95"/>
      <c r="EN105" s="95"/>
      <c r="EO105" s="95"/>
      <c r="EP105" s="95"/>
      <c r="EQ105" s="95"/>
      <c r="ER105" s="95"/>
      <c r="ES105" s="95"/>
      <c r="ET105" s="95"/>
      <c r="EU105" s="95"/>
      <c r="EV105" s="95"/>
      <c r="EW105" s="95"/>
      <c r="EX105" s="95"/>
      <c r="EY105" s="95"/>
      <c r="EZ105" s="95"/>
      <c r="FA105" s="95"/>
      <c r="FB105" s="95"/>
      <c r="FC105" s="95"/>
      <c r="FD105" s="95"/>
      <c r="FE105" s="95"/>
      <c r="FF105" s="95"/>
      <c r="FG105" s="95"/>
      <c r="FH105" s="95"/>
      <c r="FI105" s="95"/>
      <c r="FJ105" s="95"/>
      <c r="FK105" s="95"/>
      <c r="FL105" s="95"/>
      <c r="FM105" s="95"/>
      <c r="FN105" s="95"/>
      <c r="FO105" s="95"/>
      <c r="FP105" s="95"/>
      <c r="FQ105" s="95"/>
      <c r="FR105" s="95"/>
      <c r="FS105" s="95"/>
      <c r="FT105" s="95"/>
      <c r="FU105" s="95"/>
      <c r="FV105" s="95"/>
      <c r="FW105" s="95"/>
      <c r="FX105" s="95"/>
      <c r="FY105" s="95"/>
      <c r="FZ105" s="95"/>
      <c r="GA105" s="95"/>
      <c r="GB105" s="95"/>
      <c r="GC105" s="95"/>
      <c r="GD105" s="95"/>
      <c r="GE105" s="95"/>
      <c r="GF105" s="95"/>
      <c r="GG105" s="95"/>
      <c r="GH105" s="95"/>
      <c r="GI105" s="95"/>
      <c r="GJ105" s="95"/>
      <c r="GK105" s="95"/>
      <c r="GL105" s="95"/>
      <c r="GM105" s="95"/>
      <c r="GN105" s="95"/>
      <c r="GO105" s="95"/>
      <c r="GP105" s="95"/>
      <c r="GQ105" s="95"/>
      <c r="GR105" s="95"/>
      <c r="GS105" s="95"/>
      <c r="GT105" s="95"/>
      <c r="GU105" s="95"/>
      <c r="GV105" s="95"/>
      <c r="GW105" s="95"/>
      <c r="GX105" s="95"/>
      <c r="GY105" s="95"/>
      <c r="GZ105" s="95"/>
      <c r="HA105" s="95"/>
      <c r="HB105" s="95"/>
      <c r="HC105" s="95"/>
      <c r="HD105" s="95"/>
      <c r="HE105" s="95"/>
      <c r="HF105" s="95"/>
      <c r="HG105" s="95"/>
      <c r="HH105" s="95"/>
      <c r="HI105" s="95"/>
      <c r="HJ105" s="95"/>
      <c r="HK105" s="95"/>
    </row>
    <row r="106" spans="3:222" s="44" customFormat="1" x14ac:dyDescent="0.2">
      <c r="C106" s="97" t="s">
        <v>120</v>
      </c>
      <c r="D106" s="98">
        <f t="shared" ref="D106:G106" si="20">+D107</f>
        <v>90697369.829627126</v>
      </c>
      <c r="E106" s="98">
        <f t="shared" si="20"/>
        <v>16325526.569332881</v>
      </c>
      <c r="F106" s="98">
        <f t="shared" si="20"/>
        <v>71688591.297694907</v>
      </c>
      <c r="G106" s="98">
        <f t="shared" si="20"/>
        <v>12903946.433585085</v>
      </c>
      <c r="H106" s="98"/>
      <c r="I106" s="98"/>
      <c r="J106" s="98">
        <f>+J107</f>
        <v>162385961.12732202</v>
      </c>
      <c r="K106" s="98">
        <f>+K107</f>
        <v>29229473.002917964</v>
      </c>
      <c r="L106" s="98">
        <f>+L107</f>
        <v>191615434.13023996</v>
      </c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54"/>
      <c r="BE106" s="54"/>
      <c r="BF106" s="54"/>
      <c r="BG106" s="54"/>
      <c r="BH106" s="54"/>
      <c r="BI106" s="54"/>
      <c r="BJ106" s="54"/>
      <c r="BK106" s="54"/>
      <c r="BL106" s="54"/>
      <c r="BM106" s="54"/>
      <c r="BN106" s="54"/>
      <c r="BO106" s="54"/>
      <c r="BP106" s="54"/>
      <c r="BQ106" s="54"/>
      <c r="BR106" s="54"/>
      <c r="BS106" s="54"/>
      <c r="BT106" s="54"/>
      <c r="BU106" s="54"/>
      <c r="BV106" s="54"/>
      <c r="BW106" s="54"/>
      <c r="BX106" s="54"/>
      <c r="BY106" s="54"/>
      <c r="BZ106" s="54"/>
      <c r="CA106" s="54"/>
      <c r="CB106" s="54"/>
      <c r="CC106" s="54"/>
      <c r="CD106" s="54"/>
      <c r="CE106" s="54"/>
      <c r="CF106" s="54"/>
      <c r="CG106" s="54"/>
      <c r="CH106" s="54"/>
      <c r="CI106" s="54"/>
      <c r="CJ106" s="54"/>
      <c r="CK106" s="54"/>
      <c r="CL106" s="54"/>
      <c r="CM106" s="54"/>
      <c r="CN106" s="54"/>
      <c r="CO106" s="54"/>
      <c r="CP106" s="54"/>
      <c r="CQ106" s="54"/>
      <c r="CR106" s="54"/>
      <c r="CS106" s="55"/>
      <c r="CT106" s="55"/>
      <c r="CU106" s="55"/>
      <c r="CV106" s="55"/>
      <c r="CW106" s="55"/>
      <c r="CX106" s="55"/>
      <c r="CY106" s="55"/>
      <c r="CZ106" s="55"/>
      <c r="DA106" s="55"/>
      <c r="DB106" s="55"/>
      <c r="DC106" s="55"/>
      <c r="DD106" s="55"/>
      <c r="DE106" s="55"/>
      <c r="DF106" s="55"/>
      <c r="DG106" s="55"/>
      <c r="DH106" s="55"/>
      <c r="DI106" s="55"/>
      <c r="DJ106" s="55"/>
      <c r="DK106" s="55"/>
      <c r="DL106" s="55"/>
      <c r="DM106" s="55"/>
      <c r="DN106" s="55"/>
      <c r="DO106" s="55"/>
      <c r="DP106" s="55"/>
      <c r="DQ106" s="55"/>
      <c r="DR106" s="55"/>
      <c r="DS106" s="55"/>
      <c r="DT106" s="55"/>
      <c r="DU106" s="55"/>
      <c r="DV106" s="55"/>
      <c r="DW106" s="55"/>
      <c r="DX106" s="55"/>
      <c r="DY106" s="55"/>
      <c r="DZ106" s="55"/>
      <c r="EA106" s="55"/>
      <c r="EB106" s="55"/>
      <c r="EC106" s="55"/>
      <c r="ED106" s="55"/>
      <c r="EE106" s="55"/>
      <c r="EF106" s="55"/>
      <c r="EG106" s="55"/>
      <c r="EH106" s="55"/>
      <c r="EI106" s="55"/>
      <c r="EJ106" s="55"/>
      <c r="EK106" s="55"/>
      <c r="EL106" s="55"/>
      <c r="EM106" s="55"/>
      <c r="EN106" s="55"/>
      <c r="EO106" s="55"/>
      <c r="EP106" s="55"/>
      <c r="EQ106" s="55"/>
      <c r="ER106" s="55"/>
      <c r="ES106" s="55"/>
      <c r="ET106" s="55"/>
      <c r="EU106" s="55"/>
      <c r="EV106" s="55"/>
      <c r="EW106" s="55"/>
      <c r="EX106" s="55"/>
      <c r="EY106" s="55"/>
      <c r="EZ106" s="55"/>
      <c r="FA106" s="55"/>
      <c r="FB106" s="55"/>
      <c r="FC106" s="55"/>
      <c r="FD106" s="55"/>
      <c r="FE106" s="55"/>
      <c r="FF106" s="55"/>
      <c r="FG106" s="55"/>
      <c r="FH106" s="55"/>
      <c r="FI106" s="55"/>
      <c r="FJ106" s="55"/>
      <c r="FK106" s="55"/>
      <c r="FL106" s="55"/>
      <c r="FM106" s="55"/>
      <c r="FN106" s="55"/>
      <c r="FO106" s="55"/>
      <c r="FP106" s="55"/>
      <c r="FQ106" s="55"/>
      <c r="FR106" s="55"/>
      <c r="FS106" s="55"/>
      <c r="FT106" s="55"/>
      <c r="FU106" s="55"/>
      <c r="FV106" s="55"/>
      <c r="FW106" s="55"/>
      <c r="FX106" s="55"/>
      <c r="FY106" s="55"/>
      <c r="FZ106" s="55"/>
      <c r="GA106" s="55"/>
      <c r="GB106" s="55"/>
      <c r="GC106" s="55"/>
      <c r="GD106" s="55"/>
      <c r="GE106" s="55"/>
      <c r="GF106" s="55"/>
      <c r="GG106" s="55"/>
      <c r="GH106" s="55"/>
      <c r="GI106" s="55"/>
      <c r="GJ106" s="55"/>
      <c r="GK106" s="55"/>
      <c r="GL106" s="55"/>
      <c r="GM106" s="55"/>
      <c r="GN106" s="55"/>
      <c r="GO106" s="55"/>
      <c r="GP106" s="55"/>
      <c r="GQ106" s="55"/>
      <c r="GR106" s="55"/>
      <c r="GS106" s="55"/>
      <c r="GT106" s="55"/>
      <c r="GU106" s="55"/>
      <c r="GV106" s="55"/>
      <c r="GW106" s="55"/>
      <c r="GX106" s="55"/>
      <c r="GY106" s="55"/>
      <c r="GZ106" s="55"/>
      <c r="HA106" s="55"/>
      <c r="HB106" s="55"/>
      <c r="HC106" s="55"/>
      <c r="HD106" s="55"/>
      <c r="HE106" s="55"/>
      <c r="HF106" s="55"/>
      <c r="HG106" s="55"/>
      <c r="HH106" s="55"/>
      <c r="HI106" s="55"/>
      <c r="HJ106" s="55"/>
      <c r="HK106" s="55"/>
    </row>
    <row r="107" spans="3:222" s="44" customFormat="1" x14ac:dyDescent="0.2">
      <c r="C107" s="99" t="s">
        <v>121</v>
      </c>
      <c r="D107" s="100">
        <f t="shared" ref="D107:E107" si="21">SUM(D108:D113)</f>
        <v>90697369.829627126</v>
      </c>
      <c r="E107" s="100">
        <f t="shared" si="21"/>
        <v>16325526.569332881</v>
      </c>
      <c r="F107" s="100">
        <f t="shared" ref="F107:G107" si="22">SUM(F108:F113)</f>
        <v>71688591.297694907</v>
      </c>
      <c r="G107" s="100">
        <f t="shared" si="22"/>
        <v>12903946.433585085</v>
      </c>
      <c r="H107" s="100"/>
      <c r="I107" s="100"/>
      <c r="J107" s="100">
        <f t="shared" ref="J107:K107" si="23">SUM(J108:J113)</f>
        <v>162385961.12732202</v>
      </c>
      <c r="K107" s="100">
        <f t="shared" si="23"/>
        <v>29229473.002917964</v>
      </c>
      <c r="L107" s="100">
        <f>SUM(L108:L113)</f>
        <v>191615434.13023996</v>
      </c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  <c r="BH107" s="54"/>
      <c r="BI107" s="54"/>
      <c r="BJ107" s="54"/>
      <c r="BK107" s="54"/>
      <c r="BL107" s="54"/>
      <c r="BM107" s="54"/>
      <c r="BN107" s="54"/>
      <c r="BO107" s="54"/>
      <c r="BP107" s="54"/>
      <c r="BQ107" s="54"/>
      <c r="BR107" s="54"/>
      <c r="BS107" s="54"/>
      <c r="BT107" s="54"/>
      <c r="BU107" s="54"/>
      <c r="BV107" s="54"/>
      <c r="BW107" s="54"/>
      <c r="BX107" s="54"/>
      <c r="BY107" s="54"/>
      <c r="BZ107" s="54"/>
      <c r="CA107" s="54"/>
      <c r="CB107" s="54"/>
      <c r="CC107" s="54"/>
      <c r="CD107" s="54"/>
      <c r="CE107" s="54"/>
      <c r="CF107" s="54"/>
      <c r="CG107" s="54"/>
      <c r="CH107" s="54"/>
      <c r="CI107" s="54"/>
      <c r="CJ107" s="54"/>
      <c r="CK107" s="54"/>
      <c r="CL107" s="54"/>
      <c r="CM107" s="54"/>
      <c r="CN107" s="54"/>
      <c r="CO107" s="54"/>
      <c r="CP107" s="54"/>
      <c r="CQ107" s="54"/>
      <c r="CR107" s="54"/>
      <c r="CS107" s="55"/>
      <c r="CT107" s="55"/>
      <c r="CU107" s="55"/>
      <c r="CV107" s="55"/>
      <c r="CW107" s="55"/>
      <c r="CX107" s="55"/>
      <c r="CY107" s="55"/>
      <c r="CZ107" s="55"/>
      <c r="DA107" s="55"/>
      <c r="DB107" s="55"/>
      <c r="DC107" s="55"/>
      <c r="DD107" s="55"/>
      <c r="DE107" s="55"/>
      <c r="DF107" s="55"/>
      <c r="DG107" s="55"/>
      <c r="DH107" s="55"/>
      <c r="DI107" s="55"/>
      <c r="DJ107" s="55"/>
      <c r="DK107" s="55"/>
      <c r="DL107" s="55"/>
      <c r="DM107" s="55"/>
      <c r="DN107" s="55"/>
      <c r="DO107" s="55"/>
      <c r="DP107" s="55"/>
      <c r="DQ107" s="55"/>
      <c r="DR107" s="55"/>
      <c r="DS107" s="55"/>
      <c r="DT107" s="55"/>
      <c r="DU107" s="55"/>
      <c r="DV107" s="55"/>
      <c r="DW107" s="55"/>
      <c r="DX107" s="55"/>
      <c r="DY107" s="55"/>
      <c r="DZ107" s="55"/>
      <c r="EA107" s="55"/>
      <c r="EB107" s="55"/>
      <c r="EC107" s="55"/>
      <c r="ED107" s="55"/>
      <c r="EE107" s="55"/>
      <c r="EF107" s="55"/>
      <c r="EG107" s="55"/>
      <c r="EH107" s="55"/>
      <c r="EI107" s="55"/>
      <c r="EJ107" s="55"/>
      <c r="EK107" s="55"/>
      <c r="EL107" s="55"/>
      <c r="EM107" s="55"/>
      <c r="EN107" s="55"/>
      <c r="EO107" s="55"/>
      <c r="EP107" s="55"/>
      <c r="EQ107" s="55"/>
      <c r="ER107" s="55"/>
      <c r="ES107" s="55"/>
      <c r="ET107" s="55"/>
      <c r="EU107" s="55"/>
      <c r="EV107" s="55"/>
      <c r="EW107" s="55"/>
      <c r="EX107" s="55"/>
      <c r="EY107" s="55"/>
      <c r="EZ107" s="55"/>
      <c r="FA107" s="55"/>
      <c r="FB107" s="55"/>
      <c r="FC107" s="55"/>
      <c r="FD107" s="55"/>
      <c r="FE107" s="55"/>
      <c r="FF107" s="55"/>
      <c r="FG107" s="55"/>
      <c r="FH107" s="55"/>
      <c r="FI107" s="55"/>
      <c r="FJ107" s="55"/>
      <c r="FK107" s="55"/>
      <c r="FL107" s="55"/>
      <c r="FM107" s="55"/>
      <c r="FN107" s="55"/>
      <c r="FO107" s="55"/>
      <c r="FP107" s="55"/>
      <c r="FQ107" s="55"/>
      <c r="FR107" s="55"/>
      <c r="FS107" s="55"/>
      <c r="FT107" s="55"/>
      <c r="FU107" s="55"/>
      <c r="FV107" s="55"/>
      <c r="FW107" s="55"/>
      <c r="FX107" s="55"/>
      <c r="FY107" s="55"/>
      <c r="FZ107" s="55"/>
      <c r="GA107" s="55"/>
      <c r="GB107" s="55"/>
      <c r="GC107" s="55"/>
      <c r="GD107" s="55"/>
      <c r="GE107" s="55"/>
      <c r="GF107" s="55"/>
      <c r="GG107" s="55"/>
      <c r="GH107" s="55"/>
      <c r="GI107" s="55"/>
      <c r="GJ107" s="55"/>
      <c r="GK107" s="55"/>
      <c r="GL107" s="55"/>
      <c r="GM107" s="55"/>
      <c r="GN107" s="55"/>
      <c r="GO107" s="55"/>
      <c r="GP107" s="55"/>
      <c r="GQ107" s="55"/>
      <c r="GR107" s="55"/>
      <c r="GS107" s="55"/>
      <c r="GT107" s="55"/>
      <c r="GU107" s="55"/>
      <c r="GV107" s="55"/>
      <c r="GW107" s="55"/>
      <c r="GX107" s="55"/>
      <c r="GY107" s="55"/>
      <c r="GZ107" s="55"/>
      <c r="HA107" s="55"/>
      <c r="HB107" s="55"/>
      <c r="HC107" s="55"/>
      <c r="HD107" s="55"/>
      <c r="HE107" s="55"/>
      <c r="HF107" s="55"/>
      <c r="HG107" s="55"/>
      <c r="HH107" s="55"/>
      <c r="HI107" s="55"/>
      <c r="HJ107" s="55"/>
      <c r="HK107" s="55"/>
    </row>
    <row r="108" spans="3:222" x14ac:dyDescent="0.2">
      <c r="C108" s="101" t="s">
        <v>122</v>
      </c>
      <c r="D108" s="102">
        <f>+D37/1.18</f>
        <v>74878176.519999996</v>
      </c>
      <c r="E108" s="102">
        <f t="shared" ref="E108:E113" si="24">+D108*$E$105</f>
        <v>13478071.773599999</v>
      </c>
      <c r="F108" s="102">
        <f>+D18/1.18</f>
        <v>57564045.007966094</v>
      </c>
      <c r="G108" s="102">
        <f t="shared" ref="G108:G113" si="25">+F108*$E$105</f>
        <v>10361528.101433897</v>
      </c>
      <c r="H108" s="102"/>
      <c r="I108" s="102"/>
      <c r="J108" s="102">
        <f t="shared" ref="J108:J113" si="26">+D108+F108</f>
        <v>132442221.52796608</v>
      </c>
      <c r="K108" s="103">
        <f>+J108*0.18</f>
        <v>23839599.875033893</v>
      </c>
      <c r="L108" s="104">
        <f t="shared" ref="L108:L113" si="27">+J108+K108</f>
        <v>156281821.40299997</v>
      </c>
      <c r="M108" s="47"/>
      <c r="N108" s="47"/>
      <c r="O108" s="47"/>
      <c r="CS108" s="48"/>
      <c r="CT108" s="48"/>
      <c r="CU108" s="48"/>
      <c r="HL108" s="43"/>
      <c r="HM108" s="43"/>
      <c r="HN108" s="43"/>
    </row>
    <row r="109" spans="3:222" x14ac:dyDescent="0.2">
      <c r="C109" s="101" t="s">
        <v>123</v>
      </c>
      <c r="D109" s="102">
        <f>+E37/1.18</f>
        <v>994152.54237288143</v>
      </c>
      <c r="E109" s="102">
        <f t="shared" si="24"/>
        <v>178947.45762711865</v>
      </c>
      <c r="F109" s="102">
        <f>+E18/1.18</f>
        <v>512033.89830508479</v>
      </c>
      <c r="G109" s="102">
        <f t="shared" si="25"/>
        <v>92166.101694915254</v>
      </c>
      <c r="H109" s="102"/>
      <c r="I109" s="102"/>
      <c r="J109" s="102">
        <f t="shared" si="26"/>
        <v>1506186.4406779662</v>
      </c>
      <c r="K109" s="103">
        <f t="shared" ref="K109:K113" si="28">+J109*0.18</f>
        <v>271113.55932203389</v>
      </c>
      <c r="L109" s="104">
        <f t="shared" si="27"/>
        <v>1777300</v>
      </c>
      <c r="M109" s="47"/>
      <c r="N109" s="47"/>
      <c r="O109" s="47"/>
      <c r="CS109" s="48"/>
      <c r="CT109" s="48"/>
      <c r="CU109" s="48"/>
      <c r="HL109" s="43"/>
      <c r="HM109" s="43"/>
      <c r="HN109" s="43"/>
    </row>
    <row r="110" spans="3:222" x14ac:dyDescent="0.2">
      <c r="C110" s="101" t="s">
        <v>124</v>
      </c>
      <c r="D110" s="102">
        <f>+F37/1.18</f>
        <v>2030459.5254237286</v>
      </c>
      <c r="E110" s="102">
        <f t="shared" si="24"/>
        <v>365482.71457627113</v>
      </c>
      <c r="F110" s="102">
        <f>+F18/1.18</f>
        <v>1354279.6610169492</v>
      </c>
      <c r="G110" s="102">
        <f t="shared" si="25"/>
        <v>243770.33898305084</v>
      </c>
      <c r="H110" s="102"/>
      <c r="I110" s="102"/>
      <c r="J110" s="102">
        <f t="shared" si="26"/>
        <v>3384739.1864406778</v>
      </c>
      <c r="K110" s="103">
        <f t="shared" si="28"/>
        <v>609253.05355932203</v>
      </c>
      <c r="L110" s="104">
        <f t="shared" si="27"/>
        <v>3993992.2399999998</v>
      </c>
      <c r="M110" s="47"/>
      <c r="N110" s="47"/>
      <c r="O110" s="47"/>
      <c r="CS110" s="48"/>
      <c r="CT110" s="48"/>
      <c r="CU110" s="48"/>
      <c r="HL110" s="43"/>
      <c r="HM110" s="43"/>
      <c r="HN110" s="43"/>
    </row>
    <row r="111" spans="3:222" x14ac:dyDescent="0.2">
      <c r="C111" s="101" t="s">
        <v>125</v>
      </c>
      <c r="D111" s="102">
        <f>+G37/1.18</f>
        <v>4123760.8898305092</v>
      </c>
      <c r="E111" s="102">
        <f t="shared" si="24"/>
        <v>742276.96016949159</v>
      </c>
      <c r="F111" s="102">
        <f>+G18/1.18</f>
        <v>5747760.4330000002</v>
      </c>
      <c r="G111" s="102">
        <f t="shared" si="25"/>
        <v>1034596.87794</v>
      </c>
      <c r="H111" s="102"/>
      <c r="I111" s="102"/>
      <c r="J111" s="102">
        <f t="shared" si="26"/>
        <v>9871521.3228305094</v>
      </c>
      <c r="K111" s="103">
        <f t="shared" si="28"/>
        <v>1776873.8381094916</v>
      </c>
      <c r="L111" s="104">
        <f t="shared" si="27"/>
        <v>11648395.160940001</v>
      </c>
      <c r="M111" s="47"/>
      <c r="N111" s="47"/>
      <c r="O111" s="47"/>
      <c r="CS111" s="48"/>
      <c r="CT111" s="48"/>
      <c r="CU111" s="48"/>
      <c r="HL111" s="43"/>
      <c r="HM111" s="43"/>
      <c r="HN111" s="43"/>
    </row>
    <row r="112" spans="3:222" x14ac:dyDescent="0.2">
      <c r="C112" s="101" t="s">
        <v>126</v>
      </c>
      <c r="D112" s="102">
        <f>+H37/1.18</f>
        <v>7487817.6519999998</v>
      </c>
      <c r="E112" s="102">
        <f t="shared" si="24"/>
        <v>1347807.1773599999</v>
      </c>
      <c r="F112" s="102">
        <f>+H18/1.18</f>
        <v>5747760.4330000002</v>
      </c>
      <c r="G112" s="102">
        <f t="shared" si="25"/>
        <v>1034596.87794</v>
      </c>
      <c r="H112" s="102"/>
      <c r="I112" s="102"/>
      <c r="J112" s="102">
        <f t="shared" si="26"/>
        <v>13235578.085000001</v>
      </c>
      <c r="K112" s="103">
        <f t="shared" si="28"/>
        <v>2382404.0553000001</v>
      </c>
      <c r="L112" s="104">
        <f t="shared" si="27"/>
        <v>15617982.140300002</v>
      </c>
      <c r="M112" s="47"/>
      <c r="N112" s="47"/>
      <c r="O112" s="47"/>
      <c r="CS112" s="48"/>
      <c r="CT112" s="48"/>
      <c r="CU112" s="48"/>
      <c r="HL112" s="43"/>
      <c r="HM112" s="43"/>
      <c r="HN112" s="43"/>
    </row>
    <row r="113" spans="3:222" x14ac:dyDescent="0.2">
      <c r="C113" s="101" t="s">
        <v>127</v>
      </c>
      <c r="D113" s="102">
        <f>+I37/1.18</f>
        <v>1183002.7</v>
      </c>
      <c r="E113" s="102">
        <f t="shared" si="24"/>
        <v>212940.48599999998</v>
      </c>
      <c r="F113" s="102">
        <f>+I18/1.18</f>
        <v>762711.86440677976</v>
      </c>
      <c r="G113" s="102">
        <f t="shared" si="25"/>
        <v>137288.13559322036</v>
      </c>
      <c r="H113" s="102"/>
      <c r="I113" s="102"/>
      <c r="J113" s="102">
        <f t="shared" si="26"/>
        <v>1945714.5644067796</v>
      </c>
      <c r="K113" s="103">
        <f t="shared" si="28"/>
        <v>350228.62159322033</v>
      </c>
      <c r="L113" s="104">
        <f t="shared" si="27"/>
        <v>2295943.1859999998</v>
      </c>
      <c r="M113" s="47"/>
      <c r="N113" s="47"/>
      <c r="O113" s="47"/>
      <c r="CS113" s="48"/>
      <c r="CT113" s="48"/>
      <c r="CU113" s="48"/>
      <c r="HL113" s="43"/>
      <c r="HM113" s="43"/>
      <c r="HN113" s="43"/>
    </row>
    <row r="114" spans="3:222" x14ac:dyDescent="0.2">
      <c r="C114" s="105" t="s">
        <v>128</v>
      </c>
      <c r="D114" s="98">
        <f t="shared" ref="D114:I114" si="29">+D115+D119+D126+D128</f>
        <v>28657479.149083875</v>
      </c>
      <c r="E114" s="98">
        <f t="shared" si="29"/>
        <v>5158346.2468350977</v>
      </c>
      <c r="F114" s="98">
        <f t="shared" si="29"/>
        <v>19800096.158192094</v>
      </c>
      <c r="G114" s="98">
        <f t="shared" si="29"/>
        <v>3528350.6418079096</v>
      </c>
      <c r="H114" s="98">
        <f t="shared" si="29"/>
        <v>19066686.252354048</v>
      </c>
      <c r="I114" s="98">
        <f t="shared" si="29"/>
        <v>2146073.7476459527</v>
      </c>
      <c r="J114" s="106">
        <f>+J115+J119+J126+J128</f>
        <v>67524261.559630007</v>
      </c>
      <c r="K114" s="98">
        <f>+K115+K119+K126+K128</f>
        <v>10832770.63628896</v>
      </c>
      <c r="L114" s="98">
        <f>+L115+L119+L126+L128</f>
        <v>78357032.195918977</v>
      </c>
      <c r="M114" s="47"/>
      <c r="N114" s="47"/>
      <c r="O114" s="47"/>
      <c r="CS114" s="48"/>
      <c r="CT114" s="48"/>
      <c r="CU114" s="48"/>
      <c r="HL114" s="43"/>
      <c r="HM114" s="43"/>
      <c r="HN114" s="43"/>
    </row>
    <row r="115" spans="3:222" s="67" customFormat="1" x14ac:dyDescent="0.2">
      <c r="C115" s="107" t="s">
        <v>129</v>
      </c>
      <c r="D115" s="100"/>
      <c r="E115" s="100"/>
      <c r="F115" s="100">
        <f t="shared" ref="F115:G115" si="30">SUM(F116:F118)</f>
        <v>356666.66666666663</v>
      </c>
      <c r="G115" s="100">
        <f t="shared" si="30"/>
        <v>28533.333333333372</v>
      </c>
      <c r="H115" s="100">
        <f>SUM(H116:H118)</f>
        <v>16724313.370998114</v>
      </c>
      <c r="I115" s="108">
        <f>SUM(I116:I118)</f>
        <v>1724446.6290018847</v>
      </c>
      <c r="J115" s="108">
        <f t="shared" ref="J115:K115" si="31">SUM(J116:J118)</f>
        <v>17080980.037664782</v>
      </c>
      <c r="K115" s="108">
        <f t="shared" si="31"/>
        <v>1752979.9623352182</v>
      </c>
      <c r="L115" s="100">
        <f>SUM(L116:L118)</f>
        <v>18833960</v>
      </c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  <c r="AN115" s="46"/>
      <c r="AO115" s="46"/>
      <c r="AP115" s="46"/>
      <c r="AQ115" s="46"/>
      <c r="AR115" s="46"/>
      <c r="AS115" s="46"/>
      <c r="AT115" s="46"/>
      <c r="AU115" s="46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  <c r="BG115" s="46"/>
      <c r="BH115" s="46"/>
      <c r="BI115" s="46"/>
      <c r="BJ115" s="46"/>
      <c r="BK115" s="46"/>
      <c r="BL115" s="46"/>
      <c r="BM115" s="46"/>
      <c r="BN115" s="46"/>
      <c r="BO115" s="46"/>
      <c r="BP115" s="46"/>
      <c r="BQ115" s="46"/>
      <c r="BR115" s="46"/>
      <c r="BS115" s="46"/>
      <c r="BT115" s="46"/>
      <c r="BU115" s="46"/>
      <c r="BV115" s="46"/>
      <c r="BW115" s="46"/>
      <c r="BX115" s="46"/>
      <c r="BY115" s="46"/>
      <c r="BZ115" s="46"/>
      <c r="CA115" s="46"/>
      <c r="CB115" s="46"/>
      <c r="CC115" s="46"/>
      <c r="CD115" s="46"/>
      <c r="CE115" s="46"/>
      <c r="CF115" s="46"/>
      <c r="CG115" s="46"/>
      <c r="CH115" s="46"/>
      <c r="CI115" s="46"/>
      <c r="CJ115" s="46"/>
      <c r="CK115" s="46"/>
      <c r="CL115" s="46"/>
      <c r="CM115" s="46"/>
      <c r="CN115" s="46"/>
      <c r="CO115" s="46"/>
      <c r="CP115" s="46"/>
      <c r="CQ115" s="46"/>
      <c r="CR115" s="46"/>
    </row>
    <row r="116" spans="3:222" x14ac:dyDescent="0.2">
      <c r="C116" s="109" t="s">
        <v>130</v>
      </c>
      <c r="D116" s="102"/>
      <c r="E116" s="102"/>
      <c r="F116" s="102">
        <f>+'[1]COSTOS UE'!Z7</f>
        <v>356666.66666666663</v>
      </c>
      <c r="G116" s="102">
        <f>+'[1]COSTOS UE'!Z4</f>
        <v>28533.333333333372</v>
      </c>
      <c r="H116" s="102">
        <f>+'[1]COSTOS UE'!AA7+'[1]COSTOS UE'!Z11</f>
        <v>13087777.777777776</v>
      </c>
      <c r="I116" s="103">
        <f>+'[1]COSTOS UE'!AA4+'[1]COSTOS UE'!AA10</f>
        <v>1047022.2222222243</v>
      </c>
      <c r="J116" s="103">
        <f>+D116+F116+H116</f>
        <v>13444444.444444442</v>
      </c>
      <c r="K116" s="103">
        <f>+G116+I116</f>
        <v>1075555.5555555578</v>
      </c>
      <c r="L116" s="104">
        <f>+K116+J116</f>
        <v>14520000</v>
      </c>
      <c r="M116" s="47"/>
      <c r="N116" s="47"/>
      <c r="O116" s="47"/>
      <c r="CS116" s="48"/>
      <c r="CT116" s="48"/>
      <c r="CU116" s="48"/>
      <c r="HL116" s="43"/>
      <c r="HM116" s="43"/>
      <c r="HN116" s="43"/>
    </row>
    <row r="117" spans="3:222" x14ac:dyDescent="0.2">
      <c r="C117" s="109" t="s">
        <v>131</v>
      </c>
      <c r="D117" s="102"/>
      <c r="E117" s="102"/>
      <c r="F117" s="102"/>
      <c r="G117" s="102"/>
      <c r="H117" s="102">
        <f>+'[1]COSTOS UE'!AC35</f>
        <v>479457.62711864419</v>
      </c>
      <c r="I117" s="103">
        <f>+'[1]COSTOS UE'!AD35</f>
        <v>86302.372881355812</v>
      </c>
      <c r="J117" s="103">
        <f t="shared" ref="J117:J118" si="32">+D117+F117+H117</f>
        <v>479457.62711864419</v>
      </c>
      <c r="K117" s="103">
        <f>+I117+G117+E117</f>
        <v>86302.372881355812</v>
      </c>
      <c r="L117" s="104">
        <f>+J117+K117</f>
        <v>565760</v>
      </c>
      <c r="M117" s="47"/>
      <c r="N117" s="47"/>
      <c r="O117" s="47"/>
      <c r="CS117" s="48"/>
      <c r="CT117" s="48"/>
      <c r="CU117" s="48"/>
      <c r="HL117" s="43"/>
      <c r="HM117" s="43"/>
      <c r="HN117" s="43"/>
    </row>
    <row r="118" spans="3:222" ht="12.75" customHeight="1" x14ac:dyDescent="0.2">
      <c r="C118" s="109" t="s">
        <v>132</v>
      </c>
      <c r="D118" s="102"/>
      <c r="E118" s="102"/>
      <c r="F118" s="102"/>
      <c r="G118" s="102"/>
      <c r="H118" s="102">
        <f>+'[1]COSTOS UE'!AC44</f>
        <v>3157077.9661016953</v>
      </c>
      <c r="I118" s="103">
        <f>+'[1]COSTOS UE'!AD44</f>
        <v>591122.03389830468</v>
      </c>
      <c r="J118" s="103">
        <f t="shared" si="32"/>
        <v>3157077.9661016953</v>
      </c>
      <c r="K118" s="110">
        <f>+G118+E118+I118</f>
        <v>591122.03389830468</v>
      </c>
      <c r="L118" s="104">
        <f>+J118+K118</f>
        <v>3748200</v>
      </c>
      <c r="M118" s="47"/>
      <c r="N118" s="47"/>
      <c r="O118" s="47"/>
      <c r="CS118" s="48"/>
      <c r="CT118" s="48"/>
      <c r="CU118" s="48"/>
      <c r="HL118" s="43"/>
      <c r="HM118" s="43"/>
      <c r="HN118" s="43"/>
    </row>
    <row r="119" spans="3:222" s="67" customFormat="1" x14ac:dyDescent="0.2">
      <c r="C119" s="99" t="s">
        <v>133</v>
      </c>
      <c r="D119" s="100">
        <f t="shared" ref="D119:E119" si="33">SUM(D120:D125)</f>
        <v>25030679.149083875</v>
      </c>
      <c r="E119" s="100">
        <f t="shared" si="33"/>
        <v>4505522.2468350977</v>
      </c>
      <c r="F119" s="100">
        <f t="shared" ref="F119:G119" si="34">SUM(F120:F125)</f>
        <v>17958663.389830511</v>
      </c>
      <c r="G119" s="100">
        <f t="shared" si="34"/>
        <v>3232559.4101694915</v>
      </c>
      <c r="H119" s="100"/>
      <c r="I119" s="100"/>
      <c r="J119" s="100">
        <f>SUM(J120:J125)</f>
        <v>42989342.53891439</v>
      </c>
      <c r="K119" s="108">
        <f>SUM(K120:K125)</f>
        <v>7738081.6570045892</v>
      </c>
      <c r="L119" s="100">
        <f>SUM(L120:L125)</f>
        <v>50727424.195918977</v>
      </c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  <c r="AO119" s="46"/>
      <c r="AP119" s="46"/>
      <c r="AQ119" s="46"/>
      <c r="AR119" s="46"/>
      <c r="AS119" s="46"/>
      <c r="AT119" s="46"/>
      <c r="AU119" s="46"/>
      <c r="AV119" s="46"/>
      <c r="AW119" s="46"/>
      <c r="AX119" s="46"/>
      <c r="AY119" s="46"/>
      <c r="AZ119" s="46"/>
      <c r="BA119" s="46"/>
      <c r="BB119" s="46"/>
      <c r="BC119" s="46"/>
      <c r="BD119" s="46"/>
      <c r="BE119" s="46"/>
      <c r="BF119" s="46"/>
      <c r="BG119" s="46"/>
      <c r="BH119" s="46"/>
      <c r="BI119" s="46"/>
      <c r="BJ119" s="46"/>
      <c r="BK119" s="46"/>
      <c r="BL119" s="46"/>
      <c r="BM119" s="46"/>
      <c r="BN119" s="46"/>
      <c r="BO119" s="46"/>
      <c r="BP119" s="46"/>
      <c r="BQ119" s="46"/>
      <c r="BR119" s="46"/>
      <c r="BS119" s="46"/>
      <c r="BT119" s="46"/>
      <c r="BU119" s="46"/>
      <c r="BV119" s="46"/>
      <c r="BW119" s="46"/>
      <c r="BX119" s="46"/>
      <c r="BY119" s="46"/>
      <c r="BZ119" s="46"/>
      <c r="CA119" s="46"/>
      <c r="CB119" s="46"/>
      <c r="CC119" s="46"/>
      <c r="CD119" s="46"/>
      <c r="CE119" s="46"/>
      <c r="CF119" s="46"/>
      <c r="CG119" s="46"/>
      <c r="CH119" s="46"/>
      <c r="CI119" s="46"/>
      <c r="CJ119" s="46"/>
      <c r="CK119" s="46"/>
      <c r="CL119" s="46"/>
      <c r="CM119" s="46"/>
      <c r="CN119" s="46"/>
      <c r="CO119" s="46"/>
      <c r="CP119" s="46"/>
      <c r="CQ119" s="46"/>
      <c r="CR119" s="46"/>
    </row>
    <row r="120" spans="3:222" x14ac:dyDescent="0.2">
      <c r="C120" s="111" t="s">
        <v>134</v>
      </c>
      <c r="D120" s="102">
        <f>+('[1]EXP. TEC. Y SUPERV. OBRA JICA'!L74*1000)/1.18</f>
        <v>11382484.041050903</v>
      </c>
      <c r="E120" s="102">
        <f t="shared" ref="E120:E124" si="35">+D120*$E$105</f>
        <v>2048847.1273891625</v>
      </c>
      <c r="F120" s="102">
        <f>+'[1]ELABORACION DE EXP. TECNICO BID'!J88/1.18</f>
        <v>4324011.8644067803</v>
      </c>
      <c r="G120" s="102">
        <f t="shared" ref="G120:G125" si="36">+F120*$E$105</f>
        <v>778322.13559322048</v>
      </c>
      <c r="H120" s="102"/>
      <c r="I120" s="102"/>
      <c r="J120" s="102">
        <f t="shared" ref="J120:J125" si="37">+D120+F120</f>
        <v>15706495.905457683</v>
      </c>
      <c r="K120" s="103">
        <f>+J120*0.18</f>
        <v>2827169.2629823829</v>
      </c>
      <c r="L120" s="104">
        <f t="shared" ref="L120:L125" si="38">+J120+K120</f>
        <v>18533665.168440066</v>
      </c>
      <c r="M120" s="47"/>
      <c r="N120" s="47"/>
      <c r="O120" s="47"/>
      <c r="CS120" s="48"/>
      <c r="CT120" s="48"/>
      <c r="CU120" s="48"/>
      <c r="HL120" s="43"/>
      <c r="HM120" s="43"/>
      <c r="HN120" s="43"/>
    </row>
    <row r="121" spans="3:222" x14ac:dyDescent="0.2">
      <c r="C121" s="111" t="s">
        <v>135</v>
      </c>
      <c r="D121" s="102"/>
      <c r="E121" s="102"/>
      <c r="F121" s="102">
        <f>+'[1]ELABORACION DE EXP. TECNICO BID'!T88/1.18</f>
        <v>3269591.8644067799</v>
      </c>
      <c r="G121" s="102">
        <f t="shared" si="36"/>
        <v>588526.53559322038</v>
      </c>
      <c r="H121" s="102"/>
      <c r="I121" s="102"/>
      <c r="J121" s="102">
        <f t="shared" si="37"/>
        <v>3269591.8644067799</v>
      </c>
      <c r="K121" s="103">
        <f t="shared" ref="K121:K125" si="39">+J121*0.18</f>
        <v>588526.53559322038</v>
      </c>
      <c r="L121" s="104">
        <f t="shared" si="38"/>
        <v>3858118.4000000004</v>
      </c>
      <c r="M121" s="47"/>
      <c r="N121" s="47"/>
      <c r="O121" s="47"/>
      <c r="CS121" s="48"/>
      <c r="CT121" s="48"/>
      <c r="CU121" s="48"/>
      <c r="HL121" s="43"/>
      <c r="HM121" s="43"/>
      <c r="HN121" s="43"/>
    </row>
    <row r="122" spans="3:222" ht="25.5" x14ac:dyDescent="0.2">
      <c r="C122" s="111" t="s">
        <v>136</v>
      </c>
      <c r="D122" s="102">
        <f>+('[1]SUPERV. DE ELABO. EXP. TEC. JIC'!L123*1000)/1.18</f>
        <v>2136140.2640264034</v>
      </c>
      <c r="E122" s="102">
        <f t="shared" si="35"/>
        <v>384505.24752475263</v>
      </c>
      <c r="F122" s="102">
        <f>+'[1]SUPERVIS.DE ELAB. EXP. TEC. BID'!J67/1.18</f>
        <v>507128.81355932204</v>
      </c>
      <c r="G122" s="102">
        <f t="shared" si="36"/>
        <v>91283.186440677964</v>
      </c>
      <c r="H122" s="102"/>
      <c r="I122" s="102"/>
      <c r="J122" s="102">
        <f t="shared" si="37"/>
        <v>2643269.0775857256</v>
      </c>
      <c r="K122" s="103">
        <f t="shared" si="39"/>
        <v>475788.43396543059</v>
      </c>
      <c r="L122" s="104">
        <f t="shared" si="38"/>
        <v>3119057.5115511562</v>
      </c>
      <c r="M122" s="47"/>
      <c r="N122" s="47"/>
      <c r="O122" s="47"/>
      <c r="CS122" s="48"/>
      <c r="CT122" s="48"/>
      <c r="CU122" s="48"/>
      <c r="HL122" s="43"/>
      <c r="HM122" s="43"/>
      <c r="HN122" s="43"/>
    </row>
    <row r="123" spans="3:222" ht="25.5" x14ac:dyDescent="0.2">
      <c r="C123" s="111" t="s">
        <v>137</v>
      </c>
      <c r="D123" s="102"/>
      <c r="E123" s="102"/>
      <c r="F123" s="102">
        <f>+'[1]SUPERVIS.DE ELAB. EXP. TEC. BID'!T67/1.18</f>
        <v>507128.81355932204</v>
      </c>
      <c r="G123" s="102">
        <f t="shared" si="36"/>
        <v>91283.186440677964</v>
      </c>
      <c r="H123" s="102"/>
      <c r="I123" s="102"/>
      <c r="J123" s="102">
        <f t="shared" si="37"/>
        <v>507128.81355932204</v>
      </c>
      <c r="K123" s="103">
        <f t="shared" si="39"/>
        <v>91283.186440677964</v>
      </c>
      <c r="L123" s="104">
        <f t="shared" si="38"/>
        <v>598412</v>
      </c>
      <c r="M123" s="47"/>
      <c r="N123" s="47"/>
      <c r="O123" s="47"/>
      <c r="CS123" s="48"/>
      <c r="CT123" s="48"/>
      <c r="CU123" s="48"/>
      <c r="HL123" s="43"/>
      <c r="HM123" s="43"/>
      <c r="HN123" s="43"/>
    </row>
    <row r="124" spans="3:222" x14ac:dyDescent="0.2">
      <c r="C124" s="111" t="s">
        <v>138</v>
      </c>
      <c r="D124" s="102">
        <f>+('[1]EXP. TEC. Y SUPERV. OBRA JICA'!L78*1000)/1.18</f>
        <v>11512054.844006568</v>
      </c>
      <c r="E124" s="102">
        <f t="shared" si="35"/>
        <v>2072169.8719211821</v>
      </c>
      <c r="F124" s="102">
        <f>+'[1]SUPERVISIÓN DE OBRA BID'!J68/1.18</f>
        <v>5736812.2033898309</v>
      </c>
      <c r="G124" s="102">
        <f t="shared" si="36"/>
        <v>1032626.1966101695</v>
      </c>
      <c r="H124" s="102"/>
      <c r="I124" s="102"/>
      <c r="J124" s="102">
        <f t="shared" si="37"/>
        <v>17248867.047396399</v>
      </c>
      <c r="K124" s="103">
        <f t="shared" si="39"/>
        <v>3104796.0685313516</v>
      </c>
      <c r="L124" s="104">
        <f t="shared" si="38"/>
        <v>20353663.115927752</v>
      </c>
      <c r="M124" s="47"/>
      <c r="N124" s="47"/>
      <c r="O124" s="47"/>
      <c r="CS124" s="48"/>
      <c r="CT124" s="48"/>
      <c r="CU124" s="48"/>
      <c r="HL124" s="43"/>
      <c r="HM124" s="43"/>
      <c r="HN124" s="43"/>
    </row>
    <row r="125" spans="3:222" x14ac:dyDescent="0.2">
      <c r="C125" s="111" t="s">
        <v>139</v>
      </c>
      <c r="D125" s="102"/>
      <c r="E125" s="102"/>
      <c r="F125" s="102">
        <f>+'[1]SUPERVISIÓN DE OBRA BID'!T68/1.18</f>
        <v>3613989.8305084747</v>
      </c>
      <c r="G125" s="102">
        <f t="shared" si="36"/>
        <v>650518.16949152539</v>
      </c>
      <c r="H125" s="102"/>
      <c r="I125" s="102"/>
      <c r="J125" s="102">
        <f t="shared" si="37"/>
        <v>3613989.8305084747</v>
      </c>
      <c r="K125" s="103">
        <f t="shared" si="39"/>
        <v>650518.16949152539</v>
      </c>
      <c r="L125" s="104">
        <f t="shared" si="38"/>
        <v>4264508</v>
      </c>
      <c r="M125" s="47"/>
      <c r="N125" s="47"/>
      <c r="O125" s="47"/>
      <c r="CS125" s="48"/>
      <c r="CT125" s="48"/>
      <c r="CU125" s="48"/>
      <c r="HL125" s="43"/>
      <c r="HM125" s="43"/>
      <c r="HN125" s="43"/>
    </row>
    <row r="126" spans="3:222" s="44" customFormat="1" ht="12.75" customHeight="1" x14ac:dyDescent="0.2">
      <c r="C126" s="99" t="s">
        <v>140</v>
      </c>
      <c r="D126" s="100"/>
      <c r="E126" s="100"/>
      <c r="F126" s="100">
        <f>SUM(F127)</f>
        <v>227966.10169491527</v>
      </c>
      <c r="G126" s="100">
        <f>SUM(G127)</f>
        <v>41033.898305084746</v>
      </c>
      <c r="H126" s="100"/>
      <c r="I126" s="100"/>
      <c r="J126" s="100">
        <f t="shared" ref="J126:K126" si="40">SUM(J127)</f>
        <v>227966.10169491527</v>
      </c>
      <c r="K126" s="100">
        <f t="shared" si="40"/>
        <v>41033.898305084746</v>
      </c>
      <c r="L126" s="100">
        <f>SUM(L127)</f>
        <v>269000</v>
      </c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54"/>
      <c r="AV126" s="54"/>
      <c r="AW126" s="54"/>
      <c r="AX126" s="54"/>
      <c r="AY126" s="54"/>
      <c r="AZ126" s="54"/>
      <c r="BA126" s="54"/>
      <c r="BB126" s="54"/>
      <c r="BC126" s="54"/>
      <c r="BD126" s="54"/>
      <c r="BE126" s="54"/>
      <c r="BF126" s="54"/>
      <c r="BG126" s="54"/>
      <c r="BH126" s="54"/>
      <c r="BI126" s="54"/>
      <c r="BJ126" s="54"/>
      <c r="BK126" s="54"/>
      <c r="BL126" s="54"/>
      <c r="BM126" s="54"/>
      <c r="BN126" s="54"/>
      <c r="BO126" s="54"/>
      <c r="BP126" s="54"/>
      <c r="BQ126" s="54"/>
      <c r="BR126" s="54"/>
      <c r="BS126" s="54"/>
      <c r="BT126" s="54"/>
      <c r="BU126" s="54"/>
      <c r="BV126" s="54"/>
      <c r="BW126" s="54"/>
      <c r="BX126" s="54"/>
      <c r="BY126" s="54"/>
      <c r="BZ126" s="54"/>
      <c r="CA126" s="54"/>
      <c r="CB126" s="54"/>
      <c r="CC126" s="54"/>
      <c r="CD126" s="54"/>
      <c r="CE126" s="54"/>
      <c r="CF126" s="54"/>
      <c r="CG126" s="54"/>
      <c r="CH126" s="54"/>
      <c r="CI126" s="54"/>
      <c r="CJ126" s="54"/>
      <c r="CK126" s="54"/>
      <c r="CL126" s="54"/>
      <c r="CM126" s="54"/>
      <c r="CN126" s="54"/>
      <c r="CO126" s="54"/>
      <c r="CP126" s="54"/>
      <c r="CQ126" s="54"/>
      <c r="CR126" s="54"/>
      <c r="CS126" s="55"/>
      <c r="CT126" s="55"/>
      <c r="CU126" s="55"/>
      <c r="CV126" s="55"/>
      <c r="CW126" s="55"/>
      <c r="CX126" s="55"/>
      <c r="CY126" s="55"/>
      <c r="CZ126" s="55"/>
      <c r="DA126" s="55"/>
      <c r="DB126" s="55"/>
      <c r="DC126" s="55"/>
      <c r="DD126" s="55"/>
      <c r="DE126" s="55"/>
      <c r="DF126" s="55"/>
      <c r="DG126" s="55"/>
      <c r="DH126" s="55"/>
      <c r="DI126" s="55"/>
      <c r="DJ126" s="55"/>
      <c r="DK126" s="55"/>
      <c r="DL126" s="55"/>
      <c r="DM126" s="55"/>
      <c r="DN126" s="55"/>
      <c r="DO126" s="55"/>
      <c r="DP126" s="55"/>
      <c r="DQ126" s="55"/>
      <c r="DR126" s="55"/>
      <c r="DS126" s="55"/>
      <c r="DT126" s="55"/>
      <c r="DU126" s="55"/>
      <c r="DV126" s="55"/>
      <c r="DW126" s="55"/>
      <c r="DX126" s="55"/>
      <c r="DY126" s="55"/>
      <c r="DZ126" s="55"/>
      <c r="EA126" s="55"/>
      <c r="EB126" s="55"/>
      <c r="EC126" s="55"/>
      <c r="ED126" s="55"/>
      <c r="EE126" s="55"/>
      <c r="EF126" s="55"/>
      <c r="EG126" s="55"/>
      <c r="EH126" s="55"/>
      <c r="EI126" s="55"/>
      <c r="EJ126" s="55"/>
      <c r="EK126" s="55"/>
      <c r="EL126" s="55"/>
      <c r="EM126" s="55"/>
      <c r="EN126" s="55"/>
      <c r="EO126" s="55"/>
      <c r="EP126" s="55"/>
      <c r="EQ126" s="55"/>
      <c r="ER126" s="55"/>
      <c r="ES126" s="55"/>
      <c r="ET126" s="55"/>
      <c r="EU126" s="55"/>
      <c r="EV126" s="55"/>
      <c r="EW126" s="55"/>
      <c r="EX126" s="55"/>
      <c r="EY126" s="55"/>
      <c r="EZ126" s="55"/>
      <c r="FA126" s="55"/>
      <c r="FB126" s="55"/>
      <c r="FC126" s="55"/>
      <c r="FD126" s="55"/>
      <c r="FE126" s="55"/>
      <c r="FF126" s="55"/>
      <c r="FG126" s="55"/>
      <c r="FH126" s="55"/>
      <c r="FI126" s="55"/>
      <c r="FJ126" s="55"/>
      <c r="FK126" s="55"/>
      <c r="FL126" s="55"/>
      <c r="FM126" s="55"/>
      <c r="FN126" s="55"/>
      <c r="FO126" s="55"/>
      <c r="FP126" s="55"/>
      <c r="FQ126" s="55"/>
      <c r="FR126" s="55"/>
      <c r="FS126" s="55"/>
      <c r="FT126" s="55"/>
      <c r="FU126" s="55"/>
      <c r="FV126" s="55"/>
      <c r="FW126" s="55"/>
      <c r="FX126" s="55"/>
      <c r="FY126" s="55"/>
      <c r="FZ126" s="55"/>
      <c r="GA126" s="55"/>
      <c r="GB126" s="55"/>
      <c r="GC126" s="55"/>
      <c r="GD126" s="55"/>
      <c r="GE126" s="55"/>
      <c r="GF126" s="55"/>
      <c r="GG126" s="55"/>
      <c r="GH126" s="55"/>
      <c r="GI126" s="55"/>
      <c r="GJ126" s="55"/>
      <c r="GK126" s="55"/>
      <c r="GL126" s="55"/>
      <c r="GM126" s="55"/>
      <c r="GN126" s="55"/>
      <c r="GO126" s="55"/>
      <c r="GP126" s="55"/>
      <c r="GQ126" s="55"/>
      <c r="GR126" s="55"/>
      <c r="GS126" s="55"/>
      <c r="GT126" s="55"/>
      <c r="GU126" s="55"/>
      <c r="GV126" s="55"/>
      <c r="GW126" s="55"/>
      <c r="GX126" s="55"/>
      <c r="GY126" s="55"/>
      <c r="GZ126" s="55"/>
      <c r="HA126" s="55"/>
      <c r="HB126" s="55"/>
      <c r="HC126" s="55"/>
      <c r="HD126" s="55"/>
      <c r="HE126" s="55"/>
      <c r="HF126" s="55"/>
      <c r="HG126" s="55"/>
      <c r="HH126" s="55"/>
      <c r="HI126" s="55"/>
      <c r="HJ126" s="55"/>
      <c r="HK126" s="55"/>
    </row>
    <row r="127" spans="3:222" ht="25.5" x14ac:dyDescent="0.2">
      <c r="C127" s="109" t="s">
        <v>141</v>
      </c>
      <c r="D127" s="102"/>
      <c r="E127" s="102"/>
      <c r="F127" s="112">
        <f>+'[1]COSTOS UE'!J80/1.18</f>
        <v>227966.10169491527</v>
      </c>
      <c r="G127" s="113">
        <f>+F127*G105</f>
        <v>41033.898305084746</v>
      </c>
      <c r="H127" s="114"/>
      <c r="I127" s="114"/>
      <c r="J127" s="115">
        <f>+F127</f>
        <v>227966.10169491527</v>
      </c>
      <c r="K127" s="115">
        <f>+G127</f>
        <v>41033.898305084746</v>
      </c>
      <c r="L127" s="104">
        <f>+J127+K127</f>
        <v>269000</v>
      </c>
      <c r="M127" s="47"/>
      <c r="N127" s="47"/>
      <c r="O127" s="47"/>
      <c r="CS127" s="48"/>
      <c r="CT127" s="48"/>
      <c r="CU127" s="48"/>
      <c r="HL127" s="43"/>
      <c r="HM127" s="43"/>
      <c r="HN127" s="43"/>
    </row>
    <row r="128" spans="3:222" s="44" customFormat="1" ht="12.75" customHeight="1" x14ac:dyDescent="0.2">
      <c r="C128" s="99" t="s">
        <v>142</v>
      </c>
      <c r="D128" s="100">
        <f>SUM(D129:D133)</f>
        <v>3626800</v>
      </c>
      <c r="E128" s="100">
        <f t="shared" ref="E128:G128" si="41">SUM(E129:E133)</f>
        <v>652824</v>
      </c>
      <c r="F128" s="100">
        <f t="shared" si="41"/>
        <v>1256800</v>
      </c>
      <c r="G128" s="100">
        <f t="shared" si="41"/>
        <v>226224</v>
      </c>
      <c r="H128" s="100">
        <f>SUM(H129:H133)</f>
        <v>2342372.881355932</v>
      </c>
      <c r="I128" s="100">
        <f>SUM(I129:I133)</f>
        <v>421627.11864406778</v>
      </c>
      <c r="J128" s="100">
        <f>SUM(J129:J133)</f>
        <v>7225972.881355932</v>
      </c>
      <c r="K128" s="100">
        <f>SUM(K129:K133)</f>
        <v>1300675.1186440678</v>
      </c>
      <c r="L128" s="100">
        <f>SUM(L129:L133)</f>
        <v>8526648</v>
      </c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  <c r="AI128" s="54"/>
      <c r="AJ128" s="54"/>
      <c r="AK128" s="54"/>
      <c r="AL128" s="54"/>
      <c r="AM128" s="54"/>
      <c r="AN128" s="54"/>
      <c r="AO128" s="54"/>
      <c r="AP128" s="54"/>
      <c r="AQ128" s="54"/>
      <c r="AR128" s="54"/>
      <c r="AS128" s="54"/>
      <c r="AT128" s="54"/>
      <c r="AU128" s="54"/>
      <c r="AV128" s="54"/>
      <c r="AW128" s="54"/>
      <c r="AX128" s="54"/>
      <c r="AY128" s="54"/>
      <c r="AZ128" s="54"/>
      <c r="BA128" s="54"/>
      <c r="BB128" s="54"/>
      <c r="BC128" s="54"/>
      <c r="BD128" s="54"/>
      <c r="BE128" s="54"/>
      <c r="BF128" s="54"/>
      <c r="BG128" s="54"/>
      <c r="BH128" s="54"/>
      <c r="BI128" s="54"/>
      <c r="BJ128" s="54"/>
      <c r="BK128" s="54"/>
      <c r="BL128" s="54"/>
      <c r="BM128" s="54"/>
      <c r="BN128" s="54"/>
      <c r="BO128" s="54"/>
      <c r="BP128" s="54"/>
      <c r="BQ128" s="54"/>
      <c r="BR128" s="54"/>
      <c r="BS128" s="54"/>
      <c r="BT128" s="54"/>
      <c r="BU128" s="54"/>
      <c r="BV128" s="54"/>
      <c r="BW128" s="54"/>
      <c r="BX128" s="54"/>
      <c r="BY128" s="54"/>
      <c r="BZ128" s="54"/>
      <c r="CA128" s="54"/>
      <c r="CB128" s="54"/>
      <c r="CC128" s="54"/>
      <c r="CD128" s="54"/>
      <c r="CE128" s="54"/>
      <c r="CF128" s="54"/>
      <c r="CG128" s="54"/>
      <c r="CH128" s="54"/>
      <c r="CI128" s="54"/>
      <c r="CJ128" s="54"/>
      <c r="CK128" s="54"/>
      <c r="CL128" s="54"/>
      <c r="CM128" s="54"/>
      <c r="CN128" s="54"/>
      <c r="CO128" s="54"/>
      <c r="CP128" s="54"/>
      <c r="CQ128" s="54"/>
      <c r="CR128" s="54"/>
      <c r="CS128" s="55"/>
      <c r="CT128" s="55"/>
      <c r="CU128" s="55"/>
      <c r="CV128" s="55"/>
      <c r="CW128" s="55"/>
      <c r="CX128" s="55"/>
      <c r="CY128" s="55"/>
      <c r="CZ128" s="55"/>
      <c r="DA128" s="55"/>
      <c r="DB128" s="55"/>
      <c r="DC128" s="55"/>
      <c r="DD128" s="55"/>
      <c r="DE128" s="55"/>
      <c r="DF128" s="55"/>
      <c r="DG128" s="55"/>
      <c r="DH128" s="55"/>
      <c r="DI128" s="55"/>
      <c r="DJ128" s="55"/>
      <c r="DK128" s="55"/>
      <c r="DL128" s="55"/>
      <c r="DM128" s="55"/>
      <c r="DN128" s="55"/>
      <c r="DO128" s="55"/>
      <c r="DP128" s="55"/>
      <c r="DQ128" s="55"/>
      <c r="DR128" s="55"/>
      <c r="DS128" s="55"/>
      <c r="DT128" s="55"/>
      <c r="DU128" s="55"/>
      <c r="DV128" s="55"/>
      <c r="DW128" s="55"/>
      <c r="DX128" s="55"/>
      <c r="DY128" s="55"/>
      <c r="DZ128" s="55"/>
      <c r="EA128" s="55"/>
      <c r="EB128" s="55"/>
      <c r="EC128" s="55"/>
      <c r="ED128" s="55"/>
      <c r="EE128" s="55"/>
      <c r="EF128" s="55"/>
      <c r="EG128" s="55"/>
      <c r="EH128" s="55"/>
      <c r="EI128" s="55"/>
      <c r="EJ128" s="55"/>
      <c r="EK128" s="55"/>
      <c r="EL128" s="55"/>
      <c r="EM128" s="55"/>
      <c r="EN128" s="55"/>
      <c r="EO128" s="55"/>
      <c r="EP128" s="55"/>
      <c r="EQ128" s="55"/>
      <c r="ER128" s="55"/>
      <c r="ES128" s="55"/>
      <c r="ET128" s="55"/>
      <c r="EU128" s="55"/>
      <c r="EV128" s="55"/>
      <c r="EW128" s="55"/>
      <c r="EX128" s="55"/>
      <c r="EY128" s="55"/>
      <c r="EZ128" s="55"/>
      <c r="FA128" s="55"/>
      <c r="FB128" s="55"/>
      <c r="FC128" s="55"/>
      <c r="FD128" s="55"/>
      <c r="FE128" s="55"/>
      <c r="FF128" s="55"/>
      <c r="FG128" s="55"/>
      <c r="FH128" s="55"/>
      <c r="FI128" s="55"/>
      <c r="FJ128" s="55"/>
      <c r="FK128" s="55"/>
      <c r="FL128" s="55"/>
      <c r="FM128" s="55"/>
      <c r="FN128" s="55"/>
      <c r="FO128" s="55"/>
      <c r="FP128" s="55"/>
      <c r="FQ128" s="55"/>
      <c r="FR128" s="55"/>
      <c r="FS128" s="55"/>
      <c r="FT128" s="55"/>
      <c r="FU128" s="55"/>
      <c r="FV128" s="55"/>
      <c r="FW128" s="55"/>
      <c r="FX128" s="55"/>
      <c r="FY128" s="55"/>
      <c r="FZ128" s="55"/>
      <c r="GA128" s="55"/>
      <c r="GB128" s="55"/>
      <c r="GC128" s="55"/>
      <c r="GD128" s="55"/>
      <c r="GE128" s="55"/>
      <c r="GF128" s="55"/>
      <c r="GG128" s="55"/>
      <c r="GH128" s="55"/>
      <c r="GI128" s="55"/>
      <c r="GJ128" s="55"/>
      <c r="GK128" s="55"/>
      <c r="GL128" s="55"/>
      <c r="GM128" s="55"/>
      <c r="GN128" s="55"/>
      <c r="GO128" s="55"/>
      <c r="GP128" s="55"/>
      <c r="GQ128" s="55"/>
      <c r="GR128" s="55"/>
      <c r="GS128" s="55"/>
      <c r="GT128" s="55"/>
      <c r="GU128" s="55"/>
      <c r="GV128" s="55"/>
      <c r="GW128" s="55"/>
      <c r="GX128" s="55"/>
      <c r="GY128" s="55"/>
      <c r="GZ128" s="55"/>
      <c r="HA128" s="55"/>
      <c r="HB128" s="55"/>
      <c r="HC128" s="55"/>
      <c r="HD128" s="55"/>
      <c r="HE128" s="55"/>
      <c r="HF128" s="55"/>
      <c r="HG128" s="55"/>
      <c r="HH128" s="55"/>
      <c r="HI128" s="55"/>
      <c r="HJ128" s="55"/>
      <c r="HK128" s="55"/>
    </row>
    <row r="129" spans="3:222" ht="12.75" customHeight="1" x14ac:dyDescent="0.2">
      <c r="C129" s="111" t="s">
        <v>143</v>
      </c>
      <c r="D129" s="102"/>
      <c r="E129" s="102"/>
      <c r="F129" s="102"/>
      <c r="G129" s="102"/>
      <c r="H129" s="112">
        <f>+'[1]COSTOS UE'!J81/1.18</f>
        <v>374576.27118644072</v>
      </c>
      <c r="I129" s="103">
        <f>+H129*0.18</f>
        <v>67423.728813559326</v>
      </c>
      <c r="J129" s="103">
        <f>+H129</f>
        <v>374576.27118644072</v>
      </c>
      <c r="K129" s="103">
        <f>+I129</f>
        <v>67423.728813559326</v>
      </c>
      <c r="L129" s="104">
        <f>+J129+K129</f>
        <v>442000.00000000006</v>
      </c>
      <c r="M129" s="47"/>
      <c r="N129" s="47"/>
      <c r="O129" s="47"/>
      <c r="CS129" s="48"/>
      <c r="CT129" s="48"/>
      <c r="CU129" s="48"/>
      <c r="HL129" s="43"/>
      <c r="HM129" s="43"/>
      <c r="HN129" s="43"/>
    </row>
    <row r="130" spans="3:222" ht="12.75" customHeight="1" x14ac:dyDescent="0.2">
      <c r="C130" s="111" t="s">
        <v>144</v>
      </c>
      <c r="D130" s="102"/>
      <c r="E130" s="102"/>
      <c r="F130" s="102"/>
      <c r="G130" s="102"/>
      <c r="H130" s="102">
        <f>+'[1]COSTOS UE'!J82/1.18</f>
        <v>518644.06779661018</v>
      </c>
      <c r="I130" s="103">
        <f>+H130*0.18</f>
        <v>93355.932203389835</v>
      </c>
      <c r="J130" s="103">
        <f>+H130</f>
        <v>518644.06779661018</v>
      </c>
      <c r="K130" s="103">
        <f>+I130</f>
        <v>93355.932203389835</v>
      </c>
      <c r="L130" s="104">
        <f>+J130+K130</f>
        <v>612000</v>
      </c>
      <c r="M130" s="47"/>
      <c r="N130" s="47"/>
      <c r="O130" s="47"/>
      <c r="CS130" s="48"/>
      <c r="CT130" s="48"/>
      <c r="CU130" s="48"/>
      <c r="HL130" s="43"/>
      <c r="HM130" s="43"/>
      <c r="HN130" s="43"/>
    </row>
    <row r="131" spans="3:222" ht="12.75" customHeight="1" x14ac:dyDescent="0.2">
      <c r="C131" s="111" t="s">
        <v>145</v>
      </c>
      <c r="D131" s="102">
        <f>+'[1]Resumen recicla JICA'!$F$42</f>
        <v>3626800</v>
      </c>
      <c r="E131" s="102">
        <f>+'[1]Resumen recicla JICA'!F43</f>
        <v>652824</v>
      </c>
      <c r="F131" s="102">
        <f>+'[1]Resumen recicla BID'!$F$33</f>
        <v>1256800</v>
      </c>
      <c r="G131" s="102">
        <f>+'[1]Resumen recicla BID'!$F$34</f>
        <v>226224</v>
      </c>
      <c r="H131" s="102"/>
      <c r="I131" s="103"/>
      <c r="J131" s="103">
        <f>+D131+F131</f>
        <v>4883600</v>
      </c>
      <c r="K131" s="103">
        <f>+E131+G131</f>
        <v>879048</v>
      </c>
      <c r="L131" s="104">
        <f>+J131+K131</f>
        <v>5762648</v>
      </c>
      <c r="M131" s="47"/>
      <c r="N131" s="47"/>
      <c r="O131" s="47"/>
      <c r="CS131" s="48"/>
      <c r="CT131" s="48"/>
      <c r="CU131" s="48"/>
      <c r="HL131" s="43"/>
      <c r="HM131" s="43"/>
      <c r="HN131" s="43"/>
    </row>
    <row r="132" spans="3:222" ht="12.75" customHeight="1" x14ac:dyDescent="0.2">
      <c r="C132" s="111" t="s">
        <v>146</v>
      </c>
      <c r="E132" s="102"/>
      <c r="G132" s="102"/>
      <c r="H132" s="112">
        <f>+'[1]Plan de comunicaciones'!G65/1.18</f>
        <v>1347457.6271186441</v>
      </c>
      <c r="I132" s="103">
        <f>+H132*0.18</f>
        <v>242542.37288135593</v>
      </c>
      <c r="J132" s="103">
        <f>+H132</f>
        <v>1347457.6271186441</v>
      </c>
      <c r="K132" s="103">
        <f>+I132</f>
        <v>242542.37288135593</v>
      </c>
      <c r="L132" s="104">
        <f>+J132+K132</f>
        <v>1590000</v>
      </c>
      <c r="M132" s="47"/>
      <c r="N132" s="47"/>
      <c r="O132" s="47"/>
      <c r="CS132" s="48"/>
      <c r="CT132" s="48"/>
      <c r="CU132" s="48"/>
      <c r="HL132" s="43"/>
      <c r="HM132" s="43"/>
      <c r="HN132" s="43"/>
    </row>
    <row r="133" spans="3:222" ht="12.75" customHeight="1" x14ac:dyDescent="0.2">
      <c r="C133" s="116" t="s">
        <v>147</v>
      </c>
      <c r="D133" s="102"/>
      <c r="E133" s="102"/>
      <c r="F133" s="102"/>
      <c r="G133" s="102"/>
      <c r="H133" s="112">
        <f>120000/1.18</f>
        <v>101694.91525423729</v>
      </c>
      <c r="I133" s="103">
        <f>+H133*0.18</f>
        <v>18305.084745762713</v>
      </c>
      <c r="J133" s="103">
        <f>+H133</f>
        <v>101694.91525423729</v>
      </c>
      <c r="K133" s="103">
        <f>+I133</f>
        <v>18305.084745762713</v>
      </c>
      <c r="L133" s="104">
        <f>+J133+K133</f>
        <v>120000</v>
      </c>
      <c r="M133" s="47"/>
      <c r="N133" s="47"/>
      <c r="O133" s="47"/>
      <c r="CS133" s="48"/>
      <c r="CT133" s="48"/>
      <c r="CU133" s="48"/>
      <c r="HL133" s="43"/>
      <c r="HM133" s="43"/>
      <c r="HN133" s="43"/>
    </row>
    <row r="134" spans="3:222" x14ac:dyDescent="0.2">
      <c r="C134" s="117" t="s">
        <v>74</v>
      </c>
      <c r="D134" s="118">
        <f t="shared" ref="D134:I134" si="42">+D106+D114</f>
        <v>119354848.97871101</v>
      </c>
      <c r="E134" s="118">
        <f t="shared" si="42"/>
        <v>21483872.81616798</v>
      </c>
      <c r="F134" s="118">
        <f t="shared" si="42"/>
        <v>91488687.455887005</v>
      </c>
      <c r="G134" s="118">
        <f t="shared" si="42"/>
        <v>16432297.075392995</v>
      </c>
      <c r="H134" s="118">
        <f t="shared" si="42"/>
        <v>19066686.252354048</v>
      </c>
      <c r="I134" s="118">
        <f t="shared" si="42"/>
        <v>2146073.7476459527</v>
      </c>
      <c r="J134" s="118">
        <f>+J106+J114</f>
        <v>229910222.68695202</v>
      </c>
      <c r="K134" s="118">
        <f>+K106+K114</f>
        <v>40062243.639206924</v>
      </c>
      <c r="L134" s="118">
        <f>+L106+L114</f>
        <v>269972466.32615894</v>
      </c>
      <c r="M134" s="47"/>
      <c r="N134" s="47"/>
      <c r="O134" s="47"/>
      <c r="CS134" s="48"/>
      <c r="CT134" s="48"/>
      <c r="CU134" s="48"/>
      <c r="HL134" s="43"/>
      <c r="HM134" s="43"/>
      <c r="HN134" s="43"/>
    </row>
    <row r="135" spans="3:222" ht="15.75" x14ac:dyDescent="0.2">
      <c r="C135" s="119"/>
      <c r="D135" s="120"/>
      <c r="F135" s="120"/>
      <c r="G135" s="121"/>
    </row>
    <row r="136" spans="3:222" s="92" customFormat="1" ht="15.75" hidden="1" x14ac:dyDescent="0.25">
      <c r="C136" s="122" t="s">
        <v>112</v>
      </c>
      <c r="D136" s="122" t="s">
        <v>119</v>
      </c>
      <c r="E136" s="122" t="s">
        <v>148</v>
      </c>
      <c r="F136" s="122" t="s">
        <v>119</v>
      </c>
      <c r="G136" s="122" t="s">
        <v>148</v>
      </c>
      <c r="H136" s="122" t="s">
        <v>119</v>
      </c>
      <c r="I136" s="122" t="s">
        <v>148</v>
      </c>
      <c r="J136" s="123"/>
      <c r="K136" s="121"/>
      <c r="M136" s="93"/>
      <c r="N136" s="93"/>
      <c r="O136" s="93"/>
      <c r="P136" s="94"/>
      <c r="Q136" s="94"/>
      <c r="R136" s="94"/>
      <c r="S136" s="94"/>
      <c r="T136" s="94"/>
      <c r="U136" s="94"/>
      <c r="V136" s="94"/>
      <c r="W136" s="94"/>
      <c r="X136" s="94"/>
      <c r="Y136" s="94"/>
      <c r="Z136" s="94"/>
      <c r="AA136" s="94"/>
      <c r="AB136" s="94"/>
      <c r="AC136" s="94"/>
      <c r="AD136" s="94"/>
      <c r="AE136" s="94"/>
      <c r="AF136" s="94"/>
      <c r="AG136" s="94"/>
      <c r="AH136" s="94"/>
      <c r="AI136" s="94"/>
      <c r="AJ136" s="94"/>
      <c r="AK136" s="94"/>
      <c r="AL136" s="94"/>
      <c r="AM136" s="94"/>
      <c r="AN136" s="94"/>
      <c r="AO136" s="94"/>
      <c r="AP136" s="94"/>
      <c r="AQ136" s="94"/>
      <c r="AR136" s="94"/>
      <c r="AS136" s="94"/>
      <c r="AT136" s="94"/>
      <c r="AU136" s="94"/>
      <c r="AV136" s="94"/>
      <c r="AW136" s="94"/>
      <c r="AX136" s="94"/>
      <c r="AY136" s="94"/>
      <c r="AZ136" s="94"/>
      <c r="BA136" s="94"/>
      <c r="BB136" s="94"/>
      <c r="BC136" s="94"/>
      <c r="BD136" s="94"/>
      <c r="BE136" s="94"/>
      <c r="BF136" s="94"/>
      <c r="BG136" s="94"/>
      <c r="BH136" s="94"/>
      <c r="BI136" s="94"/>
      <c r="BJ136" s="94"/>
      <c r="BK136" s="94"/>
      <c r="BL136" s="94"/>
      <c r="BM136" s="94"/>
      <c r="BN136" s="94"/>
      <c r="BO136" s="94"/>
      <c r="BP136" s="94"/>
      <c r="BQ136" s="94"/>
      <c r="BR136" s="94"/>
      <c r="BS136" s="94"/>
      <c r="BT136" s="94"/>
      <c r="BU136" s="94"/>
      <c r="BV136" s="94"/>
      <c r="BW136" s="94"/>
      <c r="BX136" s="94"/>
      <c r="BY136" s="94"/>
      <c r="BZ136" s="94"/>
      <c r="CA136" s="94"/>
      <c r="CB136" s="94"/>
      <c r="CC136" s="94"/>
      <c r="CD136" s="94"/>
      <c r="CE136" s="94"/>
      <c r="CF136" s="94"/>
      <c r="CG136" s="94"/>
      <c r="CH136" s="94"/>
      <c r="CI136" s="94"/>
      <c r="CJ136" s="94"/>
      <c r="CK136" s="94"/>
      <c r="CL136" s="94"/>
      <c r="CM136" s="94"/>
      <c r="CN136" s="94"/>
      <c r="CO136" s="94"/>
      <c r="CP136" s="94"/>
      <c r="CQ136" s="94"/>
      <c r="CR136" s="94"/>
      <c r="CS136" s="94"/>
      <c r="CT136" s="94"/>
      <c r="CU136" s="94"/>
      <c r="CV136" s="95"/>
      <c r="CW136" s="95"/>
      <c r="CX136" s="95"/>
      <c r="CY136" s="95"/>
      <c r="CZ136" s="95"/>
      <c r="DA136" s="95"/>
      <c r="DB136" s="95"/>
      <c r="DC136" s="95"/>
      <c r="DD136" s="95"/>
      <c r="DE136" s="95"/>
      <c r="DF136" s="95"/>
      <c r="DG136" s="95"/>
      <c r="DH136" s="95"/>
      <c r="DI136" s="95"/>
      <c r="DJ136" s="95"/>
      <c r="DK136" s="95"/>
      <c r="DL136" s="95"/>
      <c r="DM136" s="95"/>
      <c r="DN136" s="95"/>
      <c r="DO136" s="95"/>
      <c r="DP136" s="95"/>
      <c r="DQ136" s="95"/>
      <c r="DR136" s="95"/>
      <c r="DS136" s="95"/>
      <c r="DT136" s="95"/>
      <c r="DU136" s="95"/>
      <c r="DV136" s="95"/>
      <c r="DW136" s="95"/>
      <c r="DX136" s="95"/>
      <c r="DY136" s="95"/>
      <c r="DZ136" s="95"/>
      <c r="EA136" s="95"/>
      <c r="EB136" s="95"/>
      <c r="EC136" s="95"/>
      <c r="ED136" s="95"/>
      <c r="EE136" s="95"/>
      <c r="EF136" s="95"/>
      <c r="EG136" s="95"/>
      <c r="EH136" s="95"/>
      <c r="EI136" s="95"/>
      <c r="EJ136" s="95"/>
      <c r="EK136" s="95"/>
      <c r="EL136" s="95"/>
      <c r="EM136" s="95"/>
      <c r="EN136" s="95"/>
      <c r="EO136" s="95"/>
      <c r="EP136" s="95"/>
      <c r="EQ136" s="95"/>
      <c r="ER136" s="95"/>
      <c r="ES136" s="95"/>
      <c r="ET136" s="95"/>
      <c r="EU136" s="95"/>
      <c r="EV136" s="95"/>
      <c r="EW136" s="95"/>
      <c r="EX136" s="95"/>
      <c r="EY136" s="95"/>
      <c r="EZ136" s="95"/>
      <c r="FA136" s="95"/>
      <c r="FB136" s="95"/>
      <c r="FC136" s="95"/>
      <c r="FD136" s="95"/>
      <c r="FE136" s="95"/>
      <c r="FF136" s="95"/>
      <c r="FG136" s="95"/>
      <c r="FH136" s="95"/>
      <c r="FI136" s="95"/>
      <c r="FJ136" s="95"/>
      <c r="FK136" s="95"/>
      <c r="FL136" s="95"/>
      <c r="FM136" s="95"/>
      <c r="FN136" s="95"/>
      <c r="FO136" s="95"/>
      <c r="FP136" s="95"/>
      <c r="FQ136" s="95"/>
      <c r="FR136" s="95"/>
      <c r="FS136" s="95"/>
      <c r="FT136" s="95"/>
      <c r="FU136" s="95"/>
      <c r="FV136" s="95"/>
      <c r="FW136" s="95"/>
      <c r="FX136" s="95"/>
      <c r="FY136" s="95"/>
      <c r="FZ136" s="95"/>
      <c r="GA136" s="95"/>
      <c r="GB136" s="95"/>
      <c r="GC136" s="95"/>
      <c r="GD136" s="95"/>
      <c r="GE136" s="95"/>
      <c r="GF136" s="95"/>
      <c r="GG136" s="95"/>
      <c r="GH136" s="95"/>
      <c r="GI136" s="95"/>
      <c r="GJ136" s="95"/>
      <c r="GK136" s="95"/>
      <c r="GL136" s="95"/>
      <c r="GM136" s="95"/>
      <c r="GN136" s="95"/>
      <c r="GO136" s="95"/>
      <c r="GP136" s="95"/>
      <c r="GQ136" s="95"/>
      <c r="GR136" s="95"/>
      <c r="GS136" s="95"/>
      <c r="GT136" s="95"/>
      <c r="GU136" s="95"/>
      <c r="GV136" s="95"/>
      <c r="GW136" s="95"/>
      <c r="GX136" s="95"/>
      <c r="GY136" s="95"/>
      <c r="GZ136" s="95"/>
      <c r="HA136" s="95"/>
      <c r="HB136" s="95"/>
      <c r="HC136" s="95"/>
      <c r="HD136" s="95"/>
      <c r="HE136" s="95"/>
      <c r="HF136" s="95"/>
      <c r="HG136" s="95"/>
      <c r="HH136" s="95"/>
      <c r="HI136" s="95"/>
      <c r="HJ136" s="95"/>
      <c r="HK136" s="95"/>
      <c r="HL136" s="95"/>
      <c r="HM136" s="95"/>
      <c r="HN136" s="95"/>
    </row>
    <row r="137" spans="3:222" s="92" customFormat="1" ht="15.75" hidden="1" x14ac:dyDescent="0.25">
      <c r="C137" s="122"/>
      <c r="D137" s="122" t="s">
        <v>113</v>
      </c>
      <c r="E137" s="122" t="s">
        <v>113</v>
      </c>
      <c r="F137" s="122" t="s">
        <v>5</v>
      </c>
      <c r="G137" s="122" t="s">
        <v>5</v>
      </c>
      <c r="H137" s="122" t="s">
        <v>4</v>
      </c>
      <c r="I137" s="122" t="s">
        <v>4</v>
      </c>
      <c r="J137" s="123"/>
      <c r="K137" s="121"/>
      <c r="M137" s="93"/>
      <c r="N137" s="93"/>
      <c r="O137" s="93"/>
      <c r="P137" s="94"/>
      <c r="Q137" s="94"/>
      <c r="R137" s="94"/>
      <c r="S137" s="94"/>
      <c r="T137" s="94"/>
      <c r="U137" s="94"/>
      <c r="V137" s="94"/>
      <c r="W137" s="94"/>
      <c r="X137" s="94"/>
      <c r="Y137" s="94"/>
      <c r="Z137" s="94"/>
      <c r="AA137" s="94"/>
      <c r="AB137" s="94"/>
      <c r="AC137" s="94"/>
      <c r="AD137" s="94"/>
      <c r="AE137" s="94"/>
      <c r="AF137" s="94"/>
      <c r="AG137" s="94"/>
      <c r="AH137" s="94"/>
      <c r="AI137" s="94"/>
      <c r="AJ137" s="94"/>
      <c r="AK137" s="94"/>
      <c r="AL137" s="94"/>
      <c r="AM137" s="94"/>
      <c r="AN137" s="94"/>
      <c r="AO137" s="94"/>
      <c r="AP137" s="94"/>
      <c r="AQ137" s="94"/>
      <c r="AR137" s="94"/>
      <c r="AS137" s="94"/>
      <c r="AT137" s="94"/>
      <c r="AU137" s="94"/>
      <c r="AV137" s="94"/>
      <c r="AW137" s="94"/>
      <c r="AX137" s="94"/>
      <c r="AY137" s="94"/>
      <c r="AZ137" s="94"/>
      <c r="BA137" s="94"/>
      <c r="BB137" s="94"/>
      <c r="BC137" s="94"/>
      <c r="BD137" s="94"/>
      <c r="BE137" s="94"/>
      <c r="BF137" s="94"/>
      <c r="BG137" s="94"/>
      <c r="BH137" s="94"/>
      <c r="BI137" s="94"/>
      <c r="BJ137" s="94"/>
      <c r="BK137" s="94"/>
      <c r="BL137" s="94"/>
      <c r="BM137" s="94"/>
      <c r="BN137" s="94"/>
      <c r="BO137" s="94"/>
      <c r="BP137" s="94"/>
      <c r="BQ137" s="94"/>
      <c r="BR137" s="94"/>
      <c r="BS137" s="94"/>
      <c r="BT137" s="94"/>
      <c r="BU137" s="94"/>
      <c r="BV137" s="94"/>
      <c r="BW137" s="94"/>
      <c r="BX137" s="94"/>
      <c r="BY137" s="94"/>
      <c r="BZ137" s="94"/>
      <c r="CA137" s="94"/>
      <c r="CB137" s="94"/>
      <c r="CC137" s="94"/>
      <c r="CD137" s="94"/>
      <c r="CE137" s="94"/>
      <c r="CF137" s="94"/>
      <c r="CG137" s="94"/>
      <c r="CH137" s="94"/>
      <c r="CI137" s="94"/>
      <c r="CJ137" s="94"/>
      <c r="CK137" s="94"/>
      <c r="CL137" s="94"/>
      <c r="CM137" s="94"/>
      <c r="CN137" s="94"/>
      <c r="CO137" s="94"/>
      <c r="CP137" s="94"/>
      <c r="CQ137" s="94"/>
      <c r="CR137" s="94"/>
      <c r="CS137" s="94"/>
      <c r="CT137" s="94"/>
      <c r="CU137" s="94"/>
      <c r="CV137" s="95"/>
      <c r="CW137" s="95"/>
      <c r="CX137" s="95"/>
      <c r="CY137" s="95"/>
      <c r="CZ137" s="95"/>
      <c r="DA137" s="95"/>
      <c r="DB137" s="95"/>
      <c r="DC137" s="95"/>
      <c r="DD137" s="95"/>
      <c r="DE137" s="95"/>
      <c r="DF137" s="95"/>
      <c r="DG137" s="95"/>
      <c r="DH137" s="95"/>
      <c r="DI137" s="95"/>
      <c r="DJ137" s="95"/>
      <c r="DK137" s="95"/>
      <c r="DL137" s="95"/>
      <c r="DM137" s="95"/>
      <c r="DN137" s="95"/>
      <c r="DO137" s="95"/>
      <c r="DP137" s="95"/>
      <c r="DQ137" s="95"/>
      <c r="DR137" s="95"/>
      <c r="DS137" s="95"/>
      <c r="DT137" s="95"/>
      <c r="DU137" s="95"/>
      <c r="DV137" s="95"/>
      <c r="DW137" s="95"/>
      <c r="DX137" s="95"/>
      <c r="DY137" s="95"/>
      <c r="DZ137" s="95"/>
      <c r="EA137" s="95"/>
      <c r="EB137" s="95"/>
      <c r="EC137" s="95"/>
      <c r="ED137" s="95"/>
      <c r="EE137" s="95"/>
      <c r="EF137" s="95"/>
      <c r="EG137" s="95"/>
      <c r="EH137" s="95"/>
      <c r="EI137" s="95"/>
      <c r="EJ137" s="95"/>
      <c r="EK137" s="95"/>
      <c r="EL137" s="95"/>
      <c r="EM137" s="95"/>
      <c r="EN137" s="95"/>
      <c r="EO137" s="95"/>
      <c r="EP137" s="95"/>
      <c r="EQ137" s="95"/>
      <c r="ER137" s="95"/>
      <c r="ES137" s="95"/>
      <c r="ET137" s="95"/>
      <c r="EU137" s="95"/>
      <c r="EV137" s="95"/>
      <c r="EW137" s="95"/>
      <c r="EX137" s="95"/>
      <c r="EY137" s="95"/>
      <c r="EZ137" s="95"/>
      <c r="FA137" s="95"/>
      <c r="FB137" s="95"/>
      <c r="FC137" s="95"/>
      <c r="FD137" s="95"/>
      <c r="FE137" s="95"/>
      <c r="FF137" s="95"/>
      <c r="FG137" s="95"/>
      <c r="FH137" s="95"/>
      <c r="FI137" s="95"/>
      <c r="FJ137" s="95"/>
      <c r="FK137" s="95"/>
      <c r="FL137" s="95"/>
      <c r="FM137" s="95"/>
      <c r="FN137" s="95"/>
      <c r="FO137" s="95"/>
      <c r="FP137" s="95"/>
      <c r="FQ137" s="95"/>
      <c r="FR137" s="95"/>
      <c r="FS137" s="95"/>
      <c r="FT137" s="95"/>
      <c r="FU137" s="95"/>
      <c r="FV137" s="95"/>
      <c r="FW137" s="95"/>
      <c r="FX137" s="95"/>
      <c r="FY137" s="95"/>
      <c r="FZ137" s="95"/>
      <c r="GA137" s="95"/>
      <c r="GB137" s="95"/>
      <c r="GC137" s="95"/>
      <c r="GD137" s="95"/>
      <c r="GE137" s="95"/>
      <c r="GF137" s="95"/>
      <c r="GG137" s="95"/>
      <c r="GH137" s="95"/>
      <c r="GI137" s="95"/>
      <c r="GJ137" s="95"/>
      <c r="GK137" s="95"/>
      <c r="GL137" s="95"/>
      <c r="GM137" s="95"/>
      <c r="GN137" s="95"/>
      <c r="GO137" s="95"/>
      <c r="GP137" s="95"/>
      <c r="GQ137" s="95"/>
      <c r="GR137" s="95"/>
      <c r="GS137" s="95"/>
      <c r="GT137" s="95"/>
      <c r="GU137" s="95"/>
      <c r="GV137" s="95"/>
      <c r="GW137" s="95"/>
      <c r="GX137" s="95"/>
      <c r="GY137" s="95"/>
      <c r="GZ137" s="95"/>
      <c r="HA137" s="95"/>
      <c r="HB137" s="95"/>
      <c r="HC137" s="95"/>
      <c r="HD137" s="95"/>
      <c r="HE137" s="95"/>
      <c r="HF137" s="95"/>
      <c r="HG137" s="95"/>
      <c r="HH137" s="95"/>
      <c r="HI137" s="95"/>
      <c r="HJ137" s="95"/>
      <c r="HK137" s="95"/>
      <c r="HL137" s="95"/>
      <c r="HM137" s="95"/>
      <c r="HN137" s="95"/>
    </row>
    <row r="138" spans="3:222" hidden="1" x14ac:dyDescent="0.2">
      <c r="C138" s="124" t="s">
        <v>149</v>
      </c>
      <c r="D138" s="100">
        <f>SUM(D139:D141)</f>
        <v>1395943.186</v>
      </c>
      <c r="E138" s="100">
        <f t="shared" ref="E138:I138" si="43">SUM(E139:E141)</f>
        <v>410571.52529411763</v>
      </c>
      <c r="F138" s="100">
        <f t="shared" si="43"/>
        <v>1342000</v>
      </c>
      <c r="G138" s="100">
        <f t="shared" si="43"/>
        <v>394705.8823529412</v>
      </c>
      <c r="H138" s="100">
        <f t="shared" si="43"/>
        <v>2737943.1859999998</v>
      </c>
      <c r="I138" s="100">
        <f t="shared" si="43"/>
        <v>805277.40764705883</v>
      </c>
      <c r="J138" s="125"/>
    </row>
    <row r="139" spans="3:222" hidden="1" x14ac:dyDescent="0.2">
      <c r="C139" s="126" t="s">
        <v>150</v>
      </c>
      <c r="D139" s="102">
        <f>+'[1]COSTOS UE'!J97</f>
        <v>0</v>
      </c>
      <c r="E139" s="102">
        <f>+D139/$D$150</f>
        <v>0</v>
      </c>
      <c r="F139" s="102">
        <f>+'[1]COSTOS UE'!I96</f>
        <v>442000</v>
      </c>
      <c r="G139" s="102">
        <f>+F139/$D$150</f>
        <v>130000</v>
      </c>
      <c r="H139" s="102">
        <f t="shared" ref="H139:H141" si="44">+D139+F139</f>
        <v>442000</v>
      </c>
      <c r="I139" s="102">
        <f>+E139+G139</f>
        <v>130000</v>
      </c>
      <c r="J139" s="127"/>
    </row>
    <row r="140" spans="3:222" hidden="1" x14ac:dyDescent="0.2">
      <c r="C140" s="126" t="s">
        <v>151</v>
      </c>
      <c r="D140" s="102">
        <f>+I37</f>
        <v>1395943.186</v>
      </c>
      <c r="E140" s="102">
        <f>+D140/$D$150</f>
        <v>410571.52529411763</v>
      </c>
      <c r="F140" s="102">
        <f>+I18</f>
        <v>900000</v>
      </c>
      <c r="G140" s="102">
        <f>+F140/$D$150</f>
        <v>264705.8823529412</v>
      </c>
      <c r="H140" s="102">
        <f t="shared" si="44"/>
        <v>2295943.1859999998</v>
      </c>
      <c r="I140" s="102">
        <f>+E140+G140</f>
        <v>675277.40764705883</v>
      </c>
      <c r="J140" s="127"/>
    </row>
    <row r="141" spans="3:222" hidden="1" x14ac:dyDescent="0.2">
      <c r="C141" s="126" t="s">
        <v>152</v>
      </c>
      <c r="D141" s="102">
        <f>+'[1]COSTOS UE'!S108+'[1]COSTOS UE'!S109</f>
        <v>0</v>
      </c>
      <c r="E141" s="102">
        <f>+D141/$D$150</f>
        <v>0</v>
      </c>
      <c r="F141" s="102">
        <f>+'[1]COSTOS UE'!T108+'[1]COSTOS UE'!T109</f>
        <v>0</v>
      </c>
      <c r="G141" s="102">
        <f>+F141/$D$150</f>
        <v>0</v>
      </c>
      <c r="H141" s="102">
        <f t="shared" si="44"/>
        <v>0</v>
      </c>
      <c r="I141" s="102">
        <f>+E141+G141</f>
        <v>0</v>
      </c>
      <c r="J141" s="127"/>
    </row>
    <row r="142" spans="3:222" ht="15.75" x14ac:dyDescent="0.2">
      <c r="C142" s="119"/>
      <c r="F142" s="121"/>
      <c r="G142" s="130">
        <f>+F124+G124+F125+G125</f>
        <v>11033946.4</v>
      </c>
      <c r="L142" s="44">
        <f>+L134/D150</f>
        <v>79403666.566517338</v>
      </c>
    </row>
    <row r="143" spans="3:222" ht="12.75" customHeight="1" x14ac:dyDescent="0.2">
      <c r="C143" s="128" t="s">
        <v>153</v>
      </c>
      <c r="D143" s="129"/>
      <c r="E143" s="129"/>
      <c r="F143" s="129"/>
      <c r="G143" s="129"/>
      <c r="H143" s="129"/>
      <c r="I143" s="129"/>
      <c r="J143" s="129"/>
    </row>
    <row r="144" spans="3:222" ht="15.75" hidden="1" x14ac:dyDescent="0.2">
      <c r="C144" s="43" t="s">
        <v>154</v>
      </c>
      <c r="F144" s="130"/>
      <c r="G144" s="121"/>
    </row>
    <row r="145" spans="1:222" ht="15.75" hidden="1" x14ac:dyDescent="0.2">
      <c r="C145" s="43" t="s">
        <v>155</v>
      </c>
      <c r="F145" s="121"/>
      <c r="G145" s="121"/>
    </row>
    <row r="146" spans="1:222" ht="15.75" x14ac:dyDescent="0.2">
      <c r="A146" s="131"/>
      <c r="B146" s="131"/>
      <c r="C146" s="85" t="s">
        <v>156</v>
      </c>
      <c r="D146" s="129"/>
      <c r="F146" s="130"/>
      <c r="G146" s="121"/>
      <c r="I146" s="129"/>
      <c r="J146" s="129"/>
      <c r="L146" s="132"/>
    </row>
    <row r="147" spans="1:222" ht="15.75" x14ac:dyDescent="0.2">
      <c r="C147" s="85" t="s">
        <v>157</v>
      </c>
      <c r="D147" s="129"/>
      <c r="F147" s="130"/>
      <c r="G147" s="121"/>
      <c r="I147" s="129"/>
      <c r="J147" s="129"/>
      <c r="L147" s="132"/>
    </row>
    <row r="148" spans="1:222" x14ac:dyDescent="0.2">
      <c r="C148" s="85" t="s">
        <v>158</v>
      </c>
      <c r="D148" s="129"/>
      <c r="E148" s="43"/>
      <c r="F148" s="43"/>
      <c r="G148" s="43"/>
      <c r="H148" s="43"/>
      <c r="I148" s="43"/>
      <c r="J148" s="43"/>
      <c r="L148" s="132"/>
    </row>
    <row r="149" spans="1:222" ht="15.75" x14ac:dyDescent="0.2">
      <c r="C149" s="119" t="s">
        <v>159</v>
      </c>
      <c r="D149" s="43"/>
      <c r="F149" s="130"/>
      <c r="G149" s="130"/>
      <c r="H149" s="133"/>
    </row>
    <row r="150" spans="1:222" ht="15.75" x14ac:dyDescent="0.2">
      <c r="C150" s="43" t="s">
        <v>160</v>
      </c>
      <c r="D150" s="134">
        <v>3.4</v>
      </c>
      <c r="E150" s="130"/>
      <c r="F150" s="130"/>
      <c r="G150" s="130"/>
      <c r="H150" s="130"/>
      <c r="I150" s="130"/>
      <c r="J150" s="130"/>
    </row>
    <row r="151" spans="1:222" ht="15.75" x14ac:dyDescent="0.2">
      <c r="F151" s="130"/>
      <c r="G151" s="130"/>
      <c r="H151" s="130"/>
      <c r="I151" s="130"/>
      <c r="J151" s="130"/>
    </row>
    <row r="152" spans="1:222" s="90" customFormat="1" ht="15.75" x14ac:dyDescent="0.25">
      <c r="C152" s="349" t="s">
        <v>161</v>
      </c>
      <c r="D152" s="350"/>
      <c r="E152" s="350"/>
      <c r="F152" s="350"/>
      <c r="G152" s="350"/>
      <c r="H152" s="350"/>
      <c r="I152" s="350"/>
      <c r="J152" s="350"/>
      <c r="K152" s="350"/>
      <c r="L152" s="351"/>
      <c r="M152" s="87"/>
      <c r="N152" s="87"/>
      <c r="O152" s="87"/>
      <c r="P152" s="88"/>
      <c r="Q152" s="88"/>
      <c r="R152" s="88"/>
      <c r="S152" s="88"/>
      <c r="T152" s="88"/>
      <c r="U152" s="8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88"/>
      <c r="AL152" s="88"/>
      <c r="AM152" s="88"/>
      <c r="AN152" s="88"/>
      <c r="AO152" s="88"/>
      <c r="AP152" s="88"/>
      <c r="AQ152" s="88"/>
      <c r="AR152" s="88"/>
      <c r="AS152" s="88"/>
      <c r="AT152" s="88"/>
      <c r="AU152" s="88"/>
      <c r="AV152" s="88"/>
      <c r="AW152" s="88"/>
      <c r="AX152" s="88"/>
      <c r="AY152" s="88"/>
      <c r="AZ152" s="88"/>
      <c r="BA152" s="88"/>
      <c r="BB152" s="88"/>
      <c r="BC152" s="88"/>
      <c r="BD152" s="88"/>
      <c r="BE152" s="88"/>
      <c r="BF152" s="88"/>
      <c r="BG152" s="88"/>
      <c r="BH152" s="88"/>
      <c r="BI152" s="88"/>
      <c r="BJ152" s="88"/>
      <c r="BK152" s="88"/>
      <c r="BL152" s="88"/>
      <c r="BM152" s="88"/>
      <c r="BN152" s="88"/>
      <c r="BO152" s="88"/>
      <c r="BP152" s="88"/>
      <c r="BQ152" s="88"/>
      <c r="BR152" s="88"/>
      <c r="BS152" s="88"/>
      <c r="BT152" s="88"/>
      <c r="BU152" s="88"/>
      <c r="BV152" s="88"/>
      <c r="BW152" s="88"/>
      <c r="BX152" s="88"/>
      <c r="BY152" s="88"/>
      <c r="BZ152" s="88"/>
      <c r="CA152" s="88"/>
      <c r="CB152" s="88"/>
      <c r="CC152" s="88"/>
      <c r="CD152" s="88"/>
      <c r="CE152" s="88"/>
      <c r="CF152" s="88"/>
      <c r="CG152" s="88"/>
      <c r="CH152" s="88"/>
      <c r="CI152" s="88"/>
      <c r="CJ152" s="88"/>
      <c r="CK152" s="88"/>
      <c r="CL152" s="88"/>
      <c r="CM152" s="88"/>
      <c r="CN152" s="88"/>
      <c r="CO152" s="88"/>
      <c r="CP152" s="88"/>
      <c r="CQ152" s="88"/>
      <c r="CR152" s="88"/>
      <c r="CS152" s="88"/>
      <c r="CT152" s="88"/>
      <c r="CU152" s="88"/>
      <c r="CV152" s="89"/>
      <c r="CW152" s="89"/>
      <c r="CX152" s="89"/>
      <c r="CY152" s="89"/>
      <c r="CZ152" s="89"/>
      <c r="DA152" s="89"/>
      <c r="DB152" s="89"/>
      <c r="DC152" s="89"/>
      <c r="DD152" s="89"/>
      <c r="DE152" s="89"/>
      <c r="DF152" s="89"/>
      <c r="DG152" s="89"/>
      <c r="DH152" s="89"/>
      <c r="DI152" s="89"/>
      <c r="DJ152" s="89"/>
      <c r="DK152" s="89"/>
      <c r="DL152" s="89"/>
      <c r="DM152" s="89"/>
      <c r="DN152" s="89"/>
      <c r="DO152" s="89"/>
      <c r="DP152" s="89"/>
      <c r="DQ152" s="89"/>
      <c r="DR152" s="89"/>
      <c r="DS152" s="89"/>
      <c r="DT152" s="89"/>
      <c r="DU152" s="89"/>
      <c r="DV152" s="89"/>
      <c r="DW152" s="89"/>
      <c r="DX152" s="89"/>
      <c r="DY152" s="89"/>
      <c r="DZ152" s="89"/>
      <c r="EA152" s="89"/>
      <c r="EB152" s="89"/>
      <c r="EC152" s="89"/>
      <c r="ED152" s="89"/>
      <c r="EE152" s="89"/>
      <c r="EF152" s="89"/>
      <c r="EG152" s="89"/>
      <c r="EH152" s="89"/>
      <c r="EI152" s="89"/>
      <c r="EJ152" s="89"/>
      <c r="EK152" s="89"/>
      <c r="EL152" s="89"/>
      <c r="EM152" s="89"/>
      <c r="EN152" s="89"/>
      <c r="EO152" s="89"/>
      <c r="EP152" s="89"/>
      <c r="EQ152" s="89"/>
      <c r="ER152" s="89"/>
      <c r="ES152" s="89"/>
      <c r="ET152" s="89"/>
      <c r="EU152" s="89"/>
      <c r="EV152" s="89"/>
      <c r="EW152" s="89"/>
      <c r="EX152" s="89"/>
      <c r="EY152" s="89"/>
      <c r="EZ152" s="89"/>
      <c r="FA152" s="89"/>
      <c r="FB152" s="89"/>
      <c r="FC152" s="89"/>
      <c r="FD152" s="89"/>
      <c r="FE152" s="89"/>
      <c r="FF152" s="89"/>
      <c r="FG152" s="89"/>
      <c r="FH152" s="89"/>
      <c r="FI152" s="89"/>
      <c r="FJ152" s="89"/>
      <c r="FK152" s="89"/>
      <c r="FL152" s="89"/>
      <c r="FM152" s="89"/>
      <c r="FN152" s="89"/>
      <c r="FO152" s="89"/>
      <c r="FP152" s="89"/>
      <c r="FQ152" s="89"/>
      <c r="FR152" s="89"/>
      <c r="FS152" s="89"/>
      <c r="FT152" s="89"/>
      <c r="FU152" s="89"/>
      <c r="FV152" s="89"/>
      <c r="FW152" s="89"/>
      <c r="FX152" s="89"/>
      <c r="FY152" s="89"/>
      <c r="FZ152" s="89"/>
      <c r="GA152" s="89"/>
      <c r="GB152" s="89"/>
      <c r="GC152" s="89"/>
      <c r="GD152" s="89"/>
      <c r="GE152" s="89"/>
      <c r="GF152" s="89"/>
      <c r="GG152" s="89"/>
      <c r="GH152" s="89"/>
      <c r="GI152" s="89"/>
      <c r="GJ152" s="89"/>
      <c r="GK152" s="89"/>
      <c r="GL152" s="89"/>
      <c r="GM152" s="89"/>
      <c r="GN152" s="89"/>
      <c r="GO152" s="89"/>
      <c r="GP152" s="89"/>
      <c r="GQ152" s="89"/>
      <c r="GR152" s="89"/>
      <c r="GS152" s="89"/>
      <c r="GT152" s="89"/>
      <c r="GU152" s="89"/>
      <c r="GV152" s="89"/>
      <c r="GW152" s="89"/>
      <c r="GX152" s="89"/>
      <c r="GY152" s="89"/>
      <c r="GZ152" s="89"/>
      <c r="HA152" s="89"/>
      <c r="HB152" s="89"/>
      <c r="HC152" s="89"/>
      <c r="HD152" s="89"/>
      <c r="HE152" s="89"/>
      <c r="HF152" s="89"/>
      <c r="HG152" s="89"/>
      <c r="HH152" s="89"/>
      <c r="HI152" s="89"/>
      <c r="HJ152" s="89"/>
      <c r="HK152" s="89"/>
      <c r="HL152" s="89"/>
      <c r="HM152" s="89"/>
      <c r="HN152" s="89"/>
    </row>
    <row r="153" spans="1:222" s="92" customFormat="1" ht="25.5" customHeight="1" x14ac:dyDescent="0.25">
      <c r="C153" s="352" t="s">
        <v>112</v>
      </c>
      <c r="D153" s="91" t="s">
        <v>113</v>
      </c>
      <c r="E153" s="91" t="s">
        <v>114</v>
      </c>
      <c r="F153" s="91" t="s">
        <v>5</v>
      </c>
      <c r="G153" s="91" t="s">
        <v>114</v>
      </c>
      <c r="H153" s="91" t="s">
        <v>115</v>
      </c>
      <c r="I153" s="91" t="s">
        <v>114</v>
      </c>
      <c r="J153" s="352" t="s">
        <v>162</v>
      </c>
      <c r="K153" s="354" t="str">
        <f>+K104</f>
        <v>IGV TOTAL (INCLUYE OTROS IMPUESTOS)</v>
      </c>
      <c r="L153" s="356" t="s">
        <v>163</v>
      </c>
      <c r="M153" s="94"/>
      <c r="N153" s="94"/>
      <c r="O153" s="94"/>
      <c r="P153" s="94"/>
      <c r="Q153" s="94"/>
      <c r="R153" s="94"/>
      <c r="S153" s="94"/>
      <c r="T153" s="94"/>
      <c r="U153" s="94"/>
      <c r="V153" s="94"/>
      <c r="W153" s="94"/>
      <c r="X153" s="94"/>
      <c r="Y153" s="94"/>
      <c r="Z153" s="94"/>
      <c r="AA153" s="94"/>
      <c r="AB153" s="94"/>
      <c r="AC153" s="94"/>
      <c r="AD153" s="94"/>
      <c r="AE153" s="94"/>
      <c r="AF153" s="94"/>
      <c r="AG153" s="94"/>
      <c r="AH153" s="94"/>
      <c r="AI153" s="94"/>
      <c r="AJ153" s="94"/>
      <c r="AK153" s="94"/>
      <c r="AL153" s="94"/>
      <c r="AM153" s="94"/>
      <c r="AN153" s="94"/>
      <c r="AO153" s="94"/>
      <c r="AP153" s="94"/>
      <c r="AQ153" s="94"/>
      <c r="AR153" s="94"/>
      <c r="AS153" s="94"/>
      <c r="AT153" s="94"/>
      <c r="AU153" s="94"/>
      <c r="AV153" s="94"/>
      <c r="AW153" s="94"/>
      <c r="AX153" s="94"/>
      <c r="AY153" s="94"/>
      <c r="AZ153" s="94"/>
      <c r="BA153" s="94"/>
      <c r="BB153" s="94"/>
      <c r="BC153" s="94"/>
      <c r="BD153" s="94"/>
      <c r="BE153" s="94"/>
      <c r="BF153" s="94"/>
      <c r="BG153" s="94"/>
      <c r="BH153" s="94"/>
      <c r="BI153" s="94"/>
      <c r="BJ153" s="94"/>
      <c r="BK153" s="94"/>
      <c r="BL153" s="94"/>
      <c r="BM153" s="94"/>
      <c r="BN153" s="94"/>
      <c r="BO153" s="94"/>
      <c r="BP153" s="94"/>
      <c r="BQ153" s="94"/>
      <c r="BR153" s="94"/>
      <c r="BS153" s="94"/>
      <c r="BT153" s="94"/>
      <c r="BU153" s="94"/>
      <c r="BV153" s="94"/>
      <c r="BW153" s="94"/>
      <c r="BX153" s="94"/>
      <c r="BY153" s="94"/>
      <c r="BZ153" s="94"/>
      <c r="CA153" s="94"/>
      <c r="CB153" s="94"/>
      <c r="CC153" s="94"/>
      <c r="CD153" s="94"/>
      <c r="CE153" s="94"/>
      <c r="CF153" s="94"/>
      <c r="CG153" s="94"/>
      <c r="CH153" s="94"/>
      <c r="CI153" s="94"/>
      <c r="CJ153" s="94"/>
      <c r="CK153" s="94"/>
      <c r="CL153" s="94"/>
      <c r="CM153" s="94"/>
      <c r="CN153" s="94"/>
      <c r="CO153" s="94"/>
      <c r="CP153" s="94"/>
      <c r="CQ153" s="95"/>
      <c r="CR153" s="95"/>
      <c r="CS153" s="95"/>
      <c r="CT153" s="95"/>
      <c r="CU153" s="95"/>
      <c r="CV153" s="95"/>
      <c r="CW153" s="95"/>
      <c r="CX153" s="95"/>
      <c r="CY153" s="95"/>
      <c r="CZ153" s="95"/>
      <c r="DA153" s="95"/>
      <c r="DB153" s="95"/>
      <c r="DC153" s="95"/>
      <c r="DD153" s="95"/>
      <c r="DE153" s="95"/>
      <c r="DF153" s="95"/>
      <c r="DG153" s="95"/>
      <c r="DH153" s="95"/>
      <c r="DI153" s="95"/>
      <c r="DJ153" s="95"/>
      <c r="DK153" s="95"/>
      <c r="DL153" s="95"/>
      <c r="DM153" s="95"/>
      <c r="DN153" s="95"/>
      <c r="DO153" s="95"/>
      <c r="DP153" s="95"/>
      <c r="DQ153" s="95"/>
      <c r="DR153" s="95"/>
      <c r="DS153" s="95"/>
      <c r="DT153" s="95"/>
      <c r="DU153" s="95"/>
      <c r="DV153" s="95"/>
      <c r="DW153" s="95"/>
      <c r="DX153" s="95"/>
      <c r="DY153" s="95"/>
      <c r="DZ153" s="95"/>
      <c r="EA153" s="95"/>
      <c r="EB153" s="95"/>
      <c r="EC153" s="95"/>
      <c r="ED153" s="95"/>
      <c r="EE153" s="95"/>
      <c r="EF153" s="95"/>
      <c r="EG153" s="95"/>
      <c r="EH153" s="95"/>
      <c r="EI153" s="95"/>
      <c r="EJ153" s="95"/>
      <c r="EK153" s="95"/>
      <c r="EL153" s="95"/>
      <c r="EM153" s="95"/>
      <c r="EN153" s="95"/>
      <c r="EO153" s="95"/>
      <c r="EP153" s="95"/>
      <c r="EQ153" s="95"/>
      <c r="ER153" s="95"/>
      <c r="ES153" s="95"/>
      <c r="ET153" s="95"/>
      <c r="EU153" s="95"/>
      <c r="EV153" s="95"/>
      <c r="EW153" s="95"/>
      <c r="EX153" s="95"/>
      <c r="EY153" s="95"/>
      <c r="EZ153" s="95"/>
      <c r="FA153" s="95"/>
      <c r="FB153" s="95"/>
      <c r="FC153" s="95"/>
      <c r="FD153" s="95"/>
      <c r="FE153" s="95"/>
      <c r="FF153" s="95"/>
      <c r="FG153" s="95"/>
      <c r="FH153" s="95"/>
      <c r="FI153" s="95"/>
      <c r="FJ153" s="95"/>
      <c r="FK153" s="95"/>
      <c r="FL153" s="95"/>
      <c r="FM153" s="95"/>
      <c r="FN153" s="95"/>
      <c r="FO153" s="95"/>
      <c r="FP153" s="95"/>
      <c r="FQ153" s="95"/>
      <c r="FR153" s="95"/>
      <c r="FS153" s="95"/>
      <c r="FT153" s="95"/>
      <c r="FU153" s="95"/>
      <c r="FV153" s="95"/>
      <c r="FW153" s="95"/>
      <c r="FX153" s="95"/>
      <c r="FY153" s="95"/>
      <c r="FZ153" s="95"/>
      <c r="GA153" s="95"/>
      <c r="GB153" s="95"/>
      <c r="GC153" s="95"/>
      <c r="GD153" s="95"/>
      <c r="GE153" s="95"/>
      <c r="GF153" s="95"/>
      <c r="GG153" s="95"/>
      <c r="GH153" s="95"/>
      <c r="GI153" s="95"/>
      <c r="GJ153" s="95"/>
      <c r="GK153" s="95"/>
      <c r="GL153" s="95"/>
      <c r="GM153" s="95"/>
      <c r="GN153" s="95"/>
      <c r="GO153" s="95"/>
      <c r="GP153" s="95"/>
      <c r="GQ153" s="95"/>
      <c r="GR153" s="95"/>
      <c r="GS153" s="95"/>
      <c r="GT153" s="95"/>
      <c r="GU153" s="95"/>
      <c r="GV153" s="95"/>
      <c r="GW153" s="95"/>
      <c r="GX153" s="95"/>
      <c r="GY153" s="95"/>
      <c r="GZ153" s="95"/>
      <c r="HA153" s="95"/>
      <c r="HB153" s="95"/>
      <c r="HC153" s="95"/>
      <c r="HD153" s="95"/>
      <c r="HE153" s="95"/>
      <c r="HF153" s="95"/>
      <c r="HG153" s="95"/>
      <c r="HH153" s="95"/>
      <c r="HI153" s="95"/>
    </row>
    <row r="154" spans="1:222" s="92" customFormat="1" ht="26.25" customHeight="1" x14ac:dyDescent="0.25">
      <c r="C154" s="353"/>
      <c r="D154" s="91" t="s">
        <v>164</v>
      </c>
      <c r="E154" s="96">
        <v>0.18</v>
      </c>
      <c r="F154" s="91" t="str">
        <f>+D154</f>
        <v>$</v>
      </c>
      <c r="G154" s="96">
        <v>0.18</v>
      </c>
      <c r="H154" s="96" t="str">
        <f>+F154</f>
        <v>$</v>
      </c>
      <c r="I154" s="96">
        <v>0.18</v>
      </c>
      <c r="J154" s="353"/>
      <c r="K154" s="355"/>
      <c r="L154" s="357"/>
      <c r="M154" s="94"/>
      <c r="N154" s="94"/>
      <c r="O154" s="94"/>
      <c r="P154" s="94"/>
      <c r="Q154" s="94"/>
      <c r="R154" s="94"/>
      <c r="S154" s="94"/>
      <c r="T154" s="94"/>
      <c r="U154" s="94"/>
      <c r="V154" s="94"/>
      <c r="W154" s="94"/>
      <c r="X154" s="94"/>
      <c r="Y154" s="94"/>
      <c r="Z154" s="94"/>
      <c r="AA154" s="94"/>
      <c r="AB154" s="94"/>
      <c r="AC154" s="94"/>
      <c r="AD154" s="94"/>
      <c r="AE154" s="94"/>
      <c r="AF154" s="94"/>
      <c r="AG154" s="94"/>
      <c r="AH154" s="94"/>
      <c r="AI154" s="94"/>
      <c r="AJ154" s="94"/>
      <c r="AK154" s="94"/>
      <c r="AL154" s="94"/>
      <c r="AM154" s="94"/>
      <c r="AN154" s="94"/>
      <c r="AO154" s="94"/>
      <c r="AP154" s="94"/>
      <c r="AQ154" s="94"/>
      <c r="AR154" s="94"/>
      <c r="AS154" s="94"/>
      <c r="AT154" s="94"/>
      <c r="AU154" s="94"/>
      <c r="AV154" s="94"/>
      <c r="AW154" s="94"/>
      <c r="AX154" s="94"/>
      <c r="AY154" s="94"/>
      <c r="AZ154" s="94"/>
      <c r="BA154" s="94"/>
      <c r="BB154" s="94"/>
      <c r="BC154" s="94"/>
      <c r="BD154" s="94"/>
      <c r="BE154" s="94"/>
      <c r="BF154" s="94"/>
      <c r="BG154" s="94"/>
      <c r="BH154" s="94"/>
      <c r="BI154" s="94"/>
      <c r="BJ154" s="94"/>
      <c r="BK154" s="94"/>
      <c r="BL154" s="94"/>
      <c r="BM154" s="94"/>
      <c r="BN154" s="94"/>
      <c r="BO154" s="94"/>
      <c r="BP154" s="94"/>
      <c r="BQ154" s="94"/>
      <c r="BR154" s="94"/>
      <c r="BS154" s="94"/>
      <c r="BT154" s="94"/>
      <c r="BU154" s="94"/>
      <c r="BV154" s="94"/>
      <c r="BW154" s="94"/>
      <c r="BX154" s="94"/>
      <c r="BY154" s="94"/>
      <c r="BZ154" s="94"/>
      <c r="CA154" s="94"/>
      <c r="CB154" s="94"/>
      <c r="CC154" s="94"/>
      <c r="CD154" s="94"/>
      <c r="CE154" s="94"/>
      <c r="CF154" s="94"/>
      <c r="CG154" s="94"/>
      <c r="CH154" s="94"/>
      <c r="CI154" s="94"/>
      <c r="CJ154" s="94"/>
      <c r="CK154" s="94"/>
      <c r="CL154" s="94"/>
      <c r="CM154" s="94"/>
      <c r="CN154" s="94"/>
      <c r="CO154" s="94"/>
      <c r="CP154" s="94"/>
      <c r="CQ154" s="95"/>
      <c r="CR154" s="95"/>
      <c r="CS154" s="95"/>
      <c r="CT154" s="95"/>
      <c r="CU154" s="95"/>
      <c r="CV154" s="95"/>
      <c r="CW154" s="95"/>
      <c r="CX154" s="95"/>
      <c r="CY154" s="95"/>
      <c r="CZ154" s="95"/>
      <c r="DA154" s="95"/>
      <c r="DB154" s="95"/>
      <c r="DC154" s="95"/>
      <c r="DD154" s="95"/>
      <c r="DE154" s="95"/>
      <c r="DF154" s="95"/>
      <c r="DG154" s="95"/>
      <c r="DH154" s="95"/>
      <c r="DI154" s="95"/>
      <c r="DJ154" s="95"/>
      <c r="DK154" s="95"/>
      <c r="DL154" s="95"/>
      <c r="DM154" s="95"/>
      <c r="DN154" s="95"/>
      <c r="DO154" s="95"/>
      <c r="DP154" s="95"/>
      <c r="DQ154" s="95"/>
      <c r="DR154" s="95"/>
      <c r="DS154" s="95"/>
      <c r="DT154" s="95"/>
      <c r="DU154" s="95"/>
      <c r="DV154" s="95"/>
      <c r="DW154" s="95"/>
      <c r="DX154" s="95"/>
      <c r="DY154" s="95"/>
      <c r="DZ154" s="95"/>
      <c r="EA154" s="95"/>
      <c r="EB154" s="95"/>
      <c r="EC154" s="95"/>
      <c r="ED154" s="95"/>
      <c r="EE154" s="95"/>
      <c r="EF154" s="95"/>
      <c r="EG154" s="95"/>
      <c r="EH154" s="95"/>
      <c r="EI154" s="95"/>
      <c r="EJ154" s="95"/>
      <c r="EK154" s="95"/>
      <c r="EL154" s="95"/>
      <c r="EM154" s="95"/>
      <c r="EN154" s="95"/>
      <c r="EO154" s="95"/>
      <c r="EP154" s="95"/>
      <c r="EQ154" s="95"/>
      <c r="ER154" s="95"/>
      <c r="ES154" s="95"/>
      <c r="ET154" s="95"/>
      <c r="EU154" s="95"/>
      <c r="EV154" s="95"/>
      <c r="EW154" s="95"/>
      <c r="EX154" s="95"/>
      <c r="EY154" s="95"/>
      <c r="EZ154" s="95"/>
      <c r="FA154" s="95"/>
      <c r="FB154" s="95"/>
      <c r="FC154" s="95"/>
      <c r="FD154" s="95"/>
      <c r="FE154" s="95"/>
      <c r="FF154" s="95"/>
      <c r="FG154" s="95"/>
      <c r="FH154" s="95"/>
      <c r="FI154" s="95"/>
      <c r="FJ154" s="95"/>
      <c r="FK154" s="95"/>
      <c r="FL154" s="95"/>
      <c r="FM154" s="95"/>
      <c r="FN154" s="95"/>
      <c r="FO154" s="95"/>
      <c r="FP154" s="95"/>
      <c r="FQ154" s="95"/>
      <c r="FR154" s="95"/>
      <c r="FS154" s="95"/>
      <c r="FT154" s="95"/>
      <c r="FU154" s="95"/>
      <c r="FV154" s="95"/>
      <c r="FW154" s="95"/>
      <c r="FX154" s="95"/>
      <c r="FY154" s="95"/>
      <c r="FZ154" s="95"/>
      <c r="GA154" s="95"/>
      <c r="GB154" s="95"/>
      <c r="GC154" s="95"/>
      <c r="GD154" s="95"/>
      <c r="GE154" s="95"/>
      <c r="GF154" s="95"/>
      <c r="GG154" s="95"/>
      <c r="GH154" s="95"/>
      <c r="GI154" s="95"/>
      <c r="GJ154" s="95"/>
      <c r="GK154" s="95"/>
      <c r="GL154" s="95"/>
      <c r="GM154" s="95"/>
      <c r="GN154" s="95"/>
      <c r="GO154" s="95"/>
      <c r="GP154" s="95"/>
      <c r="GQ154" s="95"/>
      <c r="GR154" s="95"/>
      <c r="GS154" s="95"/>
      <c r="GT154" s="95"/>
      <c r="GU154" s="95"/>
      <c r="GV154" s="95"/>
      <c r="GW154" s="95"/>
      <c r="GX154" s="95"/>
      <c r="GY154" s="95"/>
      <c r="GZ154" s="95"/>
      <c r="HA154" s="95"/>
      <c r="HB154" s="95"/>
      <c r="HC154" s="95"/>
      <c r="HD154" s="95"/>
      <c r="HE154" s="95"/>
      <c r="HF154" s="95"/>
      <c r="HG154" s="95"/>
      <c r="HH154" s="95"/>
      <c r="HI154" s="95"/>
    </row>
    <row r="155" spans="1:222" s="44" customFormat="1" x14ac:dyDescent="0.2">
      <c r="C155" s="97" t="s">
        <v>165</v>
      </c>
      <c r="D155" s="98">
        <f t="shared" ref="D155:G155" si="45">+D156</f>
        <v>26675697.00871386</v>
      </c>
      <c r="E155" s="98">
        <f t="shared" si="45"/>
        <v>4801625.4615684943</v>
      </c>
      <c r="F155" s="98">
        <f t="shared" si="45"/>
        <v>21084879.793439683</v>
      </c>
      <c r="G155" s="98">
        <f t="shared" si="45"/>
        <v>3795278.3628191422</v>
      </c>
      <c r="H155" s="98"/>
      <c r="I155" s="98"/>
      <c r="J155" s="98">
        <f t="shared" ref="J155:K155" si="46">+J156</f>
        <v>47760576.802153535</v>
      </c>
      <c r="K155" s="98">
        <f t="shared" si="46"/>
        <v>8596903.8243876342</v>
      </c>
      <c r="L155" s="98">
        <f>+L156</f>
        <v>56357480.626541167</v>
      </c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54"/>
      <c r="AX155" s="54"/>
      <c r="AY155" s="54"/>
      <c r="AZ155" s="54"/>
      <c r="BA155" s="54"/>
      <c r="BB155" s="54"/>
      <c r="BC155" s="54"/>
      <c r="BD155" s="54"/>
      <c r="BE155" s="54"/>
      <c r="BF155" s="54"/>
      <c r="BG155" s="54"/>
      <c r="BH155" s="54"/>
      <c r="BI155" s="54"/>
      <c r="BJ155" s="54"/>
      <c r="BK155" s="54"/>
      <c r="BL155" s="54"/>
      <c r="BM155" s="54"/>
      <c r="BN155" s="54"/>
      <c r="BO155" s="54"/>
      <c r="BP155" s="54"/>
      <c r="BQ155" s="54"/>
      <c r="BR155" s="54"/>
      <c r="BS155" s="54"/>
      <c r="BT155" s="54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54"/>
      <c r="CK155" s="54"/>
      <c r="CL155" s="54"/>
      <c r="CM155" s="54"/>
      <c r="CN155" s="54"/>
      <c r="CO155" s="54"/>
      <c r="CP155" s="54"/>
      <c r="CQ155" s="55"/>
      <c r="CR155" s="55"/>
      <c r="CS155" s="55"/>
      <c r="CT155" s="55"/>
      <c r="CU155" s="55"/>
      <c r="CV155" s="55"/>
      <c r="CW155" s="55"/>
      <c r="CX155" s="55"/>
      <c r="CY155" s="55"/>
      <c r="CZ155" s="55"/>
      <c r="DA155" s="55"/>
      <c r="DB155" s="55"/>
      <c r="DC155" s="55"/>
      <c r="DD155" s="55"/>
      <c r="DE155" s="55"/>
      <c r="DF155" s="55"/>
      <c r="DG155" s="55"/>
      <c r="DH155" s="55"/>
      <c r="DI155" s="55"/>
      <c r="DJ155" s="55"/>
      <c r="DK155" s="55"/>
      <c r="DL155" s="55"/>
      <c r="DM155" s="55"/>
      <c r="DN155" s="55"/>
      <c r="DO155" s="55"/>
      <c r="DP155" s="55"/>
      <c r="DQ155" s="55"/>
      <c r="DR155" s="55"/>
      <c r="DS155" s="55"/>
      <c r="DT155" s="55"/>
      <c r="DU155" s="55"/>
      <c r="DV155" s="55"/>
      <c r="DW155" s="55"/>
      <c r="DX155" s="55"/>
      <c r="DY155" s="55"/>
      <c r="DZ155" s="55"/>
      <c r="EA155" s="55"/>
      <c r="EB155" s="55"/>
      <c r="EC155" s="55"/>
      <c r="ED155" s="55"/>
      <c r="EE155" s="55"/>
      <c r="EF155" s="55"/>
      <c r="EG155" s="55"/>
      <c r="EH155" s="55"/>
      <c r="EI155" s="55"/>
      <c r="EJ155" s="55"/>
      <c r="EK155" s="55"/>
      <c r="EL155" s="55"/>
      <c r="EM155" s="55"/>
      <c r="EN155" s="55"/>
      <c r="EO155" s="55"/>
      <c r="EP155" s="55"/>
      <c r="EQ155" s="55"/>
      <c r="ER155" s="55"/>
      <c r="ES155" s="55"/>
      <c r="ET155" s="55"/>
      <c r="EU155" s="55"/>
      <c r="EV155" s="55"/>
      <c r="EW155" s="55"/>
      <c r="EX155" s="55"/>
      <c r="EY155" s="55"/>
      <c r="EZ155" s="55"/>
      <c r="FA155" s="55"/>
      <c r="FB155" s="55"/>
      <c r="FC155" s="55"/>
      <c r="FD155" s="55"/>
      <c r="FE155" s="55"/>
      <c r="FF155" s="55"/>
      <c r="FG155" s="55"/>
      <c r="FH155" s="55"/>
      <c r="FI155" s="55"/>
      <c r="FJ155" s="55"/>
      <c r="FK155" s="55"/>
      <c r="FL155" s="55"/>
      <c r="FM155" s="55"/>
      <c r="FN155" s="55"/>
      <c r="FO155" s="55"/>
      <c r="FP155" s="55"/>
      <c r="FQ155" s="55"/>
      <c r="FR155" s="55"/>
      <c r="FS155" s="55"/>
      <c r="FT155" s="55"/>
      <c r="FU155" s="55"/>
      <c r="FV155" s="55"/>
      <c r="FW155" s="55"/>
      <c r="FX155" s="55"/>
      <c r="FY155" s="55"/>
      <c r="FZ155" s="55"/>
      <c r="GA155" s="55"/>
      <c r="GB155" s="55"/>
      <c r="GC155" s="55"/>
      <c r="GD155" s="55"/>
      <c r="GE155" s="55"/>
      <c r="GF155" s="55"/>
      <c r="GG155" s="55"/>
      <c r="GH155" s="55"/>
      <c r="GI155" s="55"/>
      <c r="GJ155" s="55"/>
      <c r="GK155" s="55"/>
      <c r="GL155" s="55"/>
      <c r="GM155" s="55"/>
      <c r="GN155" s="55"/>
      <c r="GO155" s="55"/>
      <c r="GP155" s="55"/>
      <c r="GQ155" s="55"/>
      <c r="GR155" s="55"/>
      <c r="GS155" s="55"/>
      <c r="GT155" s="55"/>
      <c r="GU155" s="55"/>
      <c r="GV155" s="55"/>
      <c r="GW155" s="55"/>
      <c r="GX155" s="55"/>
      <c r="GY155" s="55"/>
      <c r="GZ155" s="55"/>
      <c r="HA155" s="55"/>
      <c r="HB155" s="55"/>
      <c r="HC155" s="55"/>
      <c r="HD155" s="55"/>
      <c r="HE155" s="55"/>
      <c r="HF155" s="55"/>
      <c r="HG155" s="55"/>
      <c r="HH155" s="55"/>
      <c r="HI155" s="55"/>
    </row>
    <row r="156" spans="1:222" s="44" customFormat="1" x14ac:dyDescent="0.2">
      <c r="C156" s="99" t="s">
        <v>121</v>
      </c>
      <c r="D156" s="100">
        <f t="shared" ref="D156:G156" si="47">SUM(D157:D162)</f>
        <v>26675697.00871386</v>
      </c>
      <c r="E156" s="100">
        <f t="shared" si="47"/>
        <v>4801625.4615684943</v>
      </c>
      <c r="F156" s="100">
        <f t="shared" si="47"/>
        <v>21084879.793439683</v>
      </c>
      <c r="G156" s="100">
        <f t="shared" si="47"/>
        <v>3795278.3628191422</v>
      </c>
      <c r="H156" s="100"/>
      <c r="I156" s="100"/>
      <c r="J156" s="100">
        <f>SUM(J157:J162)</f>
        <v>47760576.802153535</v>
      </c>
      <c r="K156" s="100">
        <f>SUM(K157:K162)</f>
        <v>8596903.8243876342</v>
      </c>
      <c r="L156" s="100">
        <f>SUM(L157:L162)</f>
        <v>56357480.626541167</v>
      </c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  <c r="AI156" s="54"/>
      <c r="AJ156" s="54"/>
      <c r="AK156" s="54"/>
      <c r="AL156" s="54"/>
      <c r="AM156" s="54"/>
      <c r="AN156" s="54"/>
      <c r="AO156" s="54"/>
      <c r="AP156" s="54"/>
      <c r="AQ156" s="54"/>
      <c r="AR156" s="54"/>
      <c r="AS156" s="54"/>
      <c r="AT156" s="54"/>
      <c r="AU156" s="54"/>
      <c r="AV156" s="54"/>
      <c r="AW156" s="54"/>
      <c r="AX156" s="54"/>
      <c r="AY156" s="54"/>
      <c r="AZ156" s="54"/>
      <c r="BA156" s="54"/>
      <c r="BB156" s="54"/>
      <c r="BC156" s="54"/>
      <c r="BD156" s="54"/>
      <c r="BE156" s="54"/>
      <c r="BF156" s="54"/>
      <c r="BG156" s="54"/>
      <c r="BH156" s="54"/>
      <c r="BI156" s="54"/>
      <c r="BJ156" s="54"/>
      <c r="BK156" s="54"/>
      <c r="BL156" s="54"/>
      <c r="BM156" s="54"/>
      <c r="BN156" s="54"/>
      <c r="BO156" s="54"/>
      <c r="BP156" s="54"/>
      <c r="BQ156" s="54"/>
      <c r="BR156" s="54"/>
      <c r="BS156" s="54"/>
      <c r="BT156" s="54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54"/>
      <c r="CK156" s="54"/>
      <c r="CL156" s="54"/>
      <c r="CM156" s="54"/>
      <c r="CN156" s="54"/>
      <c r="CO156" s="54"/>
      <c r="CP156" s="54"/>
      <c r="CQ156" s="55"/>
      <c r="CR156" s="55"/>
      <c r="CS156" s="55"/>
      <c r="CT156" s="55"/>
      <c r="CU156" s="55"/>
      <c r="CV156" s="55"/>
      <c r="CW156" s="55"/>
      <c r="CX156" s="55"/>
      <c r="CY156" s="55"/>
      <c r="CZ156" s="55"/>
      <c r="DA156" s="55"/>
      <c r="DB156" s="55"/>
      <c r="DC156" s="55"/>
      <c r="DD156" s="55"/>
      <c r="DE156" s="55"/>
      <c r="DF156" s="55"/>
      <c r="DG156" s="55"/>
      <c r="DH156" s="55"/>
      <c r="DI156" s="55"/>
      <c r="DJ156" s="55"/>
      <c r="DK156" s="55"/>
      <c r="DL156" s="55"/>
      <c r="DM156" s="55"/>
      <c r="DN156" s="55"/>
      <c r="DO156" s="55"/>
      <c r="DP156" s="55"/>
      <c r="DQ156" s="55"/>
      <c r="DR156" s="55"/>
      <c r="DS156" s="55"/>
      <c r="DT156" s="55"/>
      <c r="DU156" s="55"/>
      <c r="DV156" s="55"/>
      <c r="DW156" s="55"/>
      <c r="DX156" s="55"/>
      <c r="DY156" s="55"/>
      <c r="DZ156" s="55"/>
      <c r="EA156" s="55"/>
      <c r="EB156" s="55"/>
      <c r="EC156" s="55"/>
      <c r="ED156" s="55"/>
      <c r="EE156" s="55"/>
      <c r="EF156" s="55"/>
      <c r="EG156" s="55"/>
      <c r="EH156" s="55"/>
      <c r="EI156" s="55"/>
      <c r="EJ156" s="55"/>
      <c r="EK156" s="55"/>
      <c r="EL156" s="55"/>
      <c r="EM156" s="55"/>
      <c r="EN156" s="55"/>
      <c r="EO156" s="55"/>
      <c r="EP156" s="55"/>
      <c r="EQ156" s="55"/>
      <c r="ER156" s="55"/>
      <c r="ES156" s="55"/>
      <c r="ET156" s="55"/>
      <c r="EU156" s="55"/>
      <c r="EV156" s="55"/>
      <c r="EW156" s="55"/>
      <c r="EX156" s="55"/>
      <c r="EY156" s="55"/>
      <c r="EZ156" s="55"/>
      <c r="FA156" s="55"/>
      <c r="FB156" s="55"/>
      <c r="FC156" s="55"/>
      <c r="FD156" s="55"/>
      <c r="FE156" s="55"/>
      <c r="FF156" s="55"/>
      <c r="FG156" s="55"/>
      <c r="FH156" s="55"/>
      <c r="FI156" s="55"/>
      <c r="FJ156" s="55"/>
      <c r="FK156" s="55"/>
      <c r="FL156" s="55"/>
      <c r="FM156" s="55"/>
      <c r="FN156" s="55"/>
      <c r="FO156" s="55"/>
      <c r="FP156" s="55"/>
      <c r="FQ156" s="55"/>
      <c r="FR156" s="55"/>
      <c r="FS156" s="55"/>
      <c r="FT156" s="55"/>
      <c r="FU156" s="55"/>
      <c r="FV156" s="55"/>
      <c r="FW156" s="55"/>
      <c r="FX156" s="55"/>
      <c r="FY156" s="55"/>
      <c r="FZ156" s="55"/>
      <c r="GA156" s="55"/>
      <c r="GB156" s="55"/>
      <c r="GC156" s="55"/>
      <c r="GD156" s="55"/>
      <c r="GE156" s="55"/>
      <c r="GF156" s="55"/>
      <c r="GG156" s="55"/>
      <c r="GH156" s="55"/>
      <c r="GI156" s="55"/>
      <c r="GJ156" s="55"/>
      <c r="GK156" s="55"/>
      <c r="GL156" s="55"/>
      <c r="GM156" s="55"/>
      <c r="GN156" s="55"/>
      <c r="GO156" s="55"/>
      <c r="GP156" s="55"/>
      <c r="GQ156" s="55"/>
      <c r="GR156" s="55"/>
      <c r="GS156" s="55"/>
      <c r="GT156" s="55"/>
      <c r="GU156" s="55"/>
      <c r="GV156" s="55"/>
      <c r="GW156" s="55"/>
      <c r="GX156" s="55"/>
      <c r="GY156" s="55"/>
      <c r="GZ156" s="55"/>
      <c r="HA156" s="55"/>
      <c r="HB156" s="55"/>
      <c r="HC156" s="55"/>
      <c r="HD156" s="55"/>
      <c r="HE156" s="55"/>
      <c r="HF156" s="55"/>
      <c r="HG156" s="55"/>
      <c r="HH156" s="55"/>
      <c r="HI156" s="55"/>
    </row>
    <row r="157" spans="1:222" x14ac:dyDescent="0.2">
      <c r="C157" s="101" t="s">
        <v>166</v>
      </c>
      <c r="D157" s="102">
        <f>+D108/$D$150</f>
        <v>22022993.094117645</v>
      </c>
      <c r="E157" s="102">
        <f t="shared" ref="D157:G162" si="48">+E108/$D$150</f>
        <v>3964138.7569411765</v>
      </c>
      <c r="F157" s="102">
        <f t="shared" si="48"/>
        <v>16930601.472931206</v>
      </c>
      <c r="G157" s="102">
        <f t="shared" si="48"/>
        <v>3047508.2651276169</v>
      </c>
      <c r="H157" s="102"/>
      <c r="I157" s="102"/>
      <c r="J157" s="102">
        <f t="shared" ref="J157:L162" si="49">+J108/$D$150</f>
        <v>38953594.567048848</v>
      </c>
      <c r="K157" s="102">
        <f t="shared" si="49"/>
        <v>7011647.022068792</v>
      </c>
      <c r="L157" s="102">
        <f t="shared" si="49"/>
        <v>45965241.589117639</v>
      </c>
      <c r="M157" s="47"/>
      <c r="N157" s="47"/>
      <c r="O157" s="47"/>
      <c r="CQ157" s="48"/>
      <c r="CR157" s="48"/>
      <c r="CS157" s="48"/>
      <c r="CT157" s="48"/>
      <c r="CU157" s="48"/>
      <c r="HJ157" s="43"/>
      <c r="HK157" s="43"/>
      <c r="HL157" s="43"/>
      <c r="HM157" s="43"/>
      <c r="HN157" s="43"/>
    </row>
    <row r="158" spans="1:222" x14ac:dyDescent="0.2">
      <c r="C158" s="101" t="s">
        <v>123</v>
      </c>
      <c r="D158" s="102">
        <f t="shared" si="48"/>
        <v>292397.80658025923</v>
      </c>
      <c r="E158" s="102">
        <f t="shared" si="48"/>
        <v>52631.605184446664</v>
      </c>
      <c r="F158" s="102">
        <f t="shared" si="48"/>
        <v>150598.20538384846</v>
      </c>
      <c r="G158" s="102">
        <f t="shared" si="48"/>
        <v>27107.676969092721</v>
      </c>
      <c r="H158" s="102"/>
      <c r="I158" s="102"/>
      <c r="J158" s="102">
        <f t="shared" si="49"/>
        <v>442996.01196410775</v>
      </c>
      <c r="K158" s="102">
        <f t="shared" si="49"/>
        <v>79739.282153539389</v>
      </c>
      <c r="L158" s="102">
        <f t="shared" si="49"/>
        <v>522735.29411764705</v>
      </c>
      <c r="M158" s="47"/>
      <c r="N158" s="47"/>
      <c r="O158" s="47"/>
      <c r="CQ158" s="48"/>
      <c r="CR158" s="48"/>
      <c r="CS158" s="48"/>
      <c r="CT158" s="48"/>
      <c r="CU158" s="48"/>
      <c r="HJ158" s="43"/>
      <c r="HK158" s="43"/>
      <c r="HL158" s="43"/>
      <c r="HM158" s="43"/>
      <c r="HN158" s="43"/>
    </row>
    <row r="159" spans="1:222" x14ac:dyDescent="0.2">
      <c r="C159" s="101" t="s">
        <v>124</v>
      </c>
      <c r="D159" s="102">
        <f t="shared" si="48"/>
        <v>597193.9780658026</v>
      </c>
      <c r="E159" s="102">
        <f t="shared" si="48"/>
        <v>107494.91605184446</v>
      </c>
      <c r="F159" s="102">
        <f t="shared" si="48"/>
        <v>398317.54735792626</v>
      </c>
      <c r="G159" s="102">
        <f t="shared" si="48"/>
        <v>71697.158524426719</v>
      </c>
      <c r="H159" s="102"/>
      <c r="I159" s="102"/>
      <c r="J159" s="102">
        <f t="shared" si="49"/>
        <v>995511.52542372886</v>
      </c>
      <c r="K159" s="102">
        <f t="shared" si="49"/>
        <v>179192.0745762712</v>
      </c>
      <c r="L159" s="102">
        <f t="shared" si="49"/>
        <v>1174703.5999999999</v>
      </c>
      <c r="M159" s="47"/>
      <c r="N159" s="47"/>
      <c r="O159" s="47"/>
      <c r="CQ159" s="48"/>
      <c r="CR159" s="48"/>
      <c r="CS159" s="48"/>
      <c r="CT159" s="48"/>
      <c r="CU159" s="48"/>
      <c r="HJ159" s="43"/>
      <c r="HK159" s="43"/>
      <c r="HL159" s="43"/>
      <c r="HM159" s="43"/>
      <c r="HN159" s="43"/>
    </row>
    <row r="160" spans="1:222" x14ac:dyDescent="0.2">
      <c r="C160" s="101" t="s">
        <v>125</v>
      </c>
      <c r="D160" s="102">
        <f t="shared" si="48"/>
        <v>1212870.8499501499</v>
      </c>
      <c r="E160" s="102">
        <f t="shared" si="48"/>
        <v>218316.75299102694</v>
      </c>
      <c r="F160" s="102">
        <f t="shared" si="48"/>
        <v>1690517.7744117647</v>
      </c>
      <c r="G160" s="102">
        <f t="shared" si="48"/>
        <v>304293.19939411769</v>
      </c>
      <c r="H160" s="102"/>
      <c r="I160" s="102"/>
      <c r="J160" s="102">
        <f t="shared" si="49"/>
        <v>2903388.6243619146</v>
      </c>
      <c r="K160" s="102">
        <f t="shared" si="49"/>
        <v>522609.9523851446</v>
      </c>
      <c r="L160" s="102">
        <f t="shared" si="49"/>
        <v>3425998.5767470594</v>
      </c>
      <c r="M160" s="47"/>
      <c r="N160" s="47"/>
      <c r="O160" s="47"/>
      <c r="CQ160" s="48"/>
      <c r="CR160" s="48"/>
      <c r="CS160" s="48"/>
      <c r="CT160" s="48"/>
      <c r="CU160" s="48"/>
      <c r="HJ160" s="43"/>
      <c r="HK160" s="43"/>
      <c r="HL160" s="43"/>
      <c r="HM160" s="43"/>
      <c r="HN160" s="43"/>
    </row>
    <row r="161" spans="3:222" x14ac:dyDescent="0.2">
      <c r="C161" s="101" t="s">
        <v>126</v>
      </c>
      <c r="D161" s="102">
        <f t="shared" si="48"/>
        <v>2202299.3094117646</v>
      </c>
      <c r="E161" s="102">
        <f t="shared" si="48"/>
        <v>396413.87569411763</v>
      </c>
      <c r="F161" s="102">
        <f t="shared" si="48"/>
        <v>1690517.7744117647</v>
      </c>
      <c r="G161" s="102">
        <f t="shared" si="48"/>
        <v>304293.19939411769</v>
      </c>
      <c r="H161" s="102"/>
      <c r="I161" s="102"/>
      <c r="J161" s="102">
        <f t="shared" si="49"/>
        <v>3892817.08382353</v>
      </c>
      <c r="K161" s="102">
        <f t="shared" si="49"/>
        <v>700707.07508823532</v>
      </c>
      <c r="L161" s="102">
        <f t="shared" si="49"/>
        <v>4593524.1589117656</v>
      </c>
      <c r="M161" s="47"/>
      <c r="N161" s="47"/>
      <c r="O161" s="47"/>
      <c r="CQ161" s="48"/>
      <c r="CR161" s="48"/>
      <c r="CS161" s="48"/>
      <c r="CT161" s="48"/>
      <c r="CU161" s="48"/>
      <c r="HJ161" s="43"/>
      <c r="HK161" s="43"/>
      <c r="HL161" s="43"/>
      <c r="HM161" s="43"/>
      <c r="HN161" s="43"/>
    </row>
    <row r="162" spans="3:222" x14ac:dyDescent="0.2">
      <c r="C162" s="101" t="s">
        <v>127</v>
      </c>
      <c r="D162" s="102">
        <f t="shared" si="48"/>
        <v>347941.9705882353</v>
      </c>
      <c r="E162" s="102">
        <f t="shared" si="48"/>
        <v>62629.55470588235</v>
      </c>
      <c r="F162" s="102">
        <f t="shared" si="48"/>
        <v>224327.01894317052</v>
      </c>
      <c r="G162" s="102">
        <f t="shared" si="48"/>
        <v>40378.863409770696</v>
      </c>
      <c r="H162" s="102"/>
      <c r="I162" s="102"/>
      <c r="J162" s="102">
        <f t="shared" si="49"/>
        <v>572268.98953140574</v>
      </c>
      <c r="K162" s="102">
        <f t="shared" si="49"/>
        <v>103008.41811565304</v>
      </c>
      <c r="L162" s="102">
        <f t="shared" si="49"/>
        <v>675277.40764705872</v>
      </c>
      <c r="M162" s="47"/>
      <c r="N162" s="47"/>
      <c r="O162" s="47"/>
      <c r="CQ162" s="48"/>
      <c r="CR162" s="48"/>
      <c r="CS162" s="48"/>
      <c r="CT162" s="48"/>
      <c r="CU162" s="48"/>
      <c r="HJ162" s="43"/>
      <c r="HK162" s="43"/>
      <c r="HL162" s="43"/>
      <c r="HM162" s="43"/>
      <c r="HN162" s="43"/>
    </row>
    <row r="163" spans="3:222" x14ac:dyDescent="0.2">
      <c r="C163" s="105" t="s">
        <v>128</v>
      </c>
      <c r="D163" s="98">
        <f t="shared" ref="D163:K163" si="50">+D164+D168+D175+D177</f>
        <v>8428670.3379658461</v>
      </c>
      <c r="E163" s="98">
        <f t="shared" si="50"/>
        <v>1517160.6608338521</v>
      </c>
      <c r="F163" s="98">
        <f t="shared" si="50"/>
        <v>5823557.6935859108</v>
      </c>
      <c r="G163" s="98">
        <f t="shared" si="50"/>
        <v>1037750.1887670322</v>
      </c>
      <c r="H163" s="98">
        <f t="shared" si="50"/>
        <v>5607848.8977511907</v>
      </c>
      <c r="I163" s="98">
        <f t="shared" si="50"/>
        <v>631198.16107233905</v>
      </c>
      <c r="J163" s="98">
        <f t="shared" si="50"/>
        <v>19860076.929302946</v>
      </c>
      <c r="K163" s="98">
        <f t="shared" si="50"/>
        <v>3186109.010673224</v>
      </c>
      <c r="L163" s="98">
        <f>+L164+L168+L175+L177</f>
        <v>23046185.939976167</v>
      </c>
      <c r="M163" s="47"/>
      <c r="N163" s="47"/>
      <c r="O163" s="47"/>
      <c r="CQ163" s="48"/>
      <c r="CR163" s="48"/>
      <c r="CS163" s="48"/>
      <c r="CT163" s="48"/>
      <c r="CU163" s="48"/>
      <c r="HJ163" s="43"/>
      <c r="HK163" s="43"/>
      <c r="HL163" s="43"/>
      <c r="HM163" s="43"/>
      <c r="HN163" s="43"/>
    </row>
    <row r="164" spans="3:222" x14ac:dyDescent="0.2">
      <c r="C164" s="107" t="s">
        <v>129</v>
      </c>
      <c r="D164" s="100">
        <f>SUM(D165:D167)</f>
        <v>0</v>
      </c>
      <c r="E164" s="100">
        <f>SUM(E165:E167)</f>
        <v>0</v>
      </c>
      <c r="F164" s="100">
        <f t="shared" ref="F164:I164" si="51">SUM(F165:F167)</f>
        <v>104901.96078431372</v>
      </c>
      <c r="G164" s="100">
        <f t="shared" si="51"/>
        <v>8392.1568627451088</v>
      </c>
      <c r="H164" s="100">
        <f t="shared" si="51"/>
        <v>4918915.697352387</v>
      </c>
      <c r="I164" s="100">
        <f t="shared" si="51"/>
        <v>507190.18500055437</v>
      </c>
      <c r="J164" s="100">
        <f>SUM(J165:J167)</f>
        <v>5023817.6581367003</v>
      </c>
      <c r="K164" s="108">
        <f>SUM(K165:K167)</f>
        <v>515582.34186329955</v>
      </c>
      <c r="L164" s="100">
        <f>SUM(L165:L167)</f>
        <v>5539400</v>
      </c>
      <c r="M164" s="47"/>
      <c r="N164" s="47"/>
      <c r="O164" s="47"/>
      <c r="CQ164" s="48"/>
      <c r="CR164" s="48"/>
      <c r="CS164" s="48"/>
      <c r="CT164" s="48"/>
      <c r="CU164" s="48"/>
      <c r="HJ164" s="43"/>
      <c r="HK164" s="43"/>
      <c r="HL164" s="43"/>
      <c r="HM164" s="43"/>
      <c r="HN164" s="43"/>
    </row>
    <row r="165" spans="3:222" x14ac:dyDescent="0.2">
      <c r="C165" s="109" t="s">
        <v>130</v>
      </c>
      <c r="D165" s="102"/>
      <c r="E165" s="102"/>
      <c r="F165" s="102">
        <f>+F116/$D$150</f>
        <v>104901.96078431372</v>
      </c>
      <c r="G165" s="102">
        <f t="shared" ref="G165:I167" si="52">+G116/$D$150</f>
        <v>8392.1568627451088</v>
      </c>
      <c r="H165" s="102">
        <f>+H116/$D$150</f>
        <v>3849346.4052287578</v>
      </c>
      <c r="I165" s="102">
        <f>+I116/$D$150</f>
        <v>307947.71241830126</v>
      </c>
      <c r="J165" s="102">
        <f>+J116/$D$150</f>
        <v>3954248.3660130715</v>
      </c>
      <c r="K165" s="102">
        <f>+K116/$D$150</f>
        <v>316339.86928104644</v>
      </c>
      <c r="L165" s="102">
        <f>+L116/$D$150</f>
        <v>4270588.2352941176</v>
      </c>
      <c r="M165" s="47"/>
      <c r="N165" s="47"/>
      <c r="O165" s="47"/>
      <c r="CQ165" s="48"/>
      <c r="CR165" s="48"/>
      <c r="CS165" s="48"/>
      <c r="CT165" s="48"/>
      <c r="CU165" s="48"/>
      <c r="HJ165" s="43"/>
      <c r="HK165" s="43"/>
      <c r="HL165" s="43"/>
      <c r="HM165" s="43"/>
      <c r="HN165" s="43"/>
    </row>
    <row r="166" spans="3:222" x14ac:dyDescent="0.2">
      <c r="C166" s="109" t="s">
        <v>131</v>
      </c>
      <c r="D166" s="102"/>
      <c r="E166" s="102"/>
      <c r="F166" s="102"/>
      <c r="G166" s="102"/>
      <c r="H166" s="102">
        <f t="shared" si="52"/>
        <v>141016.94915254242</v>
      </c>
      <c r="I166" s="102">
        <f t="shared" si="52"/>
        <v>25383.050847457591</v>
      </c>
      <c r="J166" s="102">
        <f>+J117/$D$150</f>
        <v>141016.94915254242</v>
      </c>
      <c r="K166" s="102">
        <f>+K117/$D$150</f>
        <v>25383.050847457591</v>
      </c>
      <c r="L166" s="102">
        <f t="shared" ref="L166:L167" si="53">+L117/$D$150</f>
        <v>166400</v>
      </c>
      <c r="M166" s="47"/>
      <c r="N166" s="47"/>
      <c r="O166" s="47"/>
      <c r="CQ166" s="48"/>
      <c r="CR166" s="48"/>
      <c r="CS166" s="48"/>
      <c r="CT166" s="48"/>
      <c r="CU166" s="48"/>
      <c r="HJ166" s="43"/>
      <c r="HK166" s="43"/>
      <c r="HL166" s="43"/>
      <c r="HM166" s="43"/>
      <c r="HN166" s="43"/>
    </row>
    <row r="167" spans="3:222" x14ac:dyDescent="0.2">
      <c r="C167" s="109" t="s">
        <v>132</v>
      </c>
      <c r="D167" s="102"/>
      <c r="E167" s="102"/>
      <c r="F167" s="102"/>
      <c r="G167" s="102"/>
      <c r="H167" s="102">
        <f t="shared" si="52"/>
        <v>928552.34297108685</v>
      </c>
      <c r="I167" s="102">
        <f t="shared" si="52"/>
        <v>173859.4217347955</v>
      </c>
      <c r="J167" s="102">
        <f>+J118/$D$150</f>
        <v>928552.34297108685</v>
      </c>
      <c r="K167" s="102">
        <f>+K118/$D$150</f>
        <v>173859.4217347955</v>
      </c>
      <c r="L167" s="102">
        <f t="shared" si="53"/>
        <v>1102411.7647058824</v>
      </c>
      <c r="M167" s="47"/>
      <c r="N167" s="47"/>
      <c r="O167" s="47"/>
      <c r="CQ167" s="48"/>
      <c r="CR167" s="48"/>
      <c r="CS167" s="48"/>
      <c r="CT167" s="48"/>
      <c r="CU167" s="48"/>
      <c r="HJ167" s="43"/>
      <c r="HK167" s="43"/>
      <c r="HL167" s="43"/>
      <c r="HM167" s="43"/>
      <c r="HN167" s="43"/>
    </row>
    <row r="168" spans="3:222" x14ac:dyDescent="0.2">
      <c r="C168" s="99" t="s">
        <v>133</v>
      </c>
      <c r="D168" s="100">
        <f t="shared" ref="D168:G168" si="54">SUM(D169:D174)</f>
        <v>7361964.4556129053</v>
      </c>
      <c r="E168" s="100">
        <f t="shared" si="54"/>
        <v>1325153.6020103227</v>
      </c>
      <c r="F168" s="100">
        <f t="shared" si="54"/>
        <v>5281959.8205383867</v>
      </c>
      <c r="G168" s="100">
        <f t="shared" si="54"/>
        <v>950752.76769690926</v>
      </c>
      <c r="H168" s="100"/>
      <c r="I168" s="100"/>
      <c r="J168" s="100">
        <f t="shared" ref="J168:K168" si="55">SUM(J169:J174)</f>
        <v>12643924.27615129</v>
      </c>
      <c r="K168" s="108">
        <f t="shared" si="55"/>
        <v>2275906.3697072323</v>
      </c>
      <c r="L168" s="100">
        <f>SUM(L169:L174)</f>
        <v>14919830.645858523</v>
      </c>
      <c r="M168" s="47"/>
      <c r="N168" s="47"/>
      <c r="O168" s="47"/>
      <c r="CQ168" s="48"/>
      <c r="CR168" s="48"/>
      <c r="CS168" s="48"/>
      <c r="CT168" s="48"/>
      <c r="CU168" s="48"/>
      <c r="HJ168" s="43"/>
      <c r="HK168" s="43"/>
      <c r="HL168" s="43"/>
      <c r="HM168" s="43"/>
      <c r="HN168" s="43"/>
    </row>
    <row r="169" spans="3:222" x14ac:dyDescent="0.2">
      <c r="C169" s="111" t="s">
        <v>134</v>
      </c>
      <c r="D169" s="102">
        <f t="shared" ref="D169:G174" si="56">+D120/$D$150</f>
        <v>3347789.4238385013</v>
      </c>
      <c r="E169" s="102">
        <f t="shared" si="56"/>
        <v>602602.09629093017</v>
      </c>
      <c r="F169" s="102">
        <f t="shared" si="56"/>
        <v>1271768.195413759</v>
      </c>
      <c r="G169" s="102">
        <f t="shared" si="56"/>
        <v>228918.27517447661</v>
      </c>
      <c r="H169" s="102"/>
      <c r="I169" s="102"/>
      <c r="J169" s="102">
        <f t="shared" ref="J169:L174" si="57">+J120/$D$150</f>
        <v>4619557.6192522598</v>
      </c>
      <c r="K169" s="102">
        <f t="shared" si="57"/>
        <v>831520.37146540673</v>
      </c>
      <c r="L169" s="102">
        <f t="shared" si="57"/>
        <v>5451077.9907176672</v>
      </c>
      <c r="M169" s="47"/>
      <c r="N169" s="47"/>
      <c r="O169" s="47"/>
      <c r="CQ169" s="48"/>
      <c r="CR169" s="48"/>
      <c r="CS169" s="48"/>
      <c r="CT169" s="48"/>
      <c r="CU169" s="48"/>
      <c r="HJ169" s="43"/>
      <c r="HK169" s="43"/>
      <c r="HL169" s="43"/>
      <c r="HM169" s="43"/>
      <c r="HN169" s="43"/>
    </row>
    <row r="170" spans="3:222" x14ac:dyDescent="0.2">
      <c r="C170" s="111" t="s">
        <v>135</v>
      </c>
      <c r="D170" s="102">
        <f t="shared" si="56"/>
        <v>0</v>
      </c>
      <c r="E170" s="102">
        <f t="shared" si="56"/>
        <v>0</v>
      </c>
      <c r="F170" s="102">
        <f t="shared" si="56"/>
        <v>961644.66600199416</v>
      </c>
      <c r="G170" s="102">
        <f t="shared" si="56"/>
        <v>173096.03988035893</v>
      </c>
      <c r="H170" s="102"/>
      <c r="I170" s="102"/>
      <c r="J170" s="102">
        <f t="shared" si="57"/>
        <v>961644.66600199416</v>
      </c>
      <c r="K170" s="102">
        <f t="shared" si="57"/>
        <v>173096.03988035893</v>
      </c>
      <c r="L170" s="102">
        <f t="shared" si="57"/>
        <v>1134740.705882353</v>
      </c>
      <c r="M170" s="47"/>
      <c r="N170" s="47"/>
      <c r="O170" s="47"/>
      <c r="CQ170" s="48"/>
      <c r="CR170" s="48"/>
      <c r="CS170" s="48"/>
      <c r="CT170" s="48"/>
      <c r="CU170" s="48"/>
      <c r="HJ170" s="43"/>
      <c r="HK170" s="43"/>
      <c r="HL170" s="43"/>
      <c r="HM170" s="43"/>
      <c r="HN170" s="43"/>
    </row>
    <row r="171" spans="3:222" ht="25.5" x14ac:dyDescent="0.2">
      <c r="C171" s="111" t="s">
        <v>136</v>
      </c>
      <c r="D171" s="102">
        <f t="shared" si="56"/>
        <v>628276.54824305989</v>
      </c>
      <c r="E171" s="102">
        <f t="shared" si="56"/>
        <v>113089.77868375077</v>
      </c>
      <c r="F171" s="102">
        <f t="shared" si="56"/>
        <v>149155.5333998006</v>
      </c>
      <c r="G171" s="102">
        <f t="shared" si="56"/>
        <v>26847.996011964107</v>
      </c>
      <c r="H171" s="102"/>
      <c r="I171" s="102"/>
      <c r="J171" s="102">
        <f t="shared" si="57"/>
        <v>777432.08164286043</v>
      </c>
      <c r="K171" s="102">
        <f t="shared" si="57"/>
        <v>139937.77469571488</v>
      </c>
      <c r="L171" s="102">
        <f t="shared" si="57"/>
        <v>917369.85633857537</v>
      </c>
      <c r="M171" s="47"/>
      <c r="N171" s="47"/>
      <c r="O171" s="47"/>
      <c r="CQ171" s="48"/>
      <c r="CR171" s="48"/>
      <c r="CS171" s="48"/>
      <c r="CT171" s="48"/>
      <c r="CU171" s="48"/>
      <c r="HJ171" s="43"/>
      <c r="HK171" s="43"/>
      <c r="HL171" s="43"/>
      <c r="HM171" s="43"/>
      <c r="HN171" s="43"/>
    </row>
    <row r="172" spans="3:222" ht="25.5" x14ac:dyDescent="0.2">
      <c r="C172" s="111" t="s">
        <v>137</v>
      </c>
      <c r="D172" s="102">
        <f t="shared" si="56"/>
        <v>0</v>
      </c>
      <c r="E172" s="102">
        <f t="shared" si="56"/>
        <v>0</v>
      </c>
      <c r="F172" s="102">
        <f t="shared" si="56"/>
        <v>149155.5333998006</v>
      </c>
      <c r="G172" s="102">
        <f t="shared" si="56"/>
        <v>26847.996011964107</v>
      </c>
      <c r="H172" s="102"/>
      <c r="I172" s="102"/>
      <c r="J172" s="102">
        <f t="shared" si="57"/>
        <v>149155.5333998006</v>
      </c>
      <c r="K172" s="102">
        <f t="shared" si="57"/>
        <v>26847.996011964107</v>
      </c>
      <c r="L172" s="102">
        <f t="shared" si="57"/>
        <v>176003.5294117647</v>
      </c>
      <c r="M172" s="47"/>
      <c r="N172" s="47"/>
      <c r="O172" s="47"/>
      <c r="CQ172" s="48"/>
      <c r="CR172" s="48"/>
      <c r="CS172" s="48"/>
      <c r="CT172" s="48"/>
      <c r="CU172" s="48"/>
      <c r="HJ172" s="43"/>
      <c r="HK172" s="43"/>
      <c r="HL172" s="43"/>
      <c r="HM172" s="43"/>
      <c r="HN172" s="43"/>
    </row>
    <row r="173" spans="3:222" ht="12.75" customHeight="1" x14ac:dyDescent="0.2">
      <c r="C173" s="111" t="s">
        <v>138</v>
      </c>
      <c r="D173" s="102">
        <f t="shared" si="56"/>
        <v>3385898.4835313438</v>
      </c>
      <c r="E173" s="102">
        <f t="shared" si="56"/>
        <v>609461.72703564179</v>
      </c>
      <c r="F173" s="102">
        <f t="shared" si="56"/>
        <v>1687297.706879362</v>
      </c>
      <c r="G173" s="102">
        <f t="shared" si="56"/>
        <v>303713.58723828517</v>
      </c>
      <c r="H173" s="102"/>
      <c r="I173" s="102"/>
      <c r="J173" s="102">
        <f t="shared" si="57"/>
        <v>5073196.1904107053</v>
      </c>
      <c r="K173" s="102">
        <f t="shared" si="57"/>
        <v>913175.31427392701</v>
      </c>
      <c r="L173" s="102">
        <f t="shared" si="57"/>
        <v>5986371.5046846336</v>
      </c>
      <c r="M173" s="47"/>
      <c r="N173" s="47"/>
      <c r="O173" s="47"/>
      <c r="CQ173" s="48"/>
      <c r="CR173" s="48"/>
      <c r="CS173" s="48"/>
      <c r="CT173" s="48"/>
      <c r="CU173" s="48"/>
      <c r="HJ173" s="43"/>
      <c r="HK173" s="43"/>
      <c r="HL173" s="43"/>
      <c r="HM173" s="43"/>
      <c r="HN173" s="43"/>
    </row>
    <row r="174" spans="3:222" x14ac:dyDescent="0.2">
      <c r="C174" s="111" t="s">
        <v>139</v>
      </c>
      <c r="D174" s="102">
        <f t="shared" si="56"/>
        <v>0</v>
      </c>
      <c r="E174" s="102">
        <f t="shared" si="56"/>
        <v>0</v>
      </c>
      <c r="F174" s="102">
        <f t="shared" si="56"/>
        <v>1062938.1854436691</v>
      </c>
      <c r="G174" s="102">
        <f t="shared" si="56"/>
        <v>191328.87337986042</v>
      </c>
      <c r="H174" s="102"/>
      <c r="I174" s="102"/>
      <c r="J174" s="102">
        <f t="shared" si="57"/>
        <v>1062938.1854436691</v>
      </c>
      <c r="K174" s="102">
        <f t="shared" si="57"/>
        <v>191328.87337986042</v>
      </c>
      <c r="L174" s="102">
        <f t="shared" si="57"/>
        <v>1254267.0588235294</v>
      </c>
      <c r="M174" s="47"/>
      <c r="N174" s="47"/>
      <c r="O174" s="47"/>
      <c r="CQ174" s="48"/>
      <c r="CR174" s="48"/>
      <c r="CS174" s="48"/>
      <c r="CT174" s="48"/>
      <c r="CU174" s="48"/>
      <c r="HJ174" s="43"/>
      <c r="HK174" s="43"/>
      <c r="HL174" s="43"/>
      <c r="HM174" s="43"/>
      <c r="HN174" s="43"/>
    </row>
    <row r="175" spans="3:222" x14ac:dyDescent="0.2">
      <c r="C175" s="99" t="s">
        <v>140</v>
      </c>
      <c r="D175" s="100"/>
      <c r="E175" s="100"/>
      <c r="F175" s="100">
        <f>+F176</f>
        <v>67048.85343968097</v>
      </c>
      <c r="G175" s="100">
        <f>+G176</f>
        <v>12068.793619142572</v>
      </c>
      <c r="H175" s="100"/>
      <c r="I175" s="100"/>
      <c r="J175" s="100">
        <f>SUM(J176)</f>
        <v>67048.85343968097</v>
      </c>
      <c r="K175" s="100">
        <f t="shared" ref="K175:L175" si="58">SUM(K176)</f>
        <v>12068.793619142572</v>
      </c>
      <c r="L175" s="100">
        <f t="shared" si="58"/>
        <v>79117.647058823524</v>
      </c>
      <c r="M175" s="47"/>
      <c r="N175" s="47"/>
      <c r="O175" s="47"/>
      <c r="CQ175" s="48"/>
      <c r="CR175" s="48"/>
      <c r="CS175" s="48"/>
      <c r="CT175" s="48"/>
      <c r="CU175" s="48"/>
      <c r="HJ175" s="43"/>
      <c r="HK175" s="43"/>
      <c r="HL175" s="43"/>
      <c r="HM175" s="43"/>
      <c r="HN175" s="43"/>
    </row>
    <row r="176" spans="3:222" ht="25.5" x14ac:dyDescent="0.2">
      <c r="C176" s="109" t="s">
        <v>167</v>
      </c>
      <c r="D176" s="102">
        <f t="shared" ref="D176:E176" si="59">+D127/$D$150</f>
        <v>0</v>
      </c>
      <c r="E176" s="102">
        <f t="shared" si="59"/>
        <v>0</v>
      </c>
      <c r="F176" s="102">
        <f>+F127/$D$150</f>
        <v>67048.85343968097</v>
      </c>
      <c r="G176" s="102">
        <f t="shared" ref="G176" si="60">+G127/$D$150</f>
        <v>12068.793619142572</v>
      </c>
      <c r="H176" s="102"/>
      <c r="I176" s="102"/>
      <c r="J176" s="102">
        <f>+F127/$D$150</f>
        <v>67048.85343968097</v>
      </c>
      <c r="K176" s="102">
        <f>+G127/$D$150</f>
        <v>12068.793619142572</v>
      </c>
      <c r="L176" s="102">
        <f>+L127/$D$150</f>
        <v>79117.647058823524</v>
      </c>
      <c r="M176" s="47"/>
      <c r="N176" s="47"/>
      <c r="O176" s="47"/>
      <c r="CQ176" s="48"/>
      <c r="CR176" s="48"/>
      <c r="CS176" s="48"/>
      <c r="CT176" s="48"/>
      <c r="CU176" s="48"/>
      <c r="HJ176" s="43"/>
      <c r="HK176" s="43"/>
      <c r="HL176" s="43"/>
      <c r="HM176" s="43"/>
      <c r="HN176" s="43"/>
    </row>
    <row r="177" spans="3:222" x14ac:dyDescent="0.2">
      <c r="C177" s="99" t="s">
        <v>142</v>
      </c>
      <c r="D177" s="100">
        <f t="shared" ref="D177:L177" si="61">SUM(D178:D182)</f>
        <v>1066705.8823529412</v>
      </c>
      <c r="E177" s="100">
        <f t="shared" si="61"/>
        <v>192007.05882352943</v>
      </c>
      <c r="F177" s="100">
        <f t="shared" si="61"/>
        <v>369647.0588235294</v>
      </c>
      <c r="G177" s="100">
        <f t="shared" si="61"/>
        <v>66536.470588235301</v>
      </c>
      <c r="H177" s="100">
        <f t="shared" si="61"/>
        <v>688933.20039880357</v>
      </c>
      <c r="I177" s="100">
        <f t="shared" si="61"/>
        <v>124007.97607178465</v>
      </c>
      <c r="J177" s="100">
        <f t="shared" si="61"/>
        <v>2125286.1415752741</v>
      </c>
      <c r="K177" s="100">
        <f t="shared" si="61"/>
        <v>382551.50548354938</v>
      </c>
      <c r="L177" s="100">
        <f t="shared" si="61"/>
        <v>2507837.6470588236</v>
      </c>
      <c r="M177" s="47"/>
      <c r="N177" s="47"/>
      <c r="O177" s="47"/>
      <c r="CQ177" s="48"/>
      <c r="CR177" s="48"/>
      <c r="CS177" s="48"/>
      <c r="CT177" s="48"/>
      <c r="CU177" s="48"/>
      <c r="HJ177" s="43"/>
      <c r="HK177" s="43"/>
      <c r="HL177" s="43"/>
      <c r="HM177" s="43"/>
      <c r="HN177" s="43"/>
    </row>
    <row r="178" spans="3:222" ht="15.75" customHeight="1" x14ac:dyDescent="0.2">
      <c r="C178" s="111" t="s">
        <v>143</v>
      </c>
      <c r="D178" s="102"/>
      <c r="E178" s="102"/>
      <c r="F178" s="102"/>
      <c r="G178" s="102"/>
      <c r="H178" s="102">
        <f>+H129/$D$150</f>
        <v>110169.49152542374</v>
      </c>
      <c r="I178" s="102">
        <f>+I129/$D$150</f>
        <v>19830.508474576272</v>
      </c>
      <c r="J178" s="102">
        <f>+J129/$D$150</f>
        <v>110169.49152542374</v>
      </c>
      <c r="K178" s="102">
        <f t="shared" ref="K178:K179" si="62">+K129/$D$150</f>
        <v>19830.508474576272</v>
      </c>
      <c r="L178" s="102">
        <f>+L129/$D$150</f>
        <v>130000.00000000001</v>
      </c>
      <c r="M178" s="47"/>
      <c r="N178" s="47"/>
      <c r="O178" s="47"/>
      <c r="CQ178" s="48"/>
      <c r="CR178" s="48"/>
      <c r="CS178" s="48"/>
      <c r="CT178" s="48"/>
      <c r="CU178" s="48"/>
      <c r="HJ178" s="43"/>
      <c r="HK178" s="43"/>
      <c r="HL178" s="43"/>
      <c r="HM178" s="43"/>
      <c r="HN178" s="43"/>
    </row>
    <row r="179" spans="3:222" ht="12.75" customHeight="1" x14ac:dyDescent="0.2">
      <c r="C179" s="111" t="s">
        <v>144</v>
      </c>
      <c r="D179" s="102"/>
      <c r="E179" s="102"/>
      <c r="F179" s="102"/>
      <c r="G179" s="102"/>
      <c r="H179" s="102">
        <f t="shared" ref="H179:K182" si="63">+H130/$D$150</f>
        <v>152542.37288135593</v>
      </c>
      <c r="I179" s="102">
        <f t="shared" si="63"/>
        <v>27457.627118644068</v>
      </c>
      <c r="J179" s="102">
        <f t="shared" si="63"/>
        <v>152542.37288135593</v>
      </c>
      <c r="K179" s="102">
        <f t="shared" si="62"/>
        <v>27457.627118644068</v>
      </c>
      <c r="L179" s="102">
        <f>+L130/$D$150</f>
        <v>180000</v>
      </c>
      <c r="M179" s="47"/>
      <c r="N179" s="47"/>
      <c r="O179" s="47"/>
      <c r="CQ179" s="48"/>
      <c r="CR179" s="48"/>
      <c r="CS179" s="48"/>
      <c r="CT179" s="48"/>
      <c r="CU179" s="48"/>
      <c r="HJ179" s="43"/>
      <c r="HK179" s="43"/>
      <c r="HL179" s="43"/>
      <c r="HM179" s="43"/>
      <c r="HN179" s="43"/>
    </row>
    <row r="180" spans="3:222" ht="12.75" customHeight="1" x14ac:dyDescent="0.2">
      <c r="C180" s="111" t="s">
        <v>145</v>
      </c>
      <c r="D180" s="102">
        <f>+D131/$D$150</f>
        <v>1066705.8823529412</v>
      </c>
      <c r="E180" s="102">
        <f t="shared" ref="E180:G180" si="64">+E131/$D$150</f>
        <v>192007.05882352943</v>
      </c>
      <c r="F180" s="102">
        <f t="shared" si="64"/>
        <v>369647.0588235294</v>
      </c>
      <c r="G180" s="102">
        <f t="shared" si="64"/>
        <v>66536.470588235301</v>
      </c>
      <c r="H180" s="102"/>
      <c r="I180" s="102"/>
      <c r="J180" s="102">
        <f t="shared" si="63"/>
        <v>1436352.9411764706</v>
      </c>
      <c r="K180" s="102">
        <f t="shared" si="63"/>
        <v>258543.5294117647</v>
      </c>
      <c r="L180" s="102">
        <f>+L131/$D$150</f>
        <v>1694896.4705882354</v>
      </c>
      <c r="M180" s="47"/>
      <c r="N180" s="47"/>
      <c r="O180" s="47"/>
      <c r="CQ180" s="48"/>
      <c r="CR180" s="48"/>
      <c r="CS180" s="48"/>
      <c r="CT180" s="48"/>
      <c r="CU180" s="48"/>
      <c r="HJ180" s="43"/>
      <c r="HK180" s="43"/>
      <c r="HL180" s="43"/>
      <c r="HM180" s="43"/>
      <c r="HN180" s="43"/>
    </row>
    <row r="181" spans="3:222" ht="12.75" customHeight="1" x14ac:dyDescent="0.2">
      <c r="C181" s="111" t="s">
        <v>146</v>
      </c>
      <c r="D181" s="102"/>
      <c r="E181" s="102"/>
      <c r="F181" s="102"/>
      <c r="G181" s="102"/>
      <c r="H181" s="102">
        <f t="shared" si="63"/>
        <v>396311.06679960119</v>
      </c>
      <c r="I181" s="102">
        <f t="shared" si="63"/>
        <v>71335.992023928222</v>
      </c>
      <c r="J181" s="102">
        <f t="shared" si="63"/>
        <v>396311.06679960119</v>
      </c>
      <c r="K181" s="102">
        <f t="shared" si="63"/>
        <v>71335.992023928222</v>
      </c>
      <c r="L181" s="102">
        <f>+L132/$D$150</f>
        <v>467647.0588235294</v>
      </c>
      <c r="M181" s="47"/>
      <c r="N181" s="47"/>
      <c r="O181" s="47"/>
      <c r="CQ181" s="48"/>
      <c r="CR181" s="48"/>
      <c r="CS181" s="48"/>
      <c r="CT181" s="48"/>
      <c r="CU181" s="48"/>
      <c r="HJ181" s="43"/>
      <c r="HK181" s="43"/>
      <c r="HL181" s="43"/>
      <c r="HM181" s="43"/>
      <c r="HN181" s="43"/>
    </row>
    <row r="182" spans="3:222" ht="12.75" customHeight="1" x14ac:dyDescent="0.2">
      <c r="C182" s="111" t="s">
        <v>168</v>
      </c>
      <c r="D182" s="102"/>
      <c r="E182" s="102"/>
      <c r="F182" s="102"/>
      <c r="G182" s="102"/>
      <c r="H182" s="102">
        <f t="shared" si="63"/>
        <v>29910.269192422733</v>
      </c>
      <c r="I182" s="102">
        <f t="shared" si="63"/>
        <v>5383.8484546360924</v>
      </c>
      <c r="J182" s="102">
        <f t="shared" si="63"/>
        <v>29910.269192422733</v>
      </c>
      <c r="K182" s="102">
        <f t="shared" si="63"/>
        <v>5383.8484546360924</v>
      </c>
      <c r="L182" s="102">
        <f>+L133/$D$150</f>
        <v>35294.117647058825</v>
      </c>
      <c r="M182" s="47"/>
      <c r="N182" s="47"/>
      <c r="O182" s="47"/>
      <c r="CQ182" s="48"/>
      <c r="CR182" s="48"/>
      <c r="CS182" s="48"/>
      <c r="CT182" s="48"/>
      <c r="CU182" s="48"/>
      <c r="HJ182" s="43"/>
      <c r="HK182" s="43"/>
      <c r="HL182" s="43"/>
      <c r="HM182" s="43"/>
      <c r="HN182" s="43"/>
    </row>
    <row r="183" spans="3:222" ht="12.75" customHeight="1" x14ac:dyDescent="0.2">
      <c r="C183" s="117" t="s">
        <v>74</v>
      </c>
      <c r="D183" s="118">
        <f t="shared" ref="D183:I183" si="65">+D155+D163</f>
        <v>35104367.346679702</v>
      </c>
      <c r="E183" s="118">
        <f t="shared" si="65"/>
        <v>6318786.1224023467</v>
      </c>
      <c r="F183" s="118">
        <f t="shared" si="65"/>
        <v>26908437.487025592</v>
      </c>
      <c r="G183" s="118">
        <f t="shared" si="65"/>
        <v>4833028.5515861744</v>
      </c>
      <c r="H183" s="118">
        <f t="shared" si="65"/>
        <v>5607848.8977511907</v>
      </c>
      <c r="I183" s="118">
        <f t="shared" si="65"/>
        <v>631198.16107233905</v>
      </c>
      <c r="J183" s="118">
        <f>+J155+J163</f>
        <v>67620653.731456488</v>
      </c>
      <c r="K183" s="118">
        <f>+K155+K163</f>
        <v>11783012.835060857</v>
      </c>
      <c r="L183" s="118">
        <f>+L155+L163</f>
        <v>79403666.566517338</v>
      </c>
      <c r="M183" s="47"/>
      <c r="N183" s="47"/>
      <c r="O183" s="47"/>
      <c r="CQ183" s="48"/>
      <c r="CR183" s="48"/>
      <c r="CS183" s="48"/>
      <c r="CT183" s="48"/>
      <c r="CU183" s="48"/>
      <c r="HJ183" s="43"/>
      <c r="HK183" s="43"/>
      <c r="HL183" s="43"/>
      <c r="HM183" s="43"/>
      <c r="HN183" s="43"/>
    </row>
    <row r="184" spans="3:222" hidden="1" x14ac:dyDescent="0.2">
      <c r="C184" s="135" t="s">
        <v>169</v>
      </c>
      <c r="D184" s="102">
        <f>+G78</f>
        <v>0</v>
      </c>
      <c r="E184" s="102">
        <f t="shared" ref="E184:E186" si="66">+D184/$D$150</f>
        <v>0</v>
      </c>
      <c r="F184" s="102"/>
      <c r="G184" s="102">
        <f t="shared" ref="G184:G186" si="67">+F184/$D$150</f>
        <v>0</v>
      </c>
      <c r="H184" s="102">
        <f t="shared" ref="H184:I186" si="68">+D184+F184</f>
        <v>0</v>
      </c>
      <c r="I184" s="102">
        <f t="shared" si="68"/>
        <v>0</v>
      </c>
      <c r="L184" s="46"/>
      <c r="M184" s="47"/>
      <c r="N184" s="47"/>
      <c r="O184" s="47"/>
      <c r="CQ184" s="48"/>
      <c r="CR184" s="48"/>
      <c r="CS184" s="48"/>
      <c r="CT184" s="48"/>
      <c r="CU184" s="48"/>
      <c r="HJ184" s="43"/>
      <c r="HK184" s="43"/>
      <c r="HL184" s="43"/>
      <c r="HM184" s="43"/>
      <c r="HN184" s="43"/>
    </row>
    <row r="185" spans="3:222" hidden="1" x14ac:dyDescent="0.2">
      <c r="C185" s="135" t="s">
        <v>170</v>
      </c>
      <c r="D185" s="102">
        <f>+H78</f>
        <v>0</v>
      </c>
      <c r="E185" s="102">
        <f t="shared" si="66"/>
        <v>0</v>
      </c>
      <c r="F185" s="102"/>
      <c r="G185" s="102">
        <f t="shared" si="67"/>
        <v>0</v>
      </c>
      <c r="H185" s="102">
        <f t="shared" si="68"/>
        <v>0</v>
      </c>
      <c r="I185" s="102">
        <f t="shared" si="68"/>
        <v>0</v>
      </c>
      <c r="L185" s="46"/>
      <c r="M185" s="47"/>
      <c r="N185" s="47"/>
      <c r="O185" s="47"/>
      <c r="CQ185" s="48"/>
      <c r="CR185" s="48"/>
      <c r="CS185" s="48"/>
      <c r="CT185" s="48"/>
      <c r="CU185" s="48"/>
      <c r="HJ185" s="43"/>
      <c r="HK185" s="43"/>
      <c r="HL185" s="43"/>
      <c r="HM185" s="43"/>
      <c r="HN185" s="43"/>
    </row>
    <row r="186" spans="3:222" hidden="1" x14ac:dyDescent="0.2">
      <c r="C186" s="135" t="s">
        <v>171</v>
      </c>
      <c r="D186" s="102">
        <f>+I78</f>
        <v>0</v>
      </c>
      <c r="E186" s="102">
        <f t="shared" si="66"/>
        <v>0</v>
      </c>
      <c r="F186" s="102"/>
      <c r="G186" s="102">
        <f t="shared" si="67"/>
        <v>0</v>
      </c>
      <c r="H186" s="102">
        <f t="shared" si="68"/>
        <v>0</v>
      </c>
      <c r="I186" s="102">
        <f t="shared" si="68"/>
        <v>0</v>
      </c>
      <c r="L186" s="46"/>
      <c r="M186" s="47"/>
      <c r="N186" s="47"/>
      <c r="O186" s="47"/>
      <c r="CQ186" s="48"/>
      <c r="CR186" s="48"/>
      <c r="CS186" s="48"/>
      <c r="CT186" s="48"/>
      <c r="CU186" s="48"/>
      <c r="HJ186" s="43"/>
      <c r="HK186" s="43"/>
      <c r="HL186" s="43"/>
      <c r="HM186" s="43"/>
      <c r="HN186" s="43"/>
    </row>
    <row r="187" spans="3:222" hidden="1" x14ac:dyDescent="0.2">
      <c r="C187" s="136" t="s">
        <v>128</v>
      </c>
      <c r="D187" s="137"/>
      <c r="E187" s="137"/>
      <c r="F187" s="137"/>
      <c r="G187" s="137"/>
      <c r="H187" s="137"/>
      <c r="I187" s="137"/>
      <c r="L187" s="46"/>
      <c r="M187" s="47"/>
      <c r="N187" s="47"/>
      <c r="O187" s="47"/>
      <c r="CQ187" s="48"/>
      <c r="CR187" s="48"/>
      <c r="CS187" s="48"/>
      <c r="CT187" s="48"/>
      <c r="CU187" s="48"/>
      <c r="HJ187" s="43"/>
      <c r="HK187" s="43"/>
      <c r="HL187" s="43"/>
      <c r="HM187" s="43"/>
      <c r="HN187" s="43"/>
    </row>
    <row r="188" spans="3:222" hidden="1" x14ac:dyDescent="0.2">
      <c r="C188" s="138" t="s">
        <v>172</v>
      </c>
      <c r="D188" s="137"/>
      <c r="E188" s="137"/>
      <c r="F188" s="137"/>
      <c r="G188" s="137"/>
      <c r="H188" s="137" t="e">
        <f>SUM(H189:H192)</f>
        <v>#REF!</v>
      </c>
      <c r="I188" s="137" t="e">
        <f>SUM(I189:I192)</f>
        <v>#REF!</v>
      </c>
      <c r="L188" s="46"/>
      <c r="M188" s="47"/>
      <c r="N188" s="47"/>
      <c r="O188" s="47"/>
      <c r="CQ188" s="48"/>
      <c r="CR188" s="48"/>
      <c r="CS188" s="48"/>
      <c r="CT188" s="48"/>
      <c r="CU188" s="48"/>
      <c r="HJ188" s="43"/>
      <c r="HK188" s="43"/>
      <c r="HL188" s="43"/>
      <c r="HM188" s="43"/>
      <c r="HN188" s="43"/>
    </row>
    <row r="189" spans="3:222" hidden="1" x14ac:dyDescent="0.2">
      <c r="C189" s="109" t="s">
        <v>173</v>
      </c>
      <c r="D189" s="102"/>
      <c r="E189" s="102"/>
      <c r="F189" s="102"/>
      <c r="G189" s="102"/>
      <c r="H189" s="102" t="e">
        <f>+#REF!</f>
        <v>#REF!</v>
      </c>
      <c r="I189" s="102" t="e">
        <f>+H189/$D$150</f>
        <v>#REF!</v>
      </c>
      <c r="L189" s="46"/>
      <c r="M189" s="47"/>
      <c r="N189" s="47"/>
      <c r="O189" s="47"/>
      <c r="CQ189" s="48"/>
      <c r="CR189" s="48"/>
      <c r="CS189" s="48"/>
      <c r="CT189" s="48"/>
      <c r="CU189" s="48"/>
      <c r="HJ189" s="43"/>
      <c r="HK189" s="43"/>
      <c r="HL189" s="43"/>
      <c r="HM189" s="43"/>
      <c r="HN189" s="43"/>
    </row>
    <row r="190" spans="3:222" hidden="1" x14ac:dyDescent="0.2">
      <c r="C190" s="109" t="s">
        <v>174</v>
      </c>
      <c r="D190" s="102"/>
      <c r="E190" s="102"/>
      <c r="F190" s="102"/>
      <c r="G190" s="102"/>
      <c r="H190" s="102" t="e">
        <f>+#REF!</f>
        <v>#REF!</v>
      </c>
      <c r="I190" s="102" t="e">
        <f>+H190/$D$150</f>
        <v>#REF!</v>
      </c>
      <c r="L190" s="46"/>
      <c r="M190" s="47"/>
      <c r="N190" s="47"/>
      <c r="O190" s="47"/>
      <c r="CQ190" s="48"/>
      <c r="CR190" s="48"/>
      <c r="CS190" s="48"/>
      <c r="CT190" s="48"/>
      <c r="CU190" s="48"/>
      <c r="HJ190" s="43"/>
      <c r="HK190" s="43"/>
      <c r="HL190" s="43"/>
      <c r="HM190" s="43"/>
      <c r="HN190" s="43"/>
    </row>
    <row r="191" spans="3:222" hidden="1" x14ac:dyDescent="0.2">
      <c r="C191" s="109" t="s">
        <v>175</v>
      </c>
      <c r="D191" s="102"/>
      <c r="E191" s="102"/>
      <c r="F191" s="102"/>
      <c r="G191" s="102"/>
      <c r="H191" s="102" t="e">
        <f>+#REF!</f>
        <v>#REF!</v>
      </c>
      <c r="I191" s="102" t="e">
        <f>+H191/$D$150</f>
        <v>#REF!</v>
      </c>
      <c r="L191" s="46"/>
      <c r="M191" s="47"/>
      <c r="N191" s="47"/>
      <c r="O191" s="47"/>
      <c r="CQ191" s="48"/>
      <c r="CR191" s="48"/>
      <c r="CS191" s="48"/>
      <c r="CT191" s="48"/>
      <c r="CU191" s="48"/>
      <c r="HJ191" s="43"/>
      <c r="HK191" s="43"/>
      <c r="HL191" s="43"/>
      <c r="HM191" s="43"/>
      <c r="HN191" s="43"/>
    </row>
    <row r="192" spans="3:222" ht="25.5" hidden="1" x14ac:dyDescent="0.2">
      <c r="C192" s="109" t="s">
        <v>176</v>
      </c>
      <c r="D192" s="102"/>
      <c r="E192" s="102"/>
      <c r="F192" s="102"/>
      <c r="G192" s="102"/>
      <c r="H192" s="102" t="e">
        <f>+#REF!</f>
        <v>#REF!</v>
      </c>
      <c r="I192" s="102" t="e">
        <f>+H192/$D$150</f>
        <v>#REF!</v>
      </c>
      <c r="L192" s="46"/>
      <c r="M192" s="47"/>
      <c r="N192" s="47"/>
      <c r="O192" s="47"/>
      <c r="CQ192" s="48"/>
      <c r="CR192" s="48"/>
      <c r="CS192" s="48"/>
      <c r="CT192" s="48"/>
      <c r="CU192" s="48"/>
      <c r="HJ192" s="43"/>
      <c r="HK192" s="43"/>
      <c r="HL192" s="43"/>
      <c r="HM192" s="43"/>
      <c r="HN192" s="43"/>
    </row>
    <row r="193" spans="3:222" hidden="1" x14ac:dyDescent="0.2">
      <c r="C193" s="138" t="s">
        <v>133</v>
      </c>
      <c r="D193" s="137" t="e">
        <f t="shared" ref="D193:H193" si="69">SUM(D194:D199)</f>
        <v>#REF!</v>
      </c>
      <c r="E193" s="137" t="e">
        <f t="shared" si="69"/>
        <v>#REF!</v>
      </c>
      <c r="F193" s="137" t="e">
        <f t="shared" si="69"/>
        <v>#REF!</v>
      </c>
      <c r="G193" s="137" t="e">
        <f t="shared" si="69"/>
        <v>#REF!</v>
      </c>
      <c r="H193" s="137" t="e">
        <f t="shared" si="69"/>
        <v>#REF!</v>
      </c>
      <c r="I193" s="137" t="e">
        <f>SUM(I194:I199)</f>
        <v>#REF!</v>
      </c>
      <c r="L193" s="46"/>
      <c r="M193" s="47"/>
      <c r="N193" s="47"/>
      <c r="O193" s="47"/>
      <c r="CQ193" s="48"/>
      <c r="CR193" s="48"/>
      <c r="CS193" s="48"/>
      <c r="CT193" s="48"/>
      <c r="CU193" s="48"/>
      <c r="HJ193" s="43"/>
      <c r="HK193" s="43"/>
      <c r="HL193" s="43"/>
      <c r="HM193" s="43"/>
      <c r="HN193" s="43"/>
    </row>
    <row r="194" spans="3:222" hidden="1" x14ac:dyDescent="0.2">
      <c r="C194" s="139" t="s">
        <v>134</v>
      </c>
      <c r="D194" s="102" t="e">
        <f>+#REF!</f>
        <v>#REF!</v>
      </c>
      <c r="E194" s="102" t="e">
        <f>+D194/$D$150</f>
        <v>#REF!</v>
      </c>
      <c r="F194" s="102" t="e">
        <f>+#REF!</f>
        <v>#REF!</v>
      </c>
      <c r="G194" s="102" t="e">
        <f t="shared" ref="G194:G199" si="70">+F194/$D$150</f>
        <v>#REF!</v>
      </c>
      <c r="H194" s="102" t="e">
        <f>+D194+F194</f>
        <v>#REF!</v>
      </c>
      <c r="I194" s="102" t="e">
        <f>+E194+G194</f>
        <v>#REF!</v>
      </c>
      <c r="L194" s="46"/>
      <c r="M194" s="47"/>
      <c r="N194" s="47"/>
      <c r="O194" s="47"/>
      <c r="CQ194" s="48"/>
      <c r="CR194" s="48"/>
      <c r="CS194" s="48"/>
      <c r="CT194" s="48"/>
      <c r="CU194" s="48"/>
      <c r="HJ194" s="43"/>
      <c r="HK194" s="43"/>
      <c r="HL194" s="43"/>
      <c r="HM194" s="43"/>
      <c r="HN194" s="43"/>
    </row>
    <row r="195" spans="3:222" hidden="1" x14ac:dyDescent="0.2">
      <c r="C195" s="139" t="s">
        <v>177</v>
      </c>
      <c r="D195" s="102"/>
      <c r="E195" s="102"/>
      <c r="F195" s="102" t="e">
        <f>+#REF!</f>
        <v>#REF!</v>
      </c>
      <c r="G195" s="102" t="e">
        <f t="shared" si="70"/>
        <v>#REF!</v>
      </c>
      <c r="H195" s="102" t="e">
        <f t="shared" ref="H195:H197" si="71">+D195+F195</f>
        <v>#REF!</v>
      </c>
      <c r="I195" s="102" t="e">
        <f>+E195+G195</f>
        <v>#REF!</v>
      </c>
      <c r="L195" s="46"/>
      <c r="M195" s="47"/>
      <c r="N195" s="47"/>
      <c r="O195" s="47"/>
      <c r="CQ195" s="48"/>
      <c r="CR195" s="48"/>
      <c r="CS195" s="48"/>
      <c r="CT195" s="48"/>
      <c r="CU195" s="48"/>
      <c r="HJ195" s="43"/>
      <c r="HK195" s="43"/>
      <c r="HL195" s="43"/>
      <c r="HM195" s="43"/>
      <c r="HN195" s="43"/>
    </row>
    <row r="196" spans="3:222" hidden="1" x14ac:dyDescent="0.2">
      <c r="C196" s="139" t="s">
        <v>136</v>
      </c>
      <c r="D196" s="102" t="e">
        <f>+#REF!</f>
        <v>#REF!</v>
      </c>
      <c r="E196" s="102" t="e">
        <f>+D196/$D$150</f>
        <v>#REF!</v>
      </c>
      <c r="F196" s="102" t="e">
        <f>+#REF!</f>
        <v>#REF!</v>
      </c>
      <c r="G196" s="102" t="e">
        <f t="shared" si="70"/>
        <v>#REF!</v>
      </c>
      <c r="H196" s="102" t="e">
        <f t="shared" si="71"/>
        <v>#REF!</v>
      </c>
      <c r="I196" s="102" t="e">
        <f>+E196+G196</f>
        <v>#REF!</v>
      </c>
      <c r="L196" s="46"/>
      <c r="M196" s="47"/>
      <c r="N196" s="47"/>
      <c r="O196" s="47"/>
      <c r="CQ196" s="48"/>
      <c r="CR196" s="48"/>
      <c r="CS196" s="48"/>
      <c r="CT196" s="48"/>
      <c r="CU196" s="48"/>
      <c r="HJ196" s="43"/>
      <c r="HK196" s="43"/>
      <c r="HL196" s="43"/>
      <c r="HM196" s="43"/>
      <c r="HN196" s="43"/>
    </row>
    <row r="197" spans="3:222" hidden="1" x14ac:dyDescent="0.2">
      <c r="C197" s="139" t="s">
        <v>137</v>
      </c>
      <c r="D197" s="102"/>
      <c r="E197" s="102"/>
      <c r="F197" s="102" t="e">
        <f>+#REF!</f>
        <v>#REF!</v>
      </c>
      <c r="G197" s="102" t="e">
        <f t="shared" si="70"/>
        <v>#REF!</v>
      </c>
      <c r="H197" s="102" t="e">
        <f t="shared" si="71"/>
        <v>#REF!</v>
      </c>
      <c r="I197" s="102" t="e">
        <f>+E197+G197</f>
        <v>#REF!</v>
      </c>
      <c r="L197" s="46"/>
      <c r="M197" s="47"/>
      <c r="N197" s="47"/>
      <c r="O197" s="47"/>
      <c r="CQ197" s="48"/>
      <c r="CR197" s="48"/>
      <c r="CS197" s="48"/>
      <c r="CT197" s="48"/>
      <c r="CU197" s="48"/>
      <c r="HJ197" s="43"/>
      <c r="HK197" s="43"/>
      <c r="HL197" s="43"/>
      <c r="HM197" s="43"/>
      <c r="HN197" s="43"/>
    </row>
    <row r="198" spans="3:222" hidden="1" x14ac:dyDescent="0.2">
      <c r="C198" s="139" t="s">
        <v>138</v>
      </c>
      <c r="D198" s="102" t="e">
        <f>+#REF!</f>
        <v>#REF!</v>
      </c>
      <c r="E198" s="102" t="e">
        <f>+D198/$D$150</f>
        <v>#REF!</v>
      </c>
      <c r="F198" s="102" t="e">
        <f>+#REF!</f>
        <v>#REF!</v>
      </c>
      <c r="G198" s="102" t="e">
        <f t="shared" si="70"/>
        <v>#REF!</v>
      </c>
      <c r="H198" s="102" t="e">
        <f>+D198+F198</f>
        <v>#REF!</v>
      </c>
      <c r="I198" s="102" t="e">
        <f>+E198+G198</f>
        <v>#REF!</v>
      </c>
      <c r="L198" s="46"/>
      <c r="M198" s="47"/>
      <c r="N198" s="47"/>
      <c r="O198" s="47"/>
      <c r="CQ198" s="48"/>
      <c r="CR198" s="48"/>
      <c r="CS198" s="48"/>
      <c r="CT198" s="48"/>
      <c r="CU198" s="48"/>
      <c r="HJ198" s="43"/>
      <c r="HK198" s="43"/>
      <c r="HL198" s="43"/>
      <c r="HM198" s="43"/>
      <c r="HN198" s="43"/>
    </row>
    <row r="199" spans="3:222" hidden="1" x14ac:dyDescent="0.2">
      <c r="C199" s="139" t="s">
        <v>139</v>
      </c>
      <c r="D199" s="102"/>
      <c r="E199" s="102"/>
      <c r="F199" s="102" t="e">
        <f>+#REF!</f>
        <v>#REF!</v>
      </c>
      <c r="G199" s="102" t="e">
        <f t="shared" si="70"/>
        <v>#REF!</v>
      </c>
      <c r="H199" s="102" t="e">
        <f t="shared" ref="H199" si="72">+D199+F199</f>
        <v>#REF!</v>
      </c>
      <c r="I199" s="102" t="e">
        <f>+E199+G199</f>
        <v>#REF!</v>
      </c>
      <c r="L199" s="46"/>
      <c r="M199" s="47"/>
      <c r="N199" s="47"/>
      <c r="O199" s="47"/>
      <c r="CQ199" s="48"/>
      <c r="CR199" s="48"/>
      <c r="CS199" s="48"/>
      <c r="CT199" s="48"/>
      <c r="CU199" s="48"/>
      <c r="HJ199" s="43"/>
      <c r="HK199" s="43"/>
      <c r="HL199" s="43"/>
      <c r="HM199" s="43"/>
      <c r="HN199" s="43"/>
    </row>
    <row r="200" spans="3:222" hidden="1" x14ac:dyDescent="0.2">
      <c r="C200" s="136" t="s">
        <v>74</v>
      </c>
      <c r="D200" s="137" t="e">
        <f>+D188+D193</f>
        <v>#REF!</v>
      </c>
      <c r="E200" s="137" t="e">
        <f t="shared" ref="E200:I200" si="73">+E188+E193</f>
        <v>#REF!</v>
      </c>
      <c r="F200" s="137" t="e">
        <f t="shared" si="73"/>
        <v>#REF!</v>
      </c>
      <c r="G200" s="137" t="e">
        <f t="shared" si="73"/>
        <v>#REF!</v>
      </c>
      <c r="H200" s="137" t="e">
        <f t="shared" si="73"/>
        <v>#REF!</v>
      </c>
      <c r="I200" s="137" t="e">
        <f t="shared" si="73"/>
        <v>#REF!</v>
      </c>
      <c r="L200" s="46"/>
      <c r="M200" s="47"/>
      <c r="N200" s="47"/>
      <c r="O200" s="47"/>
      <c r="CQ200" s="48"/>
      <c r="CR200" s="48"/>
      <c r="CS200" s="48"/>
      <c r="CT200" s="48"/>
      <c r="CU200" s="48"/>
      <c r="HJ200" s="43"/>
      <c r="HK200" s="43"/>
      <c r="HL200" s="43"/>
      <c r="HM200" s="43"/>
      <c r="HN200" s="43"/>
    </row>
    <row r="201" spans="3:222" hidden="1" x14ac:dyDescent="0.2">
      <c r="C201" s="111" t="s">
        <v>143</v>
      </c>
      <c r="D201" s="102">
        <f t="shared" ref="D201:I205" si="74">+D129/$D$150</f>
        <v>0</v>
      </c>
      <c r="E201" s="102">
        <f t="shared" si="74"/>
        <v>0</v>
      </c>
      <c r="F201" s="102">
        <f t="shared" si="74"/>
        <v>0</v>
      </c>
      <c r="G201" s="102">
        <f t="shared" si="74"/>
        <v>0</v>
      </c>
      <c r="H201" s="102">
        <f t="shared" si="74"/>
        <v>110169.49152542374</v>
      </c>
      <c r="I201" s="102">
        <f t="shared" si="74"/>
        <v>19830.508474576272</v>
      </c>
      <c r="J201" s="102">
        <f>+L129/$D$150</f>
        <v>130000.00000000001</v>
      </c>
      <c r="L201" s="46"/>
      <c r="M201" s="47"/>
      <c r="N201" s="47"/>
      <c r="O201" s="47"/>
      <c r="CQ201" s="48"/>
      <c r="CR201" s="48"/>
      <c r="CS201" s="48"/>
      <c r="CT201" s="48"/>
      <c r="CU201" s="48"/>
      <c r="HJ201" s="43"/>
      <c r="HK201" s="43"/>
      <c r="HL201" s="43"/>
      <c r="HM201" s="43"/>
      <c r="HN201" s="43"/>
    </row>
    <row r="202" spans="3:222" hidden="1" x14ac:dyDescent="0.2">
      <c r="C202" s="111" t="s">
        <v>144</v>
      </c>
      <c r="D202" s="102">
        <f t="shared" si="74"/>
        <v>0</v>
      </c>
      <c r="E202" s="102">
        <f t="shared" si="74"/>
        <v>0</v>
      </c>
      <c r="F202" s="102">
        <f t="shared" si="74"/>
        <v>0</v>
      </c>
      <c r="G202" s="102">
        <f t="shared" si="74"/>
        <v>0</v>
      </c>
      <c r="H202" s="102">
        <f t="shared" si="74"/>
        <v>152542.37288135593</v>
      </c>
      <c r="I202" s="102">
        <f t="shared" si="74"/>
        <v>27457.627118644068</v>
      </c>
      <c r="J202" s="102">
        <f>+L130/$D$150</f>
        <v>180000</v>
      </c>
    </row>
    <row r="203" spans="3:222" hidden="1" x14ac:dyDescent="0.2">
      <c r="C203" s="111" t="s">
        <v>145</v>
      </c>
      <c r="D203" s="102">
        <f t="shared" si="74"/>
        <v>1066705.8823529412</v>
      </c>
      <c r="E203" s="102" t="e">
        <f>+#REF!/$D$150</f>
        <v>#REF!</v>
      </c>
      <c r="F203" s="102">
        <f t="shared" si="74"/>
        <v>369647.0588235294</v>
      </c>
      <c r="G203" s="102" t="e">
        <f>+#REF!/$D$150</f>
        <v>#REF!</v>
      </c>
      <c r="H203" s="102">
        <f t="shared" si="74"/>
        <v>0</v>
      </c>
      <c r="I203" s="102">
        <f t="shared" si="74"/>
        <v>0</v>
      </c>
      <c r="J203" s="102">
        <f>+L131/$D$150</f>
        <v>1694896.4705882354</v>
      </c>
    </row>
    <row r="204" spans="3:222" hidden="1" x14ac:dyDescent="0.2">
      <c r="C204" s="111" t="s">
        <v>146</v>
      </c>
      <c r="D204" s="102">
        <f>+E131/$D$150</f>
        <v>192007.05882352943</v>
      </c>
      <c r="E204" s="102">
        <f t="shared" si="74"/>
        <v>0</v>
      </c>
      <c r="F204" s="102">
        <f>+G131/$D$150</f>
        <v>66536.470588235301</v>
      </c>
      <c r="G204" s="102">
        <f t="shared" si="74"/>
        <v>0</v>
      </c>
      <c r="H204" s="102">
        <f t="shared" si="74"/>
        <v>396311.06679960119</v>
      </c>
      <c r="I204" s="102">
        <f t="shared" si="74"/>
        <v>71335.992023928222</v>
      </c>
      <c r="J204" s="102">
        <f>+L132/$D$150</f>
        <v>467647.0588235294</v>
      </c>
    </row>
    <row r="205" spans="3:222" hidden="1" x14ac:dyDescent="0.2">
      <c r="C205" s="111" t="s">
        <v>168</v>
      </c>
      <c r="D205" s="102">
        <f t="shared" si="74"/>
        <v>0</v>
      </c>
      <c r="E205" s="102">
        <f t="shared" si="74"/>
        <v>0</v>
      </c>
      <c r="F205" s="102">
        <f t="shared" si="74"/>
        <v>0</v>
      </c>
      <c r="G205" s="102">
        <f t="shared" si="74"/>
        <v>0</v>
      </c>
      <c r="H205" s="102">
        <f t="shared" si="74"/>
        <v>29910.269192422733</v>
      </c>
      <c r="I205" s="102">
        <f t="shared" si="74"/>
        <v>5383.8484546360924</v>
      </c>
      <c r="J205" s="102">
        <f>+L133/$D$150</f>
        <v>35294.117647058825</v>
      </c>
    </row>
    <row r="206" spans="3:222" hidden="1" x14ac:dyDescent="0.2">
      <c r="C206" s="117" t="s">
        <v>74</v>
      </c>
      <c r="D206" s="118">
        <f>+D163+D155</f>
        <v>35104367.346679702</v>
      </c>
      <c r="E206" s="118">
        <f t="shared" ref="E206:G206" si="75">+E163+E155</f>
        <v>6318786.1224023467</v>
      </c>
      <c r="F206" s="118">
        <f t="shared" si="75"/>
        <v>26908437.487025592</v>
      </c>
      <c r="G206" s="118">
        <f t="shared" si="75"/>
        <v>4833028.5515861744</v>
      </c>
      <c r="H206" s="118">
        <f>+J163+J155</f>
        <v>67620653.731456488</v>
      </c>
      <c r="I206" s="118">
        <f>+K163+K155</f>
        <v>11783012.835060857</v>
      </c>
      <c r="J206" s="118">
        <f>+L163+L155</f>
        <v>79403666.566517338</v>
      </c>
    </row>
    <row r="208" spans="3:222" x14ac:dyDescent="0.2">
      <c r="H208" s="75"/>
      <c r="I208" s="75"/>
      <c r="J208" s="75">
        <f>+D180+F180</f>
        <v>1436352.9411764706</v>
      </c>
      <c r="K208" s="75">
        <f>+E180+G180</f>
        <v>258543.52941176473</v>
      </c>
      <c r="L208" s="132">
        <f>+J183+K183</f>
        <v>79403666.566517353</v>
      </c>
    </row>
    <row r="209" spans="3:12" x14ac:dyDescent="0.2">
      <c r="C209" s="45"/>
      <c r="L209" s="132">
        <f>+L183-L208</f>
        <v>0</v>
      </c>
    </row>
    <row r="210" spans="3:12" ht="15.75" x14ac:dyDescent="0.25">
      <c r="C210" s="349" t="s">
        <v>178</v>
      </c>
      <c r="D210" s="350"/>
      <c r="E210" s="350"/>
      <c r="F210" s="350"/>
      <c r="G210" s="351"/>
      <c r="H210" s="46"/>
      <c r="I210" s="46"/>
      <c r="J210" s="46"/>
      <c r="K210" s="46"/>
      <c r="L210" s="46"/>
    </row>
    <row r="211" spans="3:12" ht="12.75" customHeight="1" x14ac:dyDescent="0.2">
      <c r="C211" s="352" t="s">
        <v>112</v>
      </c>
      <c r="D211" s="91" t="s">
        <v>113</v>
      </c>
      <c r="E211" s="91" t="s">
        <v>5</v>
      </c>
      <c r="F211" s="91" t="s">
        <v>115</v>
      </c>
      <c r="G211" s="91" t="s">
        <v>179</v>
      </c>
      <c r="H211" s="46"/>
      <c r="I211" s="46"/>
      <c r="J211" s="46"/>
      <c r="K211" s="46"/>
      <c r="L211" s="46"/>
    </row>
    <row r="212" spans="3:12" x14ac:dyDescent="0.2">
      <c r="C212" s="353"/>
      <c r="D212" s="91" t="s">
        <v>119</v>
      </c>
      <c r="E212" s="91" t="s">
        <v>119</v>
      </c>
      <c r="F212" s="96" t="s">
        <v>119</v>
      </c>
      <c r="G212" s="91" t="s">
        <v>119</v>
      </c>
      <c r="H212" s="46"/>
      <c r="I212" s="46"/>
      <c r="J212" s="46"/>
      <c r="K212" s="46"/>
      <c r="L212" s="46"/>
    </row>
    <row r="213" spans="3:12" x14ac:dyDescent="0.2">
      <c r="C213" s="97" t="s">
        <v>120</v>
      </c>
      <c r="D213" s="98">
        <f t="shared" ref="D213:F213" si="76">+D214</f>
        <v>90697369.829627126</v>
      </c>
      <c r="E213" s="98">
        <f t="shared" si="76"/>
        <v>71688591.297694907</v>
      </c>
      <c r="F213" s="98">
        <f t="shared" si="76"/>
        <v>29229473.002917968</v>
      </c>
      <c r="G213" s="98">
        <f>SUM(D213:F213)</f>
        <v>191615434.13023999</v>
      </c>
      <c r="H213" s="46"/>
      <c r="I213" s="46"/>
      <c r="J213" s="46"/>
      <c r="K213" s="46"/>
      <c r="L213" s="46"/>
    </row>
    <row r="214" spans="3:12" x14ac:dyDescent="0.2">
      <c r="C214" s="99" t="s">
        <v>121</v>
      </c>
      <c r="D214" s="100">
        <f t="shared" ref="D214:F214" si="77">SUM(D215:D220)</f>
        <v>90697369.829627126</v>
      </c>
      <c r="E214" s="100">
        <f t="shared" si="77"/>
        <v>71688591.297694907</v>
      </c>
      <c r="F214" s="100">
        <f t="shared" si="77"/>
        <v>29229473.002917968</v>
      </c>
      <c r="G214" s="100">
        <f>SUM(D214:F214)</f>
        <v>191615434.13023999</v>
      </c>
      <c r="H214" s="46"/>
      <c r="I214" s="46"/>
      <c r="J214" s="46"/>
      <c r="K214" s="46"/>
      <c r="L214" s="46"/>
    </row>
    <row r="215" spans="3:12" x14ac:dyDescent="0.2">
      <c r="C215" s="101" t="s">
        <v>166</v>
      </c>
      <c r="D215" s="102">
        <f>+D108</f>
        <v>74878176.519999996</v>
      </c>
      <c r="E215" s="102">
        <f>+F108</f>
        <v>57564045.007966094</v>
      </c>
      <c r="F215" s="102">
        <f>+E108+G108</f>
        <v>23839599.875033896</v>
      </c>
      <c r="G215" s="102">
        <f>SUM(D215:F215)</f>
        <v>156281821.40299997</v>
      </c>
      <c r="H215" s="46"/>
      <c r="I215" s="46"/>
      <c r="J215" s="46"/>
      <c r="K215" s="46"/>
      <c r="L215" s="46"/>
    </row>
    <row r="216" spans="3:12" x14ac:dyDescent="0.2">
      <c r="C216" s="101" t="s">
        <v>123</v>
      </c>
      <c r="D216" s="102">
        <f t="shared" ref="D216:D220" si="78">+D109</f>
        <v>994152.54237288143</v>
      </c>
      <c r="E216" s="102">
        <f t="shared" ref="E216:E220" si="79">+F109</f>
        <v>512033.89830508479</v>
      </c>
      <c r="F216" s="102">
        <f t="shared" ref="F216:F220" si="80">+E109+G109</f>
        <v>271113.55932203389</v>
      </c>
      <c r="G216" s="102">
        <f t="shared" ref="G216:G220" si="81">SUM(D216:F216)</f>
        <v>1777300</v>
      </c>
      <c r="H216" s="46"/>
      <c r="I216" s="46"/>
      <c r="J216" s="46"/>
      <c r="K216" s="46"/>
      <c r="L216" s="46"/>
    </row>
    <row r="217" spans="3:12" x14ac:dyDescent="0.2">
      <c r="C217" s="101" t="s">
        <v>124</v>
      </c>
      <c r="D217" s="102">
        <f t="shared" si="78"/>
        <v>2030459.5254237286</v>
      </c>
      <c r="E217" s="102">
        <f t="shared" si="79"/>
        <v>1354279.6610169492</v>
      </c>
      <c r="F217" s="102">
        <f t="shared" si="80"/>
        <v>609253.05355932191</v>
      </c>
      <c r="G217" s="102">
        <f t="shared" si="81"/>
        <v>3993992.2399999998</v>
      </c>
      <c r="H217" s="46"/>
      <c r="I217" s="46"/>
      <c r="J217" s="46"/>
      <c r="K217" s="46"/>
      <c r="L217" s="46"/>
    </row>
    <row r="218" spans="3:12" x14ac:dyDescent="0.2">
      <c r="C218" s="101" t="s">
        <v>125</v>
      </c>
      <c r="D218" s="102">
        <f t="shared" si="78"/>
        <v>4123760.8898305092</v>
      </c>
      <c r="E218" s="102">
        <f t="shared" si="79"/>
        <v>5747760.4330000002</v>
      </c>
      <c r="F218" s="102">
        <f t="shared" si="80"/>
        <v>1776873.8381094916</v>
      </c>
      <c r="G218" s="102">
        <f t="shared" si="81"/>
        <v>11648395.160940001</v>
      </c>
      <c r="H218" s="46"/>
      <c r="I218" s="46"/>
      <c r="J218" s="46"/>
      <c r="K218" s="46"/>
      <c r="L218" s="46"/>
    </row>
    <row r="219" spans="3:12" x14ac:dyDescent="0.2">
      <c r="C219" s="101" t="s">
        <v>126</v>
      </c>
      <c r="D219" s="102">
        <f t="shared" si="78"/>
        <v>7487817.6519999998</v>
      </c>
      <c r="E219" s="102">
        <f t="shared" si="79"/>
        <v>5747760.4330000002</v>
      </c>
      <c r="F219" s="102">
        <f t="shared" si="80"/>
        <v>2382404.0553000001</v>
      </c>
      <c r="G219" s="102">
        <f t="shared" si="81"/>
        <v>15617982.140300002</v>
      </c>
      <c r="H219" s="46"/>
      <c r="I219" s="46"/>
      <c r="J219" s="46"/>
      <c r="K219" s="46"/>
      <c r="L219" s="46"/>
    </row>
    <row r="220" spans="3:12" x14ac:dyDescent="0.2">
      <c r="C220" s="101" t="s">
        <v>127</v>
      </c>
      <c r="D220" s="102">
        <f t="shared" si="78"/>
        <v>1183002.7</v>
      </c>
      <c r="E220" s="102">
        <f t="shared" si="79"/>
        <v>762711.86440677976</v>
      </c>
      <c r="F220" s="102">
        <f t="shared" si="80"/>
        <v>350228.62159322033</v>
      </c>
      <c r="G220" s="102">
        <f t="shared" si="81"/>
        <v>2295943.1859999998</v>
      </c>
      <c r="H220" s="46"/>
      <c r="I220" s="46"/>
      <c r="J220" s="46"/>
      <c r="K220" s="46"/>
      <c r="L220" s="46"/>
    </row>
    <row r="221" spans="3:12" x14ac:dyDescent="0.2">
      <c r="C221" s="105" t="s">
        <v>128</v>
      </c>
      <c r="D221" s="98">
        <f t="shared" ref="D221:G221" si="82">+D222+D226+D233+D235</f>
        <v>28657479.149083875</v>
      </c>
      <c r="E221" s="98">
        <f t="shared" si="82"/>
        <v>19800096.158192094</v>
      </c>
      <c r="F221" s="98">
        <f t="shared" si="82"/>
        <v>29899456.888643008</v>
      </c>
      <c r="G221" s="98">
        <f t="shared" si="82"/>
        <v>78357032.195918977</v>
      </c>
      <c r="H221" s="46"/>
      <c r="I221" s="46"/>
      <c r="J221" s="46"/>
      <c r="K221" s="46"/>
      <c r="L221" s="46"/>
    </row>
    <row r="222" spans="3:12" x14ac:dyDescent="0.2">
      <c r="C222" s="107" t="s">
        <v>129</v>
      </c>
      <c r="D222" s="100"/>
      <c r="E222" s="100">
        <f>SUM(E223:E225)</f>
        <v>356666.66666666663</v>
      </c>
      <c r="F222" s="100">
        <f t="shared" ref="F222:G222" si="83">SUM(F223:F225)</f>
        <v>18477293.333333336</v>
      </c>
      <c r="G222" s="100">
        <f t="shared" si="83"/>
        <v>18833960</v>
      </c>
      <c r="H222" s="46"/>
      <c r="I222" s="46"/>
      <c r="J222" s="46"/>
      <c r="K222" s="46"/>
      <c r="L222" s="46"/>
    </row>
    <row r="223" spans="3:12" x14ac:dyDescent="0.2">
      <c r="C223" s="109" t="s">
        <v>130</v>
      </c>
      <c r="D223" s="102"/>
      <c r="E223" s="102">
        <f>+F116</f>
        <v>356666.66666666663</v>
      </c>
      <c r="F223" s="102">
        <f>+G116+H116+I116</f>
        <v>14163333.333333334</v>
      </c>
      <c r="G223" s="102">
        <f>SUM(D223:F223)</f>
        <v>14520000</v>
      </c>
      <c r="H223" s="46"/>
      <c r="I223" s="46"/>
      <c r="J223" s="46"/>
      <c r="K223" s="46"/>
      <c r="L223" s="46"/>
    </row>
    <row r="224" spans="3:12" x14ac:dyDescent="0.2">
      <c r="C224" s="109" t="s">
        <v>131</v>
      </c>
      <c r="D224" s="102"/>
      <c r="E224" s="102"/>
      <c r="F224" s="102">
        <f t="shared" ref="F224:F225" si="84">+G117+H117+I117</f>
        <v>565760</v>
      </c>
      <c r="G224" s="102">
        <f t="shared" ref="G224:G225" si="85">SUM(D224:F224)</f>
        <v>565760</v>
      </c>
      <c r="H224" s="46"/>
      <c r="I224" s="46"/>
      <c r="J224" s="46"/>
      <c r="K224" s="46"/>
      <c r="L224" s="46"/>
    </row>
    <row r="225" spans="3:12" x14ac:dyDescent="0.2">
      <c r="C225" s="109" t="s">
        <v>132</v>
      </c>
      <c r="D225" s="102"/>
      <c r="E225" s="102"/>
      <c r="F225" s="102">
        <f t="shared" si="84"/>
        <v>3748200</v>
      </c>
      <c r="G225" s="102">
        <f t="shared" si="85"/>
        <v>3748200</v>
      </c>
      <c r="H225" s="46"/>
      <c r="I225" s="46"/>
      <c r="J225" s="46"/>
      <c r="K225" s="46"/>
      <c r="L225" s="46"/>
    </row>
    <row r="226" spans="3:12" x14ac:dyDescent="0.2">
      <c r="C226" s="99" t="s">
        <v>133</v>
      </c>
      <c r="D226" s="100">
        <f t="shared" ref="D226:G226" si="86">SUM(D227:D232)</f>
        <v>25030679.149083875</v>
      </c>
      <c r="E226" s="100">
        <f t="shared" si="86"/>
        <v>17958663.389830511</v>
      </c>
      <c r="F226" s="100">
        <f t="shared" si="86"/>
        <v>7738081.6570045892</v>
      </c>
      <c r="G226" s="100">
        <f t="shared" si="86"/>
        <v>50727424.195918977</v>
      </c>
      <c r="H226" s="46"/>
      <c r="I226" s="46"/>
      <c r="J226" s="46"/>
      <c r="K226" s="46"/>
      <c r="L226" s="46"/>
    </row>
    <row r="227" spans="3:12" x14ac:dyDescent="0.2">
      <c r="C227" s="111" t="s">
        <v>134</v>
      </c>
      <c r="D227" s="102">
        <f>+D120</f>
        <v>11382484.041050903</v>
      </c>
      <c r="E227" s="102">
        <f>+F120</f>
        <v>4324011.8644067803</v>
      </c>
      <c r="F227" s="102">
        <f>+E120+G120</f>
        <v>2827169.2629823829</v>
      </c>
      <c r="G227" s="102">
        <f>SUM(D227:F227)</f>
        <v>18533665.168440066</v>
      </c>
      <c r="H227" s="46"/>
      <c r="I227" s="46"/>
      <c r="J227" s="46"/>
      <c r="K227" s="46"/>
      <c r="L227" s="46"/>
    </row>
    <row r="228" spans="3:12" x14ac:dyDescent="0.2">
      <c r="C228" s="111" t="s">
        <v>135</v>
      </c>
      <c r="D228" s="102">
        <f t="shared" ref="D228:D232" si="87">+D121</f>
        <v>0</v>
      </c>
      <c r="E228" s="102">
        <f t="shared" ref="E228:E232" si="88">+F121</f>
        <v>3269591.8644067799</v>
      </c>
      <c r="F228" s="102">
        <f t="shared" ref="F228:F232" si="89">+E121+G121</f>
        <v>588526.53559322038</v>
      </c>
      <c r="G228" s="102">
        <f t="shared" ref="G228:G232" si="90">SUM(D228:F228)</f>
        <v>3858118.4000000004</v>
      </c>
      <c r="H228" s="46"/>
      <c r="I228" s="46"/>
      <c r="J228" s="46"/>
      <c r="K228" s="46"/>
      <c r="L228" s="46"/>
    </row>
    <row r="229" spans="3:12" ht="25.5" x14ac:dyDescent="0.2">
      <c r="C229" s="111" t="s">
        <v>136</v>
      </c>
      <c r="D229" s="102">
        <f t="shared" si="87"/>
        <v>2136140.2640264034</v>
      </c>
      <c r="E229" s="102">
        <f t="shared" si="88"/>
        <v>507128.81355932204</v>
      </c>
      <c r="F229" s="102">
        <f t="shared" si="89"/>
        <v>475788.43396543059</v>
      </c>
      <c r="G229" s="102">
        <f t="shared" si="90"/>
        <v>3119057.5115511562</v>
      </c>
      <c r="H229" s="46"/>
      <c r="I229" s="46"/>
      <c r="J229" s="46"/>
      <c r="K229" s="46"/>
      <c r="L229" s="46"/>
    </row>
    <row r="230" spans="3:12" ht="25.5" x14ac:dyDescent="0.2">
      <c r="C230" s="111" t="s">
        <v>137</v>
      </c>
      <c r="D230" s="102">
        <f t="shared" si="87"/>
        <v>0</v>
      </c>
      <c r="E230" s="102">
        <f t="shared" si="88"/>
        <v>507128.81355932204</v>
      </c>
      <c r="F230" s="102">
        <f t="shared" si="89"/>
        <v>91283.186440677964</v>
      </c>
      <c r="G230" s="102">
        <f t="shared" si="90"/>
        <v>598412</v>
      </c>
      <c r="H230" s="46"/>
      <c r="I230" s="46"/>
      <c r="J230" s="46"/>
      <c r="K230" s="46"/>
      <c r="L230" s="46"/>
    </row>
    <row r="231" spans="3:12" x14ac:dyDescent="0.2">
      <c r="C231" s="111" t="s">
        <v>138</v>
      </c>
      <c r="D231" s="102">
        <f t="shared" si="87"/>
        <v>11512054.844006568</v>
      </c>
      <c r="E231" s="102">
        <f t="shared" si="88"/>
        <v>5736812.2033898309</v>
      </c>
      <c r="F231" s="102">
        <f t="shared" si="89"/>
        <v>3104796.0685313516</v>
      </c>
      <c r="G231" s="102">
        <f t="shared" si="90"/>
        <v>20353663.115927752</v>
      </c>
      <c r="H231" s="46"/>
      <c r="I231" s="46"/>
      <c r="J231" s="46"/>
      <c r="K231" s="46"/>
      <c r="L231" s="46"/>
    </row>
    <row r="232" spans="3:12" x14ac:dyDescent="0.2">
      <c r="C232" s="111" t="s">
        <v>139</v>
      </c>
      <c r="D232" s="102">
        <f t="shared" si="87"/>
        <v>0</v>
      </c>
      <c r="E232" s="102">
        <f t="shared" si="88"/>
        <v>3613989.8305084747</v>
      </c>
      <c r="F232" s="102">
        <f t="shared" si="89"/>
        <v>650518.16949152539</v>
      </c>
      <c r="G232" s="102">
        <f t="shared" si="90"/>
        <v>4264508</v>
      </c>
      <c r="H232" s="46"/>
      <c r="I232" s="46"/>
      <c r="J232" s="46"/>
      <c r="K232" s="46"/>
      <c r="L232" s="46"/>
    </row>
    <row r="233" spans="3:12" x14ac:dyDescent="0.2">
      <c r="C233" s="99" t="s">
        <v>140</v>
      </c>
      <c r="D233" s="100"/>
      <c r="E233" s="100">
        <f>SUM(E234)</f>
        <v>227966.10169491527</v>
      </c>
      <c r="F233" s="100">
        <f>SUM(F234)</f>
        <v>41033.898305084746</v>
      </c>
      <c r="G233" s="100">
        <f>SUM(D233:F233)</f>
        <v>269000</v>
      </c>
      <c r="H233" s="46"/>
      <c r="I233" s="46"/>
      <c r="J233" s="46"/>
      <c r="K233" s="46"/>
      <c r="L233" s="46"/>
    </row>
    <row r="234" spans="3:12" ht="25.5" x14ac:dyDescent="0.2">
      <c r="C234" s="109" t="s">
        <v>141</v>
      </c>
      <c r="D234" s="102"/>
      <c r="E234" s="102">
        <f>+F127</f>
        <v>227966.10169491527</v>
      </c>
      <c r="F234" s="102">
        <f>+G127</f>
        <v>41033.898305084746</v>
      </c>
      <c r="G234" s="103">
        <f>+F234*0.18</f>
        <v>7386.1016949152536</v>
      </c>
      <c r="H234" s="46"/>
      <c r="I234" s="46"/>
      <c r="J234" s="46"/>
      <c r="K234" s="46"/>
      <c r="L234" s="46"/>
    </row>
    <row r="235" spans="3:12" x14ac:dyDescent="0.2">
      <c r="C235" s="99" t="s">
        <v>142</v>
      </c>
      <c r="D235" s="100">
        <f>SUM(D236:D240)</f>
        <v>3626800</v>
      </c>
      <c r="E235" s="100">
        <f t="shared" ref="E235:F235" si="91">SUM(E236:E240)</f>
        <v>1256800</v>
      </c>
      <c r="F235" s="100">
        <f t="shared" si="91"/>
        <v>3643048</v>
      </c>
      <c r="G235" s="100">
        <f>SUM(D235:F235)</f>
        <v>8526648</v>
      </c>
      <c r="H235" s="46"/>
      <c r="I235" s="46"/>
      <c r="J235" s="46"/>
      <c r="K235" s="46"/>
      <c r="L235" s="46"/>
    </row>
    <row r="236" spans="3:12" x14ac:dyDescent="0.2">
      <c r="C236" s="111" t="s">
        <v>143</v>
      </c>
      <c r="D236" s="102">
        <f>+D129</f>
        <v>0</v>
      </c>
      <c r="E236" s="102">
        <f>+F129</f>
        <v>0</v>
      </c>
      <c r="F236" s="102">
        <f>+E129+G129+H129+I129</f>
        <v>442000.00000000006</v>
      </c>
      <c r="G236" s="102">
        <f>SUM(D236:F236)</f>
        <v>442000.00000000006</v>
      </c>
      <c r="H236" s="46"/>
      <c r="I236" s="46"/>
      <c r="J236" s="46"/>
      <c r="K236" s="46"/>
      <c r="L236" s="46"/>
    </row>
    <row r="237" spans="3:12" x14ac:dyDescent="0.2">
      <c r="C237" s="111" t="s">
        <v>144</v>
      </c>
      <c r="D237" s="102">
        <f t="shared" ref="D237:D240" si="92">+D130</f>
        <v>0</v>
      </c>
      <c r="E237" s="102">
        <f t="shared" ref="E237:E239" si="93">+F130</f>
        <v>0</v>
      </c>
      <c r="F237" s="102">
        <f t="shared" ref="F237:F240" si="94">+E130+G130+H130+I130</f>
        <v>612000</v>
      </c>
      <c r="G237" s="102">
        <f t="shared" ref="G237:G240" si="95">SUM(D237:F237)</f>
        <v>612000</v>
      </c>
      <c r="H237" s="46"/>
      <c r="I237" s="46"/>
      <c r="J237" s="46"/>
      <c r="K237" s="46"/>
      <c r="L237" s="46"/>
    </row>
    <row r="238" spans="3:12" x14ac:dyDescent="0.2">
      <c r="C238" s="111" t="s">
        <v>145</v>
      </c>
      <c r="D238" s="102">
        <f t="shared" si="92"/>
        <v>3626800</v>
      </c>
      <c r="E238" s="102">
        <f t="shared" si="93"/>
        <v>1256800</v>
      </c>
      <c r="F238" s="102">
        <f t="shared" si="94"/>
        <v>879048</v>
      </c>
      <c r="G238" s="102">
        <f t="shared" si="95"/>
        <v>5762648</v>
      </c>
      <c r="H238" s="46"/>
      <c r="I238" s="46"/>
      <c r="J238" s="46"/>
      <c r="K238" s="46"/>
      <c r="L238" s="46"/>
    </row>
    <row r="239" spans="3:12" x14ac:dyDescent="0.2">
      <c r="C239" s="111" t="s">
        <v>146</v>
      </c>
      <c r="D239" s="102">
        <f t="shared" si="92"/>
        <v>0</v>
      </c>
      <c r="E239" s="102">
        <f t="shared" si="93"/>
        <v>0</v>
      </c>
      <c r="F239" s="102">
        <f t="shared" si="94"/>
        <v>1590000</v>
      </c>
      <c r="G239" s="102">
        <f t="shared" si="95"/>
        <v>1590000</v>
      </c>
      <c r="H239" s="46"/>
      <c r="I239" s="46"/>
      <c r="J239" s="46"/>
      <c r="K239" s="46"/>
      <c r="L239" s="46"/>
    </row>
    <row r="240" spans="3:12" x14ac:dyDescent="0.2">
      <c r="C240" s="111" t="s">
        <v>168</v>
      </c>
      <c r="D240" s="102">
        <f t="shared" si="92"/>
        <v>0</v>
      </c>
      <c r="E240" s="102"/>
      <c r="F240" s="102">
        <f t="shared" si="94"/>
        <v>120000</v>
      </c>
      <c r="G240" s="102">
        <f t="shared" si="95"/>
        <v>120000</v>
      </c>
      <c r="H240" s="46"/>
      <c r="I240" s="46"/>
      <c r="J240" s="46"/>
      <c r="K240" s="46"/>
      <c r="L240" s="46"/>
    </row>
    <row r="241" spans="3:12" x14ac:dyDescent="0.2">
      <c r="C241" s="117" t="s">
        <v>74</v>
      </c>
      <c r="D241" s="118">
        <f t="shared" ref="D241:G241" si="96">+D213+D221</f>
        <v>119354848.97871101</v>
      </c>
      <c r="E241" s="118">
        <f t="shared" si="96"/>
        <v>91488687.455887005</v>
      </c>
      <c r="F241" s="118">
        <f t="shared" si="96"/>
        <v>59128929.891560972</v>
      </c>
      <c r="G241" s="118">
        <f t="shared" si="96"/>
        <v>269972466.326159</v>
      </c>
      <c r="H241" s="46"/>
      <c r="I241" s="46"/>
      <c r="J241" s="46"/>
      <c r="K241" s="46"/>
      <c r="L241" s="46"/>
    </row>
    <row r="242" spans="3:12" x14ac:dyDescent="0.2">
      <c r="H242" s="46"/>
      <c r="I242" s="46"/>
      <c r="J242" s="46"/>
      <c r="K242" s="46"/>
      <c r="L242" s="46"/>
    </row>
    <row r="243" spans="3:12" x14ac:dyDescent="0.2">
      <c r="C243" s="43" t="str">
        <f>+C150</f>
        <v>TIPO DE CAMBIO</v>
      </c>
      <c r="D243" s="140">
        <f>+$D$150</f>
        <v>3.4</v>
      </c>
      <c r="H243" s="46"/>
      <c r="I243" s="46"/>
      <c r="J243" s="46"/>
      <c r="K243" s="46"/>
      <c r="L243" s="46"/>
    </row>
    <row r="245" spans="3:12" ht="15.75" x14ac:dyDescent="0.25">
      <c r="C245" s="349" t="s">
        <v>180</v>
      </c>
      <c r="D245" s="350"/>
      <c r="E245" s="350"/>
      <c r="F245" s="350"/>
      <c r="G245" s="351"/>
    </row>
    <row r="246" spans="3:12" x14ac:dyDescent="0.2">
      <c r="C246" s="352" t="s">
        <v>112</v>
      </c>
      <c r="D246" s="91" t="s">
        <v>113</v>
      </c>
      <c r="E246" s="91" t="s">
        <v>5</v>
      </c>
      <c r="F246" s="91" t="s">
        <v>115</v>
      </c>
      <c r="G246" s="91" t="s">
        <v>179</v>
      </c>
    </row>
    <row r="247" spans="3:12" x14ac:dyDescent="0.2">
      <c r="C247" s="353"/>
      <c r="D247" s="91" t="s">
        <v>164</v>
      </c>
      <c r="E247" s="91" t="s">
        <v>164</v>
      </c>
      <c r="F247" s="91" t="s">
        <v>164</v>
      </c>
      <c r="G247" s="91" t="s">
        <v>164</v>
      </c>
    </row>
    <row r="248" spans="3:12" x14ac:dyDescent="0.2">
      <c r="C248" s="97" t="s">
        <v>120</v>
      </c>
      <c r="D248" s="98">
        <f t="shared" ref="D248:F248" si="97">+D249</f>
        <v>26675697.00871386</v>
      </c>
      <c r="E248" s="98">
        <f t="shared" si="97"/>
        <v>21084879.793439683</v>
      </c>
      <c r="F248" s="98">
        <f t="shared" si="97"/>
        <v>8596903.824387636</v>
      </c>
      <c r="G248" s="98">
        <f>SUM(D248:F248)</f>
        <v>56357480.626541182</v>
      </c>
    </row>
    <row r="249" spans="3:12" x14ac:dyDescent="0.2">
      <c r="C249" s="99" t="s">
        <v>121</v>
      </c>
      <c r="D249" s="100">
        <f t="shared" ref="D249:F249" si="98">SUM(D250:D255)</f>
        <v>26675697.00871386</v>
      </c>
      <c r="E249" s="100">
        <f t="shared" si="98"/>
        <v>21084879.793439683</v>
      </c>
      <c r="F249" s="100">
        <f t="shared" si="98"/>
        <v>8596903.824387636</v>
      </c>
      <c r="G249" s="100">
        <f>SUM(D249:F249)</f>
        <v>56357480.626541182</v>
      </c>
    </row>
    <row r="250" spans="3:12" x14ac:dyDescent="0.2">
      <c r="C250" s="101" t="s">
        <v>166</v>
      </c>
      <c r="D250" s="102">
        <f>+D215/$D$243</f>
        <v>22022993.094117645</v>
      </c>
      <c r="E250" s="102">
        <f t="shared" ref="E250:F250" si="99">+E215/$D$243</f>
        <v>16930601.472931206</v>
      </c>
      <c r="F250" s="102">
        <f t="shared" si="99"/>
        <v>7011647.022068793</v>
      </c>
      <c r="G250" s="102">
        <f>SUM(D250:F250)</f>
        <v>45965241.589117639</v>
      </c>
    </row>
    <row r="251" spans="3:12" x14ac:dyDescent="0.2">
      <c r="C251" s="101" t="s">
        <v>123</v>
      </c>
      <c r="D251" s="102">
        <f t="shared" ref="D251:F255" si="100">+D216/$D$243</f>
        <v>292397.80658025923</v>
      </c>
      <c r="E251" s="102">
        <f t="shared" si="100"/>
        <v>150598.20538384846</v>
      </c>
      <c r="F251" s="102">
        <f t="shared" si="100"/>
        <v>79739.282153539389</v>
      </c>
      <c r="G251" s="102">
        <f t="shared" ref="G251:G255" si="101">SUM(D251:F251)</f>
        <v>522735.29411764711</v>
      </c>
    </row>
    <row r="252" spans="3:12" x14ac:dyDescent="0.2">
      <c r="C252" s="101" t="s">
        <v>124</v>
      </c>
      <c r="D252" s="102">
        <f t="shared" si="100"/>
        <v>597193.9780658026</v>
      </c>
      <c r="E252" s="102">
        <f t="shared" si="100"/>
        <v>398317.54735792626</v>
      </c>
      <c r="F252" s="102">
        <f t="shared" si="100"/>
        <v>179192.07457627114</v>
      </c>
      <c r="G252" s="102">
        <f t="shared" si="101"/>
        <v>1174703.6000000001</v>
      </c>
    </row>
    <row r="253" spans="3:12" x14ac:dyDescent="0.2">
      <c r="C253" s="101" t="s">
        <v>125</v>
      </c>
      <c r="D253" s="102">
        <f t="shared" si="100"/>
        <v>1212870.8499501499</v>
      </c>
      <c r="E253" s="102">
        <f t="shared" si="100"/>
        <v>1690517.7744117647</v>
      </c>
      <c r="F253" s="102">
        <f t="shared" si="100"/>
        <v>522609.9523851446</v>
      </c>
      <c r="G253" s="102">
        <f t="shared" si="101"/>
        <v>3425998.5767470594</v>
      </c>
    </row>
    <row r="254" spans="3:12" x14ac:dyDescent="0.2">
      <c r="C254" s="101" t="s">
        <v>126</v>
      </c>
      <c r="D254" s="102">
        <f t="shared" si="100"/>
        <v>2202299.3094117646</v>
      </c>
      <c r="E254" s="102">
        <f t="shared" si="100"/>
        <v>1690517.7744117647</v>
      </c>
      <c r="F254" s="102">
        <f t="shared" si="100"/>
        <v>700707.07508823532</v>
      </c>
      <c r="G254" s="102">
        <f t="shared" si="101"/>
        <v>4593524.1589117646</v>
      </c>
    </row>
    <row r="255" spans="3:12" x14ac:dyDescent="0.2">
      <c r="C255" s="101" t="s">
        <v>127</v>
      </c>
      <c r="D255" s="102">
        <f t="shared" si="100"/>
        <v>347941.9705882353</v>
      </c>
      <c r="E255" s="102">
        <f t="shared" si="100"/>
        <v>224327.01894317052</v>
      </c>
      <c r="F255" s="102">
        <f t="shared" si="100"/>
        <v>103008.41811565304</v>
      </c>
      <c r="G255" s="102">
        <f t="shared" si="101"/>
        <v>675277.40764705883</v>
      </c>
    </row>
    <row r="256" spans="3:12" x14ac:dyDescent="0.2">
      <c r="C256" s="105" t="s">
        <v>128</v>
      </c>
      <c r="D256" s="98">
        <f t="shared" ref="D256:G256" si="102">+D257+D261+D268+D270</f>
        <v>8428670.3379658461</v>
      </c>
      <c r="E256" s="98">
        <f t="shared" si="102"/>
        <v>5823557.6935859108</v>
      </c>
      <c r="F256" s="98">
        <f t="shared" si="102"/>
        <v>8793957.9084244147</v>
      </c>
      <c r="G256" s="98">
        <f t="shared" si="102"/>
        <v>23046185.939976167</v>
      </c>
    </row>
    <row r="257" spans="3:7" x14ac:dyDescent="0.2">
      <c r="C257" s="107" t="s">
        <v>129</v>
      </c>
      <c r="D257" s="100"/>
      <c r="E257" s="100">
        <f>SUM(E258:E260)</f>
        <v>104901.96078431372</v>
      </c>
      <c r="F257" s="100">
        <f t="shared" ref="F257:G257" si="103">SUM(F258:F260)</f>
        <v>5434498.0392156867</v>
      </c>
      <c r="G257" s="100">
        <f t="shared" si="103"/>
        <v>5539400</v>
      </c>
    </row>
    <row r="258" spans="3:7" x14ac:dyDescent="0.2">
      <c r="C258" s="109" t="s">
        <v>130</v>
      </c>
      <c r="D258" s="102">
        <f>+D223/$D$243</f>
        <v>0</v>
      </c>
      <c r="E258" s="102">
        <f t="shared" ref="E258:F258" si="104">+E223/$D$243</f>
        <v>104901.96078431372</v>
      </c>
      <c r="F258" s="102">
        <f t="shared" si="104"/>
        <v>4165686.2745098043</v>
      </c>
      <c r="G258" s="102">
        <f>SUM(D258:F258)</f>
        <v>4270588.2352941176</v>
      </c>
    </row>
    <row r="259" spans="3:7" x14ac:dyDescent="0.2">
      <c r="C259" s="109" t="s">
        <v>131</v>
      </c>
      <c r="D259" s="102">
        <f t="shared" ref="D259:F260" si="105">+D224/$D$243</f>
        <v>0</v>
      </c>
      <c r="E259" s="102">
        <f t="shared" si="105"/>
        <v>0</v>
      </c>
      <c r="F259" s="102">
        <f t="shared" si="105"/>
        <v>166400</v>
      </c>
      <c r="G259" s="102">
        <f t="shared" ref="G259:G260" si="106">SUM(D259:F259)</f>
        <v>166400</v>
      </c>
    </row>
    <row r="260" spans="3:7" x14ac:dyDescent="0.2">
      <c r="C260" s="109" t="s">
        <v>132</v>
      </c>
      <c r="D260" s="102">
        <f t="shared" si="105"/>
        <v>0</v>
      </c>
      <c r="E260" s="102">
        <f t="shared" si="105"/>
        <v>0</v>
      </c>
      <c r="F260" s="102">
        <f t="shared" si="105"/>
        <v>1102411.7647058824</v>
      </c>
      <c r="G260" s="102">
        <f t="shared" si="106"/>
        <v>1102411.7647058824</v>
      </c>
    </row>
    <row r="261" spans="3:7" x14ac:dyDescent="0.2">
      <c r="C261" s="99" t="s">
        <v>133</v>
      </c>
      <c r="D261" s="100">
        <f t="shared" ref="D261:G261" si="107">SUM(D262:D267)</f>
        <v>7361964.4556129053</v>
      </c>
      <c r="E261" s="100">
        <f t="shared" si="107"/>
        <v>5281959.8205383867</v>
      </c>
      <c r="F261" s="100">
        <f t="shared" si="107"/>
        <v>2275906.3697072323</v>
      </c>
      <c r="G261" s="100">
        <f t="shared" si="107"/>
        <v>14919830.645858523</v>
      </c>
    </row>
    <row r="262" spans="3:7" x14ac:dyDescent="0.2">
      <c r="C262" s="111" t="s">
        <v>134</v>
      </c>
      <c r="D262" s="102">
        <f>+D227/$D$243</f>
        <v>3347789.4238385013</v>
      </c>
      <c r="E262" s="102">
        <f t="shared" ref="E262:F262" si="108">+E227/$D$243</f>
        <v>1271768.195413759</v>
      </c>
      <c r="F262" s="102">
        <f t="shared" si="108"/>
        <v>831520.37146540673</v>
      </c>
      <c r="G262" s="102">
        <f>SUM(D262:F262)</f>
        <v>5451077.9907176672</v>
      </c>
    </row>
    <row r="263" spans="3:7" x14ac:dyDescent="0.2">
      <c r="C263" s="111" t="s">
        <v>135</v>
      </c>
      <c r="D263" s="102">
        <f t="shared" ref="D263:F267" si="109">+D228/$D$243</f>
        <v>0</v>
      </c>
      <c r="E263" s="102">
        <f t="shared" si="109"/>
        <v>961644.66600199416</v>
      </c>
      <c r="F263" s="102">
        <f t="shared" si="109"/>
        <v>173096.03988035893</v>
      </c>
      <c r="G263" s="102">
        <f t="shared" ref="G263:G267" si="110">SUM(D263:F263)</f>
        <v>1134740.705882353</v>
      </c>
    </row>
    <row r="264" spans="3:7" ht="25.5" x14ac:dyDescent="0.2">
      <c r="C264" s="111" t="s">
        <v>136</v>
      </c>
      <c r="D264" s="102">
        <f t="shared" si="109"/>
        <v>628276.54824305989</v>
      </c>
      <c r="E264" s="102">
        <f t="shared" si="109"/>
        <v>149155.5333998006</v>
      </c>
      <c r="F264" s="102">
        <f t="shared" si="109"/>
        <v>139937.77469571488</v>
      </c>
      <c r="G264" s="102">
        <f t="shared" si="110"/>
        <v>917369.85633857548</v>
      </c>
    </row>
    <row r="265" spans="3:7" ht="25.5" x14ac:dyDescent="0.2">
      <c r="C265" s="111" t="s">
        <v>137</v>
      </c>
      <c r="D265" s="102">
        <f t="shared" si="109"/>
        <v>0</v>
      </c>
      <c r="E265" s="102">
        <f t="shared" si="109"/>
        <v>149155.5333998006</v>
      </c>
      <c r="F265" s="102">
        <f t="shared" si="109"/>
        <v>26847.996011964107</v>
      </c>
      <c r="G265" s="102">
        <f t="shared" si="110"/>
        <v>176003.5294117647</v>
      </c>
    </row>
    <row r="266" spans="3:7" x14ac:dyDescent="0.2">
      <c r="C266" s="111" t="s">
        <v>138</v>
      </c>
      <c r="D266" s="102">
        <f t="shared" si="109"/>
        <v>3385898.4835313438</v>
      </c>
      <c r="E266" s="102">
        <f t="shared" si="109"/>
        <v>1687297.706879362</v>
      </c>
      <c r="F266" s="102">
        <f t="shared" si="109"/>
        <v>913175.31427392701</v>
      </c>
      <c r="G266" s="102">
        <f t="shared" si="110"/>
        <v>5986371.5046846326</v>
      </c>
    </row>
    <row r="267" spans="3:7" x14ac:dyDescent="0.2">
      <c r="C267" s="111" t="s">
        <v>139</v>
      </c>
      <c r="D267" s="102">
        <f t="shared" si="109"/>
        <v>0</v>
      </c>
      <c r="E267" s="102">
        <f t="shared" si="109"/>
        <v>1062938.1854436691</v>
      </c>
      <c r="F267" s="102">
        <f t="shared" si="109"/>
        <v>191328.87337986042</v>
      </c>
      <c r="G267" s="102">
        <f t="shared" si="110"/>
        <v>1254267.0588235296</v>
      </c>
    </row>
    <row r="268" spans="3:7" x14ac:dyDescent="0.2">
      <c r="C268" s="99" t="s">
        <v>140</v>
      </c>
      <c r="D268" s="100"/>
      <c r="E268" s="100">
        <f>SUM(E269)</f>
        <v>67048.85343968097</v>
      </c>
      <c r="F268" s="100">
        <f>SUM(F269)</f>
        <v>12068.793619142572</v>
      </c>
      <c r="G268" s="100">
        <f>SUM(D268:F268)</f>
        <v>79117.647058823539</v>
      </c>
    </row>
    <row r="269" spans="3:7" ht="25.5" x14ac:dyDescent="0.2">
      <c r="C269" s="109" t="s">
        <v>141</v>
      </c>
      <c r="D269" s="102">
        <f>+D234/$D$243</f>
        <v>0</v>
      </c>
      <c r="E269" s="102">
        <f t="shared" ref="E269:F269" si="111">+E234/$D$243</f>
        <v>67048.85343968097</v>
      </c>
      <c r="F269" s="102">
        <f t="shared" si="111"/>
        <v>12068.793619142572</v>
      </c>
      <c r="G269" s="103">
        <f>+F269*0.18</f>
        <v>2172.3828514456632</v>
      </c>
    </row>
    <row r="270" spans="3:7" x14ac:dyDescent="0.2">
      <c r="C270" s="99" t="s">
        <v>142</v>
      </c>
      <c r="D270" s="100">
        <f>SUM(D271:D275)</f>
        <v>1066705.8823529412</v>
      </c>
      <c r="E270" s="100">
        <f t="shared" ref="E270:F270" si="112">SUM(E271:E275)</f>
        <v>369647.0588235294</v>
      </c>
      <c r="F270" s="100">
        <f t="shared" si="112"/>
        <v>1071484.705882353</v>
      </c>
      <c r="G270" s="100">
        <f>SUM(D270:F270)</f>
        <v>2507837.6470588236</v>
      </c>
    </row>
    <row r="271" spans="3:7" x14ac:dyDescent="0.2">
      <c r="C271" s="111" t="s">
        <v>143</v>
      </c>
      <c r="D271" s="102">
        <f>+D236/$D$243</f>
        <v>0</v>
      </c>
      <c r="E271" s="102">
        <f t="shared" ref="E271:F271" si="113">+E236/$D$243</f>
        <v>0</v>
      </c>
      <c r="F271" s="102">
        <f t="shared" si="113"/>
        <v>130000.00000000001</v>
      </c>
      <c r="G271" s="102">
        <f>SUM(D271:F271)</f>
        <v>130000.00000000001</v>
      </c>
    </row>
    <row r="272" spans="3:7" x14ac:dyDescent="0.2">
      <c r="C272" s="111" t="s">
        <v>144</v>
      </c>
      <c r="D272" s="102">
        <f t="shared" ref="D272:F275" si="114">+D237/$D$243</f>
        <v>0</v>
      </c>
      <c r="E272" s="102">
        <f t="shared" si="114"/>
        <v>0</v>
      </c>
      <c r="F272" s="102">
        <f t="shared" si="114"/>
        <v>180000</v>
      </c>
      <c r="G272" s="102">
        <f t="shared" ref="G272:G275" si="115">SUM(D272:F272)</f>
        <v>180000</v>
      </c>
    </row>
    <row r="273" spans="3:7" x14ac:dyDescent="0.2">
      <c r="C273" s="111" t="s">
        <v>145</v>
      </c>
      <c r="D273" s="102">
        <f t="shared" si="114"/>
        <v>1066705.8823529412</v>
      </c>
      <c r="E273" s="102">
        <f t="shared" si="114"/>
        <v>369647.0588235294</v>
      </c>
      <c r="F273" s="102">
        <f t="shared" si="114"/>
        <v>258543.5294117647</v>
      </c>
      <c r="G273" s="102">
        <f t="shared" si="115"/>
        <v>1694896.4705882352</v>
      </c>
    </row>
    <row r="274" spans="3:7" x14ac:dyDescent="0.2">
      <c r="C274" s="111" t="s">
        <v>146</v>
      </c>
      <c r="D274" s="102">
        <f t="shared" si="114"/>
        <v>0</v>
      </c>
      <c r="E274" s="102">
        <f t="shared" si="114"/>
        <v>0</v>
      </c>
      <c r="F274" s="102">
        <f t="shared" si="114"/>
        <v>467647.0588235294</v>
      </c>
      <c r="G274" s="102">
        <f t="shared" si="115"/>
        <v>467647.0588235294</v>
      </c>
    </row>
    <row r="275" spans="3:7" x14ac:dyDescent="0.2">
      <c r="C275" s="111" t="s">
        <v>168</v>
      </c>
      <c r="D275" s="102">
        <f t="shared" si="114"/>
        <v>0</v>
      </c>
      <c r="E275" s="102">
        <f t="shared" si="114"/>
        <v>0</v>
      </c>
      <c r="F275" s="102">
        <f t="shared" si="114"/>
        <v>35294.117647058825</v>
      </c>
      <c r="G275" s="102">
        <f t="shared" si="115"/>
        <v>35294.117647058825</v>
      </c>
    </row>
    <row r="276" spans="3:7" x14ac:dyDescent="0.2">
      <c r="C276" s="117" t="s">
        <v>74</v>
      </c>
      <c r="D276" s="118">
        <f t="shared" ref="D276:G276" si="116">+D248+D256</f>
        <v>35104367.346679702</v>
      </c>
      <c r="E276" s="118">
        <f t="shared" si="116"/>
        <v>26908437.487025592</v>
      </c>
      <c r="F276" s="118">
        <f t="shared" si="116"/>
        <v>17390861.732812051</v>
      </c>
      <c r="G276" s="118">
        <f t="shared" si="116"/>
        <v>79403666.566517353</v>
      </c>
    </row>
  </sheetData>
  <mergeCells count="40">
    <mergeCell ref="C103:L103"/>
    <mergeCell ref="C246:C247"/>
    <mergeCell ref="C245:G245"/>
    <mergeCell ref="C211:C212"/>
    <mergeCell ref="C210:G210"/>
    <mergeCell ref="K153:K154"/>
    <mergeCell ref="J153:J154"/>
    <mergeCell ref="C153:C154"/>
    <mergeCell ref="L153:L154"/>
    <mergeCell ref="C104:C105"/>
    <mergeCell ref="J104:J105"/>
    <mergeCell ref="K104:K105"/>
    <mergeCell ref="L104:L105"/>
    <mergeCell ref="C152:L152"/>
    <mergeCell ref="L43:L44"/>
    <mergeCell ref="J4:J5"/>
    <mergeCell ref="K4:K5"/>
    <mergeCell ref="L4:L5"/>
    <mergeCell ref="G43:G44"/>
    <mergeCell ref="H43:H44"/>
    <mergeCell ref="I43:I44"/>
    <mergeCell ref="J43:J44"/>
    <mergeCell ref="K43:K44"/>
    <mergeCell ref="A43:A44"/>
    <mergeCell ref="C43:C44"/>
    <mergeCell ref="D43:D44"/>
    <mergeCell ref="E43:E44"/>
    <mergeCell ref="F43:F44"/>
    <mergeCell ref="B4:B5"/>
    <mergeCell ref="A38:C38"/>
    <mergeCell ref="A37:C37"/>
    <mergeCell ref="A4:A5"/>
    <mergeCell ref="C4:C5"/>
    <mergeCell ref="D3:L3"/>
    <mergeCell ref="D4:D5"/>
    <mergeCell ref="E4:E5"/>
    <mergeCell ref="F4:F5"/>
    <mergeCell ref="G4:G5"/>
    <mergeCell ref="H4:H5"/>
    <mergeCell ref="I4:I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E10" sqref="E10"/>
    </sheetView>
  </sheetViews>
  <sheetFormatPr defaultColWidth="11.42578125" defaultRowHeight="15" x14ac:dyDescent="0.25"/>
  <cols>
    <col min="1" max="1" width="27.5703125" customWidth="1"/>
    <col min="2" max="2" width="25.28515625" style="229" customWidth="1"/>
    <col min="3" max="3" width="17.7109375" customWidth="1"/>
    <col min="4" max="4" width="28.7109375" customWidth="1"/>
    <col min="5" max="5" width="22" customWidth="1"/>
    <col min="6" max="6" width="24.5703125" customWidth="1"/>
  </cols>
  <sheetData>
    <row r="1" spans="1:8" x14ac:dyDescent="0.25">
      <c r="A1" t="s">
        <v>240</v>
      </c>
    </row>
    <row r="2" spans="1:8" x14ac:dyDescent="0.25">
      <c r="B2" s="360" t="s">
        <v>258</v>
      </c>
      <c r="C2" s="360"/>
      <c r="D2" s="360"/>
      <c r="E2" s="360"/>
      <c r="F2" s="360"/>
      <c r="G2" s="360"/>
      <c r="H2" s="361"/>
    </row>
    <row r="3" spans="1:8" s="230" customFormat="1" ht="75" x14ac:dyDescent="0.25">
      <c r="A3" s="231" t="s">
        <v>253</v>
      </c>
      <c r="B3" s="232" t="s">
        <v>254</v>
      </c>
      <c r="C3" s="232" t="s">
        <v>255</v>
      </c>
      <c r="D3" s="232" t="s">
        <v>256</v>
      </c>
      <c r="E3" s="232" t="s">
        <v>259</v>
      </c>
      <c r="F3" s="232" t="s">
        <v>257</v>
      </c>
      <c r="G3" s="232" t="s">
        <v>4</v>
      </c>
      <c r="H3" s="361"/>
    </row>
    <row r="4" spans="1:8" x14ac:dyDescent="0.25">
      <c r="A4" s="225" t="s">
        <v>182</v>
      </c>
      <c r="B4" s="233">
        <v>6000</v>
      </c>
      <c r="C4" s="226">
        <v>6000</v>
      </c>
      <c r="D4" s="226">
        <v>8000</v>
      </c>
      <c r="E4" s="226">
        <f>4000+12800</f>
        <v>16800</v>
      </c>
      <c r="F4" s="226">
        <v>8000</v>
      </c>
      <c r="G4" s="226">
        <f t="shared" ref="G4:G13" si="0">SUM(B4:F4)</f>
        <v>44800</v>
      </c>
    </row>
    <row r="5" spans="1:8" x14ac:dyDescent="0.25">
      <c r="A5" s="225" t="s">
        <v>186</v>
      </c>
      <c r="B5" s="233">
        <v>7000</v>
      </c>
      <c r="C5" s="226">
        <v>7000</v>
      </c>
      <c r="D5" s="226">
        <v>6000</v>
      </c>
      <c r="E5" s="226">
        <f>8000+12600</f>
        <v>20600</v>
      </c>
      <c r="F5" s="226">
        <v>7000</v>
      </c>
      <c r="G5" s="226">
        <f t="shared" si="0"/>
        <v>47600</v>
      </c>
    </row>
    <row r="6" spans="1:8" x14ac:dyDescent="0.25">
      <c r="A6" s="225" t="s">
        <v>184</v>
      </c>
      <c r="B6" s="233">
        <v>8000</v>
      </c>
      <c r="C6" s="226">
        <v>7500</v>
      </c>
      <c r="D6" s="226">
        <v>8000</v>
      </c>
      <c r="E6" s="226">
        <v>20300</v>
      </c>
      <c r="F6" s="226">
        <v>8000</v>
      </c>
      <c r="G6" s="226">
        <f t="shared" si="0"/>
        <v>51800</v>
      </c>
    </row>
    <row r="7" spans="1:8" x14ac:dyDescent="0.25">
      <c r="A7" s="225" t="s">
        <v>185</v>
      </c>
      <c r="B7" s="233">
        <v>7000</v>
      </c>
      <c r="C7" s="226">
        <v>6000</v>
      </c>
      <c r="D7" s="226">
        <v>6000</v>
      </c>
      <c r="E7" s="226">
        <v>20800</v>
      </c>
      <c r="F7" s="226">
        <v>7000</v>
      </c>
      <c r="G7" s="226">
        <f t="shared" si="0"/>
        <v>46800</v>
      </c>
    </row>
    <row r="8" spans="1:8" x14ac:dyDescent="0.25">
      <c r="A8" s="225" t="s">
        <v>190</v>
      </c>
      <c r="B8" s="233">
        <v>6000</v>
      </c>
      <c r="C8" s="226">
        <v>12000</v>
      </c>
      <c r="D8" s="226">
        <v>8000</v>
      </c>
      <c r="E8" s="226">
        <v>24800</v>
      </c>
      <c r="F8" s="226">
        <v>8000</v>
      </c>
      <c r="G8" s="226">
        <f t="shared" si="0"/>
        <v>58800</v>
      </c>
    </row>
    <row r="9" spans="1:8" x14ac:dyDescent="0.25">
      <c r="A9" s="225" t="s">
        <v>198</v>
      </c>
      <c r="B9" s="233">
        <v>7000</v>
      </c>
      <c r="C9" s="226">
        <v>7000</v>
      </c>
      <c r="D9" s="226">
        <v>6000</v>
      </c>
      <c r="E9" s="226">
        <v>20600</v>
      </c>
      <c r="F9" s="226">
        <v>7000</v>
      </c>
      <c r="G9" s="226">
        <f t="shared" si="0"/>
        <v>47600</v>
      </c>
    </row>
    <row r="10" spans="1:8" x14ac:dyDescent="0.25">
      <c r="A10" s="225" t="s">
        <v>189</v>
      </c>
      <c r="B10" s="233">
        <v>7000</v>
      </c>
      <c r="C10" s="226">
        <v>8000</v>
      </c>
      <c r="D10" s="226">
        <v>7000</v>
      </c>
      <c r="E10" s="226">
        <f>8000+12800</f>
        <v>20800</v>
      </c>
      <c r="F10" s="226">
        <v>8000</v>
      </c>
      <c r="G10" s="226">
        <f>SUM(B10:F10)</f>
        <v>50800</v>
      </c>
    </row>
    <row r="11" spans="1:8" x14ac:dyDescent="0.25">
      <c r="A11" s="225" t="s">
        <v>187</v>
      </c>
      <c r="B11" s="233">
        <v>7000</v>
      </c>
      <c r="C11" s="226">
        <v>8000</v>
      </c>
      <c r="D11" s="226">
        <v>7000</v>
      </c>
      <c r="E11" s="226">
        <v>20800</v>
      </c>
      <c r="F11" s="226">
        <v>7000</v>
      </c>
      <c r="G11" s="226">
        <f t="shared" si="0"/>
        <v>49800</v>
      </c>
    </row>
    <row r="12" spans="1:8" x14ac:dyDescent="0.25">
      <c r="A12" s="225" t="s">
        <v>183</v>
      </c>
      <c r="B12" s="233">
        <v>5000</v>
      </c>
      <c r="C12" s="226">
        <v>3500</v>
      </c>
      <c r="D12" s="226">
        <v>5000</v>
      </c>
      <c r="E12" s="226">
        <v>16300</v>
      </c>
      <c r="F12" s="226">
        <v>8000</v>
      </c>
      <c r="G12" s="226">
        <f t="shared" si="0"/>
        <v>37800</v>
      </c>
    </row>
    <row r="13" spans="1:8" x14ac:dyDescent="0.25">
      <c r="A13" s="225" t="s">
        <v>191</v>
      </c>
      <c r="B13" s="233">
        <v>12000</v>
      </c>
      <c r="C13" s="226">
        <v>11500</v>
      </c>
      <c r="D13" s="226">
        <v>12000</v>
      </c>
      <c r="E13" s="226">
        <v>20500</v>
      </c>
      <c r="F13" s="226">
        <v>14000</v>
      </c>
      <c r="G13" s="226">
        <f t="shared" si="0"/>
        <v>70000</v>
      </c>
    </row>
    <row r="14" spans="1:8" x14ac:dyDescent="0.25">
      <c r="A14" s="225" t="s">
        <v>188</v>
      </c>
      <c r="B14" s="233">
        <v>7000</v>
      </c>
      <c r="C14" s="226">
        <v>8000</v>
      </c>
      <c r="D14" s="226">
        <v>7000</v>
      </c>
      <c r="E14" s="226">
        <f>8000+12800</f>
        <v>20800</v>
      </c>
      <c r="F14" s="226">
        <v>8000</v>
      </c>
      <c r="G14" s="226">
        <f>SUM(B14:F14)</f>
        <v>50800</v>
      </c>
    </row>
    <row r="15" spans="1:8" x14ac:dyDescent="0.25">
      <c r="A15" s="225" t="s">
        <v>192</v>
      </c>
      <c r="B15" s="233">
        <v>7000</v>
      </c>
      <c r="C15" s="226">
        <v>7000</v>
      </c>
      <c r="D15" s="226">
        <v>6000</v>
      </c>
      <c r="E15" s="226">
        <f>8000+12600</f>
        <v>20600</v>
      </c>
      <c r="F15" s="226">
        <v>7000</v>
      </c>
      <c r="G15" s="226">
        <f t="shared" ref="G15" si="1">SUM(B15:F15)</f>
        <v>47600</v>
      </c>
    </row>
    <row r="16" spans="1:8" x14ac:dyDescent="0.25">
      <c r="A16" s="157"/>
    </row>
    <row r="17" spans="1:7" x14ac:dyDescent="0.25">
      <c r="A17" s="234" t="s">
        <v>260</v>
      </c>
      <c r="B17" s="235">
        <f>SUM(B4:B15)</f>
        <v>86000</v>
      </c>
      <c r="C17" s="235">
        <f t="shared" ref="C17:G17" si="2">SUM(C4:C15)</f>
        <v>91500</v>
      </c>
      <c r="D17" s="235">
        <f t="shared" si="2"/>
        <v>86000</v>
      </c>
      <c r="E17" s="235">
        <f t="shared" si="2"/>
        <v>243700</v>
      </c>
      <c r="F17" s="235">
        <f t="shared" si="2"/>
        <v>97000</v>
      </c>
      <c r="G17" s="235">
        <f t="shared" si="2"/>
        <v>604200</v>
      </c>
    </row>
    <row r="18" spans="1:7" hidden="1" x14ac:dyDescent="0.25">
      <c r="A18" s="234" t="s">
        <v>261</v>
      </c>
      <c r="B18" s="233">
        <f t="shared" ref="B18:G18" si="3">+B17/3.4</f>
        <v>25294.117647058825</v>
      </c>
      <c r="C18" s="233">
        <f t="shared" si="3"/>
        <v>26911.764705882353</v>
      </c>
      <c r="D18" s="233">
        <f t="shared" si="3"/>
        <v>25294.117647058825</v>
      </c>
      <c r="E18" s="233">
        <f t="shared" si="3"/>
        <v>71676.470588235301</v>
      </c>
      <c r="F18" s="233">
        <f t="shared" si="3"/>
        <v>28529.411764705885</v>
      </c>
      <c r="G18" s="233">
        <f t="shared" si="3"/>
        <v>177705.88235294117</v>
      </c>
    </row>
    <row r="19" spans="1:7" s="157" customFormat="1" x14ac:dyDescent="0.25">
      <c r="A19" s="251" t="s">
        <v>312</v>
      </c>
      <c r="B19" s="252">
        <f>+B17/B21</f>
        <v>25671.641791044774</v>
      </c>
      <c r="C19" s="252">
        <f>+C17/B21</f>
        <v>27313.432835820895</v>
      </c>
      <c r="D19" s="252">
        <f>+D17/B21</f>
        <v>25671.641791044774</v>
      </c>
      <c r="E19" s="253">
        <f>+E17/B21</f>
        <v>72746.26865671642</v>
      </c>
      <c r="F19" s="252">
        <f>+F17/B21</f>
        <v>28955.223880597016</v>
      </c>
      <c r="G19" s="252">
        <f>SUM(B19:F19)</f>
        <v>180358.20895522388</v>
      </c>
    </row>
    <row r="21" spans="1:7" x14ac:dyDescent="0.25">
      <c r="A21" t="s">
        <v>314</v>
      </c>
      <c r="B21" s="250">
        <v>3.35</v>
      </c>
    </row>
  </sheetData>
  <mergeCells count="2">
    <mergeCell ref="B2:G2"/>
    <mergeCell ref="H2:H3"/>
  </mergeCells>
  <pageMargins left="0.7" right="0.7" top="0.75" bottom="0.75" header="0.3" footer="0.3"/>
  <pageSetup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topLeftCell="A17" workbookViewId="0">
      <selection activeCell="F25" sqref="F25"/>
    </sheetView>
  </sheetViews>
  <sheetFormatPr defaultColWidth="11.42578125" defaultRowHeight="15" x14ac:dyDescent="0.25"/>
  <cols>
    <col min="1" max="1" width="21.42578125" style="157" customWidth="1"/>
    <col min="2" max="2" width="14.42578125" style="157" customWidth="1"/>
    <col min="3" max="3" width="22.140625" style="157" customWidth="1"/>
    <col min="4" max="4" width="18" style="157" customWidth="1"/>
    <col min="5" max="6" width="11.42578125" style="157"/>
    <col min="7" max="7" width="11.140625" style="157" customWidth="1"/>
    <col min="8" max="16384" width="11.42578125" style="157"/>
  </cols>
  <sheetData>
    <row r="1" spans="1:10" s="236" customFormat="1" x14ac:dyDescent="0.25">
      <c r="A1" s="236" t="s">
        <v>263</v>
      </c>
    </row>
    <row r="2" spans="1:10" ht="15" customHeight="1" x14ac:dyDescent="0.25">
      <c r="G2" s="362" t="s">
        <v>353</v>
      </c>
      <c r="H2" s="363"/>
      <c r="I2" s="364"/>
    </row>
    <row r="3" spans="1:10" s="239" customFormat="1" ht="75" x14ac:dyDescent="0.25">
      <c r="A3" s="237" t="s">
        <v>253</v>
      </c>
      <c r="B3" s="238" t="s">
        <v>264</v>
      </c>
      <c r="C3" s="238" t="s">
        <v>265</v>
      </c>
      <c r="D3" s="238" t="s">
        <v>266</v>
      </c>
      <c r="E3" s="238" t="s">
        <v>354</v>
      </c>
      <c r="F3" s="259" t="s">
        <v>315</v>
      </c>
      <c r="G3" s="238" t="s">
        <v>4</v>
      </c>
      <c r="H3" s="238" t="s">
        <v>5</v>
      </c>
      <c r="I3" s="238" t="s">
        <v>115</v>
      </c>
    </row>
    <row r="4" spans="1:10" x14ac:dyDescent="0.25">
      <c r="A4" s="225" t="s">
        <v>182</v>
      </c>
      <c r="B4" s="257">
        <v>6</v>
      </c>
      <c r="C4" s="255">
        <v>43500</v>
      </c>
      <c r="D4" s="256">
        <v>77000</v>
      </c>
      <c r="E4" s="254">
        <f t="shared" ref="E4:E15" si="0">SUM(C4:D4)</f>
        <v>120500</v>
      </c>
      <c r="F4" s="260">
        <v>146500</v>
      </c>
      <c r="G4" s="227">
        <f t="shared" ref="G4:G15" si="1">+F4-E4</f>
        <v>26000</v>
      </c>
      <c r="H4" s="226">
        <f>+G4*0.89</f>
        <v>23140</v>
      </c>
      <c r="I4" s="226">
        <f>+G4-H4</f>
        <v>2860</v>
      </c>
    </row>
    <row r="5" spans="1:10" x14ac:dyDescent="0.25">
      <c r="A5" s="225" t="s">
        <v>186</v>
      </c>
      <c r="B5" s="245">
        <v>5</v>
      </c>
      <c r="C5" s="255">
        <v>39200</v>
      </c>
      <c r="D5" s="256">
        <v>66100</v>
      </c>
      <c r="E5" s="254">
        <f t="shared" si="0"/>
        <v>105300</v>
      </c>
      <c r="F5" s="260">
        <v>118300</v>
      </c>
      <c r="G5" s="227">
        <f t="shared" si="1"/>
        <v>13000</v>
      </c>
      <c r="H5" s="226">
        <f>+G5*0.89</f>
        <v>11570</v>
      </c>
      <c r="I5" s="226">
        <f>+G5-H5</f>
        <v>1430</v>
      </c>
    </row>
    <row r="6" spans="1:10" x14ac:dyDescent="0.25">
      <c r="A6" s="225" t="s">
        <v>184</v>
      </c>
      <c r="B6" s="225">
        <v>6</v>
      </c>
      <c r="C6" s="233">
        <v>57500</v>
      </c>
      <c r="D6" s="226">
        <v>102150</v>
      </c>
      <c r="E6" s="226">
        <f t="shared" si="0"/>
        <v>159650</v>
      </c>
      <c r="F6" s="260">
        <v>159650</v>
      </c>
      <c r="G6" s="227">
        <f t="shared" si="1"/>
        <v>0</v>
      </c>
      <c r="H6" s="226">
        <v>0</v>
      </c>
      <c r="I6" s="226">
        <v>0</v>
      </c>
    </row>
    <row r="7" spans="1:10" x14ac:dyDescent="0.25">
      <c r="A7" s="225" t="s">
        <v>185</v>
      </c>
      <c r="B7" s="225">
        <v>5</v>
      </c>
      <c r="C7" s="233">
        <v>19000</v>
      </c>
      <c r="D7" s="226">
        <v>86200</v>
      </c>
      <c r="E7" s="226">
        <f t="shared" si="0"/>
        <v>105200</v>
      </c>
      <c r="F7" s="260">
        <v>105200</v>
      </c>
      <c r="G7" s="227">
        <f t="shared" si="1"/>
        <v>0</v>
      </c>
      <c r="H7" s="226">
        <v>0</v>
      </c>
      <c r="I7" s="226">
        <v>0</v>
      </c>
    </row>
    <row r="8" spans="1:10" x14ac:dyDescent="0.25">
      <c r="A8" s="225" t="s">
        <v>190</v>
      </c>
      <c r="B8" s="225">
        <v>6</v>
      </c>
      <c r="C8" s="233">
        <v>22100</v>
      </c>
      <c r="D8" s="226">
        <v>53100</v>
      </c>
      <c r="E8" s="226">
        <f t="shared" si="0"/>
        <v>75200</v>
      </c>
      <c r="F8" s="260">
        <v>75200</v>
      </c>
      <c r="G8" s="227">
        <f t="shared" si="1"/>
        <v>0</v>
      </c>
      <c r="H8" s="226">
        <v>0</v>
      </c>
      <c r="I8" s="226">
        <v>0</v>
      </c>
    </row>
    <row r="9" spans="1:10" x14ac:dyDescent="0.25">
      <c r="A9" s="225" t="s">
        <v>198</v>
      </c>
      <c r="B9" s="225">
        <v>5</v>
      </c>
      <c r="C9" s="233">
        <v>39200</v>
      </c>
      <c r="D9" s="226">
        <v>66100</v>
      </c>
      <c r="E9" s="226">
        <f t="shared" si="0"/>
        <v>105300</v>
      </c>
      <c r="F9" s="260">
        <v>125300</v>
      </c>
      <c r="G9" s="227">
        <f t="shared" si="1"/>
        <v>20000</v>
      </c>
      <c r="H9" s="226">
        <f>+G9*0.89</f>
        <v>17800</v>
      </c>
      <c r="I9" s="226">
        <f>+G9-H9</f>
        <v>2200</v>
      </c>
    </row>
    <row r="10" spans="1:10" x14ac:dyDescent="0.25">
      <c r="A10" s="225" t="s">
        <v>189</v>
      </c>
      <c r="B10" s="225">
        <v>5</v>
      </c>
      <c r="C10" s="233">
        <v>35700</v>
      </c>
      <c r="D10" s="226">
        <v>99700</v>
      </c>
      <c r="E10" s="226">
        <f t="shared" si="0"/>
        <v>135400</v>
      </c>
      <c r="F10" s="260">
        <v>159400</v>
      </c>
      <c r="G10" s="227">
        <f t="shared" si="1"/>
        <v>24000</v>
      </c>
      <c r="H10" s="226">
        <f>+G10*0.89</f>
        <v>21360</v>
      </c>
      <c r="I10" s="226">
        <f>+G10-H10</f>
        <v>2640</v>
      </c>
      <c r="J10" s="258"/>
    </row>
    <row r="11" spans="1:10" x14ac:dyDescent="0.25">
      <c r="A11" s="225" t="s">
        <v>187</v>
      </c>
      <c r="B11" s="245">
        <v>5</v>
      </c>
      <c r="C11" s="255">
        <v>33700</v>
      </c>
      <c r="D11" s="256">
        <v>74100</v>
      </c>
      <c r="E11" s="254">
        <f t="shared" si="0"/>
        <v>107800</v>
      </c>
      <c r="F11" s="260">
        <v>158800</v>
      </c>
      <c r="G11" s="227">
        <f t="shared" si="1"/>
        <v>51000</v>
      </c>
      <c r="H11" s="226">
        <f>+G11*0.89</f>
        <v>45390</v>
      </c>
      <c r="I11" s="226">
        <f>+G11-H11</f>
        <v>5610</v>
      </c>
    </row>
    <row r="12" spans="1:10" x14ac:dyDescent="0.25">
      <c r="A12" s="225" t="s">
        <v>183</v>
      </c>
      <c r="B12" s="225">
        <v>7</v>
      </c>
      <c r="C12" s="233">
        <v>19500</v>
      </c>
      <c r="D12" s="226">
        <v>65000</v>
      </c>
      <c r="E12" s="226">
        <f t="shared" si="0"/>
        <v>84500</v>
      </c>
      <c r="F12" s="260">
        <v>84500</v>
      </c>
      <c r="G12" s="227">
        <f t="shared" si="1"/>
        <v>0</v>
      </c>
      <c r="H12" s="226">
        <v>0</v>
      </c>
      <c r="I12" s="226">
        <v>0</v>
      </c>
    </row>
    <row r="13" spans="1:10" x14ac:dyDescent="0.25">
      <c r="A13" s="225" t="s">
        <v>191</v>
      </c>
      <c r="B13" s="245">
        <v>6</v>
      </c>
      <c r="C13" s="255">
        <v>43500</v>
      </c>
      <c r="D13" s="256">
        <v>77000</v>
      </c>
      <c r="E13" s="254">
        <f t="shared" si="0"/>
        <v>120500</v>
      </c>
      <c r="F13" s="260">
        <v>200500</v>
      </c>
      <c r="G13" s="227">
        <f t="shared" si="1"/>
        <v>80000</v>
      </c>
      <c r="H13" s="226">
        <f>+G13*0.89</f>
        <v>71200</v>
      </c>
      <c r="I13" s="226">
        <f>+G13-H13</f>
        <v>8800</v>
      </c>
    </row>
    <row r="14" spans="1:10" x14ac:dyDescent="0.25">
      <c r="A14" s="225" t="s">
        <v>188</v>
      </c>
      <c r="B14" s="225">
        <v>5</v>
      </c>
      <c r="C14" s="233">
        <v>35700</v>
      </c>
      <c r="D14" s="226">
        <v>99700</v>
      </c>
      <c r="E14" s="226">
        <f t="shared" si="0"/>
        <v>135400</v>
      </c>
      <c r="F14" s="260">
        <v>159400</v>
      </c>
      <c r="G14" s="227">
        <f t="shared" si="1"/>
        <v>24000</v>
      </c>
      <c r="H14" s="226">
        <f>+G14*0.89</f>
        <v>21360</v>
      </c>
      <c r="I14" s="226">
        <f>+G14-H14</f>
        <v>2640</v>
      </c>
      <c r="J14" s="258"/>
    </row>
    <row r="15" spans="1:10" x14ac:dyDescent="0.25">
      <c r="A15" s="225" t="s">
        <v>192</v>
      </c>
      <c r="B15" s="225">
        <v>5</v>
      </c>
      <c r="C15" s="233">
        <v>39200</v>
      </c>
      <c r="D15" s="226">
        <v>66100</v>
      </c>
      <c r="E15" s="226">
        <f t="shared" si="0"/>
        <v>105300</v>
      </c>
      <c r="F15" s="260">
        <v>105300</v>
      </c>
      <c r="G15" s="227">
        <f t="shared" si="1"/>
        <v>0</v>
      </c>
      <c r="H15" s="226">
        <v>0</v>
      </c>
      <c r="I15" s="226">
        <v>0</v>
      </c>
    </row>
    <row r="16" spans="1:10" x14ac:dyDescent="0.25">
      <c r="C16" s="229"/>
      <c r="G16" s="225"/>
      <c r="H16" s="226">
        <v>0</v>
      </c>
      <c r="I16" s="226">
        <v>0</v>
      </c>
    </row>
    <row r="17" spans="1:9" x14ac:dyDescent="0.25">
      <c r="A17" s="234" t="s">
        <v>260</v>
      </c>
      <c r="B17" s="234">
        <f t="shared" ref="B17:D17" si="2">SUM(B4:B15)</f>
        <v>66</v>
      </c>
      <c r="C17" s="235">
        <f t="shared" si="2"/>
        <v>427800</v>
      </c>
      <c r="D17" s="235">
        <f t="shared" si="2"/>
        <v>932250</v>
      </c>
      <c r="E17" s="235">
        <f>SUM(C17:D17)</f>
        <v>1360050</v>
      </c>
      <c r="F17" s="261">
        <f>SUM(F4:F16)</f>
        <v>1598050</v>
      </c>
      <c r="G17" s="235">
        <f>SUM(G4:G16)</f>
        <v>238000</v>
      </c>
      <c r="H17" s="226">
        <f>+G17*0.89</f>
        <v>211820</v>
      </c>
      <c r="I17" s="226">
        <f>+G17-H17</f>
        <v>26180</v>
      </c>
    </row>
    <row r="18" spans="1:9" hidden="1" x14ac:dyDescent="0.25">
      <c r="A18" s="234" t="s">
        <v>261</v>
      </c>
      <c r="B18" s="234"/>
      <c r="C18" s="233">
        <f t="shared" ref="C18:D18" si="3">+C17/3.4</f>
        <v>125823.52941176471</v>
      </c>
      <c r="D18" s="233">
        <f t="shared" si="3"/>
        <v>274191.17647058825</v>
      </c>
      <c r="E18" s="235">
        <f>SUM(C18:D18)</f>
        <v>400014.70588235295</v>
      </c>
      <c r="F18" s="261">
        <f>SUM(D18:E18)</f>
        <v>674205.8823529412</v>
      </c>
      <c r="G18" s="235">
        <f>SUM(E18:F18)</f>
        <v>1074220.5882352942</v>
      </c>
      <c r="H18" s="225"/>
      <c r="I18" s="225"/>
    </row>
    <row r="19" spans="1:9" x14ac:dyDescent="0.25">
      <c r="A19" s="234" t="s">
        <v>316</v>
      </c>
      <c r="B19" s="234"/>
      <c r="C19" s="233">
        <f>+C17/B21</f>
        <v>127701.49253731343</v>
      </c>
      <c r="D19" s="233">
        <f>+D17/B21</f>
        <v>278283.58208955225</v>
      </c>
      <c r="E19" s="235">
        <f>+E17/$B$21</f>
        <v>405985.07462686568</v>
      </c>
      <c r="F19" s="235">
        <f>+F17/$B$21</f>
        <v>477029.85074626864</v>
      </c>
      <c r="G19" s="235">
        <f>+G17/$B$21</f>
        <v>71044.776119402988</v>
      </c>
      <c r="H19" s="235">
        <f>+H17/$B$21</f>
        <v>63229.850746268654</v>
      </c>
      <c r="I19" s="235">
        <f>+I17/$B$21</f>
        <v>7814.9253731343279</v>
      </c>
    </row>
    <row r="21" spans="1:9" x14ac:dyDescent="0.25">
      <c r="A21" s="262" t="s">
        <v>314</v>
      </c>
      <c r="B21" s="263">
        <v>3.35</v>
      </c>
      <c r="E21" s="258"/>
      <c r="G21" s="258"/>
    </row>
    <row r="22" spans="1:9" x14ac:dyDescent="0.25">
      <c r="G22" s="316"/>
    </row>
    <row r="23" spans="1:9" s="236" customFormat="1" x14ac:dyDescent="0.25">
      <c r="A23" s="236" t="s">
        <v>267</v>
      </c>
    </row>
    <row r="25" spans="1:9" s="239" customFormat="1" ht="75" x14ac:dyDescent="0.25">
      <c r="A25" s="237" t="s">
        <v>253</v>
      </c>
      <c r="B25" s="237"/>
      <c r="C25" s="238" t="s">
        <v>268</v>
      </c>
      <c r="D25" s="238" t="s">
        <v>269</v>
      </c>
      <c r="E25" s="238" t="s">
        <v>4</v>
      </c>
    </row>
    <row r="26" spans="1:9" x14ac:dyDescent="0.25">
      <c r="A26" s="225" t="s">
        <v>182</v>
      </c>
      <c r="B26" s="225" t="s">
        <v>11</v>
      </c>
      <c r="C26" s="233">
        <v>6000</v>
      </c>
      <c r="D26" s="226">
        <v>20000</v>
      </c>
      <c r="E26" s="226">
        <f t="shared" ref="E26:E32" si="4">SUM(C26:D26)</f>
        <v>26000</v>
      </c>
    </row>
    <row r="27" spans="1:9" s="244" customFormat="1" x14ac:dyDescent="0.25">
      <c r="A27" s="241" t="s">
        <v>186</v>
      </c>
      <c r="B27" s="241" t="s">
        <v>10</v>
      </c>
      <c r="C27" s="242">
        <v>7000</v>
      </c>
      <c r="D27" s="243">
        <v>6000</v>
      </c>
      <c r="E27" s="243">
        <f t="shared" si="4"/>
        <v>13000</v>
      </c>
    </row>
    <row r="28" spans="1:9" s="244" customFormat="1" x14ac:dyDescent="0.25">
      <c r="A28" s="241" t="s">
        <v>198</v>
      </c>
      <c r="B28" s="241" t="s">
        <v>10</v>
      </c>
      <c r="C28" s="242">
        <v>8000</v>
      </c>
      <c r="D28" s="243">
        <v>12000</v>
      </c>
      <c r="E28" s="243">
        <f t="shared" si="4"/>
        <v>20000</v>
      </c>
    </row>
    <row r="29" spans="1:9" x14ac:dyDescent="0.25">
      <c r="A29" s="225" t="s">
        <v>189</v>
      </c>
      <c r="B29" s="225" t="s">
        <v>11</v>
      </c>
      <c r="C29" s="233">
        <v>8000</v>
      </c>
      <c r="D29" s="226">
        <v>16000</v>
      </c>
      <c r="E29" s="226">
        <f t="shared" si="4"/>
        <v>24000</v>
      </c>
    </row>
    <row r="30" spans="1:9" x14ac:dyDescent="0.25">
      <c r="A30" s="245" t="s">
        <v>187</v>
      </c>
      <c r="B30" s="225" t="s">
        <v>12</v>
      </c>
      <c r="C30" s="233">
        <v>7000</v>
      </c>
      <c r="D30" s="226">
        <v>44000</v>
      </c>
      <c r="E30" s="226">
        <f t="shared" si="4"/>
        <v>51000</v>
      </c>
    </row>
    <row r="31" spans="1:9" x14ac:dyDescent="0.25">
      <c r="A31" s="245" t="s">
        <v>191</v>
      </c>
      <c r="B31" s="225" t="s">
        <v>13</v>
      </c>
      <c r="C31" s="233">
        <v>8000</v>
      </c>
      <c r="D31" s="226">
        <v>72000</v>
      </c>
      <c r="E31" s="226">
        <f t="shared" si="4"/>
        <v>80000</v>
      </c>
    </row>
    <row r="32" spans="1:9" x14ac:dyDescent="0.25">
      <c r="A32" s="245" t="s">
        <v>188</v>
      </c>
      <c r="B32" s="225" t="s">
        <v>12</v>
      </c>
      <c r="C32" s="233">
        <v>8000</v>
      </c>
      <c r="D32" s="226">
        <v>16000</v>
      </c>
      <c r="E32" s="226">
        <f t="shared" si="4"/>
        <v>24000</v>
      </c>
    </row>
    <row r="33" spans="1:5" x14ac:dyDescent="0.25">
      <c r="C33" s="229"/>
    </row>
    <row r="34" spans="1:5" x14ac:dyDescent="0.25">
      <c r="A34" s="234" t="s">
        <v>260</v>
      </c>
      <c r="B34" s="234"/>
      <c r="C34" s="235">
        <f>SUM(C26:C32)</f>
        <v>52000</v>
      </c>
      <c r="D34" s="235">
        <f t="shared" ref="D34:E34" si="5">SUM(D26:D32)</f>
        <v>186000</v>
      </c>
      <c r="E34" s="235">
        <f t="shared" si="5"/>
        <v>238000</v>
      </c>
    </row>
    <row r="35" spans="1:5" x14ac:dyDescent="0.25">
      <c r="A35" s="234" t="s">
        <v>316</v>
      </c>
      <c r="B35" s="234"/>
      <c r="C35" s="233">
        <f>+C34/B37</f>
        <v>15522.388059701492</v>
      </c>
      <c r="D35" s="233">
        <f>+D34/B37</f>
        <v>55522.388059701494</v>
      </c>
      <c r="E35" s="233">
        <f>+E34/B37</f>
        <v>71044.776119402988</v>
      </c>
    </row>
    <row r="37" spans="1:5" x14ac:dyDescent="0.25">
      <c r="A37" s="262" t="s">
        <v>314</v>
      </c>
      <c r="B37" s="263">
        <v>3.35</v>
      </c>
    </row>
  </sheetData>
  <mergeCells count="1">
    <mergeCell ref="G2:I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topLeftCell="A27" workbookViewId="0">
      <selection activeCell="H34" sqref="H34"/>
    </sheetView>
  </sheetViews>
  <sheetFormatPr defaultColWidth="11.42578125" defaultRowHeight="15" x14ac:dyDescent="0.25"/>
  <cols>
    <col min="1" max="1" width="7.28515625" style="225" customWidth="1"/>
    <col min="2" max="2" width="33.5703125" style="240" customWidth="1"/>
    <col min="3" max="3" width="19.42578125" style="225" customWidth="1"/>
    <col min="4" max="4" width="11.42578125" style="225"/>
    <col min="5" max="5" width="15.140625" style="225" customWidth="1"/>
    <col min="6" max="7" width="15" style="241" customWidth="1"/>
    <col min="8" max="16384" width="11.42578125" style="225"/>
  </cols>
  <sheetData>
    <row r="1" spans="1:7" ht="34.9" customHeight="1" thickBot="1" x14ac:dyDescent="0.3">
      <c r="A1" s="365" t="s">
        <v>317</v>
      </c>
      <c r="B1" s="366"/>
      <c r="C1" s="366"/>
      <c r="D1" s="366"/>
      <c r="E1" s="366"/>
      <c r="F1" s="366"/>
      <c r="G1" s="367"/>
    </row>
    <row r="2" spans="1:7" x14ac:dyDescent="0.25">
      <c r="A2" s="368" t="s">
        <v>318</v>
      </c>
      <c r="B2" s="305" t="s">
        <v>319</v>
      </c>
      <c r="C2" s="264"/>
      <c r="D2" s="264" t="s">
        <v>18</v>
      </c>
      <c r="E2" s="264" t="s">
        <v>320</v>
      </c>
      <c r="F2" s="265" t="s">
        <v>321</v>
      </c>
      <c r="G2" s="265" t="s">
        <v>321</v>
      </c>
    </row>
    <row r="3" spans="1:7" x14ac:dyDescent="0.25">
      <c r="A3" s="369"/>
      <c r="B3" s="306" t="s">
        <v>322</v>
      </c>
      <c r="C3" s="266" t="s">
        <v>0</v>
      </c>
      <c r="D3" s="266" t="s">
        <v>318</v>
      </c>
      <c r="E3" s="266" t="s">
        <v>323</v>
      </c>
      <c r="F3" s="267" t="s">
        <v>119</v>
      </c>
      <c r="G3" s="267" t="s">
        <v>7</v>
      </c>
    </row>
    <row r="4" spans="1:7" s="273" customFormat="1" x14ac:dyDescent="0.25">
      <c r="A4" s="268">
        <v>1</v>
      </c>
      <c r="B4" s="269" t="s">
        <v>324</v>
      </c>
      <c r="C4" s="270"/>
      <c r="D4" s="271"/>
      <c r="E4" s="271"/>
      <c r="F4" s="272">
        <f>+F5+F6+F16+F17+F11+F18</f>
        <v>561000</v>
      </c>
      <c r="G4" s="272">
        <f>+G5+G6+G16+G17+G11+G18</f>
        <v>167462.68656716417</v>
      </c>
    </row>
    <row r="5" spans="1:7" ht="25.5" x14ac:dyDescent="0.25">
      <c r="A5" s="274">
        <v>1.1000000000000001</v>
      </c>
      <c r="B5" s="307" t="s">
        <v>325</v>
      </c>
      <c r="C5" s="275" t="s">
        <v>0</v>
      </c>
      <c r="D5" s="276">
        <v>1</v>
      </c>
      <c r="E5" s="51">
        <v>50000</v>
      </c>
      <c r="F5" s="277">
        <f>+E5*D5</f>
        <v>50000</v>
      </c>
      <c r="G5" s="277">
        <f>+F5/$D$40</f>
        <v>14925.373134328358</v>
      </c>
    </row>
    <row r="6" spans="1:7" ht="25.5" x14ac:dyDescent="0.25">
      <c r="A6" s="274">
        <v>1.2</v>
      </c>
      <c r="B6" s="308" t="s">
        <v>326</v>
      </c>
      <c r="C6" s="278" t="s">
        <v>327</v>
      </c>
      <c r="D6" s="279">
        <f>+D7+D8+D9+D10</f>
        <v>7</v>
      </c>
      <c r="E6" s="51"/>
      <c r="F6" s="277">
        <f>+F7+F8+F9+F10</f>
        <v>98000</v>
      </c>
      <c r="G6" s="277">
        <f>+G7+G8+G9+G10</f>
        <v>29253.731343283584</v>
      </c>
    </row>
    <row r="7" spans="1:7" x14ac:dyDescent="0.25">
      <c r="A7" s="280"/>
      <c r="B7" s="309" t="s">
        <v>328</v>
      </c>
      <c r="C7" s="275" t="s">
        <v>0</v>
      </c>
      <c r="D7" s="51">
        <v>5</v>
      </c>
      <c r="E7" s="51">
        <v>12000</v>
      </c>
      <c r="F7" s="281">
        <f>+E7*D7</f>
        <v>60000</v>
      </c>
      <c r="G7" s="277">
        <f>+F7/$D$40</f>
        <v>17910.447761194031</v>
      </c>
    </row>
    <row r="8" spans="1:7" x14ac:dyDescent="0.25">
      <c r="A8" s="280"/>
      <c r="B8" s="309" t="s">
        <v>329</v>
      </c>
      <c r="C8" s="275" t="s">
        <v>0</v>
      </c>
      <c r="D8" s="51">
        <v>1</v>
      </c>
      <c r="E8" s="51">
        <v>16000</v>
      </c>
      <c r="F8" s="281">
        <f>+E8*D8</f>
        <v>16000</v>
      </c>
      <c r="G8" s="277">
        <f>+F8/$D$40</f>
        <v>4776.1194029850749</v>
      </c>
    </row>
    <row r="9" spans="1:7" x14ac:dyDescent="0.25">
      <c r="A9" s="280"/>
      <c r="B9" s="309" t="s">
        <v>330</v>
      </c>
      <c r="C9" s="275" t="s">
        <v>0</v>
      </c>
      <c r="D9" s="51">
        <v>1</v>
      </c>
      <c r="E9" s="51">
        <v>22000</v>
      </c>
      <c r="F9" s="281">
        <f>+E9*D9</f>
        <v>22000</v>
      </c>
      <c r="G9" s="277">
        <f>+F9/$D$40</f>
        <v>6567.1641791044776</v>
      </c>
    </row>
    <row r="10" spans="1:7" x14ac:dyDescent="0.25">
      <c r="A10" s="280"/>
      <c r="B10" s="309" t="s">
        <v>331</v>
      </c>
      <c r="C10" s="275" t="s">
        <v>0</v>
      </c>
      <c r="D10" s="51">
        <v>0</v>
      </c>
      <c r="E10" s="51">
        <v>30000</v>
      </c>
      <c r="F10" s="281">
        <f>+E10*D10</f>
        <v>0</v>
      </c>
      <c r="G10" s="277">
        <f>+F10/$D$40</f>
        <v>0</v>
      </c>
    </row>
    <row r="11" spans="1:7" s="273" customFormat="1" ht="30" customHeight="1" x14ac:dyDescent="0.25">
      <c r="A11" s="274">
        <v>1.3</v>
      </c>
      <c r="B11" s="307" t="s">
        <v>332</v>
      </c>
      <c r="C11" s="275" t="s">
        <v>327</v>
      </c>
      <c r="D11" s="51">
        <f>+D12+D13+D14+D15</f>
        <v>7</v>
      </c>
      <c r="E11" s="51"/>
      <c r="F11" s="277">
        <f>+F12+F13+F14+F15</f>
        <v>98000</v>
      </c>
      <c r="G11" s="277">
        <f>+G12+G13+G14+G15</f>
        <v>29253.731343283584</v>
      </c>
    </row>
    <row r="12" spans="1:7" x14ac:dyDescent="0.25">
      <c r="A12" s="280"/>
      <c r="B12" s="309" t="s">
        <v>328</v>
      </c>
      <c r="C12" s="275" t="s">
        <v>0</v>
      </c>
      <c r="D12" s="51">
        <v>5</v>
      </c>
      <c r="E12" s="51">
        <v>12000</v>
      </c>
      <c r="F12" s="281">
        <f t="shared" ref="F12:F17" si="0">+E12*D12</f>
        <v>60000</v>
      </c>
      <c r="G12" s="277">
        <f t="shared" ref="G12:G18" si="1">+F12/$D$40</f>
        <v>17910.447761194031</v>
      </c>
    </row>
    <row r="13" spans="1:7" x14ac:dyDescent="0.25">
      <c r="A13" s="280"/>
      <c r="B13" s="309" t="s">
        <v>329</v>
      </c>
      <c r="C13" s="275" t="s">
        <v>0</v>
      </c>
      <c r="D13" s="51">
        <v>1</v>
      </c>
      <c r="E13" s="51">
        <v>16000</v>
      </c>
      <c r="F13" s="281">
        <f t="shared" si="0"/>
        <v>16000</v>
      </c>
      <c r="G13" s="277">
        <f t="shared" si="1"/>
        <v>4776.1194029850749</v>
      </c>
    </row>
    <row r="14" spans="1:7" x14ac:dyDescent="0.25">
      <c r="A14" s="280"/>
      <c r="B14" s="309" t="s">
        <v>330</v>
      </c>
      <c r="C14" s="275" t="s">
        <v>0</v>
      </c>
      <c r="D14" s="51">
        <v>1</v>
      </c>
      <c r="E14" s="51">
        <v>22000</v>
      </c>
      <c r="F14" s="281">
        <f t="shared" si="0"/>
        <v>22000</v>
      </c>
      <c r="G14" s="277">
        <f t="shared" si="1"/>
        <v>6567.1641791044776</v>
      </c>
    </row>
    <row r="15" spans="1:7" x14ac:dyDescent="0.25">
      <c r="A15" s="280"/>
      <c r="B15" s="309" t="s">
        <v>331</v>
      </c>
      <c r="C15" s="275" t="s">
        <v>0</v>
      </c>
      <c r="D15" s="51">
        <v>0</v>
      </c>
      <c r="E15" s="51">
        <v>30000</v>
      </c>
      <c r="F15" s="281">
        <f t="shared" si="0"/>
        <v>0</v>
      </c>
      <c r="G15" s="277">
        <f t="shared" si="1"/>
        <v>0</v>
      </c>
    </row>
    <row r="16" spans="1:7" ht="30" customHeight="1" x14ac:dyDescent="0.25">
      <c r="A16" s="274">
        <v>1.4</v>
      </c>
      <c r="B16" s="308" t="s">
        <v>333</v>
      </c>
      <c r="C16" s="275" t="s">
        <v>0</v>
      </c>
      <c r="D16" s="51">
        <f>+D6</f>
        <v>7</v>
      </c>
      <c r="E16" s="51">
        <v>20000</v>
      </c>
      <c r="F16" s="277">
        <f t="shared" si="0"/>
        <v>140000</v>
      </c>
      <c r="G16" s="277">
        <f t="shared" si="1"/>
        <v>41791.044776119401</v>
      </c>
    </row>
    <row r="17" spans="1:7" ht="34.15" customHeight="1" x14ac:dyDescent="0.25">
      <c r="A17" s="274">
        <v>1.5</v>
      </c>
      <c r="B17" s="307" t="s">
        <v>334</v>
      </c>
      <c r="C17" s="275" t="s">
        <v>0</v>
      </c>
      <c r="D17" s="51">
        <f>+D6</f>
        <v>7</v>
      </c>
      <c r="E17" s="51">
        <v>10000</v>
      </c>
      <c r="F17" s="277">
        <f t="shared" si="0"/>
        <v>70000</v>
      </c>
      <c r="G17" s="277">
        <f t="shared" si="1"/>
        <v>20895.5223880597</v>
      </c>
    </row>
    <row r="18" spans="1:7" s="273" customFormat="1" ht="38.25" customHeight="1" x14ac:dyDescent="0.25">
      <c r="A18" s="282">
        <v>1.6</v>
      </c>
      <c r="B18" s="308" t="s">
        <v>335</v>
      </c>
      <c r="C18" s="275" t="s">
        <v>0</v>
      </c>
      <c r="D18" s="51">
        <f>+D6</f>
        <v>7</v>
      </c>
      <c r="E18" s="51">
        <v>15000</v>
      </c>
      <c r="F18" s="277">
        <f t="shared" ref="F18" si="2">+D18*E18</f>
        <v>105000</v>
      </c>
      <c r="G18" s="277">
        <f t="shared" si="1"/>
        <v>31343.283582089553</v>
      </c>
    </row>
    <row r="19" spans="1:7" s="273" customFormat="1" ht="48" customHeight="1" x14ac:dyDescent="0.25">
      <c r="A19" s="268">
        <v>2</v>
      </c>
      <c r="B19" s="269" t="s">
        <v>336</v>
      </c>
      <c r="C19" s="283"/>
      <c r="D19" s="284"/>
      <c r="E19" s="284"/>
      <c r="F19" s="272">
        <f>+F20+F21+F22+F23+F25+F26</f>
        <v>294988</v>
      </c>
      <c r="G19" s="272">
        <f>+G20+G21+G22+G23+G25+G26</f>
        <v>88056.119402985074</v>
      </c>
    </row>
    <row r="20" spans="1:7" ht="34.15" customHeight="1" x14ac:dyDescent="0.25">
      <c r="A20" s="274">
        <v>2.1</v>
      </c>
      <c r="B20" s="307" t="s">
        <v>337</v>
      </c>
      <c r="C20" s="285" t="s">
        <v>338</v>
      </c>
      <c r="D20" s="286">
        <v>0.5</v>
      </c>
      <c r="E20" s="287">
        <v>10000</v>
      </c>
      <c r="F20" s="277">
        <f t="shared" ref="F20:F23" si="3">+D20*E20</f>
        <v>5000</v>
      </c>
      <c r="G20" s="277">
        <f t="shared" ref="G20:G26" si="4">+F20/$D$40</f>
        <v>1492.5373134328358</v>
      </c>
    </row>
    <row r="21" spans="1:7" ht="37.5" customHeight="1" x14ac:dyDescent="0.25">
      <c r="A21" s="274">
        <v>2.2000000000000002</v>
      </c>
      <c r="B21" s="307" t="s">
        <v>339</v>
      </c>
      <c r="C21" s="285" t="s">
        <v>0</v>
      </c>
      <c r="D21" s="287">
        <f>+D6</f>
        <v>7</v>
      </c>
      <c r="E21" s="287">
        <v>5000</v>
      </c>
      <c r="F21" s="277">
        <f>+D21*E21</f>
        <v>35000</v>
      </c>
      <c r="G21" s="277">
        <f t="shared" si="4"/>
        <v>10447.76119402985</v>
      </c>
    </row>
    <row r="22" spans="1:7" ht="41.25" customHeight="1" x14ac:dyDescent="0.25">
      <c r="A22" s="274">
        <v>2.2999999999999998</v>
      </c>
      <c r="B22" s="307" t="s">
        <v>340</v>
      </c>
      <c r="C22" s="285" t="s">
        <v>327</v>
      </c>
      <c r="D22" s="287">
        <f>+D6</f>
        <v>7</v>
      </c>
      <c r="E22" s="287">
        <v>15000</v>
      </c>
      <c r="F22" s="277">
        <f>+D22*E22</f>
        <v>105000</v>
      </c>
      <c r="G22" s="277">
        <f t="shared" si="4"/>
        <v>31343.283582089553</v>
      </c>
    </row>
    <row r="23" spans="1:7" ht="36.75" customHeight="1" x14ac:dyDescent="0.25">
      <c r="A23" s="274">
        <v>2.4</v>
      </c>
      <c r="B23" s="307" t="s">
        <v>341</v>
      </c>
      <c r="C23" s="285" t="s">
        <v>0</v>
      </c>
      <c r="D23" s="287">
        <f>+D6</f>
        <v>7</v>
      </c>
      <c r="E23" s="287">
        <v>5000</v>
      </c>
      <c r="F23" s="277">
        <f t="shared" si="3"/>
        <v>35000</v>
      </c>
      <c r="G23" s="277">
        <f t="shared" si="4"/>
        <v>10447.76119402985</v>
      </c>
    </row>
    <row r="24" spans="1:7" ht="36.75" customHeight="1" x14ac:dyDescent="0.25">
      <c r="A24" s="274"/>
      <c r="B24" s="307"/>
      <c r="C24" s="285"/>
      <c r="D24" s="287"/>
      <c r="E24" s="287"/>
      <c r="F24" s="277"/>
      <c r="G24" s="277"/>
    </row>
    <row r="25" spans="1:7" ht="51" x14ac:dyDescent="0.25">
      <c r="A25" s="274">
        <v>2.5</v>
      </c>
      <c r="B25" s="307" t="s">
        <v>342</v>
      </c>
      <c r="C25" s="285" t="s">
        <v>0</v>
      </c>
      <c r="D25" s="287">
        <f>+D6</f>
        <v>7</v>
      </c>
      <c r="E25" s="287">
        <v>10000</v>
      </c>
      <c r="F25" s="277">
        <f>+E25*D25</f>
        <v>70000</v>
      </c>
      <c r="G25" s="277">
        <f t="shared" si="4"/>
        <v>20895.5223880597</v>
      </c>
    </row>
    <row r="26" spans="1:7" x14ac:dyDescent="0.25">
      <c r="A26" s="274"/>
      <c r="B26" s="310" t="s">
        <v>343</v>
      </c>
      <c r="C26" s="289" t="s">
        <v>344</v>
      </c>
      <c r="D26" s="288">
        <v>14</v>
      </c>
      <c r="E26" s="290">
        <f>F26/D26</f>
        <v>3213.4285714285716</v>
      </c>
      <c r="F26" s="288">
        <v>44988</v>
      </c>
      <c r="G26" s="277">
        <f t="shared" si="4"/>
        <v>13429.253731343284</v>
      </c>
    </row>
    <row r="27" spans="1:7" s="273" customFormat="1" ht="30.75" customHeight="1" x14ac:dyDescent="0.25">
      <c r="A27" s="291">
        <v>3</v>
      </c>
      <c r="B27" s="269" t="s">
        <v>345</v>
      </c>
      <c r="C27" s="283"/>
      <c r="D27" s="284">
        <f>+D28+D29+D30+D31+D32+D33+D34</f>
        <v>85.019999999999982</v>
      </c>
      <c r="E27" s="292"/>
      <c r="F27" s="272">
        <f>SUM(F28:F34)</f>
        <v>372269</v>
      </c>
      <c r="G27" s="272">
        <f>SUM(G28:G34)</f>
        <v>111125.07462686568</v>
      </c>
    </row>
    <row r="28" spans="1:7" s="273" customFormat="1" ht="15.75" customHeight="1" x14ac:dyDescent="0.25">
      <c r="A28" s="293">
        <v>1</v>
      </c>
      <c r="B28" s="307" t="s">
        <v>346</v>
      </c>
      <c r="C28" s="275" t="s">
        <v>347</v>
      </c>
      <c r="D28" s="51">
        <f>+[2]parciales!D5</f>
        <v>37.44</v>
      </c>
      <c r="E28" s="294">
        <f t="shared" ref="E28:E33" si="5">+F28/D28</f>
        <v>4267.5213675213681</v>
      </c>
      <c r="F28" s="277">
        <f>+[2]CHINCHA!G20</f>
        <v>159776</v>
      </c>
      <c r="G28" s="277">
        <f t="shared" ref="G28:G34" si="6">+F28/$D$40</f>
        <v>47694.328358208957</v>
      </c>
    </row>
    <row r="29" spans="1:7" s="273" customFormat="1" ht="15.75" customHeight="1" x14ac:dyDescent="0.25">
      <c r="A29" s="293">
        <v>2</v>
      </c>
      <c r="B29" s="307" t="s">
        <v>187</v>
      </c>
      <c r="C29" s="275" t="s">
        <v>347</v>
      </c>
      <c r="D29" s="51">
        <f>+[2]parciales!D6</f>
        <v>17.16</v>
      </c>
      <c r="E29" s="294">
        <f t="shared" si="5"/>
        <v>4562.9370629370633</v>
      </c>
      <c r="F29" s="277">
        <f>+[2]HUACHO!G20</f>
        <v>78300</v>
      </c>
      <c r="G29" s="277">
        <f t="shared" si="6"/>
        <v>23373.13432835821</v>
      </c>
    </row>
    <row r="30" spans="1:7" s="273" customFormat="1" ht="15.75" customHeight="1" x14ac:dyDescent="0.25">
      <c r="A30" s="293">
        <v>3</v>
      </c>
      <c r="B30" s="307" t="s">
        <v>182</v>
      </c>
      <c r="C30" s="275" t="s">
        <v>347</v>
      </c>
      <c r="D30" s="51">
        <f>+[2]parciales!D7</f>
        <v>9.36</v>
      </c>
      <c r="E30" s="294">
        <f t="shared" si="5"/>
        <v>4641.4529914529921</v>
      </c>
      <c r="F30" s="277">
        <f>+[2]CHANCAY!G20</f>
        <v>43444</v>
      </c>
      <c r="G30" s="277">
        <f t="shared" si="6"/>
        <v>12968.358208955224</v>
      </c>
    </row>
    <row r="31" spans="1:7" s="273" customFormat="1" ht="15.75" customHeight="1" x14ac:dyDescent="0.25">
      <c r="A31" s="293">
        <v>4</v>
      </c>
      <c r="B31" s="307" t="s">
        <v>189</v>
      </c>
      <c r="C31" s="275" t="s">
        <v>347</v>
      </c>
      <c r="D31" s="51">
        <f>+[2]parciales!D8</f>
        <v>6.24</v>
      </c>
      <c r="E31" s="294">
        <f t="shared" si="5"/>
        <v>3893.5897435897436</v>
      </c>
      <c r="F31" s="277">
        <f>+[2]ANDAHUAYLAS!G20</f>
        <v>24296</v>
      </c>
      <c r="G31" s="277">
        <f t="shared" si="6"/>
        <v>7252.5373134328356</v>
      </c>
    </row>
    <row r="32" spans="1:7" s="273" customFormat="1" ht="15.75" customHeight="1" x14ac:dyDescent="0.25">
      <c r="A32" s="293">
        <v>5</v>
      </c>
      <c r="B32" s="307" t="s">
        <v>188</v>
      </c>
      <c r="C32" s="275" t="s">
        <v>347</v>
      </c>
      <c r="D32" s="51">
        <f>+[2]parciales!D9</f>
        <v>6.24</v>
      </c>
      <c r="E32" s="294">
        <f t="shared" si="5"/>
        <v>3893.5897435897436</v>
      </c>
      <c r="F32" s="277">
        <f>+[2]ABANCAY!G20</f>
        <v>24296</v>
      </c>
      <c r="G32" s="277">
        <f t="shared" si="6"/>
        <v>7252.5373134328356</v>
      </c>
    </row>
    <row r="33" spans="1:7" s="273" customFormat="1" ht="15.75" customHeight="1" x14ac:dyDescent="0.25">
      <c r="A33" s="293">
        <v>6</v>
      </c>
      <c r="B33" s="307" t="s">
        <v>198</v>
      </c>
      <c r="C33" s="275" t="s">
        <v>347</v>
      </c>
      <c r="D33" s="51">
        <f>+[2]parciales!D10</f>
        <v>6.24</v>
      </c>
      <c r="E33" s="294">
        <f t="shared" si="5"/>
        <v>3893.5897435897436</v>
      </c>
      <c r="F33" s="277">
        <f>+[2]HUAMANGA!G20</f>
        <v>24296</v>
      </c>
      <c r="G33" s="277">
        <f t="shared" si="6"/>
        <v>7252.5373134328356</v>
      </c>
    </row>
    <row r="34" spans="1:7" s="273" customFormat="1" x14ac:dyDescent="0.25">
      <c r="A34" s="293">
        <v>7</v>
      </c>
      <c r="B34" s="307" t="s">
        <v>186</v>
      </c>
      <c r="C34" s="275" t="s">
        <v>347</v>
      </c>
      <c r="D34" s="51">
        <f>+[2]parciales!D11</f>
        <v>2.34</v>
      </c>
      <c r="E34" s="294">
        <f>+F34/D34</f>
        <v>7632.9059829059834</v>
      </c>
      <c r="F34" s="277">
        <f>+[2]BAGUA!G20</f>
        <v>17861</v>
      </c>
      <c r="G34" s="277">
        <f t="shared" si="6"/>
        <v>5331.6417910447763</v>
      </c>
    </row>
    <row r="35" spans="1:7" s="273" customFormat="1" ht="15.75" thickBot="1" x14ac:dyDescent="0.3">
      <c r="B35" s="311"/>
      <c r="C35" s="289"/>
      <c r="D35" s="288"/>
      <c r="E35" s="290"/>
      <c r="F35" s="288"/>
      <c r="G35" s="288"/>
    </row>
    <row r="36" spans="1:7" x14ac:dyDescent="0.25">
      <c r="A36" s="370" t="s">
        <v>348</v>
      </c>
      <c r="B36" s="371"/>
      <c r="C36" s="371"/>
      <c r="D36" s="371"/>
      <c r="E36" s="371"/>
      <c r="F36" s="295">
        <f>+F27+F19+F4+F35</f>
        <v>1228257</v>
      </c>
      <c r="G36" s="295">
        <f>+G27+G19+G4+G35</f>
        <v>366643.88059701491</v>
      </c>
    </row>
    <row r="37" spans="1:7" x14ac:dyDescent="0.25">
      <c r="A37" s="372" t="s">
        <v>349</v>
      </c>
      <c r="B37" s="373"/>
      <c r="C37" s="373"/>
      <c r="D37" s="373"/>
      <c r="E37" s="373"/>
      <c r="F37" s="296">
        <f>+F36*0.18</f>
        <v>221086.25999999998</v>
      </c>
      <c r="G37" s="296">
        <f>+G36*0.18</f>
        <v>65995.898507462683</v>
      </c>
    </row>
    <row r="38" spans="1:7" x14ac:dyDescent="0.25">
      <c r="A38" s="374" t="s">
        <v>350</v>
      </c>
      <c r="B38" s="375"/>
      <c r="C38" s="375"/>
      <c r="D38" s="375"/>
      <c r="E38" s="375"/>
      <c r="F38" s="301">
        <f>+F36+F37</f>
        <v>1449343.26</v>
      </c>
      <c r="G38" s="301">
        <f>+G36+G37</f>
        <v>432639.77910447761</v>
      </c>
    </row>
    <row r="39" spans="1:7" x14ac:dyDescent="0.25">
      <c r="A39" s="299"/>
      <c r="B39" s="312"/>
      <c r="C39" s="299"/>
      <c r="D39" s="300"/>
      <c r="E39" s="299"/>
      <c r="F39" s="299"/>
      <c r="G39" s="299"/>
    </row>
    <row r="40" spans="1:7" x14ac:dyDescent="0.25">
      <c r="A40" s="302"/>
      <c r="B40" s="313"/>
      <c r="C40" s="302" t="s">
        <v>351</v>
      </c>
      <c r="D40" s="303">
        <v>3.35</v>
      </c>
      <c r="E40" s="299"/>
      <c r="F40" s="299"/>
      <c r="G40" s="299"/>
    </row>
    <row r="41" spans="1:7" x14ac:dyDescent="0.25">
      <c r="A41" s="299"/>
      <c r="B41" s="312"/>
      <c r="C41" s="297"/>
      <c r="D41" s="298"/>
      <c r="E41" s="299"/>
      <c r="F41" s="299"/>
      <c r="G41" s="299"/>
    </row>
    <row r="42" spans="1:7" x14ac:dyDescent="0.25">
      <c r="A42" s="299"/>
      <c r="B42" s="312"/>
      <c r="C42" s="299"/>
      <c r="D42" s="300"/>
      <c r="E42" s="299"/>
      <c r="F42" s="299"/>
      <c r="G42" s="299"/>
    </row>
    <row r="43" spans="1:7" x14ac:dyDescent="0.25">
      <c r="A43" s="299"/>
      <c r="B43" s="312"/>
      <c r="C43" s="299"/>
      <c r="D43" s="300"/>
      <c r="E43" s="299"/>
      <c r="F43" s="299"/>
      <c r="G43" s="299"/>
    </row>
    <row r="44" spans="1:7" x14ac:dyDescent="0.25">
      <c r="A44" s="299"/>
      <c r="B44" s="312"/>
      <c r="C44" s="299"/>
      <c r="D44" s="298"/>
      <c r="E44" s="299"/>
      <c r="F44" s="299"/>
      <c r="G44" s="299"/>
    </row>
    <row r="45" spans="1:7" x14ac:dyDescent="0.25">
      <c r="A45" s="299"/>
      <c r="B45" s="312"/>
      <c r="C45" s="299"/>
      <c r="D45" s="300"/>
      <c r="E45" s="299"/>
      <c r="F45" s="299"/>
      <c r="G45" s="299"/>
    </row>
    <row r="46" spans="1:7" x14ac:dyDescent="0.25">
      <c r="A46" s="302"/>
      <c r="B46" s="313"/>
      <c r="C46" s="302"/>
      <c r="D46" s="302"/>
      <c r="E46" s="302"/>
      <c r="F46" s="304"/>
      <c r="G46" s="304"/>
    </row>
    <row r="47" spans="1:7" x14ac:dyDescent="0.25">
      <c r="A47" s="302"/>
      <c r="B47" s="313"/>
      <c r="C47" s="302"/>
      <c r="D47" s="302"/>
      <c r="E47" s="302"/>
      <c r="F47" s="304"/>
      <c r="G47" s="304"/>
    </row>
    <row r="48" spans="1:7" x14ac:dyDescent="0.25">
      <c r="A48" s="302"/>
      <c r="B48" s="313"/>
      <c r="C48" s="302"/>
      <c r="D48" s="302"/>
      <c r="E48" s="302"/>
      <c r="F48" s="304"/>
      <c r="G48" s="304"/>
    </row>
    <row r="49" spans="1:7" x14ac:dyDescent="0.25">
      <c r="A49" s="302"/>
      <c r="B49" s="313"/>
      <c r="C49" s="302"/>
      <c r="D49" s="302"/>
      <c r="E49" s="302"/>
      <c r="F49" s="304"/>
      <c r="G49" s="304"/>
    </row>
    <row r="50" spans="1:7" x14ac:dyDescent="0.25">
      <c r="A50" s="302"/>
      <c r="B50" s="313"/>
      <c r="C50" s="302"/>
      <c r="D50" s="302"/>
      <c r="E50" s="302"/>
      <c r="F50" s="304"/>
      <c r="G50" s="304"/>
    </row>
    <row r="51" spans="1:7" x14ac:dyDescent="0.25">
      <c r="A51" s="302"/>
      <c r="B51" s="313"/>
      <c r="C51" s="302"/>
      <c r="D51" s="302"/>
      <c r="E51" s="302"/>
      <c r="F51" s="304"/>
      <c r="G51" s="304"/>
    </row>
    <row r="52" spans="1:7" x14ac:dyDescent="0.25">
      <c r="A52" s="302"/>
      <c r="B52" s="313"/>
      <c r="C52" s="302"/>
      <c r="D52" s="302"/>
      <c r="E52" s="302"/>
      <c r="F52" s="304"/>
      <c r="G52" s="304"/>
    </row>
    <row r="53" spans="1:7" x14ac:dyDescent="0.25">
      <c r="A53" s="302"/>
      <c r="B53" s="313"/>
      <c r="C53" s="302"/>
      <c r="D53" s="302"/>
      <c r="E53" s="302"/>
      <c r="F53" s="304"/>
      <c r="G53" s="304"/>
    </row>
    <row r="54" spans="1:7" x14ac:dyDescent="0.25">
      <c r="A54" s="302"/>
      <c r="B54" s="313"/>
      <c r="C54" s="302"/>
      <c r="D54" s="302"/>
      <c r="E54" s="302"/>
      <c r="F54" s="304"/>
      <c r="G54" s="304"/>
    </row>
    <row r="55" spans="1:7" x14ac:dyDescent="0.25">
      <c r="A55" s="302"/>
      <c r="B55" s="313"/>
      <c r="C55" s="302"/>
      <c r="D55" s="302"/>
      <c r="E55" s="302"/>
      <c r="F55" s="304"/>
      <c r="G55" s="304"/>
    </row>
    <row r="56" spans="1:7" x14ac:dyDescent="0.25">
      <c r="A56" s="302"/>
      <c r="B56" s="313"/>
      <c r="C56" s="302"/>
      <c r="D56" s="302"/>
      <c r="E56" s="302"/>
      <c r="F56" s="304"/>
      <c r="G56" s="304"/>
    </row>
    <row r="57" spans="1:7" x14ac:dyDescent="0.25">
      <c r="A57" s="302"/>
      <c r="B57" s="313"/>
      <c r="C57" s="302"/>
      <c r="D57" s="302"/>
      <c r="E57" s="302"/>
      <c r="F57" s="304"/>
      <c r="G57" s="304"/>
    </row>
    <row r="58" spans="1:7" x14ac:dyDescent="0.25">
      <c r="A58" s="302"/>
      <c r="B58" s="313"/>
      <c r="C58" s="302"/>
      <c r="D58" s="302"/>
      <c r="E58" s="302"/>
      <c r="F58" s="304"/>
      <c r="G58" s="304"/>
    </row>
    <row r="59" spans="1:7" x14ac:dyDescent="0.25">
      <c r="A59" s="302"/>
      <c r="B59" s="313"/>
      <c r="C59" s="302"/>
      <c r="D59" s="302"/>
      <c r="E59" s="302"/>
      <c r="F59" s="304"/>
      <c r="G59" s="304"/>
    </row>
    <row r="60" spans="1:7" x14ac:dyDescent="0.25">
      <c r="A60" s="302"/>
      <c r="B60" s="313"/>
      <c r="C60" s="302"/>
      <c r="D60" s="302"/>
      <c r="E60" s="302"/>
      <c r="F60" s="304"/>
      <c r="G60" s="304"/>
    </row>
    <row r="61" spans="1:7" x14ac:dyDescent="0.25">
      <c r="A61" s="302"/>
      <c r="B61" s="313"/>
      <c r="C61" s="302"/>
      <c r="D61" s="302"/>
      <c r="E61" s="302"/>
      <c r="F61" s="304"/>
      <c r="G61" s="304"/>
    </row>
    <row r="62" spans="1:7" x14ac:dyDescent="0.25">
      <c r="A62" s="302"/>
      <c r="B62" s="313"/>
      <c r="C62" s="302"/>
      <c r="D62" s="302"/>
      <c r="E62" s="302"/>
      <c r="F62" s="304"/>
      <c r="G62" s="304"/>
    </row>
    <row r="63" spans="1:7" x14ac:dyDescent="0.25">
      <c r="A63" s="302"/>
      <c r="B63" s="313"/>
      <c r="C63" s="302"/>
      <c r="D63" s="302"/>
      <c r="E63" s="302"/>
      <c r="F63" s="304"/>
      <c r="G63" s="304"/>
    </row>
    <row r="64" spans="1:7" x14ac:dyDescent="0.25">
      <c r="A64" s="302"/>
      <c r="B64" s="313"/>
      <c r="C64" s="302"/>
      <c r="D64" s="302"/>
      <c r="E64" s="302"/>
      <c r="F64" s="304"/>
      <c r="G64" s="304"/>
    </row>
    <row r="65" spans="1:7" x14ac:dyDescent="0.25">
      <c r="A65" s="302"/>
      <c r="B65" s="313"/>
      <c r="C65" s="302"/>
      <c r="D65" s="302"/>
      <c r="E65" s="302"/>
      <c r="F65" s="304"/>
      <c r="G65" s="304"/>
    </row>
    <row r="66" spans="1:7" x14ac:dyDescent="0.25">
      <c r="A66" s="302"/>
      <c r="B66" s="313"/>
      <c r="C66" s="302"/>
      <c r="D66" s="302"/>
      <c r="E66" s="302"/>
      <c r="F66" s="304"/>
      <c r="G66" s="304"/>
    </row>
    <row r="67" spans="1:7" x14ac:dyDescent="0.25">
      <c r="A67" s="302"/>
      <c r="B67" s="313"/>
      <c r="C67" s="302"/>
      <c r="D67" s="302"/>
      <c r="E67" s="302"/>
      <c r="F67" s="304"/>
      <c r="G67" s="304"/>
    </row>
    <row r="68" spans="1:7" x14ac:dyDescent="0.25">
      <c r="A68" s="302"/>
      <c r="B68" s="313"/>
      <c r="C68" s="302"/>
      <c r="D68" s="302"/>
      <c r="E68" s="302"/>
      <c r="F68" s="304"/>
      <c r="G68" s="304"/>
    </row>
    <row r="69" spans="1:7" x14ac:dyDescent="0.25">
      <c r="A69" s="302"/>
      <c r="B69" s="313"/>
      <c r="C69" s="302"/>
      <c r="D69" s="302"/>
      <c r="E69" s="302"/>
      <c r="F69" s="304"/>
      <c r="G69" s="304"/>
    </row>
    <row r="70" spans="1:7" x14ac:dyDescent="0.25">
      <c r="A70" s="302"/>
      <c r="B70" s="313"/>
      <c r="C70" s="302"/>
      <c r="D70" s="302"/>
      <c r="E70" s="302"/>
      <c r="F70" s="304"/>
      <c r="G70" s="304"/>
    </row>
    <row r="71" spans="1:7" x14ac:dyDescent="0.25">
      <c r="A71" s="302"/>
      <c r="B71" s="313"/>
      <c r="C71" s="302"/>
      <c r="D71" s="302"/>
      <c r="E71" s="302"/>
      <c r="F71" s="304"/>
      <c r="G71" s="304"/>
    </row>
    <row r="72" spans="1:7" x14ac:dyDescent="0.25">
      <c r="A72" s="302"/>
      <c r="B72" s="313"/>
      <c r="C72" s="302"/>
      <c r="D72" s="302"/>
      <c r="E72" s="302"/>
      <c r="F72" s="304"/>
      <c r="G72" s="304"/>
    </row>
    <row r="73" spans="1:7" x14ac:dyDescent="0.25">
      <c r="A73" s="302"/>
      <c r="B73" s="313"/>
      <c r="C73" s="302"/>
      <c r="D73" s="302"/>
      <c r="E73" s="302"/>
      <c r="F73" s="304"/>
      <c r="G73" s="304"/>
    </row>
    <row r="74" spans="1:7" x14ac:dyDescent="0.25">
      <c r="A74" s="302"/>
      <c r="B74" s="313"/>
      <c r="C74" s="302"/>
      <c r="D74" s="302"/>
      <c r="E74" s="302"/>
      <c r="F74" s="304"/>
      <c r="G74" s="304"/>
    </row>
    <row r="75" spans="1:7" x14ac:dyDescent="0.25">
      <c r="A75" s="302"/>
      <c r="B75" s="313"/>
      <c r="C75" s="302"/>
      <c r="D75" s="302"/>
      <c r="E75" s="302"/>
      <c r="F75" s="304"/>
      <c r="G75" s="304"/>
    </row>
    <row r="76" spans="1:7" x14ac:dyDescent="0.25">
      <c r="A76" s="302"/>
      <c r="B76" s="313"/>
      <c r="C76" s="302"/>
      <c r="D76" s="302"/>
      <c r="E76" s="302"/>
      <c r="F76" s="304"/>
      <c r="G76" s="304"/>
    </row>
    <row r="77" spans="1:7" x14ac:dyDescent="0.25">
      <c r="A77" s="302"/>
      <c r="B77" s="313"/>
      <c r="C77" s="302"/>
      <c r="D77" s="302"/>
      <c r="E77" s="302"/>
      <c r="F77" s="304"/>
      <c r="G77" s="304"/>
    </row>
    <row r="78" spans="1:7" x14ac:dyDescent="0.25">
      <c r="A78" s="302"/>
      <c r="B78" s="313"/>
      <c r="C78" s="302"/>
      <c r="D78" s="302"/>
      <c r="E78" s="302"/>
      <c r="F78" s="304"/>
      <c r="G78" s="304"/>
    </row>
  </sheetData>
  <mergeCells count="5">
    <mergeCell ref="A1:G1"/>
    <mergeCell ref="A2:A3"/>
    <mergeCell ref="A36:E36"/>
    <mergeCell ref="A37:E37"/>
    <mergeCell ref="A38:E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Resumen</vt:lpstr>
      <vt:lpstr>Componentes</vt:lpstr>
      <vt:lpstr>Administración_ME_Auditoria</vt:lpstr>
      <vt:lpstr>Costos RRHH</vt:lpstr>
      <vt:lpstr>Detalle costos Componentes</vt:lpstr>
      <vt:lpstr>Gestión Municipal</vt:lpstr>
      <vt:lpstr>Practicas a la Poblacion (PIPs)</vt:lpstr>
      <vt:lpstr>PISo_BID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</dc:creator>
  <cp:lastModifiedBy>yg</cp:lastModifiedBy>
  <cp:lastPrinted>2017-02-09T12:00:49Z</cp:lastPrinted>
  <dcterms:created xsi:type="dcterms:W3CDTF">2013-10-30T13:45:04Z</dcterms:created>
  <dcterms:modified xsi:type="dcterms:W3CDTF">2017-02-16T19:03:16Z</dcterms:modified>
</cp:coreProperties>
</file>