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15.xml" ContentType="application/vnd.openxmlformats-officedocument.spreadsheetml.worksheet+xml"/>
  <Override PartName="/xl/worksheets/sheet13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4.xml" ContentType="application/vnd.openxmlformats-officedocument.spreadsheetml.worksheet+xml"/>
  <Override PartName="/xl/worksheets/sheet12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20" yWindow="615" windowWidth="19635" windowHeight="7425"/>
  </bookViews>
  <sheets>
    <sheet name="PPTO PROGRESO TOTAL" sheetId="1" r:id="rId1"/>
    <sheet name="A1 ANDADOR" sheetId="2" r:id="rId2"/>
    <sheet name="Hoja3" sheetId="3" state="hidden" r:id="rId3"/>
    <sheet name="A2 PASEO" sheetId="5" r:id="rId4"/>
    <sheet name="A3 SEÑALIZACIÓN" sheetId="6" r:id="rId5"/>
    <sheet name="B1 DUNA" sheetId="8" r:id="rId6"/>
    <sheet name="B2 TORTUGAS" sheetId="7" r:id="rId7"/>
    <sheet name="B3 SARGAZO" sheetId="9" r:id="rId8"/>
    <sheet name="B4 VIVERO Y REFORESTACIÓN" sheetId="10" r:id="rId9"/>
    <sheet name="B5 RESIDUOS" sheetId="11" r:id="rId10"/>
    <sheet name="C1 FONDO AT" sheetId="12" r:id="rId11"/>
    <sheet name="C2 PROMOCIÓN" sheetId="13" r:id="rId12"/>
    <sheet name="D1 COMUNICACIÓN" sheetId="14" r:id="rId13"/>
    <sheet name="D2 PLAN" sheetId="15" r:id="rId14"/>
    <sheet name="D3 FORTALECIMIENTO" sheetId="16" r:id="rId15"/>
    <sheet name="Hoja1" sheetId="4" r:id="rId16"/>
  </sheets>
  <definedNames>
    <definedName name="_GoBack" localSheetId="0">'PPTO PROGRESO TOTAL'!#REF!</definedName>
  </definedNames>
  <calcPr calcId="125725"/>
</workbook>
</file>

<file path=xl/calcChain.xml><?xml version="1.0" encoding="utf-8"?>
<calcChain xmlns="http://schemas.openxmlformats.org/spreadsheetml/2006/main">
  <c r="C18" i="1"/>
  <c r="D19"/>
  <c r="B19" s="1"/>
  <c r="C19"/>
  <c r="D20"/>
  <c r="C23"/>
  <c r="C22"/>
  <c r="C15"/>
  <c r="B15" s="1"/>
  <c r="C14"/>
  <c r="C13"/>
  <c r="C12"/>
  <c r="B12" s="1"/>
  <c r="B13"/>
  <c r="C10"/>
  <c r="C9"/>
  <c r="C8"/>
  <c r="E7" i="16"/>
  <c r="F7" s="1"/>
  <c r="E8"/>
  <c r="F8" s="1"/>
  <c r="E6"/>
  <c r="E7" i="15"/>
  <c r="F7" s="1"/>
  <c r="E6"/>
  <c r="F6" s="1"/>
  <c r="F8" s="1"/>
  <c r="E7" i="14"/>
  <c r="F7" s="1"/>
  <c r="E6"/>
  <c r="F6" s="1"/>
  <c r="E7" i="13"/>
  <c r="F7" s="1"/>
  <c r="E6"/>
  <c r="F6" s="1"/>
  <c r="E7" i="12"/>
  <c r="F7" s="1"/>
  <c r="E6"/>
  <c r="F6" s="1"/>
  <c r="E8" i="11"/>
  <c r="F8" s="1"/>
  <c r="E7"/>
  <c r="F7" s="1"/>
  <c r="E6"/>
  <c r="E18" i="10"/>
  <c r="F18" s="1"/>
  <c r="E17"/>
  <c r="F17" s="1"/>
  <c r="E16"/>
  <c r="E15"/>
  <c r="F15" s="1"/>
  <c r="E14"/>
  <c r="F14" s="1"/>
  <c r="E13"/>
  <c r="F13" s="1"/>
  <c r="E12"/>
  <c r="F12" s="1"/>
  <c r="E11"/>
  <c r="F11" s="1"/>
  <c r="E10"/>
  <c r="F10" s="1"/>
  <c r="E9"/>
  <c r="F9" s="1"/>
  <c r="E8"/>
  <c r="F8" s="1"/>
  <c r="E7"/>
  <c r="F7" s="1"/>
  <c r="E6"/>
  <c r="D35" i="9"/>
  <c r="C35"/>
  <c r="E35" s="1"/>
  <c r="F35" s="1"/>
  <c r="D34"/>
  <c r="E34" s="1"/>
  <c r="F34" s="1"/>
  <c r="D33"/>
  <c r="E33" s="1"/>
  <c r="F33" s="1"/>
  <c r="D32"/>
  <c r="E32" s="1"/>
  <c r="F32" s="1"/>
  <c r="D31"/>
  <c r="E31" s="1"/>
  <c r="F31" s="1"/>
  <c r="D29"/>
  <c r="E29" s="1"/>
  <c r="F29" s="1"/>
  <c r="E28"/>
  <c r="F28" s="1"/>
  <c r="E27"/>
  <c r="F27" s="1"/>
  <c r="E26"/>
  <c r="F26" s="1"/>
  <c r="E25"/>
  <c r="F25" s="1"/>
  <c r="E24"/>
  <c r="F24" s="1"/>
  <c r="D23"/>
  <c r="E23" s="1"/>
  <c r="D21"/>
  <c r="E21" s="1"/>
  <c r="F21" s="1"/>
  <c r="D20"/>
  <c r="E20" s="1"/>
  <c r="D18"/>
  <c r="E18" s="1"/>
  <c r="F18" s="1"/>
  <c r="D17"/>
  <c r="E17" s="1"/>
  <c r="F17" s="1"/>
  <c r="D16"/>
  <c r="E16" s="1"/>
  <c r="F16" s="1"/>
  <c r="D15"/>
  <c r="E15" s="1"/>
  <c r="F15" s="1"/>
  <c r="D14"/>
  <c r="E14" s="1"/>
  <c r="F14" s="1"/>
  <c r="D13"/>
  <c r="E13" s="1"/>
  <c r="F13" s="1"/>
  <c r="D12"/>
  <c r="E12" s="1"/>
  <c r="F12" s="1"/>
  <c r="E10"/>
  <c r="F10" s="1"/>
  <c r="E9"/>
  <c r="F9" s="1"/>
  <c r="E8"/>
  <c r="F8" s="1"/>
  <c r="D7"/>
  <c r="E7" s="1"/>
  <c r="E7" i="8"/>
  <c r="F7" s="1"/>
  <c r="E6"/>
  <c r="E10" i="7"/>
  <c r="F10" s="1"/>
  <c r="E9"/>
  <c r="F9" s="1"/>
  <c r="E8"/>
  <c r="F8" s="1"/>
  <c r="E7"/>
  <c r="F7" s="1"/>
  <c r="E6"/>
  <c r="F6" s="1"/>
  <c r="E7" i="6"/>
  <c r="F7" s="1"/>
  <c r="E6"/>
  <c r="F6" s="1"/>
  <c r="E9" i="5"/>
  <c r="F9" s="1"/>
  <c r="E8"/>
  <c r="F8" s="1"/>
  <c r="E7"/>
  <c r="F7" s="1"/>
  <c r="E6"/>
  <c r="F6" s="1"/>
  <c r="B23" i="1"/>
  <c r="B22"/>
  <c r="C35"/>
  <c r="D35"/>
  <c r="E9" i="2"/>
  <c r="F9" s="1"/>
  <c r="E8"/>
  <c r="F8" s="1"/>
  <c r="E7"/>
  <c r="F7" s="1"/>
  <c r="E6"/>
  <c r="F6" s="1"/>
  <c r="F11" i="7" l="1"/>
  <c r="E9" i="16"/>
  <c r="F6"/>
  <c r="F9" s="1"/>
  <c r="F8" i="14"/>
  <c r="C21" i="1" s="1"/>
  <c r="C20" s="1"/>
  <c r="F8" i="13"/>
  <c r="F8" i="12"/>
  <c r="E9" i="11"/>
  <c r="F6"/>
  <c r="F9" s="1"/>
  <c r="C16" i="1" s="1"/>
  <c r="E19" i="10"/>
  <c r="F6"/>
  <c r="F16"/>
  <c r="E8" i="8"/>
  <c r="F6"/>
  <c r="F8" s="1"/>
  <c r="F8" i="6"/>
  <c r="E8" i="15"/>
  <c r="E8" i="14"/>
  <c r="E8" i="13"/>
  <c r="E8" i="12"/>
  <c r="F19" i="10"/>
  <c r="F20" i="9"/>
  <c r="F19" s="1"/>
  <c r="E19"/>
  <c r="F23"/>
  <c r="F22" s="1"/>
  <c r="E22"/>
  <c r="F7"/>
  <c r="F6" s="1"/>
  <c r="E6"/>
  <c r="E11" i="7"/>
  <c r="E8" i="6"/>
  <c r="F10" i="5"/>
  <c r="E10"/>
  <c r="F10" i="2"/>
  <c r="C7" i="1" s="1"/>
  <c r="E10" i="2"/>
  <c r="F36" i="9" l="1"/>
  <c r="E36"/>
  <c r="B21" i="1" l="1"/>
  <c r="B20" l="1"/>
  <c r="B34"/>
  <c r="B33"/>
  <c r="B32"/>
  <c r="E22" l="1"/>
  <c r="E23"/>
  <c r="E21"/>
  <c r="B35"/>
  <c r="B14"/>
  <c r="D17"/>
  <c r="D11"/>
  <c r="D7"/>
  <c r="B9"/>
  <c r="B10"/>
  <c r="D5" l="1"/>
  <c r="E20"/>
  <c r="C11"/>
  <c r="B8" l="1"/>
  <c r="B7" s="1"/>
  <c r="E9" l="1"/>
  <c r="E10"/>
  <c r="E7"/>
  <c r="E8"/>
  <c r="B16"/>
  <c r="B11" s="1"/>
  <c r="E15" s="1"/>
  <c r="E13" l="1"/>
  <c r="E12"/>
  <c r="E14"/>
  <c r="E16"/>
  <c r="E11" l="1"/>
  <c r="C17" l="1"/>
  <c r="C5" s="1"/>
  <c r="B18"/>
  <c r="B17" s="1"/>
  <c r="B5" s="1"/>
  <c r="E19" l="1"/>
  <c r="E18"/>
  <c r="E17" l="1"/>
  <c r="B26"/>
  <c r="D25"/>
  <c r="D28" s="1"/>
  <c r="C25"/>
  <c r="C28" s="1"/>
  <c r="B25" l="1"/>
  <c r="B28" s="1"/>
  <c r="F15" l="1"/>
  <c r="E26"/>
  <c r="C29"/>
  <c r="F13"/>
  <c r="F8"/>
  <c r="F21"/>
  <c r="F16"/>
  <c r="F14"/>
  <c r="B29"/>
  <c r="F23"/>
  <c r="F12"/>
  <c r="F19"/>
  <c r="F9"/>
  <c r="D29"/>
  <c r="F18"/>
  <c r="F26"/>
  <c r="F25" s="1"/>
  <c r="F10"/>
  <c r="F22"/>
  <c r="F7"/>
  <c r="E25"/>
  <c r="F20" l="1"/>
  <c r="F17"/>
  <c r="F11"/>
  <c r="F5" l="1"/>
  <c r="F28" s="1"/>
</calcChain>
</file>

<file path=xl/sharedStrings.xml><?xml version="1.0" encoding="utf-8"?>
<sst xmlns="http://schemas.openxmlformats.org/spreadsheetml/2006/main" count="325" uniqueCount="146">
  <si>
    <t>CATEGORÍAS PRESUPUESTARIAS</t>
  </si>
  <si>
    <t>LOCAL</t>
  </si>
  <si>
    <t xml:space="preserve"> </t>
  </si>
  <si>
    <t>% PARTICIPACION</t>
  </si>
  <si>
    <t>PRESUPUESTO PROGRESO (RESUMEN)</t>
  </si>
  <si>
    <t>INVERSIONES LOCALES PROMOVIDAS POR SIFIDEY CON SECTOR PRIVADO</t>
  </si>
  <si>
    <t>AP1. Centro Comercial y de Servicios</t>
  </si>
  <si>
    <t>AP2. Hotel CTM</t>
  </si>
  <si>
    <t>AP3. Restaurantes, hostales, almacenes y servicios turísticos en Paseo Peatonal</t>
  </si>
  <si>
    <t>Total estimado inversión privada local</t>
  </si>
  <si>
    <t>A2.  Paseo Turístico ("Quinta Avenida")</t>
  </si>
  <si>
    <t>BID</t>
  </si>
  <si>
    <t>TOTAL        USD</t>
  </si>
  <si>
    <t>% del Proyecto</t>
  </si>
  <si>
    <t>A1.  Andador peatonal y ciclo vía (Malecón)</t>
  </si>
  <si>
    <t>A3.  Ordenamiento circulación vehicular y señalética</t>
  </si>
  <si>
    <t>PROGRESO: PRESUPUESTO DESAGREGADO POR COMPONENTES</t>
  </si>
  <si>
    <t>Tasa Cambio</t>
  </si>
  <si>
    <t>RUBRO</t>
  </si>
  <si>
    <t>MEDIDA</t>
  </si>
  <si>
    <t>CANTIDAD</t>
  </si>
  <si>
    <t>COSTO UNITARIO* (PM$)</t>
  </si>
  <si>
    <t>COSTO (PM$)</t>
  </si>
  <si>
    <t>COSTO (USD)</t>
  </si>
  <si>
    <t>1. Pasos de arena</t>
  </si>
  <si>
    <t>m2</t>
  </si>
  <si>
    <t>2. Andador Peatonal y ciclovía</t>
  </si>
  <si>
    <t>3. Alumbrado público</t>
  </si>
  <si>
    <t>Unidad</t>
  </si>
  <si>
    <t>3. Mobiliario urbano</t>
  </si>
  <si>
    <t>TOTAL</t>
  </si>
  <si>
    <t>* Incluye 16% de IVA/Fuente: INCCOPY, Proyecto Ejecutivo</t>
  </si>
  <si>
    <t>A2. PASEO PEATONAL "QUINTA AVENIDA"</t>
  </si>
  <si>
    <t>COSTO UNITARIO (PM$)</t>
  </si>
  <si>
    <t>Circulación peatonal y rehabilitación parque</t>
  </si>
  <si>
    <t>Tratamiento de fachadas</t>
  </si>
  <si>
    <t>Mobiliario urbano</t>
  </si>
  <si>
    <t>Alumbrado público</t>
  </si>
  <si>
    <t>Señales verticales de tráfico y peatonales</t>
  </si>
  <si>
    <t>Información circulación turística y vehicular</t>
  </si>
  <si>
    <t>Global</t>
  </si>
  <si>
    <t>B1. CAMPAMENTO TORTUGUERO</t>
  </si>
  <si>
    <t>Oficina y dormitorio (5x4m)</t>
  </si>
  <si>
    <t>Almacen (4x3m)</t>
  </si>
  <si>
    <t>Area de usos múltiples (8x6)</t>
  </si>
  <si>
    <t>Corral de incubación</t>
  </si>
  <si>
    <t>Electrificación</t>
  </si>
  <si>
    <t>B2. COOPERATIVA MUJERES MANEJO SARGAZO</t>
  </si>
  <si>
    <t>COSTO  (USD)</t>
  </si>
  <si>
    <t>Costos de capital</t>
  </si>
  <si>
    <t>Secadero</t>
  </si>
  <si>
    <t>Cubierta secadero</t>
  </si>
  <si>
    <t>Soportes cubierta secadero</t>
  </si>
  <si>
    <t>Camioneta estacada, 3 ton</t>
  </si>
  <si>
    <t>Materiales de trabajo</t>
  </si>
  <si>
    <t>- Botas</t>
  </si>
  <si>
    <t>- Guantes</t>
  </si>
  <si>
    <t>Par</t>
  </si>
  <si>
    <t>- Overoles</t>
  </si>
  <si>
    <t>- Gorras</t>
  </si>
  <si>
    <t>Herramientas</t>
  </si>
  <si>
    <t>Báscula, 200k</t>
  </si>
  <si>
    <t>Equipo de oficina</t>
  </si>
  <si>
    <t>Costos de Gestión y Gerencia</t>
  </si>
  <si>
    <t>Gestión y gerencia</t>
  </si>
  <si>
    <t>Mes</t>
  </si>
  <si>
    <t>Costos de trámites</t>
  </si>
  <si>
    <t>Costos de funcionamiento</t>
  </si>
  <si>
    <t>Capacitación</t>
  </si>
  <si>
    <t>Jornales diarios, 11 meses</t>
  </si>
  <si>
    <t>Jornal</t>
  </si>
  <si>
    <t>Presidente Cooperativa, 10m</t>
  </si>
  <si>
    <t>Secretaria Cooperativa, 10m</t>
  </si>
  <si>
    <t>Tesorera Cooperativa, 10m</t>
  </si>
  <si>
    <t>Seguros, salud, pensión</t>
  </si>
  <si>
    <t>Arrendamiento bodega-oficina, 11m</t>
  </si>
  <si>
    <t>Servicios públicos, 11 m</t>
  </si>
  <si>
    <t>- Agua</t>
  </si>
  <si>
    <t>- Energía</t>
  </si>
  <si>
    <t>- Celulares, 2</t>
  </si>
  <si>
    <t>Combustible 15 km/d 330 días</t>
  </si>
  <si>
    <t>Lt.</t>
  </si>
  <si>
    <t>Transporte a Conkal</t>
  </si>
  <si>
    <t>Viajes</t>
  </si>
  <si>
    <t>Construcción duna (Transporte y carga)</t>
  </si>
  <si>
    <t>Dragado para construir duna costera</t>
  </si>
  <si>
    <t>TOTALES</t>
  </si>
  <si>
    <t>B4. GESTION RESIDUOS SOLIDOS URBANOS</t>
  </si>
  <si>
    <t>Mejoramiento de la gestión RSU (Recolección)</t>
  </si>
  <si>
    <t>Campaña ciudadana para manejo RSU</t>
  </si>
  <si>
    <t>Producción</t>
  </si>
  <si>
    <t>Jornales</t>
  </si>
  <si>
    <t>Bolsas (23x10cm)</t>
  </si>
  <si>
    <t>Bagazo</t>
  </si>
  <si>
    <t>m3</t>
  </si>
  <si>
    <t>Tierra</t>
  </si>
  <si>
    <t>Arena</t>
  </si>
  <si>
    <t>Semillas</t>
  </si>
  <si>
    <t>Agroquímicos</t>
  </si>
  <si>
    <t>Lote</t>
  </si>
  <si>
    <t>Gasolina para bomba de riego</t>
  </si>
  <si>
    <t>Transporte de planta</t>
  </si>
  <si>
    <t>Reforestación</t>
  </si>
  <si>
    <t>lote</t>
  </si>
  <si>
    <t>(*) Para producción de 60.000 plantas.</t>
  </si>
  <si>
    <t>C. COMPONENTE: DESARROLLO SOCIAL Y ECONÓMICO</t>
  </si>
  <si>
    <t>C1. PROMOCION ECONOMICA</t>
  </si>
  <si>
    <t>1. Asistencia Técnica</t>
  </si>
  <si>
    <t>2. Fondos para promoción de negocios turísticos</t>
  </si>
  <si>
    <t>C2. PROMOCION CULTURAL</t>
  </si>
  <si>
    <t>2. Fondos para promoción de actividades culturales</t>
  </si>
  <si>
    <t>A1. PROYECTO ANDADOR PEATONAL Y CICLOVIA (*)</t>
  </si>
  <si>
    <t>A. COMPONENTE DE DESARROLLO Y EQUIPAMIENTO URBANO</t>
  </si>
  <si>
    <t>B. COMPONENTE AMBIENTAL</t>
  </si>
  <si>
    <t>A.   Componente de Desarrollo y Equipamiento Urbano</t>
  </si>
  <si>
    <t>B.   Componente Ambiental</t>
  </si>
  <si>
    <t>C.  Componente de Desarrollo Social y Económico</t>
  </si>
  <si>
    <t>D.  Componente de Fortalecimiento Institucional y Comunicación</t>
  </si>
  <si>
    <t>D1. Plan de Comunicación y Promoción</t>
  </si>
  <si>
    <t>D2. Plan de Desarrollo Integral de Progreso</t>
  </si>
  <si>
    <t>C2.  Promoción turística y cultural</t>
  </si>
  <si>
    <t>A3. SEÑALIZACIÓN VIAL Y TURÍSTICA</t>
  </si>
  <si>
    <t>B1. REPOSICION DUNA COSTERA</t>
  </si>
  <si>
    <t>B4. VIVERO Y REFORESTACION PLAYA (*)</t>
  </si>
  <si>
    <t>1. Fondo Asistencia Técnica para mejora calidad de bienes y servicios</t>
  </si>
  <si>
    <t>D. COMPONENTE DE FORTALECIMIENTO INSTITUCIONAL Y COMUNICACIÓN</t>
  </si>
  <si>
    <t>D1 PLAN DE SOCIALIZACIÓN Y COMUNICACIÓN</t>
  </si>
  <si>
    <t>Diseño Plan de Socialización y Comunicación</t>
  </si>
  <si>
    <t>Implementación de plan de socialización y comunicación</t>
  </si>
  <si>
    <t>D2 PLAN DE DESARROLLO INTEGRAL</t>
  </si>
  <si>
    <t>D3 FORTALECIMIENTO ORGANISMO EJECUTOR</t>
  </si>
  <si>
    <t>Asistencia Técnica</t>
  </si>
  <si>
    <t>Manuales</t>
  </si>
  <si>
    <t>B1.  Reposición duna costera</t>
  </si>
  <si>
    <t>B2.  Campamento Tortuguero</t>
  </si>
  <si>
    <t>B3.  Cooperativa mujeres manejo sargazo</t>
  </si>
  <si>
    <t>B4.  Vivero y reforestación playa</t>
  </si>
  <si>
    <t>B5.  Residuos sólidos urbanos</t>
  </si>
  <si>
    <t>C1.  Fondo de asistencia técnica mejora bienes y servicios</t>
  </si>
  <si>
    <t>2.  Otros gastos</t>
  </si>
  <si>
    <t>1. Inversiones (A + B + C + D)</t>
  </si>
  <si>
    <t>TOTAL    (1  +  2)</t>
  </si>
  <si>
    <t>LOCAL USD</t>
  </si>
  <si>
    <t>Imprevistos</t>
  </si>
  <si>
    <t>% de DU</t>
  </si>
  <si>
    <t>D3. Fortalecimiento Institucional y Estudios</t>
  </si>
</sst>
</file>

<file path=xl/styles.xml><?xml version="1.0" encoding="utf-8"?>
<styleSheet xmlns="http://schemas.openxmlformats.org/spreadsheetml/2006/main">
  <numFmts count="11">
    <numFmt numFmtId="44" formatCode="_(&quot;$&quot;\ * #,##0.00_);_(&quot;$&quot;\ * \(#,##0.00\);_(&quot;$&quot;\ * &quot;-&quot;??_);_(@_)"/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* #,##0.00_-;\-&quot;$&quot;* #,##0.00_-;_-&quot;$&quot;* &quot;-&quot;??_-;_-@_-"/>
    <numFmt numFmtId="169" formatCode="_-* #,##0.00_-;\-* #,##0.00_-;_-* &quot;-&quot;??_-;_-@_-"/>
    <numFmt numFmtId="170" formatCode="_-* #,##0_-;\-* #,##0_-;_-* &quot;-&quot;??_-;_-@_-"/>
    <numFmt numFmtId="171" formatCode="_(* #,##0.0_);_(* \(#,##0.0\);_(* &quot;-&quot;??_);_(@_)"/>
    <numFmt numFmtId="172" formatCode="#,##0.0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0"/>
      <color theme="0"/>
      <name val="Times New Roman"/>
      <family val="1"/>
    </font>
    <font>
      <b/>
      <i/>
      <sz val="10"/>
      <color theme="1"/>
      <name val="Times New Roman"/>
      <family val="1"/>
    </font>
    <font>
      <i/>
      <sz val="10"/>
      <color theme="1"/>
      <name val="Times New Roman"/>
      <family val="1"/>
    </font>
    <font>
      <sz val="10"/>
      <color rgb="FF000000"/>
      <name val="Times New Roman"/>
      <family val="1"/>
    </font>
    <font>
      <b/>
      <i/>
      <sz val="10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80">
    <xf numFmtId="0" fontId="0" fillId="0" borderId="0" xfId="0"/>
    <xf numFmtId="10" fontId="3" fillId="0" borderId="1" xfId="2" applyNumberFormat="1" applyFont="1" applyFill="1" applyBorder="1" applyAlignment="1">
      <alignment horizontal="center" vertical="center" wrapText="1"/>
    </xf>
    <xf numFmtId="10" fontId="3" fillId="2" borderId="1" xfId="2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vertical="center"/>
    </xf>
    <xf numFmtId="167" fontId="3" fillId="2" borderId="1" xfId="1" applyNumberFormat="1" applyFont="1" applyFill="1" applyBorder="1" applyAlignment="1">
      <alignment horizontal="center" vertical="center"/>
    </xf>
    <xf numFmtId="10" fontId="3" fillId="0" borderId="0" xfId="2" applyNumberFormat="1" applyFont="1" applyFill="1" applyBorder="1" applyAlignment="1">
      <alignment horizontal="center" vertical="center" wrapText="1"/>
    </xf>
    <xf numFmtId="165" fontId="2" fillId="0" borderId="0" xfId="2" applyNumberFormat="1" applyFont="1" applyFill="1" applyBorder="1" applyAlignment="1">
      <alignment horizontal="center" vertical="center" wrapText="1"/>
    </xf>
    <xf numFmtId="3" fontId="3" fillId="2" borderId="1" xfId="1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 wrapText="1"/>
    </xf>
    <xf numFmtId="9" fontId="2" fillId="0" borderId="0" xfId="2" applyFont="1" applyFill="1" applyBorder="1" applyAlignment="1">
      <alignment horizontal="center" vertical="center"/>
    </xf>
    <xf numFmtId="164" fontId="2" fillId="0" borderId="0" xfId="2" applyNumberFormat="1" applyFont="1" applyFill="1" applyBorder="1" applyAlignment="1">
      <alignment horizontal="center" vertical="center"/>
    </xf>
    <xf numFmtId="164" fontId="2" fillId="0" borderId="0" xfId="2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right" vertical="center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10" fontId="3" fillId="0" borderId="0" xfId="0" applyNumberFormat="1" applyFont="1" applyFill="1" applyBorder="1" applyAlignment="1">
      <alignment vertical="center" wrapText="1"/>
    </xf>
    <xf numFmtId="0" fontId="2" fillId="5" borderId="1" xfId="0" applyFont="1" applyFill="1" applyBorder="1" applyAlignment="1">
      <alignment horizontal="left" vertical="center" wrapText="1"/>
    </xf>
    <xf numFmtId="164" fontId="2" fillId="5" borderId="1" xfId="0" applyNumberFormat="1" applyFont="1" applyFill="1" applyBorder="1" applyAlignment="1">
      <alignment horizontal="right" vertical="center"/>
    </xf>
    <xf numFmtId="10" fontId="2" fillId="5" borderId="1" xfId="2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10" fontId="3" fillId="0" borderId="5" xfId="2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164" fontId="3" fillId="3" borderId="0" xfId="0" applyNumberFormat="1" applyFont="1" applyFill="1" applyBorder="1" applyAlignment="1">
      <alignment vertical="center"/>
    </xf>
    <xf numFmtId="166" fontId="3" fillId="2" borderId="0" xfId="1" applyNumberFormat="1" applyFont="1" applyFill="1" applyBorder="1" applyAlignment="1">
      <alignment horizontal="center" vertical="center"/>
    </xf>
    <xf numFmtId="3" fontId="3" fillId="2" borderId="0" xfId="1" applyNumberFormat="1" applyFont="1" applyFill="1" applyBorder="1" applyAlignment="1">
      <alignment horizontal="right" vertical="center"/>
    </xf>
    <xf numFmtId="10" fontId="3" fillId="2" borderId="0" xfId="2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164" fontId="2" fillId="7" borderId="1" xfId="0" applyNumberFormat="1" applyFont="1" applyFill="1" applyBorder="1" applyAlignment="1">
      <alignment vertical="center"/>
    </xf>
    <xf numFmtId="10" fontId="2" fillId="7" borderId="1" xfId="2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/>
    <xf numFmtId="0" fontId="7" fillId="0" borderId="0" xfId="0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5" fillId="0" borderId="0" xfId="0" applyFont="1" applyFill="1" applyBorder="1"/>
    <xf numFmtId="168" fontId="6" fillId="0" borderId="0" xfId="3" applyNumberFormat="1" applyFont="1" applyFill="1" applyBorder="1"/>
    <xf numFmtId="3" fontId="6" fillId="0" borderId="0" xfId="3" applyNumberFormat="1" applyFont="1" applyFill="1" applyBorder="1"/>
    <xf numFmtId="3" fontId="6" fillId="0" borderId="0" xfId="0" applyNumberFormat="1" applyFont="1" applyFill="1" applyBorder="1"/>
    <xf numFmtId="0" fontId="6" fillId="0" borderId="0" xfId="0" applyFont="1" applyBorder="1"/>
    <xf numFmtId="0" fontId="5" fillId="0" borderId="0" xfId="0" applyFont="1"/>
    <xf numFmtId="3" fontId="5" fillId="0" borderId="0" xfId="0" applyNumberFormat="1" applyFont="1"/>
    <xf numFmtId="0" fontId="6" fillId="9" borderId="1" xfId="0" applyFont="1" applyFill="1" applyBorder="1" applyAlignment="1">
      <alignment horizontal="center" vertical="center"/>
    </xf>
    <xf numFmtId="0" fontId="6" fillId="9" borderId="1" xfId="0" applyFont="1" applyFill="1" applyBorder="1" applyAlignment="1">
      <alignment horizontal="center" vertical="center" wrapText="1"/>
    </xf>
    <xf numFmtId="3" fontId="6" fillId="9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170" fontId="5" fillId="0" borderId="1" xfId="1" applyNumberFormat="1" applyFont="1" applyBorder="1"/>
    <xf numFmtId="3" fontId="5" fillId="0" borderId="1" xfId="3" applyNumberFormat="1" applyFont="1" applyBorder="1"/>
    <xf numFmtId="3" fontId="5" fillId="0" borderId="1" xfId="0" applyNumberFormat="1" applyFont="1" applyBorder="1"/>
    <xf numFmtId="0" fontId="6" fillId="9" borderId="1" xfId="0" applyFont="1" applyFill="1" applyBorder="1"/>
    <xf numFmtId="0" fontId="5" fillId="0" borderId="0" xfId="0" applyFont="1" applyBorder="1"/>
    <xf numFmtId="168" fontId="6" fillId="0" borderId="0" xfId="3" applyNumberFormat="1" applyFont="1" applyBorder="1"/>
    <xf numFmtId="3" fontId="6" fillId="9" borderId="1" xfId="3" applyNumberFormat="1" applyFont="1" applyFill="1" applyBorder="1"/>
    <xf numFmtId="3" fontId="6" fillId="9" borderId="1" xfId="0" applyNumberFormat="1" applyFont="1" applyFill="1" applyBorder="1"/>
    <xf numFmtId="0" fontId="5" fillId="0" borderId="0" xfId="0" applyFont="1" applyFill="1"/>
    <xf numFmtId="3" fontId="5" fillId="0" borderId="0" xfId="0" applyNumberFormat="1" applyFont="1" applyFill="1"/>
    <xf numFmtId="0" fontId="5" fillId="0" borderId="1" xfId="0" applyFont="1" applyFill="1" applyBorder="1"/>
    <xf numFmtId="0" fontId="5" fillId="0" borderId="1" xfId="0" applyFont="1" applyFill="1" applyBorder="1" applyAlignment="1">
      <alignment horizontal="center"/>
    </xf>
    <xf numFmtId="170" fontId="5" fillId="0" borderId="1" xfId="0" applyNumberFormat="1" applyFont="1" applyFill="1" applyBorder="1"/>
    <xf numFmtId="3" fontId="5" fillId="0" borderId="1" xfId="3" applyNumberFormat="1" applyFont="1" applyFill="1" applyBorder="1"/>
    <xf numFmtId="170" fontId="5" fillId="0" borderId="1" xfId="1" applyNumberFormat="1" applyFont="1" applyFill="1" applyBorder="1"/>
    <xf numFmtId="0" fontId="5" fillId="0" borderId="0" xfId="0" applyFont="1" applyBorder="1" applyAlignment="1">
      <alignment horizontal="center"/>
    </xf>
    <xf numFmtId="3" fontId="6" fillId="0" borderId="0" xfId="3" applyNumberFormat="1" applyFont="1" applyBorder="1"/>
    <xf numFmtId="0" fontId="5" fillId="0" borderId="0" xfId="0" applyFont="1" applyAlignment="1">
      <alignment horizontal="center"/>
    </xf>
    <xf numFmtId="0" fontId="6" fillId="10" borderId="0" xfId="0" applyFont="1" applyFill="1" applyBorder="1"/>
    <xf numFmtId="0" fontId="5" fillId="10" borderId="0" xfId="0" applyFont="1" applyFill="1" applyAlignment="1">
      <alignment horizontal="center"/>
    </xf>
    <xf numFmtId="0" fontId="5" fillId="0" borderId="1" xfId="0" applyFont="1" applyFill="1" applyBorder="1" applyAlignment="1">
      <alignment wrapText="1"/>
    </xf>
    <xf numFmtId="169" fontId="5" fillId="0" borderId="1" xfId="1" applyNumberFormat="1" applyFont="1" applyFill="1" applyBorder="1"/>
    <xf numFmtId="0" fontId="6" fillId="5" borderId="0" xfId="0" applyFont="1" applyFill="1" applyBorder="1"/>
    <xf numFmtId="3" fontId="6" fillId="0" borderId="0" xfId="0" applyNumberFormat="1" applyFont="1" applyBorder="1"/>
    <xf numFmtId="0" fontId="5" fillId="5" borderId="0" xfId="0" applyFont="1" applyFill="1"/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3" fontId="5" fillId="0" borderId="1" xfId="0" applyNumberFormat="1" applyFont="1" applyBorder="1" applyAlignment="1">
      <alignment horizontal="right" vertical="center" wrapText="1"/>
    </xf>
    <xf numFmtId="164" fontId="8" fillId="0" borderId="1" xfId="1" applyNumberFormat="1" applyFont="1" applyBorder="1"/>
    <xf numFmtId="164" fontId="5" fillId="0" borderId="0" xfId="1" applyNumberFormat="1" applyFont="1" applyBorder="1"/>
    <xf numFmtId="169" fontId="5" fillId="0" borderId="0" xfId="1" applyNumberFormat="1" applyFont="1" applyBorder="1"/>
    <xf numFmtId="168" fontId="5" fillId="0" borderId="0" xfId="3" applyNumberFormat="1" applyFont="1" applyBorder="1"/>
    <xf numFmtId="3" fontId="6" fillId="0" borderId="1" xfId="0" applyNumberFormat="1" applyFont="1" applyBorder="1"/>
    <xf numFmtId="164" fontId="5" fillId="0" borderId="1" xfId="1" applyNumberFormat="1" applyFont="1" applyBorder="1"/>
    <xf numFmtId="164" fontId="5" fillId="0" borderId="1" xfId="1" applyNumberFormat="1" applyFont="1" applyBorder="1" applyAlignment="1">
      <alignment horizontal="center"/>
    </xf>
    <xf numFmtId="164" fontId="9" fillId="0" borderId="1" xfId="1" applyNumberFormat="1" applyFont="1" applyBorder="1"/>
    <xf numFmtId="164" fontId="5" fillId="0" borderId="0" xfId="1" applyNumberFormat="1" applyFont="1" applyBorder="1" applyAlignment="1">
      <alignment horizontal="center"/>
    </xf>
    <xf numFmtId="3" fontId="5" fillId="0" borderId="0" xfId="3" applyNumberFormat="1" applyFont="1" applyBorder="1"/>
    <xf numFmtId="3" fontId="5" fillId="0" borderId="0" xfId="0" applyNumberFormat="1" applyFont="1" applyBorder="1"/>
    <xf numFmtId="164" fontId="5" fillId="0" borderId="1" xfId="1" quotePrefix="1" applyNumberFormat="1" applyFont="1" applyBorder="1"/>
    <xf numFmtId="164" fontId="8" fillId="0" borderId="9" xfId="1" applyNumberFormat="1" applyFont="1" applyBorder="1"/>
    <xf numFmtId="164" fontId="6" fillId="0" borderId="0" xfId="1" applyNumberFormat="1" applyFont="1" applyBorder="1" applyAlignment="1">
      <alignment horizontal="center"/>
    </xf>
    <xf numFmtId="164" fontId="5" fillId="0" borderId="1" xfId="1" applyNumberFormat="1" applyFont="1" applyFill="1" applyBorder="1" applyAlignment="1">
      <alignment horizontal="center"/>
    </xf>
    <xf numFmtId="164" fontId="5" fillId="0" borderId="1" xfId="1" applyNumberFormat="1" applyFont="1" applyBorder="1" applyAlignment="1">
      <alignment wrapText="1"/>
    </xf>
    <xf numFmtId="3" fontId="5" fillId="0" borderId="1" xfId="1" applyNumberFormat="1" applyFont="1" applyFill="1" applyBorder="1"/>
    <xf numFmtId="3" fontId="5" fillId="0" borderId="1" xfId="1" applyNumberFormat="1" applyFont="1" applyBorder="1"/>
    <xf numFmtId="164" fontId="5" fillId="0" borderId="0" xfId="1" applyNumberFormat="1" applyFont="1" applyBorder="1" applyAlignment="1">
      <alignment wrapText="1"/>
    </xf>
    <xf numFmtId="164" fontId="5" fillId="0" borderId="9" xfId="1" applyNumberFormat="1" applyFont="1" applyBorder="1"/>
    <xf numFmtId="3" fontId="5" fillId="0" borderId="0" xfId="1" applyNumberFormat="1" applyFont="1" applyFill="1" applyBorder="1"/>
    <xf numFmtId="171" fontId="5" fillId="0" borderId="1" xfId="1" applyNumberFormat="1" applyFont="1" applyBorder="1"/>
    <xf numFmtId="43" fontId="5" fillId="0" borderId="1" xfId="1" applyNumberFormat="1" applyFont="1" applyBorder="1"/>
    <xf numFmtId="0" fontId="5" fillId="5" borderId="0" xfId="0" applyFont="1" applyFill="1" applyAlignment="1">
      <alignment horizontal="center"/>
    </xf>
    <xf numFmtId="0" fontId="10" fillId="0" borderId="1" xfId="0" applyFont="1" applyBorder="1" applyAlignment="1">
      <alignment horizontal="left" wrapText="1"/>
    </xf>
    <xf numFmtId="169" fontId="5" fillId="0" borderId="1" xfId="1" applyNumberFormat="1" applyFont="1" applyBorder="1" applyAlignment="1">
      <alignment horizontal="right" vertical="center"/>
    </xf>
    <xf numFmtId="170" fontId="5" fillId="0" borderId="1" xfId="1" applyNumberFormat="1" applyFont="1" applyBorder="1" applyAlignment="1">
      <alignment horizontal="right" vertical="center" wrapText="1"/>
    </xf>
    <xf numFmtId="3" fontId="5" fillId="0" borderId="1" xfId="3" applyNumberFormat="1" applyFont="1" applyBorder="1" applyAlignment="1">
      <alignment horizontal="right" vertical="center"/>
    </xf>
    <xf numFmtId="3" fontId="5" fillId="0" borderId="1" xfId="0" applyNumberFormat="1" applyFont="1" applyBorder="1" applyAlignment="1">
      <alignment horizontal="right" vertical="center"/>
    </xf>
    <xf numFmtId="169" fontId="5" fillId="0" borderId="1" xfId="1" applyNumberFormat="1" applyFont="1" applyBorder="1"/>
    <xf numFmtId="170" fontId="5" fillId="0" borderId="1" xfId="1" applyNumberFormat="1" applyFont="1" applyBorder="1" applyAlignment="1">
      <alignment horizontal="right" wrapText="1"/>
    </xf>
    <xf numFmtId="0" fontId="6" fillId="0" borderId="1" xfId="0" applyFont="1" applyBorder="1"/>
    <xf numFmtId="0" fontId="9" fillId="0" borderId="1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right" vertical="center" wrapText="1"/>
    </xf>
    <xf numFmtId="4" fontId="5" fillId="0" borderId="1" xfId="3" applyNumberFormat="1" applyFont="1" applyBorder="1"/>
    <xf numFmtId="172" fontId="5" fillId="0" borderId="1" xfId="3" applyNumberFormat="1" applyFont="1" applyBorder="1"/>
    <xf numFmtId="0" fontId="9" fillId="0" borderId="1" xfId="0" applyFont="1" applyBorder="1"/>
    <xf numFmtId="170" fontId="5" fillId="0" borderId="0" xfId="1" applyNumberFormat="1" applyFont="1" applyBorder="1"/>
    <xf numFmtId="3" fontId="6" fillId="0" borderId="1" xfId="3" applyNumberFormat="1" applyFont="1" applyBorder="1"/>
    <xf numFmtId="3" fontId="6" fillId="0" borderId="0" xfId="0" applyNumberFormat="1" applyFont="1" applyAlignment="1">
      <alignment horizontal="left" vertical="center"/>
    </xf>
    <xf numFmtId="164" fontId="2" fillId="5" borderId="1" xfId="1" applyNumberFormat="1" applyFont="1" applyFill="1" applyBorder="1" applyAlignment="1">
      <alignment vertical="center"/>
    </xf>
    <xf numFmtId="164" fontId="3" fillId="3" borderId="1" xfId="1" applyNumberFormat="1" applyFont="1" applyFill="1" applyBorder="1" applyAlignment="1">
      <alignment vertical="center"/>
    </xf>
    <xf numFmtId="164" fontId="3" fillId="0" borderId="1" xfId="1" applyNumberFormat="1" applyFont="1" applyFill="1" applyBorder="1" applyAlignment="1">
      <alignment vertical="center"/>
    </xf>
    <xf numFmtId="164" fontId="5" fillId="0" borderId="1" xfId="1" applyNumberFormat="1" applyFont="1" applyFill="1" applyBorder="1"/>
    <xf numFmtId="164" fontId="3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 wrapText="1"/>
    </xf>
    <xf numFmtId="164" fontId="5" fillId="0" borderId="0" xfId="0" applyNumberFormat="1" applyFont="1"/>
    <xf numFmtId="0" fontId="5" fillId="0" borderId="0" xfId="0" applyFont="1" applyAlignment="1">
      <alignment horizontal="right"/>
    </xf>
    <xf numFmtId="168" fontId="2" fillId="0" borderId="1" xfId="3" applyNumberFormat="1" applyFont="1" applyBorder="1" applyAlignment="1">
      <alignment horizontal="right"/>
    </xf>
    <xf numFmtId="164" fontId="3" fillId="0" borderId="1" xfId="1" applyNumberFormat="1" applyFont="1" applyFill="1" applyBorder="1" applyAlignment="1">
      <alignment horizontal="right" vertical="center"/>
    </xf>
    <xf numFmtId="164" fontId="2" fillId="0" borderId="0" xfId="1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horizontal="right" vertical="center"/>
    </xf>
    <xf numFmtId="10" fontId="2" fillId="0" borderId="0" xfId="2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/>
    <xf numFmtId="0" fontId="5" fillId="7" borderId="0" xfId="0" applyFont="1" applyFill="1" applyBorder="1"/>
    <xf numFmtId="0" fontId="5" fillId="7" borderId="0" xfId="0" applyFont="1" applyFill="1" applyBorder="1" applyAlignment="1">
      <alignment horizontal="center"/>
    </xf>
    <xf numFmtId="0" fontId="0" fillId="11" borderId="0" xfId="0" applyFill="1"/>
    <xf numFmtId="0" fontId="5" fillId="0" borderId="1" xfId="0" applyFont="1" applyBorder="1" applyAlignment="1">
      <alignment vertical="center" wrapText="1"/>
    </xf>
    <xf numFmtId="3" fontId="5" fillId="0" borderId="1" xfId="3" applyNumberFormat="1" applyFont="1" applyBorder="1" applyAlignment="1">
      <alignment vertical="center"/>
    </xf>
    <xf numFmtId="3" fontId="5" fillId="0" borderId="1" xfId="0" applyNumberFormat="1" applyFont="1" applyBorder="1" applyAlignment="1">
      <alignment vertical="center"/>
    </xf>
    <xf numFmtId="170" fontId="5" fillId="0" borderId="1" xfId="1" applyNumberFormat="1" applyFont="1" applyBorder="1" applyAlignment="1">
      <alignment vertical="center"/>
    </xf>
    <xf numFmtId="0" fontId="5" fillId="0" borderId="0" xfId="0" applyFont="1" applyFill="1" applyAlignment="1">
      <alignment horizontal="center"/>
    </xf>
    <xf numFmtId="0" fontId="7" fillId="7" borderId="0" xfId="0" applyFont="1" applyFill="1" applyBorder="1" applyAlignment="1"/>
    <xf numFmtId="10" fontId="2" fillId="5" borderId="1" xfId="1" applyNumberFormat="1" applyFont="1" applyFill="1" applyBorder="1" applyAlignment="1">
      <alignment vertical="center"/>
    </xf>
    <xf numFmtId="170" fontId="5" fillId="0" borderId="0" xfId="0" applyNumberFormat="1" applyFont="1" applyBorder="1"/>
    <xf numFmtId="164" fontId="2" fillId="12" borderId="1" xfId="1" applyNumberFormat="1" applyFont="1" applyFill="1" applyBorder="1" applyAlignment="1">
      <alignment vertical="center"/>
    </xf>
    <xf numFmtId="164" fontId="2" fillId="12" borderId="1" xfId="1" applyNumberFormat="1" applyFont="1" applyFill="1" applyBorder="1" applyAlignment="1">
      <alignment horizontal="center" vertical="center"/>
    </xf>
    <xf numFmtId="3" fontId="2" fillId="12" borderId="1" xfId="0" applyNumberFormat="1" applyFont="1" applyFill="1" applyBorder="1" applyAlignment="1">
      <alignment horizontal="right" vertical="center"/>
    </xf>
    <xf numFmtId="10" fontId="2" fillId="12" borderId="1" xfId="2" applyNumberFormat="1" applyFont="1" applyFill="1" applyBorder="1" applyAlignment="1">
      <alignment horizontal="center" vertical="center" wrapText="1"/>
    </xf>
    <xf numFmtId="10" fontId="2" fillId="12" borderId="1" xfId="2" applyNumberFormat="1" applyFont="1" applyFill="1" applyBorder="1" applyAlignment="1">
      <alignment horizontal="center" vertical="center"/>
    </xf>
    <xf numFmtId="10" fontId="2" fillId="5" borderId="1" xfId="1" applyNumberFormat="1" applyFont="1" applyFill="1" applyBorder="1" applyAlignment="1">
      <alignment horizontal="center" vertical="center"/>
    </xf>
    <xf numFmtId="10" fontId="2" fillId="12" borderId="1" xfId="2" applyNumberFormat="1" applyFont="1" applyFill="1" applyBorder="1" applyAlignment="1">
      <alignment vertical="center"/>
    </xf>
    <xf numFmtId="0" fontId="6" fillId="10" borderId="1" xfId="0" applyFont="1" applyFill="1" applyBorder="1"/>
    <xf numFmtId="164" fontId="6" fillId="10" borderId="1" xfId="1" applyNumberFormat="1" applyFont="1" applyFill="1" applyBorder="1" applyAlignment="1">
      <alignment horizontal="right"/>
    </xf>
    <xf numFmtId="0" fontId="2" fillId="10" borderId="1" xfId="0" applyFont="1" applyFill="1" applyBorder="1" applyAlignment="1">
      <alignment horizontal="left" vertical="center" wrapText="1"/>
    </xf>
    <xf numFmtId="10" fontId="2" fillId="10" borderId="1" xfId="2" applyNumberFormat="1" applyFont="1" applyFill="1" applyBorder="1" applyAlignment="1">
      <alignment vertical="center"/>
    </xf>
    <xf numFmtId="0" fontId="11" fillId="12" borderId="1" xfId="0" applyFont="1" applyFill="1" applyBorder="1" applyAlignment="1">
      <alignment horizontal="left" vertical="center" wrapText="1"/>
    </xf>
    <xf numFmtId="0" fontId="5" fillId="0" borderId="10" xfId="0" applyFont="1" applyBorder="1"/>
    <xf numFmtId="164" fontId="3" fillId="3" borderId="10" xfId="0" applyNumberFormat="1" applyFont="1" applyFill="1" applyBorder="1" applyAlignment="1">
      <alignment vertical="center"/>
    </xf>
    <xf numFmtId="167" fontId="3" fillId="2" borderId="10" xfId="1" applyNumberFormat="1" applyFont="1" applyFill="1" applyBorder="1" applyAlignment="1">
      <alignment vertical="center"/>
    </xf>
    <xf numFmtId="3" fontId="3" fillId="2" borderId="10" xfId="1" applyNumberFormat="1" applyFont="1" applyFill="1" applyBorder="1" applyAlignment="1">
      <alignment horizontal="right" vertical="center"/>
    </xf>
    <xf numFmtId="0" fontId="2" fillId="5" borderId="1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6" fillId="8" borderId="8" xfId="0" applyFont="1" applyFill="1" applyBorder="1" applyAlignment="1">
      <alignment horizontal="left" wrapText="1"/>
    </xf>
    <xf numFmtId="0" fontId="7" fillId="7" borderId="6" xfId="0" applyFont="1" applyFill="1" applyBorder="1" applyAlignment="1">
      <alignment horizontal="center"/>
    </xf>
    <xf numFmtId="0" fontId="6" fillId="10" borderId="0" xfId="0" applyFont="1" applyFill="1" applyBorder="1" applyAlignment="1">
      <alignment horizontal="left" wrapText="1"/>
    </xf>
    <xf numFmtId="0" fontId="7" fillId="7" borderId="6" xfId="0" applyFont="1" applyFill="1" applyBorder="1" applyAlignment="1">
      <alignment horizontal="left"/>
    </xf>
    <xf numFmtId="0" fontId="7" fillId="5" borderId="6" xfId="0" applyFont="1" applyFill="1" applyBorder="1" applyAlignment="1">
      <alignment horizontal="left"/>
    </xf>
    <xf numFmtId="0" fontId="7" fillId="7" borderId="0" xfId="0" applyFont="1" applyFill="1" applyBorder="1" applyAlignment="1">
      <alignment horizontal="center"/>
    </xf>
  </cellXfs>
  <cellStyles count="4">
    <cellStyle name="Millares" xfId="1" builtinId="3"/>
    <cellStyle name="Moneda" xfId="3" builtinId="4"/>
    <cellStyle name="Normal" xfId="0" builtinId="0"/>
    <cellStyle name="Porcentual" xfId="2" builtinId="5"/>
  </cellStyles>
  <dxfs count="0"/>
  <tableStyles count="0" defaultTableStyle="TableStyleMedium9" defaultPivotStyle="PivotStyleLight16"/>
  <colors>
    <mruColors>
      <color rgb="FF0080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26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5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Relationship Id="rId27" Type="http://schemas.openxmlformats.org/officeDocument/2006/relationships/customXml" Target="../customXml/item7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5"/>
  <sheetViews>
    <sheetView tabSelected="1" workbookViewId="0">
      <selection activeCell="G16" sqref="G16"/>
    </sheetView>
  </sheetViews>
  <sheetFormatPr baseColWidth="10" defaultRowHeight="12.75"/>
  <cols>
    <col min="1" max="1" width="45.7109375" style="47" customWidth="1"/>
    <col min="2" max="2" width="10.7109375" style="47" hidden="1" customWidth="1"/>
    <col min="3" max="3" width="10.7109375" style="47" customWidth="1"/>
    <col min="4" max="4" width="10.7109375" style="131" hidden="1" customWidth="1"/>
    <col min="5" max="6" width="10.7109375" style="47" customWidth="1"/>
    <col min="7" max="16384" width="11.42578125" style="47"/>
  </cols>
  <sheetData>
    <row r="1" spans="1:7" ht="13.5" thickBot="1">
      <c r="A1" s="166" t="s">
        <v>4</v>
      </c>
      <c r="B1" s="167"/>
      <c r="C1" s="167"/>
      <c r="D1" s="167"/>
      <c r="E1" s="167"/>
      <c r="F1" s="168"/>
    </row>
    <row r="2" spans="1:7" ht="6.75" customHeight="1">
      <c r="A2" s="28"/>
      <c r="B2" s="28"/>
      <c r="C2" s="28"/>
      <c r="D2" s="129"/>
      <c r="E2" s="28"/>
      <c r="F2" s="28"/>
    </row>
    <row r="3" spans="1:7" ht="25.5">
      <c r="A3" s="26" t="s">
        <v>0</v>
      </c>
      <c r="B3" s="27" t="s">
        <v>12</v>
      </c>
      <c r="C3" s="27" t="s">
        <v>11</v>
      </c>
      <c r="D3" s="27" t="s">
        <v>1</v>
      </c>
      <c r="E3" s="26" t="s">
        <v>13</v>
      </c>
      <c r="F3" s="26" t="s">
        <v>144</v>
      </c>
    </row>
    <row r="4" spans="1:7" s="42" customFormat="1" ht="6" customHeight="1">
      <c r="A4" s="28"/>
      <c r="B4" s="29"/>
      <c r="C4" s="29"/>
      <c r="D4" s="29"/>
      <c r="E4" s="28"/>
      <c r="F4" s="28"/>
    </row>
    <row r="5" spans="1:7" s="42" customFormat="1" ht="13.5">
      <c r="A5" s="160" t="s">
        <v>140</v>
      </c>
      <c r="B5" s="149">
        <f>+B7+B11+B17+B20</f>
        <v>8301246.0259533282</v>
      </c>
      <c r="C5" s="149">
        <f>+C7+C11+C17+C20</f>
        <v>8205628.4960728511</v>
      </c>
      <c r="D5" s="149">
        <f>+D7+D11+D17+D20</f>
        <v>95617.529880478076</v>
      </c>
      <c r="E5" s="5"/>
      <c r="F5" s="155">
        <f>+F7+F11+F17+F20</f>
        <v>0.98575032725202749</v>
      </c>
    </row>
    <row r="6" spans="1:7" ht="4.5" customHeight="1">
      <c r="A6" s="28"/>
      <c r="B6" s="29"/>
      <c r="C6" s="29"/>
      <c r="D6" s="29"/>
      <c r="E6" s="28"/>
      <c r="F6" s="28"/>
    </row>
    <row r="7" spans="1:7" s="61" customFormat="1">
      <c r="A7" s="23" t="s">
        <v>114</v>
      </c>
      <c r="B7" s="124">
        <f>SUM(B8:B10)</f>
        <v>6521803.8517928282</v>
      </c>
      <c r="C7" s="124">
        <f>SUM(C8:C10)</f>
        <v>6521803.8517928282</v>
      </c>
      <c r="D7" s="24">
        <f>SUM(D8:D10)</f>
        <v>0</v>
      </c>
      <c r="E7" s="25">
        <f>B7/B7</f>
        <v>1</v>
      </c>
      <c r="F7" s="25">
        <f>SUM(F8:F10)</f>
        <v>0.7744464217876269</v>
      </c>
    </row>
    <row r="8" spans="1:7" s="61" customFormat="1">
      <c r="A8" s="16" t="s">
        <v>14</v>
      </c>
      <c r="B8" s="126">
        <f>SUM(C8:D8)</f>
        <v>5202281.9394422313</v>
      </c>
      <c r="C8" s="126">
        <f>+'A1 ANDADOR'!F10</f>
        <v>5202281.9394422313</v>
      </c>
      <c r="D8" s="15">
        <v>0</v>
      </c>
      <c r="E8" s="1">
        <f>B8/B$7</f>
        <v>0.79767531463126362</v>
      </c>
      <c r="F8" s="1">
        <f>B8/B$28</f>
        <v>0.61775679316450161</v>
      </c>
    </row>
    <row r="9" spans="1:7" s="61" customFormat="1">
      <c r="A9" s="16" t="s">
        <v>10</v>
      </c>
      <c r="B9" s="126">
        <f t="shared" ref="B9:B19" si="0">SUM(C9:D9)</f>
        <v>1235856.5737051792</v>
      </c>
      <c r="C9" s="126">
        <f>+'A2 PASEO'!F10</f>
        <v>1235856.5737051792</v>
      </c>
      <c r="D9" s="15">
        <v>0</v>
      </c>
      <c r="E9" s="1">
        <f t="shared" ref="E9:E10" si="1">B9/B$7</f>
        <v>0.18949612741963179</v>
      </c>
      <c r="F9" s="1">
        <f>B9/B$28</f>
        <v>0.14675459782274605</v>
      </c>
    </row>
    <row r="10" spans="1:7">
      <c r="A10" s="16" t="s">
        <v>15</v>
      </c>
      <c r="B10" s="126">
        <f t="shared" si="0"/>
        <v>83665.33864541832</v>
      </c>
      <c r="C10" s="126">
        <f>+'A3 SEÑALIZACIÓN'!F8</f>
        <v>83665.33864541832</v>
      </c>
      <c r="D10" s="15">
        <v>0</v>
      </c>
      <c r="E10" s="1">
        <f t="shared" si="1"/>
        <v>1.2828557949104667E-2</v>
      </c>
      <c r="F10" s="1">
        <f>B10/B$28</f>
        <v>9.9350308003793263E-3</v>
      </c>
    </row>
    <row r="11" spans="1:7">
      <c r="A11" s="23" t="s">
        <v>115</v>
      </c>
      <c r="B11" s="124">
        <f>SUM(B12:B16)</f>
        <v>839203.13033579977</v>
      </c>
      <c r="C11" s="124">
        <f>SUM(C12:C16)</f>
        <v>839203.13033579977</v>
      </c>
      <c r="D11" s="24">
        <f>SUM(D12:D16)</f>
        <v>0</v>
      </c>
      <c r="E11" s="25">
        <f>SUM(E12:E16)</f>
        <v>0.99999999999999989</v>
      </c>
      <c r="F11" s="25">
        <f>SUM(F12:F16)</f>
        <v>9.9653083136328105E-2</v>
      </c>
    </row>
    <row r="12" spans="1:7">
      <c r="A12" s="18" t="s">
        <v>133</v>
      </c>
      <c r="B12" s="125">
        <f>SUM(C12:D12)</f>
        <v>527894.82071713149</v>
      </c>
      <c r="C12" s="126">
        <f>+'B1 DUNA'!F8</f>
        <v>527894.82071713149</v>
      </c>
      <c r="D12" s="15">
        <v>0</v>
      </c>
      <c r="E12" s="2">
        <f>+B12/$B$11</f>
        <v>0.629042959486935</v>
      </c>
      <c r="F12" s="2">
        <f>B12/B$28</f>
        <v>6.2686070338073413E-2</v>
      </c>
    </row>
    <row r="13" spans="1:7">
      <c r="A13" s="18" t="s">
        <v>134</v>
      </c>
      <c r="B13" s="125">
        <f>SUM(C13:D13)</f>
        <v>18382.47011952191</v>
      </c>
      <c r="C13" s="126">
        <f>+'B2 TORTUGAS'!F11</f>
        <v>18382.47011952191</v>
      </c>
      <c r="D13" s="15">
        <v>0</v>
      </c>
      <c r="E13" s="2">
        <f>+B13/$B$11</f>
        <v>2.1904672962988501E-2</v>
      </c>
      <c r="F13" s="2">
        <f>B13/B$28</f>
        <v>2.1828681958547718E-3</v>
      </c>
    </row>
    <row r="14" spans="1:7">
      <c r="A14" s="18" t="s">
        <v>135</v>
      </c>
      <c r="B14" s="125">
        <f>SUM(C14:D14)</f>
        <v>117991.97495731358</v>
      </c>
      <c r="C14" s="126">
        <f>+'B3 SARGAZO'!F36</f>
        <v>117991.97495731358</v>
      </c>
      <c r="D14" s="15">
        <v>0</v>
      </c>
      <c r="E14" s="2">
        <f>+B14/$B$11</f>
        <v>0.1406000176740286</v>
      </c>
      <c r="F14" s="2">
        <f>B14/B$28</f>
        <v>1.4011225250239175E-2</v>
      </c>
    </row>
    <row r="15" spans="1:7">
      <c r="A15" s="18" t="s">
        <v>136</v>
      </c>
      <c r="B15" s="125">
        <f>SUM(C15:D15)</f>
        <v>23539.4422310757</v>
      </c>
      <c r="C15" s="126">
        <f>+'B4 VIVERO Y REFORESTACIÓN'!F19</f>
        <v>23539.4422310757</v>
      </c>
      <c r="D15" s="15">
        <v>0</v>
      </c>
      <c r="E15" s="2">
        <f>+B15/$B$11</f>
        <v>2.804975503565698E-2</v>
      </c>
      <c r="F15" s="2">
        <f>B15/B$28</f>
        <v>2.7952445705219631E-3</v>
      </c>
    </row>
    <row r="16" spans="1:7">
      <c r="A16" s="18" t="s">
        <v>137</v>
      </c>
      <c r="B16" s="125">
        <f>SUM(C16:D16)</f>
        <v>151394.42231075696</v>
      </c>
      <c r="C16" s="126">
        <f>+'B5 RESIDUOS'!F9</f>
        <v>151394.42231075696</v>
      </c>
      <c r="D16" s="19">
        <v>0</v>
      </c>
      <c r="E16" s="2">
        <f>+B16/$B$11</f>
        <v>0.18040259484039078</v>
      </c>
      <c r="F16" s="2">
        <f>B16/B$28</f>
        <v>1.7977674781638781E-2</v>
      </c>
      <c r="G16" s="47" t="s">
        <v>2</v>
      </c>
    </row>
    <row r="17" spans="1:7" s="61" customFormat="1" ht="15.75" customHeight="1">
      <c r="A17" s="23" t="s">
        <v>116</v>
      </c>
      <c r="B17" s="124">
        <f>SUM(B18:B19)</f>
        <v>398406.37450199202</v>
      </c>
      <c r="C17" s="124">
        <f>SUM(C18:C19)</f>
        <v>302788.84462151391</v>
      </c>
      <c r="D17" s="24">
        <f>SUM(D18:D19)</f>
        <v>95617.529880478076</v>
      </c>
      <c r="E17" s="25">
        <f>SUM(E18:E19)</f>
        <v>1</v>
      </c>
      <c r="F17" s="25">
        <f>SUM(F18:F19)</f>
        <v>4.7309670477996793E-2</v>
      </c>
    </row>
    <row r="18" spans="1:7" s="61" customFormat="1" ht="17.25" customHeight="1">
      <c r="A18" s="14" t="s">
        <v>138</v>
      </c>
      <c r="B18" s="126">
        <f t="shared" si="0"/>
        <v>207171.31474103584</v>
      </c>
      <c r="C18" s="127">
        <f>+'C1 FONDO AT'!F8</f>
        <v>207171.31474103584</v>
      </c>
      <c r="D18" s="17">
        <v>0</v>
      </c>
      <c r="E18" s="1">
        <f>B18/B$17</f>
        <v>0.52</v>
      </c>
      <c r="F18" s="1">
        <f>B18/B$28</f>
        <v>2.4601028648558333E-2</v>
      </c>
    </row>
    <row r="19" spans="1:7" s="61" customFormat="1">
      <c r="A19" s="14" t="s">
        <v>120</v>
      </c>
      <c r="B19" s="126">
        <f t="shared" si="0"/>
        <v>191235.05976095615</v>
      </c>
      <c r="C19" s="126">
        <f>+'C2 PROMOCIÓN'!F8/2</f>
        <v>95617.529880478076</v>
      </c>
      <c r="D19" s="126">
        <f>+'C2 PROMOCIÓN'!F8/2</f>
        <v>95617.529880478076</v>
      </c>
      <c r="E19" s="1">
        <f t="shared" ref="E19" si="2">B19/B$17</f>
        <v>0.48</v>
      </c>
      <c r="F19" s="1">
        <f>B19/B$28</f>
        <v>2.2708641829438461E-2</v>
      </c>
    </row>
    <row r="20" spans="1:7" s="61" customFormat="1" ht="25.5">
      <c r="A20" s="23" t="s">
        <v>117</v>
      </c>
      <c r="B20" s="124">
        <f>SUM(B21:B23)</f>
        <v>541832.66932270909</v>
      </c>
      <c r="C20" s="124">
        <f t="shared" ref="C20:D20" si="3">SUM(C21:C23)</f>
        <v>541832.66932270909</v>
      </c>
      <c r="D20" s="124">
        <f t="shared" si="3"/>
        <v>0</v>
      </c>
      <c r="E20" s="147">
        <f t="shared" ref="E20" si="4">SUM(E21:E23)</f>
        <v>1</v>
      </c>
      <c r="F20" s="154">
        <f>SUM(F21:F23)</f>
        <v>6.4341151850075634E-2</v>
      </c>
    </row>
    <row r="21" spans="1:7" s="61" customFormat="1">
      <c r="A21" s="14" t="s">
        <v>118</v>
      </c>
      <c r="B21" s="126">
        <f>SUM(C21:D21)</f>
        <v>207171.31474103584</v>
      </c>
      <c r="C21" s="128">
        <f>+'D1 COMUNICACIÓN'!F8</f>
        <v>207171.31474103584</v>
      </c>
      <c r="D21" s="15">
        <v>0</v>
      </c>
      <c r="E21" s="2">
        <f>+B21/B$20</f>
        <v>0.38235294117647062</v>
      </c>
      <c r="F21" s="2">
        <f>B21/B$28</f>
        <v>2.4601028648558333E-2</v>
      </c>
    </row>
    <row r="22" spans="1:7" s="61" customFormat="1">
      <c r="A22" s="14" t="s">
        <v>119</v>
      </c>
      <c r="B22" s="126">
        <f t="shared" ref="B22" si="5">SUM(C22:D22)</f>
        <v>191235.05976095615</v>
      </c>
      <c r="C22" s="128">
        <f>+'D2 PLAN'!F8</f>
        <v>191235.05976095615</v>
      </c>
      <c r="D22" s="15">
        <v>0</v>
      </c>
      <c r="E22" s="2">
        <f>+B22/B$20</f>
        <v>0.35294117647058826</v>
      </c>
      <c r="F22" s="2">
        <f>B22/B$28</f>
        <v>2.2708641829438461E-2</v>
      </c>
    </row>
    <row r="23" spans="1:7">
      <c r="A23" s="14" t="s">
        <v>145</v>
      </c>
      <c r="B23" s="126">
        <f t="shared" ref="B23" si="6">SUM(C23:D23)</f>
        <v>143426.29482071713</v>
      </c>
      <c r="C23" s="128">
        <f>+'D3 FORTALECIMIENTO'!F9</f>
        <v>143426.29482071713</v>
      </c>
      <c r="D23" s="15">
        <v>0</v>
      </c>
      <c r="E23" s="2">
        <f>+B23/B$20</f>
        <v>0.26470588235294124</v>
      </c>
      <c r="F23" s="2">
        <f>B23/B$28</f>
        <v>1.7031481372078848E-2</v>
      </c>
      <c r="G23" s="130"/>
    </row>
    <row r="24" spans="1:7" s="42" customFormat="1" ht="6" customHeight="1">
      <c r="A24" s="8"/>
      <c r="B24" s="134"/>
      <c r="C24" s="134"/>
      <c r="D24" s="135"/>
      <c r="E24" s="5"/>
      <c r="F24" s="136"/>
      <c r="G24" s="137"/>
    </row>
    <row r="25" spans="1:7" ht="14.25" customHeight="1">
      <c r="A25" s="160" t="s">
        <v>139</v>
      </c>
      <c r="B25" s="149">
        <f>SUM(B26:B26)</f>
        <v>120000</v>
      </c>
      <c r="C25" s="150">
        <f>SUM(C26:C26)</f>
        <v>120000</v>
      </c>
      <c r="D25" s="151">
        <f>SUM(D26:D26)</f>
        <v>0</v>
      </c>
      <c r="E25" s="152">
        <f>SUM(E26:E26)</f>
        <v>1</v>
      </c>
      <c r="F25" s="153">
        <f>SUM(F26:F26)</f>
        <v>1.4249672747972635E-2</v>
      </c>
    </row>
    <row r="26" spans="1:7">
      <c r="A26" s="13" t="s">
        <v>143</v>
      </c>
      <c r="B26" s="126">
        <f t="shared" ref="B26" si="7">SUM(C26:D26)</f>
        <v>120000</v>
      </c>
      <c r="C26" s="133">
        <v>120000</v>
      </c>
      <c r="D26" s="133">
        <v>0</v>
      </c>
      <c r="E26" s="2">
        <f t="shared" ref="E26" si="8">+B26/B$25</f>
        <v>1</v>
      </c>
      <c r="F26" s="2">
        <f>B26/B$28</f>
        <v>1.4249672747972635E-2</v>
      </c>
    </row>
    <row r="27" spans="1:7" ht="5.25" customHeight="1">
      <c r="A27" s="31"/>
      <c r="B27" s="32"/>
      <c r="C27" s="33"/>
      <c r="D27" s="34"/>
      <c r="E27" s="35"/>
      <c r="F27" s="35"/>
    </row>
    <row r="28" spans="1:7">
      <c r="A28" s="36" t="s">
        <v>141</v>
      </c>
      <c r="B28" s="37">
        <f>+B5+B25</f>
        <v>8421246.0259533282</v>
      </c>
      <c r="C28" s="37">
        <f>+C5+C25</f>
        <v>8325628.4960728511</v>
      </c>
      <c r="D28" s="37">
        <f>+D5+D25</f>
        <v>95617.529880478076</v>
      </c>
      <c r="E28" s="30"/>
      <c r="F28" s="38">
        <f>F5+F25</f>
        <v>1.0000000000000002</v>
      </c>
      <c r="G28" s="47" t="s">
        <v>2</v>
      </c>
    </row>
    <row r="29" spans="1:7">
      <c r="A29" s="158" t="s">
        <v>3</v>
      </c>
      <c r="B29" s="159">
        <f>+B28/B$28</f>
        <v>1</v>
      </c>
      <c r="C29" s="159">
        <f>+C28/B$28</f>
        <v>0.98864567908528089</v>
      </c>
      <c r="D29" s="159">
        <f>+D28/B$28</f>
        <v>1.135432091471923E-2</v>
      </c>
      <c r="E29" s="5"/>
      <c r="F29" s="6"/>
      <c r="G29" s="47" t="s">
        <v>2</v>
      </c>
    </row>
    <row r="30" spans="1:7" s="61" customFormat="1">
      <c r="A30" s="8"/>
      <c r="B30" s="9"/>
      <c r="C30" s="10"/>
      <c r="D30" s="11"/>
      <c r="E30" s="12"/>
      <c r="F30" s="22"/>
    </row>
    <row r="31" spans="1:7" s="61" customFormat="1" ht="26.25" customHeight="1">
      <c r="A31" s="169" t="s">
        <v>5</v>
      </c>
      <c r="B31" s="169"/>
      <c r="C31" s="169"/>
      <c r="D31" s="165" t="s">
        <v>142</v>
      </c>
      <c r="E31" s="12"/>
      <c r="F31" s="12" t="s">
        <v>2</v>
      </c>
    </row>
    <row r="32" spans="1:7">
      <c r="A32" s="161" t="s">
        <v>6</v>
      </c>
      <c r="B32" s="162">
        <f t="shared" ref="B32:B34" si="9">SUM(C32:D32)</f>
        <v>4000000</v>
      </c>
      <c r="C32" s="163">
        <v>0</v>
      </c>
      <c r="D32" s="164">
        <v>4000000</v>
      </c>
    </row>
    <row r="33" spans="1:4">
      <c r="A33" s="20" t="s">
        <v>7</v>
      </c>
      <c r="B33" s="3">
        <f t="shared" si="9"/>
        <v>2000000</v>
      </c>
      <c r="C33" s="4">
        <v>0</v>
      </c>
      <c r="D33" s="7">
        <v>2000000</v>
      </c>
    </row>
    <row r="34" spans="1:4" ht="25.5">
      <c r="A34" s="21" t="s">
        <v>8</v>
      </c>
      <c r="B34" s="3">
        <f t="shared" si="9"/>
        <v>2000000</v>
      </c>
      <c r="C34" s="4">
        <v>0</v>
      </c>
      <c r="D34" s="7">
        <v>2000000</v>
      </c>
    </row>
    <row r="35" spans="1:4">
      <c r="A35" s="156" t="s">
        <v>9</v>
      </c>
      <c r="B35" s="157">
        <f>SUM(B32:B34)</f>
        <v>8000000</v>
      </c>
      <c r="C35" s="157">
        <f t="shared" ref="C35:D35" si="10">SUM(C32:C34)</f>
        <v>0</v>
      </c>
      <c r="D35" s="157">
        <f t="shared" si="10"/>
        <v>8000000</v>
      </c>
    </row>
  </sheetData>
  <sortState ref="A11:F14">
    <sortCondition ref="A10"/>
  </sortState>
  <mergeCells count="2">
    <mergeCell ref="A1:F1"/>
    <mergeCell ref="A31:C3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4" orientation="landscape" horizontalDpi="300" verticalDpi="300" r:id="rId1"/>
  <ignoredErrors>
    <ignoredError sqref="F17 E7 B17 B11 F11 B20 F20" formula="1"/>
    <ignoredError sqref="D11" formulaRange="1"/>
  </ignoredErrors>
</worksheet>
</file>

<file path=xl/worksheets/sheet10.xml><?xml version="1.0" encoding="utf-8"?>
<worksheet xmlns="http://schemas.openxmlformats.org/spreadsheetml/2006/main" xmlns:r="http://schemas.openxmlformats.org/officeDocument/2006/relationships">
  <dimension ref="A1:F11"/>
  <sheetViews>
    <sheetView workbookViewId="0">
      <selection activeCell="B14" sqref="B14:B15"/>
    </sheetView>
  </sheetViews>
  <sheetFormatPr baseColWidth="10" defaultRowHeight="12.75" customHeight="1"/>
  <cols>
    <col min="1" max="1" width="45.7109375" customWidth="1"/>
    <col min="2" max="6" width="10.7109375" customWidth="1"/>
  </cols>
  <sheetData>
    <row r="1" spans="1:6" ht="12.75" customHeight="1" thickBot="1">
      <c r="A1" s="170" t="s">
        <v>16</v>
      </c>
      <c r="B1" s="171"/>
      <c r="C1" s="171"/>
      <c r="D1" s="171"/>
      <c r="E1" s="172"/>
      <c r="F1" s="173"/>
    </row>
    <row r="2" spans="1:6" ht="12.75" customHeight="1">
      <c r="A2" s="179" t="s">
        <v>113</v>
      </c>
      <c r="B2" s="179"/>
      <c r="C2" s="40"/>
      <c r="D2" s="40"/>
      <c r="E2" s="41" t="s">
        <v>17</v>
      </c>
      <c r="F2" s="132">
        <v>12.55</v>
      </c>
    </row>
    <row r="3" spans="1:6" ht="12.75" customHeight="1">
      <c r="A3" s="42"/>
      <c r="B3" s="57"/>
      <c r="C3" s="57"/>
      <c r="D3" s="58"/>
      <c r="E3" s="69"/>
      <c r="F3" s="76"/>
    </row>
    <row r="4" spans="1:6" ht="12.75" customHeight="1">
      <c r="A4" s="75" t="s">
        <v>87</v>
      </c>
      <c r="B4" s="105"/>
      <c r="C4" s="47"/>
      <c r="D4" s="47"/>
      <c r="E4" s="48"/>
      <c r="F4" s="48"/>
    </row>
    <row r="5" spans="1:6" ht="38.25">
      <c r="A5" s="49" t="s">
        <v>18</v>
      </c>
      <c r="B5" s="49" t="s">
        <v>19</v>
      </c>
      <c r="C5" s="49" t="s">
        <v>20</v>
      </c>
      <c r="D5" s="50" t="s">
        <v>33</v>
      </c>
      <c r="E5" s="51" t="s">
        <v>22</v>
      </c>
      <c r="F5" s="51" t="s">
        <v>23</v>
      </c>
    </row>
    <row r="6" spans="1:6" ht="12.75" customHeight="1">
      <c r="A6" s="20" t="s">
        <v>88</v>
      </c>
      <c r="B6" s="52" t="s">
        <v>40</v>
      </c>
      <c r="C6" s="111">
        <v>1</v>
      </c>
      <c r="D6" s="54">
        <v>400000</v>
      </c>
      <c r="E6" s="54">
        <f>+D6*C6</f>
        <v>400000</v>
      </c>
      <c r="F6" s="55">
        <f>+E6/$F$2</f>
        <v>31872.509960159361</v>
      </c>
    </row>
    <row r="7" spans="1:6" ht="12.75" customHeight="1">
      <c r="A7" s="20" t="s">
        <v>89</v>
      </c>
      <c r="B7" s="52" t="s">
        <v>40</v>
      </c>
      <c r="C7" s="111">
        <v>1</v>
      </c>
      <c r="D7" s="54">
        <v>1000000</v>
      </c>
      <c r="E7" s="54">
        <f t="shared" ref="E7:E8" si="0">+D7*C7</f>
        <v>1000000</v>
      </c>
      <c r="F7" s="55">
        <f t="shared" ref="F7:F8" si="1">+E7/$F$2</f>
        <v>79681.274900398406</v>
      </c>
    </row>
    <row r="8" spans="1:6" ht="12.75" customHeight="1">
      <c r="A8" s="20" t="s">
        <v>68</v>
      </c>
      <c r="B8" s="52" t="s">
        <v>40</v>
      </c>
      <c r="C8" s="111">
        <v>1</v>
      </c>
      <c r="D8" s="54">
        <v>500000</v>
      </c>
      <c r="E8" s="54">
        <f t="shared" si="0"/>
        <v>500000</v>
      </c>
      <c r="F8" s="55">
        <f t="shared" si="1"/>
        <v>39840.637450199203</v>
      </c>
    </row>
    <row r="9" spans="1:6" ht="12.75" customHeight="1">
      <c r="A9" s="113" t="s">
        <v>30</v>
      </c>
      <c r="B9" s="68"/>
      <c r="C9" s="57"/>
      <c r="D9" s="58"/>
      <c r="E9" s="59">
        <f>SUM(E6:E8)</f>
        <v>1900000</v>
      </c>
      <c r="F9" s="60">
        <f>SUM(F6:F8)</f>
        <v>151394.42231075696</v>
      </c>
    </row>
    <row r="10" spans="1:6" ht="12.75" customHeight="1">
      <c r="A10" s="47"/>
      <c r="B10" s="47"/>
      <c r="C10" s="47"/>
      <c r="D10" s="47"/>
      <c r="E10" s="48"/>
      <c r="F10" s="48"/>
    </row>
    <row r="11" spans="1:6" ht="12.75" customHeight="1">
      <c r="A11" s="47"/>
      <c r="B11" s="47"/>
      <c r="C11" s="47"/>
      <c r="D11" s="47"/>
      <c r="E11" s="123"/>
      <c r="F11" s="123"/>
    </row>
  </sheetData>
  <mergeCells count="2">
    <mergeCell ref="A1:F1"/>
    <mergeCell ref="A2:B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F8"/>
  <sheetViews>
    <sheetView workbookViewId="0">
      <selection activeCell="F8" sqref="F8"/>
    </sheetView>
  </sheetViews>
  <sheetFormatPr baseColWidth="10" defaultRowHeight="12.75" customHeight="1"/>
  <cols>
    <col min="1" max="1" width="45.7109375" customWidth="1"/>
    <col min="2" max="6" width="10.7109375" customWidth="1"/>
  </cols>
  <sheetData>
    <row r="1" spans="1:6" ht="12.75" customHeight="1" thickBot="1">
      <c r="A1" s="170" t="s">
        <v>16</v>
      </c>
      <c r="B1" s="171"/>
      <c r="C1" s="171"/>
      <c r="D1" s="171"/>
      <c r="E1" s="172"/>
      <c r="F1" s="173"/>
    </row>
    <row r="2" spans="1:6" ht="12.75" customHeight="1">
      <c r="A2" s="177" t="s">
        <v>105</v>
      </c>
      <c r="B2" s="177"/>
      <c r="C2" s="40"/>
      <c r="D2" s="40"/>
      <c r="E2" s="41" t="s">
        <v>17</v>
      </c>
      <c r="F2" s="132">
        <v>12.55</v>
      </c>
    </row>
    <row r="3" spans="1:6" ht="12.75" customHeight="1">
      <c r="A3" s="42"/>
      <c r="B3" s="68"/>
      <c r="C3" s="57"/>
      <c r="D3" s="58"/>
      <c r="E3" s="69"/>
      <c r="F3" s="76"/>
    </row>
    <row r="4" spans="1:6" ht="12.75" customHeight="1">
      <c r="A4" s="75" t="s">
        <v>106</v>
      </c>
      <c r="B4" s="105"/>
      <c r="C4" s="47"/>
      <c r="D4" s="47"/>
      <c r="E4" s="45"/>
      <c r="F4" s="45"/>
    </row>
    <row r="5" spans="1:6" ht="38.25">
      <c r="A5" s="49" t="s">
        <v>18</v>
      </c>
      <c r="B5" s="49" t="s">
        <v>19</v>
      </c>
      <c r="C5" s="49" t="s">
        <v>20</v>
      </c>
      <c r="D5" s="50" t="s">
        <v>33</v>
      </c>
      <c r="E5" s="51" t="s">
        <v>22</v>
      </c>
      <c r="F5" s="51" t="s">
        <v>23</v>
      </c>
    </row>
    <row r="6" spans="1:6" ht="25.5">
      <c r="A6" s="141" t="s">
        <v>124</v>
      </c>
      <c r="B6" s="79" t="s">
        <v>40</v>
      </c>
      <c r="C6" s="144">
        <v>1</v>
      </c>
      <c r="D6" s="142">
        <v>1200000</v>
      </c>
      <c r="E6" s="142">
        <f>+D6*C6</f>
        <v>1200000</v>
      </c>
      <c r="F6" s="143">
        <f>+E6/$F$2</f>
        <v>95617.529880478076</v>
      </c>
    </row>
    <row r="7" spans="1:6" ht="15">
      <c r="A7" s="141" t="s">
        <v>108</v>
      </c>
      <c r="B7" s="79" t="s">
        <v>40</v>
      </c>
      <c r="C7" s="144">
        <v>1</v>
      </c>
      <c r="D7" s="142">
        <v>1400000</v>
      </c>
      <c r="E7" s="142">
        <f t="shared" ref="E7" si="0">+D7*C7</f>
        <v>1400000</v>
      </c>
      <c r="F7" s="143">
        <f>+E7/$F$2</f>
        <v>111553.78486055776</v>
      </c>
    </row>
    <row r="8" spans="1:6" ht="12.75" customHeight="1">
      <c r="A8" s="56" t="s">
        <v>30</v>
      </c>
      <c r="B8" s="68"/>
      <c r="C8" s="57"/>
      <c r="D8" s="58"/>
      <c r="E8" s="59">
        <f>SUM(E6:E7)</f>
        <v>2600000</v>
      </c>
      <c r="F8" s="60">
        <f>SUM(F6:F7)</f>
        <v>207171.31474103584</v>
      </c>
    </row>
  </sheetData>
  <mergeCells count="2">
    <mergeCell ref="A1:F1"/>
    <mergeCell ref="A2:B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F8"/>
  <sheetViews>
    <sheetView workbookViewId="0">
      <selection activeCell="H5" sqref="H5:H6"/>
    </sheetView>
  </sheetViews>
  <sheetFormatPr baseColWidth="10" defaultRowHeight="12.75" customHeight="1"/>
  <cols>
    <col min="1" max="1" width="45.7109375" customWidth="1"/>
    <col min="2" max="6" width="10.7109375" customWidth="1"/>
  </cols>
  <sheetData>
    <row r="1" spans="1:6" ht="12.75" customHeight="1" thickBot="1">
      <c r="A1" s="170" t="s">
        <v>16</v>
      </c>
      <c r="B1" s="171"/>
      <c r="C1" s="171"/>
      <c r="D1" s="171"/>
      <c r="E1" s="172"/>
      <c r="F1" s="173"/>
    </row>
    <row r="2" spans="1:6" ht="12.75" customHeight="1">
      <c r="A2" s="175" t="s">
        <v>105</v>
      </c>
      <c r="B2" s="175"/>
      <c r="C2" s="40"/>
      <c r="D2" s="40"/>
      <c r="E2" s="41" t="s">
        <v>17</v>
      </c>
      <c r="F2" s="132">
        <v>12.55</v>
      </c>
    </row>
    <row r="3" spans="1:6" ht="12.75" customHeight="1">
      <c r="A3" s="47"/>
      <c r="B3" s="70"/>
      <c r="C3" s="47"/>
      <c r="D3" s="47"/>
      <c r="E3" s="48"/>
      <c r="F3" s="48"/>
    </row>
    <row r="4" spans="1:6" ht="12.75" customHeight="1">
      <c r="A4" s="75" t="s">
        <v>109</v>
      </c>
      <c r="B4" s="105"/>
      <c r="C4" s="47"/>
      <c r="D4" s="47"/>
      <c r="E4" s="48"/>
      <c r="F4" s="48"/>
    </row>
    <row r="5" spans="1:6" ht="38.25">
      <c r="A5" s="49" t="s">
        <v>18</v>
      </c>
      <c r="B5" s="49" t="s">
        <v>19</v>
      </c>
      <c r="C5" s="49" t="s">
        <v>20</v>
      </c>
      <c r="D5" s="50" t="s">
        <v>33</v>
      </c>
      <c r="E5" s="51" t="s">
        <v>22</v>
      </c>
      <c r="F5" s="51" t="s">
        <v>23</v>
      </c>
    </row>
    <row r="6" spans="1:6" ht="12.75" customHeight="1">
      <c r="A6" s="20" t="s">
        <v>107</v>
      </c>
      <c r="B6" s="52" t="s">
        <v>103</v>
      </c>
      <c r="C6" s="53">
        <v>1</v>
      </c>
      <c r="D6" s="54">
        <v>1000000</v>
      </c>
      <c r="E6" s="54">
        <f>+D6*C6</f>
        <v>1000000</v>
      </c>
      <c r="F6" s="55">
        <f>+E6/$F$2</f>
        <v>79681.274900398406</v>
      </c>
    </row>
    <row r="7" spans="1:6" ht="12.75" customHeight="1">
      <c r="A7" s="21" t="s">
        <v>110</v>
      </c>
      <c r="B7" s="52" t="s">
        <v>103</v>
      </c>
      <c r="C7" s="53">
        <v>1</v>
      </c>
      <c r="D7" s="54">
        <v>1400000</v>
      </c>
      <c r="E7" s="54">
        <f t="shared" ref="E7" si="0">+D7*C7</f>
        <v>1400000</v>
      </c>
      <c r="F7" s="55">
        <f>+E7/$F$2</f>
        <v>111553.78486055776</v>
      </c>
    </row>
    <row r="8" spans="1:6" ht="12.75" customHeight="1">
      <c r="A8" s="56" t="s">
        <v>30</v>
      </c>
      <c r="B8" s="68"/>
      <c r="C8" s="148"/>
      <c r="D8" s="58"/>
      <c r="E8" s="59">
        <f>SUM(E6:E7)</f>
        <v>2400000</v>
      </c>
      <c r="F8" s="60">
        <f>SUM(F6:F7)</f>
        <v>191235.05976095615</v>
      </c>
    </row>
  </sheetData>
  <mergeCells count="2">
    <mergeCell ref="A1:F1"/>
    <mergeCell ref="A2:B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F10"/>
  <sheetViews>
    <sheetView workbookViewId="0">
      <selection activeCell="A16" sqref="A16"/>
    </sheetView>
  </sheetViews>
  <sheetFormatPr baseColWidth="10" defaultRowHeight="12.75" customHeight="1"/>
  <cols>
    <col min="1" max="1" width="45.7109375" customWidth="1"/>
    <col min="2" max="6" width="10.7109375" customWidth="1"/>
  </cols>
  <sheetData>
    <row r="1" spans="1:6" ht="12.75" customHeight="1" thickBot="1">
      <c r="A1" s="170" t="s">
        <v>16</v>
      </c>
      <c r="B1" s="171"/>
      <c r="C1" s="171"/>
      <c r="D1" s="171"/>
      <c r="E1" s="172"/>
      <c r="F1" s="173"/>
    </row>
    <row r="2" spans="1:6" ht="12.75" customHeight="1">
      <c r="A2" s="179" t="s">
        <v>125</v>
      </c>
      <c r="B2" s="179"/>
      <c r="C2" s="179"/>
      <c r="D2" s="40"/>
      <c r="E2" s="41" t="s">
        <v>17</v>
      </c>
      <c r="F2" s="132">
        <v>12.55</v>
      </c>
    </row>
    <row r="3" spans="1:6" ht="12.75" customHeight="1">
      <c r="A3" s="42"/>
      <c r="B3" s="68"/>
      <c r="C3" s="57"/>
      <c r="D3" s="58"/>
      <c r="E3" s="69"/>
      <c r="F3" s="76"/>
    </row>
    <row r="4" spans="1:6" ht="12.75" customHeight="1">
      <c r="A4" s="75" t="s">
        <v>126</v>
      </c>
      <c r="B4" s="145"/>
      <c r="C4" s="47"/>
      <c r="D4" s="47"/>
      <c r="E4" s="45"/>
      <c r="F4" s="45"/>
    </row>
    <row r="5" spans="1:6" ht="38.25">
      <c r="A5" s="49" t="s">
        <v>18</v>
      </c>
      <c r="B5" s="49" t="s">
        <v>19</v>
      </c>
      <c r="C5" s="49" t="s">
        <v>20</v>
      </c>
      <c r="D5" s="50" t="s">
        <v>33</v>
      </c>
      <c r="E5" s="51" t="s">
        <v>22</v>
      </c>
      <c r="F5" s="51" t="s">
        <v>23</v>
      </c>
    </row>
    <row r="6" spans="1:6" ht="12.75" customHeight="1">
      <c r="A6" s="20" t="s">
        <v>127</v>
      </c>
      <c r="B6" s="52" t="s">
        <v>40</v>
      </c>
      <c r="C6" s="53">
        <v>1</v>
      </c>
      <c r="D6" s="54">
        <v>100000</v>
      </c>
      <c r="E6" s="54">
        <f>+D6*C6</f>
        <v>100000</v>
      </c>
      <c r="F6" s="55">
        <f>+E6/$F$2</f>
        <v>7968.1274900398403</v>
      </c>
    </row>
    <row r="7" spans="1:6" ht="12.75" customHeight="1">
      <c r="A7" s="21" t="s">
        <v>128</v>
      </c>
      <c r="B7" s="52" t="s">
        <v>40</v>
      </c>
      <c r="C7" s="53">
        <v>1</v>
      </c>
      <c r="D7" s="54">
        <v>2500000</v>
      </c>
      <c r="E7" s="54">
        <f t="shared" ref="E7" si="0">+D7*C7</f>
        <v>2500000</v>
      </c>
      <c r="F7" s="55">
        <f>+E7/$F$2</f>
        <v>199203.18725099601</v>
      </c>
    </row>
    <row r="8" spans="1:6" ht="12.75" customHeight="1">
      <c r="A8" s="56" t="s">
        <v>30</v>
      </c>
      <c r="B8" s="68"/>
      <c r="C8" s="148"/>
      <c r="D8" s="58"/>
      <c r="E8" s="59">
        <f>SUM(E6:E7)</f>
        <v>2600000</v>
      </c>
      <c r="F8" s="60">
        <f>SUM(F6:F7)</f>
        <v>207171.31474103584</v>
      </c>
    </row>
    <row r="9" spans="1:6" ht="12.75" customHeight="1">
      <c r="A9" s="47"/>
      <c r="B9" s="47"/>
      <c r="C9" s="47"/>
      <c r="D9" s="47"/>
      <c r="E9" s="48"/>
      <c r="F9" s="48"/>
    </row>
    <row r="10" spans="1:6" ht="12.75" customHeight="1">
      <c r="A10" s="47"/>
      <c r="B10" s="47"/>
      <c r="C10" s="47"/>
      <c r="D10" s="47"/>
      <c r="E10" s="123"/>
      <c r="F10" s="123"/>
    </row>
  </sheetData>
  <mergeCells count="2">
    <mergeCell ref="A1:F1"/>
    <mergeCell ref="A2:C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F9"/>
  <sheetViews>
    <sheetView workbookViewId="0">
      <selection activeCell="G12" sqref="G12"/>
    </sheetView>
  </sheetViews>
  <sheetFormatPr baseColWidth="10" defaultRowHeight="12.75" customHeight="1"/>
  <cols>
    <col min="1" max="1" width="45.7109375" customWidth="1"/>
    <col min="2" max="6" width="10.7109375" customWidth="1"/>
  </cols>
  <sheetData>
    <row r="1" spans="1:6" ht="12.75" customHeight="1" thickBot="1">
      <c r="A1" s="170" t="s">
        <v>16</v>
      </c>
      <c r="B1" s="171"/>
      <c r="C1" s="171"/>
      <c r="D1" s="171"/>
      <c r="E1" s="172"/>
      <c r="F1" s="173"/>
    </row>
    <row r="2" spans="1:6" ht="12.75" customHeight="1">
      <c r="A2" s="179" t="s">
        <v>125</v>
      </c>
      <c r="B2" s="179"/>
      <c r="C2" s="179"/>
      <c r="D2" s="40"/>
      <c r="E2" s="41" t="s">
        <v>17</v>
      </c>
      <c r="F2" s="132">
        <v>12.55</v>
      </c>
    </row>
    <row r="3" spans="1:6" ht="12.75" customHeight="1">
      <c r="A3" s="42"/>
      <c r="B3" s="68"/>
      <c r="C3" s="57"/>
      <c r="D3" s="58"/>
      <c r="E3" s="69"/>
      <c r="F3" s="76"/>
    </row>
    <row r="4" spans="1:6" ht="12.75" customHeight="1">
      <c r="A4" s="75" t="s">
        <v>129</v>
      </c>
      <c r="B4" s="145"/>
      <c r="C4" s="47"/>
      <c r="D4" s="47"/>
      <c r="E4" s="45"/>
      <c r="F4" s="45"/>
    </row>
    <row r="5" spans="1:6" ht="38.25">
      <c r="A5" s="49" t="s">
        <v>18</v>
      </c>
      <c r="B5" s="49" t="s">
        <v>19</v>
      </c>
      <c r="C5" s="49" t="s">
        <v>20</v>
      </c>
      <c r="D5" s="50" t="s">
        <v>33</v>
      </c>
      <c r="E5" s="51" t="s">
        <v>22</v>
      </c>
      <c r="F5" s="51" t="s">
        <v>23</v>
      </c>
    </row>
    <row r="6" spans="1:6" ht="12.75" customHeight="1">
      <c r="A6" s="20" t="s">
        <v>107</v>
      </c>
      <c r="B6" s="52" t="s">
        <v>40</v>
      </c>
      <c r="C6" s="53">
        <v>1</v>
      </c>
      <c r="D6" s="54">
        <v>1000000</v>
      </c>
      <c r="E6" s="54">
        <f>+D6*C6</f>
        <v>1000000</v>
      </c>
      <c r="F6" s="55">
        <f>+E6/$F$2</f>
        <v>79681.274900398406</v>
      </c>
    </row>
    <row r="7" spans="1:6" ht="12.75" customHeight="1">
      <c r="A7" s="21" t="s">
        <v>108</v>
      </c>
      <c r="B7" s="52" t="s">
        <v>40</v>
      </c>
      <c r="C7" s="53">
        <v>1</v>
      </c>
      <c r="D7" s="54">
        <v>1400000</v>
      </c>
      <c r="E7" s="54">
        <f t="shared" ref="E7" si="0">+D7*C7</f>
        <v>1400000</v>
      </c>
      <c r="F7" s="55">
        <f>+E7/$F$2</f>
        <v>111553.78486055776</v>
      </c>
    </row>
    <row r="8" spans="1:6" ht="12.75" customHeight="1">
      <c r="A8" s="56" t="s">
        <v>30</v>
      </c>
      <c r="B8" s="68"/>
      <c r="C8" s="57"/>
      <c r="D8" s="58"/>
      <c r="E8" s="59">
        <f>SUM(E6:E7)</f>
        <v>2400000</v>
      </c>
      <c r="F8" s="60">
        <f>SUM(F6:F7)</f>
        <v>191235.05976095615</v>
      </c>
    </row>
    <row r="9" spans="1:6" ht="12.75" customHeight="1">
      <c r="A9" s="47"/>
      <c r="B9" s="70"/>
      <c r="C9" s="47"/>
      <c r="D9" s="47"/>
      <c r="E9" s="48"/>
      <c r="F9" s="48"/>
    </row>
  </sheetData>
  <mergeCells count="2">
    <mergeCell ref="A1:F1"/>
    <mergeCell ref="A2:C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F12"/>
  <sheetViews>
    <sheetView workbookViewId="0">
      <selection activeCell="A20" sqref="A20"/>
    </sheetView>
  </sheetViews>
  <sheetFormatPr baseColWidth="10" defaultRowHeight="12.75" customHeight="1"/>
  <cols>
    <col min="1" max="1" width="45.7109375" customWidth="1"/>
    <col min="2" max="6" width="10.7109375" customWidth="1"/>
  </cols>
  <sheetData>
    <row r="1" spans="1:6" ht="12.75" customHeight="1" thickBot="1">
      <c r="A1" s="170" t="s">
        <v>16</v>
      </c>
      <c r="B1" s="171"/>
      <c r="C1" s="171"/>
      <c r="D1" s="171"/>
      <c r="E1" s="172"/>
      <c r="F1" s="173"/>
    </row>
    <row r="2" spans="1:6" ht="12.75" customHeight="1">
      <c r="A2" s="146" t="s">
        <v>125</v>
      </c>
      <c r="B2" s="139"/>
      <c r="C2" s="138"/>
      <c r="D2" s="43"/>
      <c r="E2" s="41" t="s">
        <v>17</v>
      </c>
      <c r="F2" s="132">
        <v>12.55</v>
      </c>
    </row>
    <row r="3" spans="1:6" ht="12.75" customHeight="1">
      <c r="A3" s="42"/>
      <c r="B3" s="68"/>
      <c r="C3" s="57"/>
      <c r="D3" s="58"/>
      <c r="E3" s="44"/>
      <c r="F3" s="45"/>
    </row>
    <row r="4" spans="1:6" ht="12.75" customHeight="1">
      <c r="A4" s="75" t="s">
        <v>130</v>
      </c>
      <c r="B4" s="145"/>
      <c r="C4" s="47"/>
      <c r="D4" s="47"/>
      <c r="E4" s="44"/>
      <c r="F4" s="44"/>
    </row>
    <row r="5" spans="1:6" ht="38.25">
      <c r="A5" s="49" t="s">
        <v>18</v>
      </c>
      <c r="B5" s="49" t="s">
        <v>19</v>
      </c>
      <c r="C5" s="49" t="s">
        <v>20</v>
      </c>
      <c r="D5" s="50" t="s">
        <v>33</v>
      </c>
      <c r="E5" s="51" t="s">
        <v>22</v>
      </c>
      <c r="F5" s="51" t="s">
        <v>23</v>
      </c>
    </row>
    <row r="6" spans="1:6" ht="12.75" customHeight="1">
      <c r="A6" s="20" t="s">
        <v>131</v>
      </c>
      <c r="B6" s="52" t="s">
        <v>40</v>
      </c>
      <c r="C6" s="53">
        <v>1</v>
      </c>
      <c r="D6" s="54">
        <v>500000</v>
      </c>
      <c r="E6" s="54">
        <f>+D6*C6</f>
        <v>500000</v>
      </c>
      <c r="F6" s="55">
        <f>+E6/$F$2</f>
        <v>39840.637450199203</v>
      </c>
    </row>
    <row r="7" spans="1:6" ht="12.75" customHeight="1">
      <c r="A7" s="20" t="s">
        <v>132</v>
      </c>
      <c r="B7" s="52" t="s">
        <v>40</v>
      </c>
      <c r="C7" s="53">
        <v>1</v>
      </c>
      <c r="D7" s="54">
        <v>300000</v>
      </c>
      <c r="E7" s="54">
        <f>+D7*C7</f>
        <v>300000</v>
      </c>
      <c r="F7" s="55">
        <f>+E7/$F$2</f>
        <v>23904.382470119519</v>
      </c>
    </row>
    <row r="8" spans="1:6" ht="12.75" customHeight="1">
      <c r="A8" s="21" t="s">
        <v>68</v>
      </c>
      <c r="B8" s="52" t="s">
        <v>40</v>
      </c>
      <c r="C8" s="53">
        <v>1</v>
      </c>
      <c r="D8" s="54">
        <v>1000000</v>
      </c>
      <c r="E8" s="54">
        <f>+D8*C8</f>
        <v>1000000</v>
      </c>
      <c r="F8" s="55">
        <f>+E8/$F$2</f>
        <v>79681.274900398406</v>
      </c>
    </row>
    <row r="9" spans="1:6" ht="12.75" customHeight="1">
      <c r="A9" s="56" t="s">
        <v>30</v>
      </c>
      <c r="B9" s="68"/>
      <c r="C9" s="57"/>
      <c r="D9" s="58"/>
      <c r="E9" s="59">
        <f>SUM(E6:E8)</f>
        <v>1800000</v>
      </c>
      <c r="F9" s="60">
        <f>SUM(F6:F8)</f>
        <v>143426.29482071713</v>
      </c>
    </row>
    <row r="10" spans="1:6" ht="12.75" customHeight="1">
      <c r="A10" s="47"/>
      <c r="B10" s="70"/>
      <c r="C10" s="47"/>
      <c r="D10" s="47"/>
    </row>
    <row r="12" spans="1:6" ht="12.75" customHeight="1">
      <c r="E12" s="48"/>
      <c r="F12" s="48"/>
    </row>
  </sheetData>
  <mergeCells count="1">
    <mergeCell ref="A1:F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>
    <row r="1" spans="1:1">
      <c r="A1" s="14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3"/>
  <sheetViews>
    <sheetView workbookViewId="0">
      <selection activeCell="H14" sqref="H14"/>
    </sheetView>
  </sheetViews>
  <sheetFormatPr baseColWidth="10" defaultRowHeight="12.75" customHeight="1"/>
  <cols>
    <col min="1" max="1" width="45.7109375" customWidth="1"/>
    <col min="2" max="6" width="10.7109375" customWidth="1"/>
  </cols>
  <sheetData>
    <row r="1" spans="1:6" ht="12.75" customHeight="1" thickBot="1">
      <c r="A1" s="170" t="s">
        <v>16</v>
      </c>
      <c r="B1" s="171"/>
      <c r="C1" s="171"/>
      <c r="D1" s="171"/>
      <c r="E1" s="172"/>
      <c r="F1" s="173"/>
    </row>
    <row r="2" spans="1:6" ht="12.75" customHeight="1">
      <c r="A2" s="175" t="s">
        <v>112</v>
      </c>
      <c r="B2" s="175"/>
      <c r="C2" s="40"/>
      <c r="D2" s="40"/>
      <c r="E2" s="41" t="s">
        <v>17</v>
      </c>
      <c r="F2" s="132">
        <v>12.55</v>
      </c>
    </row>
    <row r="3" spans="1:6" ht="12.75" customHeight="1">
      <c r="A3" s="46"/>
      <c r="B3" s="47"/>
      <c r="C3" s="47"/>
      <c r="D3" s="47"/>
      <c r="E3" s="48"/>
      <c r="F3" s="48"/>
    </row>
    <row r="4" spans="1:6" ht="12.75" customHeight="1">
      <c r="A4" s="174" t="s">
        <v>111</v>
      </c>
      <c r="B4" s="174"/>
      <c r="C4" s="47"/>
      <c r="D4" s="47"/>
      <c r="E4" s="48"/>
      <c r="F4" s="48"/>
    </row>
    <row r="5" spans="1:6" ht="38.25">
      <c r="A5" s="49" t="s">
        <v>18</v>
      </c>
      <c r="B5" s="49" t="s">
        <v>19</v>
      </c>
      <c r="C5" s="49" t="s">
        <v>20</v>
      </c>
      <c r="D5" s="50" t="s">
        <v>21</v>
      </c>
      <c r="E5" s="51" t="s">
        <v>22</v>
      </c>
      <c r="F5" s="51" t="s">
        <v>23</v>
      </c>
    </row>
    <row r="6" spans="1:6" ht="12.75" customHeight="1">
      <c r="A6" s="20" t="s">
        <v>24</v>
      </c>
      <c r="B6" s="52" t="s">
        <v>25</v>
      </c>
      <c r="C6" s="53">
        <v>8000</v>
      </c>
      <c r="D6" s="54">
        <v>1442.61114625</v>
      </c>
      <c r="E6" s="54">
        <f>+D6*C6</f>
        <v>11540889.17</v>
      </c>
      <c r="F6" s="55">
        <f>+E6/$F$2</f>
        <v>919592.76254980068</v>
      </c>
    </row>
    <row r="7" spans="1:6" ht="12.75" customHeight="1">
      <c r="A7" s="20" t="s">
        <v>26</v>
      </c>
      <c r="B7" s="52" t="s">
        <v>25</v>
      </c>
      <c r="C7" s="53">
        <v>8235</v>
      </c>
      <c r="D7" s="54">
        <v>3307.6175336976321</v>
      </c>
      <c r="E7" s="55">
        <f>+D7*C7</f>
        <v>27238230.390000001</v>
      </c>
      <c r="F7" s="55">
        <f>+E7/$F$2</f>
        <v>2170376.9235059759</v>
      </c>
    </row>
    <row r="8" spans="1:6" ht="12.75" customHeight="1">
      <c r="A8" s="20" t="s">
        <v>27</v>
      </c>
      <c r="B8" s="52" t="s">
        <v>28</v>
      </c>
      <c r="C8" s="53">
        <v>626</v>
      </c>
      <c r="D8" s="54">
        <v>41628.624249201283</v>
      </c>
      <c r="E8" s="54">
        <f>+D8*C8</f>
        <v>26059518.780000001</v>
      </c>
      <c r="F8" s="55">
        <f>+E8/$F$2</f>
        <v>2076455.6796812748</v>
      </c>
    </row>
    <row r="9" spans="1:6" ht="12.75" customHeight="1">
      <c r="A9" s="20" t="s">
        <v>29</v>
      </c>
      <c r="B9" s="52" t="s">
        <v>28</v>
      </c>
      <c r="C9" s="53">
        <v>150</v>
      </c>
      <c r="D9" s="54">
        <v>3000</v>
      </c>
      <c r="E9" s="54">
        <f>+D9*C9</f>
        <v>450000</v>
      </c>
      <c r="F9" s="55">
        <f>+E9/$F$2</f>
        <v>35856.573705179282</v>
      </c>
    </row>
    <row r="10" spans="1:6" ht="12.75" customHeight="1">
      <c r="A10" s="56" t="s">
        <v>30</v>
      </c>
      <c r="B10" s="57"/>
      <c r="C10" s="57"/>
      <c r="D10" s="58"/>
      <c r="E10" s="59">
        <f>SUM(E6:E9)</f>
        <v>65288638.340000004</v>
      </c>
      <c r="F10" s="60">
        <f>SUM(F6:F9)</f>
        <v>5202281.9394422313</v>
      </c>
    </row>
    <row r="11" spans="1:6" ht="12.75" customHeight="1">
      <c r="A11" s="42" t="s">
        <v>31</v>
      </c>
      <c r="B11" s="47"/>
      <c r="C11" s="47"/>
      <c r="D11" s="47"/>
      <c r="E11" s="48"/>
      <c r="F11" s="48"/>
    </row>
    <row r="12" spans="1:6" ht="12.75" customHeight="1">
      <c r="A12" s="42"/>
      <c r="B12" s="61"/>
      <c r="C12" s="61"/>
      <c r="D12" s="61"/>
      <c r="E12" s="62"/>
      <c r="F12" s="62"/>
    </row>
    <row r="13" spans="1:6" ht="12.75" customHeight="1">
      <c r="A13" s="47"/>
      <c r="B13" s="47"/>
      <c r="C13" s="47"/>
      <c r="D13" s="47"/>
      <c r="E13" s="123"/>
      <c r="F13" s="123"/>
    </row>
  </sheetData>
  <mergeCells count="3">
    <mergeCell ref="A1:F1"/>
    <mergeCell ref="A4:B4"/>
    <mergeCell ref="A2:B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1"/>
  <sheetViews>
    <sheetView workbookViewId="0">
      <selection sqref="A1:F10"/>
    </sheetView>
  </sheetViews>
  <sheetFormatPr baseColWidth="10" defaultRowHeight="12.75" customHeight="1"/>
  <cols>
    <col min="1" max="1" width="45.7109375" customWidth="1"/>
    <col min="2" max="6" width="10.7109375" customWidth="1"/>
  </cols>
  <sheetData>
    <row r="1" spans="1:6" ht="12.75" customHeight="1" thickBot="1">
      <c r="A1" s="170" t="s">
        <v>16</v>
      </c>
      <c r="B1" s="171"/>
      <c r="C1" s="171"/>
      <c r="D1" s="171"/>
      <c r="E1" s="172"/>
      <c r="F1" s="173"/>
    </row>
    <row r="2" spans="1:6" ht="12.75" customHeight="1">
      <c r="A2" s="177" t="s">
        <v>112</v>
      </c>
      <c r="B2" s="177"/>
      <c r="C2" s="40"/>
      <c r="D2" s="40"/>
      <c r="E2" s="41" t="s">
        <v>17</v>
      </c>
      <c r="F2" s="132">
        <v>12.55</v>
      </c>
    </row>
    <row r="3" spans="1:6" ht="12.75" customHeight="1">
      <c r="A3" s="46"/>
      <c r="B3" s="47"/>
      <c r="C3" s="47"/>
      <c r="D3" s="47"/>
      <c r="E3" s="48"/>
      <c r="F3" s="48"/>
    </row>
    <row r="4" spans="1:6" ht="12.75" customHeight="1">
      <c r="A4" s="176" t="s">
        <v>32</v>
      </c>
      <c r="B4" s="176"/>
      <c r="C4" s="47"/>
      <c r="D4" s="47"/>
      <c r="E4" s="48"/>
      <c r="F4" s="48"/>
    </row>
    <row r="5" spans="1:6" ht="38.25">
      <c r="A5" s="49" t="s">
        <v>18</v>
      </c>
      <c r="B5" s="49" t="s">
        <v>19</v>
      </c>
      <c r="C5" s="49" t="s">
        <v>20</v>
      </c>
      <c r="D5" s="50" t="s">
        <v>33</v>
      </c>
      <c r="E5" s="51" t="s">
        <v>22</v>
      </c>
      <c r="F5" s="51" t="s">
        <v>23</v>
      </c>
    </row>
    <row r="6" spans="1:6" ht="12.75" customHeight="1">
      <c r="A6" s="20" t="s">
        <v>34</v>
      </c>
      <c r="B6" s="52" t="s">
        <v>25</v>
      </c>
      <c r="C6" s="53">
        <v>6000</v>
      </c>
      <c r="D6" s="54">
        <v>2000</v>
      </c>
      <c r="E6" s="54">
        <f>+D6*C6</f>
        <v>12000000</v>
      </c>
      <c r="F6" s="55">
        <f>+E6/$F$2</f>
        <v>956175.29880478082</v>
      </c>
    </row>
    <row r="7" spans="1:6" ht="12.75" customHeight="1">
      <c r="A7" s="63" t="s">
        <v>35</v>
      </c>
      <c r="B7" s="64" t="s">
        <v>25</v>
      </c>
      <c r="C7" s="65">
        <v>1200</v>
      </c>
      <c r="D7" s="66">
        <v>800</v>
      </c>
      <c r="E7" s="66">
        <f>+D7*C7</f>
        <v>960000</v>
      </c>
      <c r="F7" s="39">
        <f>+E7/$F$2</f>
        <v>76494.023904382469</v>
      </c>
    </row>
    <row r="8" spans="1:6" ht="12.75" customHeight="1">
      <c r="A8" s="63" t="s">
        <v>36</v>
      </c>
      <c r="B8" s="64" t="s">
        <v>28</v>
      </c>
      <c r="C8" s="67">
        <v>50</v>
      </c>
      <c r="D8" s="66">
        <v>3000</v>
      </c>
      <c r="E8" s="66">
        <f>+D8*C8</f>
        <v>150000</v>
      </c>
      <c r="F8" s="39">
        <f>+E8/$F$2</f>
        <v>11952.191235059759</v>
      </c>
    </row>
    <row r="9" spans="1:6" ht="12.75" customHeight="1">
      <c r="A9" s="20" t="s">
        <v>37</v>
      </c>
      <c r="B9" s="52" t="s">
        <v>28</v>
      </c>
      <c r="C9" s="53">
        <v>80</v>
      </c>
      <c r="D9" s="54">
        <v>30000</v>
      </c>
      <c r="E9" s="54">
        <f>+D9*C9</f>
        <v>2400000</v>
      </c>
      <c r="F9" s="55">
        <f>+E9/$F$2</f>
        <v>191235.05976095615</v>
      </c>
    </row>
    <row r="10" spans="1:6" ht="12.75" customHeight="1">
      <c r="A10" s="56" t="s">
        <v>30</v>
      </c>
      <c r="B10" s="68"/>
      <c r="C10" s="57"/>
      <c r="D10" s="69"/>
      <c r="E10" s="59">
        <f>SUM(E6:E9)</f>
        <v>15510000</v>
      </c>
      <c r="F10" s="60">
        <f>SUM(F6:F9)</f>
        <v>1235856.5737051792</v>
      </c>
    </row>
    <row r="11" spans="1:6" ht="12.75" customHeight="1">
      <c r="A11" s="42"/>
      <c r="B11" s="70"/>
      <c r="C11" s="47"/>
      <c r="D11" s="48"/>
      <c r="E11" s="48"/>
      <c r="F11" s="48"/>
    </row>
  </sheetData>
  <mergeCells count="3">
    <mergeCell ref="A1:F1"/>
    <mergeCell ref="A4:B4"/>
    <mergeCell ref="A2:B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9"/>
  <sheetViews>
    <sheetView workbookViewId="0">
      <selection activeCell="I21" sqref="I21"/>
    </sheetView>
  </sheetViews>
  <sheetFormatPr baseColWidth="10" defaultRowHeight="12.75" customHeight="1"/>
  <cols>
    <col min="1" max="1" width="45.7109375" customWidth="1"/>
    <col min="2" max="6" width="10.7109375" customWidth="1"/>
  </cols>
  <sheetData>
    <row r="1" spans="1:6" ht="12.75" customHeight="1" thickBot="1">
      <c r="A1" s="170" t="s">
        <v>16</v>
      </c>
      <c r="B1" s="171"/>
      <c r="C1" s="171"/>
      <c r="D1" s="171"/>
      <c r="E1" s="172"/>
      <c r="F1" s="173"/>
    </row>
    <row r="2" spans="1:6" ht="12.75" customHeight="1">
      <c r="A2" s="178" t="s">
        <v>112</v>
      </c>
      <c r="B2" s="178"/>
      <c r="C2" s="40"/>
      <c r="D2" s="40"/>
      <c r="E2" s="41" t="s">
        <v>17</v>
      </c>
      <c r="F2" s="132">
        <v>12.55</v>
      </c>
    </row>
    <row r="3" spans="1:6" ht="12.75" customHeight="1">
      <c r="A3" s="46"/>
      <c r="B3" s="47"/>
      <c r="C3" s="47"/>
      <c r="D3" s="47"/>
      <c r="E3" s="48"/>
      <c r="F3" s="48"/>
    </row>
    <row r="4" spans="1:6" ht="12.75" customHeight="1">
      <c r="A4" s="71" t="s">
        <v>121</v>
      </c>
      <c r="B4" s="72"/>
      <c r="C4" s="47"/>
      <c r="D4" s="48"/>
      <c r="E4" s="48"/>
      <c r="F4" s="48"/>
    </row>
    <row r="5" spans="1:6" ht="38.25">
      <c r="A5" s="49" t="s">
        <v>18</v>
      </c>
      <c r="B5" s="49" t="s">
        <v>19</v>
      </c>
      <c r="C5" s="49" t="s">
        <v>20</v>
      </c>
      <c r="D5" s="51" t="s">
        <v>33</v>
      </c>
      <c r="E5" s="51" t="s">
        <v>22</v>
      </c>
      <c r="F5" s="51" t="s">
        <v>23</v>
      </c>
    </row>
    <row r="6" spans="1:6" ht="12.75" customHeight="1">
      <c r="A6" s="73" t="s">
        <v>38</v>
      </c>
      <c r="B6" s="64" t="s">
        <v>28</v>
      </c>
      <c r="C6" s="67">
        <v>500</v>
      </c>
      <c r="D6" s="66">
        <v>1500</v>
      </c>
      <c r="E6" s="66">
        <f>+D6*C6</f>
        <v>750000</v>
      </c>
      <c r="F6" s="39">
        <f>+E6/$F$2</f>
        <v>59760.956175298801</v>
      </c>
    </row>
    <row r="7" spans="1:6" ht="12.75" customHeight="1">
      <c r="A7" s="63" t="s">
        <v>39</v>
      </c>
      <c r="B7" s="64" t="s">
        <v>40</v>
      </c>
      <c r="C7" s="74">
        <v>1</v>
      </c>
      <c r="D7" s="66">
        <v>300000</v>
      </c>
      <c r="E7" s="66">
        <f t="shared" ref="E7" si="0">+D7*C7</f>
        <v>300000</v>
      </c>
      <c r="F7" s="39">
        <f>+E7/$F$2</f>
        <v>23904.382470119519</v>
      </c>
    </row>
    <row r="8" spans="1:6" ht="12.75" customHeight="1">
      <c r="A8" s="56" t="s">
        <v>30</v>
      </c>
      <c r="B8" s="57"/>
      <c r="C8" s="57"/>
      <c r="D8" s="58"/>
      <c r="E8" s="59">
        <f>SUM(E6:E7)</f>
        <v>1050000</v>
      </c>
      <c r="F8" s="60">
        <f>SUM(F6:F7)</f>
        <v>83665.33864541832</v>
      </c>
    </row>
    <row r="9" spans="1:6" ht="12.75" customHeight="1">
      <c r="A9" s="47"/>
      <c r="B9" s="47"/>
      <c r="C9" s="47"/>
      <c r="D9" s="47"/>
      <c r="E9" s="123"/>
      <c r="F9" s="123"/>
    </row>
  </sheetData>
  <mergeCells count="2">
    <mergeCell ref="A1:F1"/>
    <mergeCell ref="A2:B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F8"/>
  <sheetViews>
    <sheetView workbookViewId="0">
      <selection activeCell="A11" sqref="A11"/>
    </sheetView>
  </sheetViews>
  <sheetFormatPr baseColWidth="10" defaultRowHeight="12.75" customHeight="1"/>
  <cols>
    <col min="1" max="1" width="45.7109375" customWidth="1"/>
    <col min="2" max="6" width="10.7109375" customWidth="1"/>
  </cols>
  <sheetData>
    <row r="1" spans="1:6" ht="12.75" customHeight="1" thickBot="1">
      <c r="A1" s="170" t="s">
        <v>16</v>
      </c>
      <c r="B1" s="171"/>
      <c r="C1" s="171"/>
      <c r="D1" s="171"/>
      <c r="E1" s="172"/>
      <c r="F1" s="173"/>
    </row>
    <row r="2" spans="1:6" ht="12.75" customHeight="1">
      <c r="A2" s="175" t="s">
        <v>113</v>
      </c>
      <c r="B2" s="175"/>
      <c r="C2" s="40"/>
      <c r="D2" s="40"/>
      <c r="E2" s="41" t="s">
        <v>17</v>
      </c>
      <c r="F2" s="132">
        <v>12.55</v>
      </c>
    </row>
    <row r="3" spans="1:6" ht="12.75" customHeight="1">
      <c r="A3" s="42"/>
      <c r="B3" s="57"/>
      <c r="C3" s="57"/>
      <c r="D3" s="58"/>
      <c r="E3" s="69"/>
      <c r="F3" s="76"/>
    </row>
    <row r="4" spans="1:6" ht="12.75" customHeight="1">
      <c r="A4" s="75" t="s">
        <v>122</v>
      </c>
      <c r="B4" s="105"/>
      <c r="C4" s="47"/>
      <c r="D4" s="47"/>
      <c r="E4" s="48"/>
      <c r="F4" s="48"/>
    </row>
    <row r="5" spans="1:6" ht="40.5" customHeight="1">
      <c r="A5" s="49" t="s">
        <v>18</v>
      </c>
      <c r="B5" s="49" t="s">
        <v>19</v>
      </c>
      <c r="C5" s="49" t="s">
        <v>20</v>
      </c>
      <c r="D5" s="50" t="s">
        <v>33</v>
      </c>
      <c r="E5" s="51" t="s">
        <v>22</v>
      </c>
      <c r="F5" s="51" t="s">
        <v>23</v>
      </c>
    </row>
    <row r="6" spans="1:6" ht="12.75" customHeight="1">
      <c r="A6" s="106" t="s">
        <v>84</v>
      </c>
      <c r="B6" s="79" t="s">
        <v>40</v>
      </c>
      <c r="C6" s="107">
        <v>1</v>
      </c>
      <c r="D6" s="108">
        <v>3298680</v>
      </c>
      <c r="E6" s="109">
        <f>+D6*C6</f>
        <v>3298680</v>
      </c>
      <c r="F6" s="110">
        <f>+E6/$F$2</f>
        <v>262843.02788844617</v>
      </c>
    </row>
    <row r="7" spans="1:6" ht="12.75" customHeight="1">
      <c r="A7" s="106" t="s">
        <v>85</v>
      </c>
      <c r="B7" s="52" t="s">
        <v>40</v>
      </c>
      <c r="C7" s="111">
        <v>1</v>
      </c>
      <c r="D7" s="112">
        <v>3326400</v>
      </c>
      <c r="E7" s="54">
        <f t="shared" ref="E7" si="0">+D7*C7</f>
        <v>3326400</v>
      </c>
      <c r="F7" s="55">
        <f>+E7/$F$2</f>
        <v>265051.79282868525</v>
      </c>
    </row>
    <row r="8" spans="1:6" ht="12.75" customHeight="1">
      <c r="A8" s="113" t="s">
        <v>86</v>
      </c>
      <c r="B8" s="68"/>
      <c r="C8" s="57"/>
      <c r="D8" s="69"/>
      <c r="E8" s="59">
        <f>SUM(E6:E7)</f>
        <v>6625080</v>
      </c>
      <c r="F8" s="60">
        <f>SUM(F6:F7)</f>
        <v>527894.82071713149</v>
      </c>
    </row>
  </sheetData>
  <mergeCells count="2">
    <mergeCell ref="A1:F1"/>
    <mergeCell ref="A2:B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1"/>
  <sheetViews>
    <sheetView workbookViewId="0">
      <selection activeCell="B17" sqref="B17"/>
    </sheetView>
  </sheetViews>
  <sheetFormatPr baseColWidth="10" defaultRowHeight="12.75" customHeight="1"/>
  <cols>
    <col min="1" max="1" width="45.7109375" customWidth="1"/>
    <col min="2" max="6" width="10.7109375" customWidth="1"/>
  </cols>
  <sheetData>
    <row r="1" spans="1:6" ht="12.75" customHeight="1" thickBot="1">
      <c r="A1" s="170" t="s">
        <v>16</v>
      </c>
      <c r="B1" s="171"/>
      <c r="C1" s="171"/>
      <c r="D1" s="171"/>
      <c r="E1" s="172"/>
      <c r="F1" s="173"/>
    </row>
    <row r="2" spans="1:6" ht="12.75" customHeight="1">
      <c r="A2" s="179" t="s">
        <v>113</v>
      </c>
      <c r="B2" s="179"/>
      <c r="C2" s="40"/>
      <c r="D2" s="40"/>
      <c r="E2" s="41" t="s">
        <v>17</v>
      </c>
      <c r="F2" s="132">
        <v>12.55</v>
      </c>
    </row>
    <row r="3" spans="1:6" ht="12.75" customHeight="1">
      <c r="A3" s="42"/>
      <c r="B3" s="57"/>
      <c r="C3" s="57"/>
      <c r="D3" s="58"/>
      <c r="E3" s="69"/>
      <c r="F3" s="76"/>
    </row>
    <row r="4" spans="1:6" ht="12.75" customHeight="1">
      <c r="A4" s="75" t="s">
        <v>41</v>
      </c>
      <c r="B4" s="77"/>
      <c r="C4" s="47"/>
      <c r="D4" s="47"/>
      <c r="E4" s="48"/>
      <c r="F4" s="48"/>
    </row>
    <row r="5" spans="1:6" ht="38.25">
      <c r="A5" s="49" t="s">
        <v>18</v>
      </c>
      <c r="B5" s="49" t="s">
        <v>19</v>
      </c>
      <c r="C5" s="49" t="s">
        <v>20</v>
      </c>
      <c r="D5" s="50" t="s">
        <v>33</v>
      </c>
      <c r="E5" s="51" t="s">
        <v>22</v>
      </c>
      <c r="F5" s="51" t="s">
        <v>23</v>
      </c>
    </row>
    <row r="6" spans="1:6" ht="12.75" customHeight="1">
      <c r="A6" s="78" t="s">
        <v>42</v>
      </c>
      <c r="B6" s="79" t="s">
        <v>28</v>
      </c>
      <c r="C6" s="80">
        <v>1</v>
      </c>
      <c r="D6" s="81">
        <v>39000</v>
      </c>
      <c r="E6" s="54">
        <f t="shared" ref="E6:E10" si="0">+D6*C6</f>
        <v>39000</v>
      </c>
      <c r="F6" s="55">
        <f>+E6/$F$2</f>
        <v>3107.5697211155375</v>
      </c>
    </row>
    <row r="7" spans="1:6" ht="12.75" customHeight="1">
      <c r="A7" s="78" t="s">
        <v>43</v>
      </c>
      <c r="B7" s="79" t="s">
        <v>28</v>
      </c>
      <c r="C7" s="80">
        <v>1</v>
      </c>
      <c r="D7" s="81">
        <v>26500</v>
      </c>
      <c r="E7" s="54">
        <f t="shared" si="0"/>
        <v>26500</v>
      </c>
      <c r="F7" s="55">
        <f>+E7/$F$2</f>
        <v>2111.5537848605577</v>
      </c>
    </row>
    <row r="8" spans="1:6" ht="12.75" customHeight="1">
      <c r="A8" s="78" t="s">
        <v>44</v>
      </c>
      <c r="B8" s="79" t="s">
        <v>28</v>
      </c>
      <c r="C8" s="80">
        <v>1</v>
      </c>
      <c r="D8" s="81">
        <v>49500</v>
      </c>
      <c r="E8" s="54">
        <f t="shared" si="0"/>
        <v>49500</v>
      </c>
      <c r="F8" s="55">
        <f>+E8/$F$2</f>
        <v>3944.2231075697209</v>
      </c>
    </row>
    <row r="9" spans="1:6" ht="12.75" customHeight="1">
      <c r="A9" s="78" t="s">
        <v>45</v>
      </c>
      <c r="B9" s="79" t="s">
        <v>28</v>
      </c>
      <c r="C9" s="80">
        <v>1</v>
      </c>
      <c r="D9" s="81">
        <v>5700</v>
      </c>
      <c r="E9" s="54">
        <f t="shared" si="0"/>
        <v>5700</v>
      </c>
      <c r="F9" s="55">
        <f>+E9/$F$2</f>
        <v>454.1832669322709</v>
      </c>
    </row>
    <row r="10" spans="1:6" ht="12.75" customHeight="1">
      <c r="A10" s="78" t="s">
        <v>46</v>
      </c>
      <c r="B10" s="79" t="s">
        <v>28</v>
      </c>
      <c r="C10" s="80">
        <v>1</v>
      </c>
      <c r="D10" s="81">
        <v>110000</v>
      </c>
      <c r="E10" s="54">
        <f t="shared" si="0"/>
        <v>110000</v>
      </c>
      <c r="F10" s="55">
        <f>+E10/$F$2</f>
        <v>8764.9402390438245</v>
      </c>
    </row>
    <row r="11" spans="1:6" ht="12.75" customHeight="1">
      <c r="A11" s="56" t="s">
        <v>30</v>
      </c>
      <c r="B11" s="57"/>
      <c r="C11" s="57"/>
      <c r="D11" s="58"/>
      <c r="E11" s="59">
        <f>SUM(E6:E10)</f>
        <v>230700</v>
      </c>
      <c r="F11" s="59">
        <f>SUM(F6:F10)</f>
        <v>18382.47011952191</v>
      </c>
    </row>
  </sheetData>
  <mergeCells count="2">
    <mergeCell ref="A1:F1"/>
    <mergeCell ref="A2:B2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36"/>
  <sheetViews>
    <sheetView workbookViewId="0">
      <selection activeCell="I7" sqref="I7"/>
    </sheetView>
  </sheetViews>
  <sheetFormatPr baseColWidth="10" defaultRowHeight="12.75" customHeight="1"/>
  <cols>
    <col min="1" max="1" width="45.7109375" customWidth="1"/>
    <col min="2" max="6" width="10.7109375" customWidth="1"/>
  </cols>
  <sheetData>
    <row r="1" spans="1:6" ht="12.75" customHeight="1" thickBot="1">
      <c r="A1" s="170" t="s">
        <v>16</v>
      </c>
      <c r="B1" s="171"/>
      <c r="C1" s="171"/>
      <c r="D1" s="171"/>
      <c r="E1" s="172"/>
      <c r="F1" s="173"/>
    </row>
    <row r="2" spans="1:6" ht="12.75" customHeight="1">
      <c r="A2" s="179" t="s">
        <v>113</v>
      </c>
      <c r="B2" s="179"/>
      <c r="C2" s="40"/>
      <c r="D2" s="40"/>
      <c r="E2" s="41" t="s">
        <v>17</v>
      </c>
      <c r="F2" s="132">
        <v>12.55</v>
      </c>
    </row>
    <row r="3" spans="1:6" ht="12.75" customHeight="1">
      <c r="A3" s="42"/>
      <c r="B3" s="57"/>
      <c r="C3" s="57"/>
      <c r="D3" s="58"/>
      <c r="E3" s="69"/>
      <c r="F3" s="76"/>
    </row>
    <row r="4" spans="1:6" ht="12.75" customHeight="1">
      <c r="A4" s="75" t="s">
        <v>47</v>
      </c>
      <c r="B4" s="77"/>
      <c r="C4" s="47"/>
      <c r="D4" s="47"/>
      <c r="E4" s="48"/>
      <c r="F4" s="48"/>
    </row>
    <row r="5" spans="1:6" ht="38.25">
      <c r="A5" s="49" t="s">
        <v>18</v>
      </c>
      <c r="B5" s="49" t="s">
        <v>19</v>
      </c>
      <c r="C5" s="49" t="s">
        <v>20</v>
      </c>
      <c r="D5" s="50" t="s">
        <v>33</v>
      </c>
      <c r="E5" s="51" t="s">
        <v>22</v>
      </c>
      <c r="F5" s="51" t="s">
        <v>48</v>
      </c>
    </row>
    <row r="6" spans="1:6" ht="12.75" customHeight="1">
      <c r="A6" s="82" t="s">
        <v>49</v>
      </c>
      <c r="B6" s="83"/>
      <c r="C6" s="84"/>
      <c r="D6" s="85"/>
      <c r="E6" s="86">
        <f>SUM(E7:E18)</f>
        <v>104970</v>
      </c>
      <c r="F6" s="86">
        <f>SUM(F7:F18)</f>
        <v>8364.1434262948205</v>
      </c>
    </row>
    <row r="7" spans="1:6" ht="12.75" customHeight="1">
      <c r="A7" s="87" t="s">
        <v>50</v>
      </c>
      <c r="B7" s="88" t="s">
        <v>28</v>
      </c>
      <c r="C7" s="20">
        <v>3</v>
      </c>
      <c r="D7" s="87">
        <f>7000</f>
        <v>7000</v>
      </c>
      <c r="E7" s="54">
        <f>+D7*C7</f>
        <v>21000</v>
      </c>
      <c r="F7" s="55">
        <f>+E7/$F$2</f>
        <v>1673.3067729083664</v>
      </c>
    </row>
    <row r="8" spans="1:6" ht="12.75" customHeight="1">
      <c r="A8" s="87" t="s">
        <v>51</v>
      </c>
      <c r="B8" s="88" t="s">
        <v>28</v>
      </c>
      <c r="C8" s="20">
        <v>6</v>
      </c>
      <c r="D8" s="87">
        <v>180</v>
      </c>
      <c r="E8" s="54">
        <f t="shared" ref="E8:E18" si="0">+D8*C8</f>
        <v>1080</v>
      </c>
      <c r="F8" s="55">
        <f>+E8/$F$2</f>
        <v>86.055776892430274</v>
      </c>
    </row>
    <row r="9" spans="1:6" ht="12.75" customHeight="1">
      <c r="A9" s="87" t="s">
        <v>52</v>
      </c>
      <c r="B9" s="88" t="s">
        <v>28</v>
      </c>
      <c r="C9" s="20">
        <v>3</v>
      </c>
      <c r="D9" s="87">
        <v>300</v>
      </c>
      <c r="E9" s="54">
        <f t="shared" si="0"/>
        <v>900</v>
      </c>
      <c r="F9" s="55">
        <f>+E9/$F$2</f>
        <v>71.713147410358559</v>
      </c>
    </row>
    <row r="10" spans="1:6" ht="12.75" customHeight="1">
      <c r="A10" s="87" t="s">
        <v>53</v>
      </c>
      <c r="B10" s="88" t="s">
        <v>28</v>
      </c>
      <c r="C10" s="20">
        <v>1</v>
      </c>
      <c r="D10" s="87">
        <v>40000</v>
      </c>
      <c r="E10" s="54">
        <f t="shared" si="0"/>
        <v>40000</v>
      </c>
      <c r="F10" s="39">
        <f>+E10/$F$2</f>
        <v>3187.2509960159359</v>
      </c>
    </row>
    <row r="11" spans="1:6" ht="12.75" customHeight="1">
      <c r="A11" s="89" t="s">
        <v>54</v>
      </c>
      <c r="B11" s="90"/>
      <c r="C11" s="57"/>
      <c r="D11" s="83"/>
      <c r="E11" s="91"/>
      <c r="F11" s="92"/>
    </row>
    <row r="12" spans="1:6" ht="12.75" customHeight="1">
      <c r="A12" s="93" t="s">
        <v>55</v>
      </c>
      <c r="B12" s="88" t="s">
        <v>28</v>
      </c>
      <c r="C12" s="20">
        <v>15</v>
      </c>
      <c r="D12" s="87">
        <f>184</f>
        <v>184</v>
      </c>
      <c r="E12" s="54">
        <f t="shared" si="0"/>
        <v>2760</v>
      </c>
      <c r="F12" s="55">
        <f t="shared" ref="F12:F18" si="1">+E12/$F$2</f>
        <v>219.92031872509958</v>
      </c>
    </row>
    <row r="13" spans="1:6" ht="12.75" customHeight="1">
      <c r="A13" s="93" t="s">
        <v>56</v>
      </c>
      <c r="B13" s="88" t="s">
        <v>57</v>
      </c>
      <c r="C13" s="20">
        <v>15</v>
      </c>
      <c r="D13" s="87">
        <f>32</f>
        <v>32</v>
      </c>
      <c r="E13" s="54">
        <f t="shared" si="0"/>
        <v>480</v>
      </c>
      <c r="F13" s="55">
        <f t="shared" si="1"/>
        <v>38.24701195219123</v>
      </c>
    </row>
    <row r="14" spans="1:6" ht="12.75" customHeight="1">
      <c r="A14" s="93" t="s">
        <v>58</v>
      </c>
      <c r="B14" s="88" t="s">
        <v>28</v>
      </c>
      <c r="C14" s="20">
        <v>15</v>
      </c>
      <c r="D14" s="87">
        <f>300</f>
        <v>300</v>
      </c>
      <c r="E14" s="54">
        <f t="shared" si="0"/>
        <v>4500</v>
      </c>
      <c r="F14" s="55">
        <f t="shared" si="1"/>
        <v>358.56573705179278</v>
      </c>
    </row>
    <row r="15" spans="1:6" ht="12.75" customHeight="1">
      <c r="A15" s="93" t="s">
        <v>59</v>
      </c>
      <c r="B15" s="88" t="s">
        <v>28</v>
      </c>
      <c r="C15" s="20">
        <v>15</v>
      </c>
      <c r="D15" s="87">
        <f>50</f>
        <v>50</v>
      </c>
      <c r="E15" s="54">
        <f t="shared" si="0"/>
        <v>750</v>
      </c>
      <c r="F15" s="55">
        <f t="shared" si="1"/>
        <v>59.760956175298801</v>
      </c>
    </row>
    <row r="16" spans="1:6" ht="12.75" customHeight="1">
      <c r="A16" s="87" t="s">
        <v>60</v>
      </c>
      <c r="B16" s="88" t="s">
        <v>40</v>
      </c>
      <c r="C16" s="20">
        <v>1</v>
      </c>
      <c r="D16" s="87">
        <f>8000</f>
        <v>8000</v>
      </c>
      <c r="E16" s="54">
        <f t="shared" si="0"/>
        <v>8000</v>
      </c>
      <c r="F16" s="55">
        <f t="shared" si="1"/>
        <v>637.45019920318725</v>
      </c>
    </row>
    <row r="17" spans="1:6" ht="12.75" customHeight="1">
      <c r="A17" s="87" t="s">
        <v>61</v>
      </c>
      <c r="B17" s="88" t="s">
        <v>28</v>
      </c>
      <c r="C17" s="20">
        <v>1</v>
      </c>
      <c r="D17" s="87">
        <f>3500</f>
        <v>3500</v>
      </c>
      <c r="E17" s="54">
        <f t="shared" si="0"/>
        <v>3500</v>
      </c>
      <c r="F17" s="55">
        <f t="shared" si="1"/>
        <v>278.88446215139442</v>
      </c>
    </row>
    <row r="18" spans="1:6" ht="12.75" customHeight="1">
      <c r="A18" s="87" t="s">
        <v>62</v>
      </c>
      <c r="B18" s="88" t="s">
        <v>40</v>
      </c>
      <c r="C18" s="20">
        <v>1</v>
      </c>
      <c r="D18" s="87">
        <f>22000</f>
        <v>22000</v>
      </c>
      <c r="E18" s="54">
        <f t="shared" si="0"/>
        <v>22000</v>
      </c>
      <c r="F18" s="55">
        <f t="shared" si="1"/>
        <v>1752.9880478087648</v>
      </c>
    </row>
    <row r="19" spans="1:6" ht="12.75" customHeight="1">
      <c r="A19" s="94" t="s">
        <v>63</v>
      </c>
      <c r="B19" s="95"/>
      <c r="C19" s="57"/>
      <c r="D19" s="85"/>
      <c r="E19" s="86">
        <f>SUM(E20:E21)</f>
        <v>126500</v>
      </c>
      <c r="F19" s="86">
        <f>SUM(F20:F21)</f>
        <v>10079.681274900398</v>
      </c>
    </row>
    <row r="20" spans="1:6" ht="12.75" customHeight="1">
      <c r="A20" s="87" t="s">
        <v>64</v>
      </c>
      <c r="B20" s="96" t="s">
        <v>65</v>
      </c>
      <c r="C20" s="87">
        <v>12.5</v>
      </c>
      <c r="D20" s="97">
        <f>10000</f>
        <v>10000</v>
      </c>
      <c r="E20" s="98">
        <f>D20*C20</f>
        <v>125000</v>
      </c>
      <c r="F20" s="55">
        <f>+E20/$F$2</f>
        <v>9960.1593625498008</v>
      </c>
    </row>
    <row r="21" spans="1:6" ht="12.75" customHeight="1">
      <c r="A21" s="87" t="s">
        <v>66</v>
      </c>
      <c r="B21" s="96" t="s">
        <v>28</v>
      </c>
      <c r="C21" s="87">
        <v>1</v>
      </c>
      <c r="D21" s="97">
        <f>1500</f>
        <v>1500</v>
      </c>
      <c r="E21" s="99">
        <f>D21*C21</f>
        <v>1500</v>
      </c>
      <c r="F21" s="55">
        <f>+E21/$F$2</f>
        <v>119.5219123505976</v>
      </c>
    </row>
    <row r="22" spans="1:6" ht="12.75" customHeight="1">
      <c r="A22" s="82" t="s">
        <v>67</v>
      </c>
      <c r="B22" s="90"/>
      <c r="C22" s="100"/>
      <c r="D22" s="83"/>
      <c r="E22" s="86">
        <f>SUM(E23:E35)</f>
        <v>1249329.2857142857</v>
      </c>
      <c r="F22" s="86">
        <f>SUM(F23:F35)</f>
        <v>99548.150256118359</v>
      </c>
    </row>
    <row r="23" spans="1:6" ht="12.75" customHeight="1">
      <c r="A23" s="87" t="s">
        <v>68</v>
      </c>
      <c r="B23" s="52" t="s">
        <v>28</v>
      </c>
      <c r="C23" s="87">
        <v>2</v>
      </c>
      <c r="D23" s="87">
        <f>500</f>
        <v>500</v>
      </c>
      <c r="E23" s="98">
        <f>C23*D23</f>
        <v>1000</v>
      </c>
      <c r="F23" s="55">
        <f t="shared" ref="F23:F29" si="2">+E23/$F$2</f>
        <v>79.681274900398407</v>
      </c>
    </row>
    <row r="24" spans="1:6" ht="12.75" customHeight="1">
      <c r="A24" s="87" t="s">
        <v>69</v>
      </c>
      <c r="B24" s="52" t="s">
        <v>70</v>
      </c>
      <c r="C24" s="87">
        <v>3300</v>
      </c>
      <c r="D24" s="87">
        <v>150</v>
      </c>
      <c r="E24" s="98">
        <f t="shared" ref="E24:E35" si="3">C24*D24</f>
        <v>495000</v>
      </c>
      <c r="F24" s="55">
        <f t="shared" si="2"/>
        <v>39442.231075697207</v>
      </c>
    </row>
    <row r="25" spans="1:6" ht="12.75" customHeight="1">
      <c r="A25" s="87" t="s">
        <v>71</v>
      </c>
      <c r="B25" s="52" t="s">
        <v>65</v>
      </c>
      <c r="C25" s="87">
        <v>10</v>
      </c>
      <c r="D25" s="87">
        <v>1500</v>
      </c>
      <c r="E25" s="98">
        <f t="shared" si="3"/>
        <v>15000</v>
      </c>
      <c r="F25" s="55">
        <f t="shared" si="2"/>
        <v>1195.2191235059761</v>
      </c>
    </row>
    <row r="26" spans="1:6" ht="12.75" customHeight="1">
      <c r="A26" s="87" t="s">
        <v>72</v>
      </c>
      <c r="B26" s="52" t="s">
        <v>65</v>
      </c>
      <c r="C26" s="87">
        <v>10</v>
      </c>
      <c r="D26" s="87">
        <v>1500</v>
      </c>
      <c r="E26" s="98">
        <f t="shared" si="3"/>
        <v>15000</v>
      </c>
      <c r="F26" s="55">
        <f t="shared" si="2"/>
        <v>1195.2191235059761</v>
      </c>
    </row>
    <row r="27" spans="1:6" ht="12.75" customHeight="1">
      <c r="A27" s="87" t="s">
        <v>73</v>
      </c>
      <c r="B27" s="52" t="s">
        <v>65</v>
      </c>
      <c r="C27" s="87">
        <v>10</v>
      </c>
      <c r="D27" s="87">
        <v>1500</v>
      </c>
      <c r="E27" s="98">
        <f t="shared" si="3"/>
        <v>15000</v>
      </c>
      <c r="F27" s="55">
        <f t="shared" si="2"/>
        <v>1195.2191235059761</v>
      </c>
    </row>
    <row r="28" spans="1:6" ht="12.75" customHeight="1">
      <c r="A28" s="87" t="s">
        <v>74</v>
      </c>
      <c r="B28" s="52" t="s">
        <v>65</v>
      </c>
      <c r="C28" s="87">
        <v>330</v>
      </c>
      <c r="D28" s="87">
        <v>225</v>
      </c>
      <c r="E28" s="98">
        <f t="shared" si="3"/>
        <v>74250</v>
      </c>
      <c r="F28" s="55">
        <f t="shared" si="2"/>
        <v>5916.3346613545809</v>
      </c>
    </row>
    <row r="29" spans="1:6" ht="12.75" customHeight="1">
      <c r="A29" s="87" t="s">
        <v>75</v>
      </c>
      <c r="B29" s="52" t="s">
        <v>65</v>
      </c>
      <c r="C29" s="87">
        <v>11</v>
      </c>
      <c r="D29" s="87">
        <f>9000</f>
        <v>9000</v>
      </c>
      <c r="E29" s="98">
        <f t="shared" si="3"/>
        <v>99000</v>
      </c>
      <c r="F29" s="55">
        <f t="shared" si="2"/>
        <v>7888.4462151394418</v>
      </c>
    </row>
    <row r="30" spans="1:6" ht="12.75" customHeight="1">
      <c r="A30" s="101" t="s">
        <v>76</v>
      </c>
      <c r="B30" s="68"/>
      <c r="C30" s="83"/>
      <c r="D30" s="83"/>
      <c r="E30" s="102"/>
      <c r="F30" s="92"/>
    </row>
    <row r="31" spans="1:6" ht="12.75" customHeight="1">
      <c r="A31" s="93" t="s">
        <v>77</v>
      </c>
      <c r="B31" s="52" t="s">
        <v>65</v>
      </c>
      <c r="C31" s="103">
        <v>5.5</v>
      </c>
      <c r="D31" s="87">
        <f>200</f>
        <v>200</v>
      </c>
      <c r="E31" s="98">
        <f t="shared" si="3"/>
        <v>1100</v>
      </c>
      <c r="F31" s="55">
        <f>+E31/$F$2</f>
        <v>87.64940239043824</v>
      </c>
    </row>
    <row r="32" spans="1:6" ht="12.75" customHeight="1">
      <c r="A32" s="93" t="s">
        <v>78</v>
      </c>
      <c r="B32" s="52" t="s">
        <v>65</v>
      </c>
      <c r="C32" s="87">
        <v>11</v>
      </c>
      <c r="D32" s="87">
        <f>300</f>
        <v>300</v>
      </c>
      <c r="E32" s="98">
        <f t="shared" si="3"/>
        <v>3300</v>
      </c>
      <c r="F32" s="55">
        <f>+E32/$F$2</f>
        <v>262.94820717131472</v>
      </c>
    </row>
    <row r="33" spans="1:6" ht="12.75" customHeight="1">
      <c r="A33" s="93" t="s">
        <v>79</v>
      </c>
      <c r="B33" s="52" t="s">
        <v>65</v>
      </c>
      <c r="C33" s="87">
        <v>11</v>
      </c>
      <c r="D33" s="87">
        <f>500*2</f>
        <v>1000</v>
      </c>
      <c r="E33" s="98">
        <f t="shared" si="3"/>
        <v>11000</v>
      </c>
      <c r="F33" s="55">
        <f>+E33/$F$2</f>
        <v>876.4940239043824</v>
      </c>
    </row>
    <row r="34" spans="1:6" ht="12.75" customHeight="1">
      <c r="A34" s="87" t="s">
        <v>80</v>
      </c>
      <c r="B34" s="52" t="s">
        <v>81</v>
      </c>
      <c r="C34" s="104">
        <v>8.14</v>
      </c>
      <c r="D34" s="87">
        <f>15*5*330</f>
        <v>24750</v>
      </c>
      <c r="E34" s="98">
        <f t="shared" si="3"/>
        <v>201465</v>
      </c>
      <c r="F34" s="55">
        <f>+E34/$F$2</f>
        <v>16052.988047808763</v>
      </c>
    </row>
    <row r="35" spans="1:6" ht="12.75" customHeight="1">
      <c r="A35" s="87" t="s">
        <v>82</v>
      </c>
      <c r="B35" s="52" t="s">
        <v>83</v>
      </c>
      <c r="C35" s="87">
        <f>330*3/14</f>
        <v>70.714285714285708</v>
      </c>
      <c r="D35" s="87">
        <f>4500</f>
        <v>4500</v>
      </c>
      <c r="E35" s="98">
        <f t="shared" si="3"/>
        <v>318214.28571428568</v>
      </c>
      <c r="F35" s="55">
        <f>+E35/$F$2</f>
        <v>25355.719977233919</v>
      </c>
    </row>
    <row r="36" spans="1:6" ht="12.75" customHeight="1">
      <c r="A36" s="56" t="s">
        <v>30</v>
      </c>
      <c r="B36" s="68"/>
      <c r="C36" s="57"/>
      <c r="D36" s="58"/>
      <c r="E36" s="60">
        <f>+E22+E6+E19</f>
        <v>1480799.2857142857</v>
      </c>
      <c r="F36" s="60">
        <f>+F22+F6+F19</f>
        <v>117991.97495731358</v>
      </c>
    </row>
  </sheetData>
  <mergeCells count="2">
    <mergeCell ref="A1:F1"/>
    <mergeCell ref="A2:B2"/>
  </mergeCells>
  <pageMargins left="0.7" right="0.7" top="0.75" bottom="0.75" header="0.3" footer="0.3"/>
  <ignoredErrors>
    <ignoredError sqref="F19 F22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A22" sqref="A22"/>
    </sheetView>
  </sheetViews>
  <sheetFormatPr baseColWidth="10" defaultRowHeight="12.75" customHeight="1"/>
  <cols>
    <col min="1" max="1" width="45.7109375" customWidth="1"/>
    <col min="2" max="6" width="10.7109375" customWidth="1"/>
  </cols>
  <sheetData>
    <row r="1" spans="1:6" ht="12.75" customHeight="1" thickBot="1">
      <c r="A1" s="170" t="s">
        <v>16</v>
      </c>
      <c r="B1" s="171"/>
      <c r="C1" s="171"/>
      <c r="D1" s="171"/>
      <c r="E1" s="172"/>
      <c r="F1" s="173"/>
    </row>
    <row r="2" spans="1:6" ht="12.75" customHeight="1">
      <c r="A2" s="179" t="s">
        <v>113</v>
      </c>
      <c r="B2" s="179"/>
      <c r="C2" s="40"/>
      <c r="D2" s="40"/>
      <c r="E2" s="41" t="s">
        <v>17</v>
      </c>
      <c r="F2" s="132">
        <v>12.55</v>
      </c>
    </row>
    <row r="3" spans="1:6" ht="12.75" customHeight="1">
      <c r="A3" s="42"/>
      <c r="B3" s="68"/>
      <c r="C3" s="57"/>
      <c r="D3" s="58"/>
      <c r="E3" s="69"/>
      <c r="F3" s="76"/>
    </row>
    <row r="4" spans="1:6" ht="12.75" customHeight="1">
      <c r="A4" s="75" t="s">
        <v>123</v>
      </c>
      <c r="B4" s="105"/>
      <c r="C4" s="47"/>
      <c r="D4" s="47"/>
      <c r="E4" s="48"/>
      <c r="F4" s="48"/>
    </row>
    <row r="5" spans="1:6" ht="38.25">
      <c r="A5" s="49" t="s">
        <v>18</v>
      </c>
      <c r="B5" s="49" t="s">
        <v>19</v>
      </c>
      <c r="C5" s="49" t="s">
        <v>20</v>
      </c>
      <c r="D5" s="50" t="s">
        <v>33</v>
      </c>
      <c r="E5" s="51" t="s">
        <v>22</v>
      </c>
      <c r="F5" s="51" t="s">
        <v>23</v>
      </c>
    </row>
    <row r="6" spans="1:6" ht="12.75" customHeight="1">
      <c r="A6" s="114" t="s">
        <v>90</v>
      </c>
      <c r="B6" s="115"/>
      <c r="C6" s="115"/>
      <c r="D6" s="116"/>
      <c r="E6" s="117">
        <f>SUM(E7:E15)</f>
        <v>220420</v>
      </c>
      <c r="F6" s="117">
        <f>SUM(F7:F15)</f>
        <v>17563.346613545818</v>
      </c>
    </row>
    <row r="7" spans="1:6" ht="12.75" customHeight="1">
      <c r="A7" s="20" t="s">
        <v>91</v>
      </c>
      <c r="B7" s="52" t="s">
        <v>70</v>
      </c>
      <c r="C7" s="53">
        <v>1320</v>
      </c>
      <c r="D7" s="54">
        <v>50</v>
      </c>
      <c r="E7" s="54">
        <f>+D7*C7</f>
        <v>66000</v>
      </c>
      <c r="F7" s="55">
        <f t="shared" ref="F7:F15" si="0">+E7/$F$2</f>
        <v>5258.9641434262949</v>
      </c>
    </row>
    <row r="8" spans="1:6" ht="12.75" customHeight="1">
      <c r="A8" s="20" t="s">
        <v>92</v>
      </c>
      <c r="B8" s="52" t="s">
        <v>28</v>
      </c>
      <c r="C8" s="53">
        <v>70000</v>
      </c>
      <c r="D8" s="118">
        <v>0.23</v>
      </c>
      <c r="E8" s="54">
        <f t="shared" ref="E8:E15" si="1">+D8*C8</f>
        <v>16100</v>
      </c>
      <c r="F8" s="55">
        <f t="shared" si="0"/>
        <v>1282.8685258964142</v>
      </c>
    </row>
    <row r="9" spans="1:6" ht="12.75" customHeight="1">
      <c r="A9" s="20" t="s">
        <v>93</v>
      </c>
      <c r="B9" s="52" t="s">
        <v>94</v>
      </c>
      <c r="C9" s="53">
        <v>21</v>
      </c>
      <c r="D9" s="118">
        <v>640</v>
      </c>
      <c r="E9" s="54">
        <f t="shared" si="1"/>
        <v>13440</v>
      </c>
      <c r="F9" s="55">
        <f t="shared" si="0"/>
        <v>1070.9163346613545</v>
      </c>
    </row>
    <row r="10" spans="1:6" ht="12.75" customHeight="1">
      <c r="A10" s="20" t="s">
        <v>95</v>
      </c>
      <c r="B10" s="52" t="s">
        <v>94</v>
      </c>
      <c r="C10" s="53">
        <v>21</v>
      </c>
      <c r="D10" s="118">
        <v>640</v>
      </c>
      <c r="E10" s="54">
        <f t="shared" si="1"/>
        <v>13440</v>
      </c>
      <c r="F10" s="55">
        <f t="shared" si="0"/>
        <v>1070.9163346613545</v>
      </c>
    </row>
    <row r="11" spans="1:6" ht="12.75" customHeight="1">
      <c r="A11" s="20" t="s">
        <v>96</v>
      </c>
      <c r="B11" s="52" t="s">
        <v>94</v>
      </c>
      <c r="C11" s="53">
        <v>21</v>
      </c>
      <c r="D11" s="118">
        <v>640</v>
      </c>
      <c r="E11" s="54">
        <f t="shared" si="1"/>
        <v>13440</v>
      </c>
      <c r="F11" s="55">
        <f t="shared" si="0"/>
        <v>1070.9163346613545</v>
      </c>
    </row>
    <row r="12" spans="1:6" ht="12.75" customHeight="1">
      <c r="A12" s="20" t="s">
        <v>97</v>
      </c>
      <c r="B12" s="52" t="s">
        <v>28</v>
      </c>
      <c r="C12" s="53">
        <v>15000</v>
      </c>
      <c r="D12" s="119">
        <v>2.2000000000000002</v>
      </c>
      <c r="E12" s="54">
        <f t="shared" si="1"/>
        <v>33000</v>
      </c>
      <c r="F12" s="55">
        <f t="shared" si="0"/>
        <v>2629.4820717131474</v>
      </c>
    </row>
    <row r="13" spans="1:6" ht="12.75" customHeight="1">
      <c r="A13" s="20" t="s">
        <v>98</v>
      </c>
      <c r="B13" s="52" t="s">
        <v>99</v>
      </c>
      <c r="C13" s="53">
        <v>1</v>
      </c>
      <c r="D13" s="54">
        <v>32000</v>
      </c>
      <c r="E13" s="54">
        <f t="shared" si="1"/>
        <v>32000</v>
      </c>
      <c r="F13" s="55">
        <f t="shared" si="0"/>
        <v>2549.800796812749</v>
      </c>
    </row>
    <row r="14" spans="1:6" ht="12.75" customHeight="1">
      <c r="A14" s="20" t="s">
        <v>100</v>
      </c>
      <c r="B14" s="52" t="s">
        <v>99</v>
      </c>
      <c r="C14" s="53">
        <v>1</v>
      </c>
      <c r="D14" s="54">
        <v>3000</v>
      </c>
      <c r="E14" s="54">
        <f t="shared" si="1"/>
        <v>3000</v>
      </c>
      <c r="F14" s="55">
        <f t="shared" si="0"/>
        <v>239.04382470119521</v>
      </c>
    </row>
    <row r="15" spans="1:6" ht="12.75" customHeight="1">
      <c r="A15" s="20" t="s">
        <v>101</v>
      </c>
      <c r="B15" s="52" t="s">
        <v>99</v>
      </c>
      <c r="C15" s="53">
        <v>1</v>
      </c>
      <c r="D15" s="54">
        <v>30000</v>
      </c>
      <c r="E15" s="54">
        <f t="shared" si="1"/>
        <v>30000</v>
      </c>
      <c r="F15" s="55">
        <f t="shared" si="0"/>
        <v>2390.4382470119522</v>
      </c>
    </row>
    <row r="16" spans="1:6" ht="12.75" customHeight="1">
      <c r="A16" s="120" t="s">
        <v>102</v>
      </c>
      <c r="B16" s="68"/>
      <c r="C16" s="121"/>
      <c r="D16" s="91"/>
      <c r="E16" s="122">
        <f>SUM(E17:E18)</f>
        <v>75000</v>
      </c>
      <c r="F16" s="122">
        <f>SUM(F17:F18)</f>
        <v>5976.0956175298807</v>
      </c>
    </row>
    <row r="17" spans="1:6" ht="12.75" customHeight="1">
      <c r="A17" s="20" t="s">
        <v>91</v>
      </c>
      <c r="B17" s="52" t="s">
        <v>70</v>
      </c>
      <c r="C17" s="53">
        <v>1200</v>
      </c>
      <c r="D17" s="54">
        <v>50</v>
      </c>
      <c r="E17" s="54">
        <f t="shared" ref="E17:E18" si="2">+D17*C17</f>
        <v>60000</v>
      </c>
      <c r="F17" s="55">
        <f>+E17/$F$2</f>
        <v>4780.8764940239043</v>
      </c>
    </row>
    <row r="18" spans="1:6" ht="12.75" customHeight="1">
      <c r="A18" s="20" t="s">
        <v>60</v>
      </c>
      <c r="B18" s="52" t="s">
        <v>103</v>
      </c>
      <c r="C18" s="53">
        <v>2</v>
      </c>
      <c r="D18" s="54">
        <v>7500</v>
      </c>
      <c r="E18" s="54">
        <f t="shared" si="2"/>
        <v>15000</v>
      </c>
      <c r="F18" s="55">
        <f>+E18/$F$2</f>
        <v>1195.2191235059761</v>
      </c>
    </row>
    <row r="19" spans="1:6" ht="12.75" customHeight="1">
      <c r="A19" s="56" t="s">
        <v>30</v>
      </c>
      <c r="B19" s="68"/>
      <c r="C19" s="57"/>
      <c r="D19" s="58"/>
      <c r="E19" s="59">
        <f>+E16+E6</f>
        <v>295420</v>
      </c>
      <c r="F19" s="59">
        <f>+F16+F6</f>
        <v>23539.4422310757</v>
      </c>
    </row>
    <row r="20" spans="1:6" ht="12.75" customHeight="1">
      <c r="A20" s="57" t="s">
        <v>104</v>
      </c>
      <c r="B20" s="68"/>
      <c r="C20" s="57"/>
      <c r="D20" s="58"/>
      <c r="E20" s="69"/>
      <c r="F20" s="69"/>
    </row>
  </sheetData>
  <mergeCells count="2">
    <mergeCell ref="A1:F1"/>
    <mergeCell ref="A2:B2"/>
  </mergeCells>
  <pageMargins left="0.7" right="0.7" top="0.75" bottom="0.75" header="0.3" footer="0.3"/>
  <ignoredErrors>
    <ignoredError sqref="E16:F16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Business_x0020_Area xmlns="cdc7663a-08f0-4737-9e8c-148ce897a09c" xsi:nil="true"/>
    <IDBDocs_x0020_Number xmlns="cdc7663a-08f0-4737-9e8c-148ce897a09c">35174311</IDBDocs_x0020_Number>
    <TaxCatchAll xmlns="cdc7663a-08f0-4737-9e8c-148ce897a09c"/>
    <Phase xmlns="cdc7663a-08f0-4737-9e8c-148ce897a09c" xsi:nil="true"/>
    <SISCOR_x0020_Number xmlns="cdc7663a-08f0-4737-9e8c-148ce897a09c" xsi:nil="true"/>
    <Division_x0020_or_x0020_Unit xmlns="cdc7663a-08f0-4737-9e8c-148ce897a09c">IFD/FMM</Division_x0020_or_x0020_Unit>
    <Approval_x0020_Number xmlns="cdc7663a-08f0-4737-9e8c-148ce897a09c">2550/OC-ME</Approval_x0020_Number>
    <Document_x0020_Author xmlns="cdc7663a-08f0-4737-9e8c-148ce897a09c">CAROLINEPO</Document_x0020_Author>
    <Fiscal_x0020_Year_x0020_IDB xmlns="cdc7663a-08f0-4737-9e8c-148ce897a09c">2010</Fiscal_x0020_Year_x0020_IDB>
    <Other_x0020_Author xmlns="cdc7663a-08f0-4737-9e8c-148ce897a09c" xsi:nil="true"/>
    <Project_x0020_Number xmlns="cdc7663a-08f0-4737-9e8c-148ce897a09c">ME-L1059</Project_x0020_Number>
    <Package_x0020_Code xmlns="cdc7663a-08f0-4737-9e8c-148ce897a09c" xsi:nil="true"/>
    <Key_x0020_Document xmlns="cdc7663a-08f0-4737-9e8c-148ce897a09c">false</Key_x0020_Document>
    <Migration_x0020_Info xmlns="cdc7663a-08f0-4737-9e8c-148ce897a09c">MS EXCELLPLoan Proposal0N</Migration_x0020_Info>
    <Operation_x0020_Type xmlns="cdc7663a-08f0-4737-9e8c-148ce897a09c" xsi:nil="true"/>
    <Record_x0020_Number xmlns="cdc7663a-08f0-4737-9e8c-148ce897a09c">R0002763239</Record_x0020_Number>
    <Document_x0020_Language_x0020_IDB xmlns="cdc7663a-08f0-4737-9e8c-148ce897a09c">Spanish</Document_x0020_Language_x0020_IDB>
    <Identifier xmlns="cdc7663a-08f0-4737-9e8c-148ce897a09c"> TECFILE</Identifier>
    <Access_x0020_to_x0020_Information_x00a0_Policy xmlns="cdc7663a-08f0-4737-9e8c-148ce897a09c">Public</Access_x0020_to_x0020_Information_x00a0_Policy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/>
    </ic46d7e087fd4a108fb86518ca413cc6>
    <e46fe2894295491da65140ffd2369f49 xmlns="cdc7663a-08f0-4737-9e8c-148ce897a09c">
      <Terms xmlns="http://schemas.microsoft.com/office/infopath/2007/PartnerControls"/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nddeef1749674d76abdbe4b239a70bc6 xmlns="cdc7663a-08f0-4737-9e8c-148ce897a09c">
      <Terms xmlns="http://schemas.microsoft.com/office/infopath/2007/PartnerControls"/>
    </nddeef1749674d76abdbe4b239a70bc6>
    <_dlc_DocId xmlns="cdc7663a-08f0-4737-9e8c-148ce897a09c">EZSHARE-1588997856-131</_dlc_DocId>
    <From_x003a_ xmlns="cdc7663a-08f0-4737-9e8c-148ce897a09c" xsi:nil="true"/>
    <To_x003a_ xmlns="cdc7663a-08f0-4737-9e8c-148ce897a09c" xsi:nil="true"/>
    <_dlc_DocIdUrl xmlns="cdc7663a-08f0-4737-9e8c-148ce897a09c">
      <Url>https://idbg.sharepoint.com/teams/EZ-ME-LON/ME-L1059/_layouts/15/DocIdRedir.aspx?ID=EZSHARE-1588997856-131</Url>
      <Description>EZSHARE-1588997856-131</Description>
    </_dlc_DocIdUrl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6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3C77ECA45727864EBF532F4F77A0D49A" ma:contentTypeVersion="941" ma:contentTypeDescription="The base project type from which other project content types inherit their information." ma:contentTypeScope="" ma:versionID="6f6e837ed1f9a131a19deb50772af50b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1cecb95fe2434c19e2c7284606513817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ME-L1059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7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Props1.xml><?xml version="1.0" encoding="utf-8"?>
<ds:datastoreItem xmlns:ds="http://schemas.openxmlformats.org/officeDocument/2006/customXml" ds:itemID="{5BAD1A05-353B-4AFD-9F03-D5EC562C6C8D}"/>
</file>

<file path=customXml/itemProps2.xml><?xml version="1.0" encoding="utf-8"?>
<ds:datastoreItem xmlns:ds="http://schemas.openxmlformats.org/officeDocument/2006/customXml" ds:itemID="{C8868C91-46FD-4C56-8C52-4095EF7398A2}"/>
</file>

<file path=customXml/itemProps3.xml><?xml version="1.0" encoding="utf-8"?>
<ds:datastoreItem xmlns:ds="http://schemas.openxmlformats.org/officeDocument/2006/customXml" ds:itemID="{102248DD-9DC9-4F71-BFC0-66697B3EBA73}"/>
</file>

<file path=customXml/itemProps4.xml><?xml version="1.0" encoding="utf-8"?>
<ds:datastoreItem xmlns:ds="http://schemas.openxmlformats.org/officeDocument/2006/customXml" ds:itemID="{E64954C1-95AB-4146-B899-BBB4CC50229C}"/>
</file>

<file path=customXml/itemProps5.xml><?xml version="1.0" encoding="utf-8"?>
<ds:datastoreItem xmlns:ds="http://schemas.openxmlformats.org/officeDocument/2006/customXml" ds:itemID="{E4C565A8-5AA4-4B30-8FA4-9D356FD56EB7}"/>
</file>

<file path=customXml/itemProps6.xml><?xml version="1.0" encoding="utf-8"?>
<ds:datastoreItem xmlns:ds="http://schemas.openxmlformats.org/officeDocument/2006/customXml" ds:itemID="{4A06F9BE-AD31-4088-BB79-1C0160768A3C}"/>
</file>

<file path=customXml/itemProps7.xml><?xml version="1.0" encoding="utf-8"?>
<ds:datastoreItem xmlns:ds="http://schemas.openxmlformats.org/officeDocument/2006/customXml" ds:itemID="{F746DE2B-C34B-412B-B1A0-F85632F535C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PPTO PROGRESO TOTAL</vt:lpstr>
      <vt:lpstr>A1 ANDADOR</vt:lpstr>
      <vt:lpstr>Hoja3</vt:lpstr>
      <vt:lpstr>A2 PASEO</vt:lpstr>
      <vt:lpstr>A3 SEÑALIZACIÓN</vt:lpstr>
      <vt:lpstr>B1 DUNA</vt:lpstr>
      <vt:lpstr>B2 TORTUGAS</vt:lpstr>
      <vt:lpstr>B3 SARGAZO</vt:lpstr>
      <vt:lpstr>B4 VIVERO Y REFORESTACIÓN</vt:lpstr>
      <vt:lpstr>B5 RESIDUOS</vt:lpstr>
      <vt:lpstr>C1 FONDO AT</vt:lpstr>
      <vt:lpstr>C2 PROMOCIÓN</vt:lpstr>
      <vt:lpstr>D1 COMUNICACIÓN</vt:lpstr>
      <vt:lpstr>D2 PLAN</vt:lpstr>
      <vt:lpstr>D3 FORTALECIMIENTO</vt:lpstr>
      <vt:lpstr>Hoja1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Presupuesto detallado - Progreso</dc:title>
  <dc:creator>Diego Carrión</dc:creator>
  <cp:lastModifiedBy>Diego Carrión</cp:lastModifiedBy>
  <cp:lastPrinted>2010-04-24T11:42:58Z</cp:lastPrinted>
  <dcterms:created xsi:type="dcterms:W3CDTF">2010-04-13T17:07:07Z</dcterms:created>
  <dcterms:modified xsi:type="dcterms:W3CDTF">2010-05-15T01:29:07Z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0x010100ACF722E9F6B0B149B0CD8BE2560A6672003C77ECA45727864EBF532F4F77A0D49A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Series Operations IDB">
    <vt:lpwstr>17;#Loan Proposal|6ee86b6f-6e46-485b-8bfb-87a1f44622ac</vt:lpwstr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17;#Loan Proposal|6ee86b6f-6e46-485b-8bfb-87a1f44622ac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/>
  </property>
  <property fmtid="{D5CDD505-2E9C-101B-9397-08002B2CF9AE}" pid="15" name="Sub-Sector">
    <vt:lpwstr/>
  </property>
  <property fmtid="{D5CDD505-2E9C-101B-9397-08002B2CF9AE}" pid="16" name="Order">
    <vt:r8>13100</vt:r8>
  </property>
  <property fmtid="{D5CDD505-2E9C-101B-9397-08002B2CF9AE}" pid="18" name="Disclosure Activity">
    <vt:lpwstr>Loan Proposal</vt:lpwstr>
  </property>
  <property fmtid="{D5CDD505-2E9C-101B-9397-08002B2CF9AE}" pid="22" name="Webtopic">
    <vt:lpwstr>Urban Rehabilitation and Heritage Preservation</vt:lpwstr>
  </property>
  <property fmtid="{D5CDD505-2E9C-101B-9397-08002B2CF9AE}" pid="24" name="Disclosed">
    <vt:bool>true</vt:bool>
  </property>
  <property fmtid="{D5CDD505-2E9C-101B-9397-08002B2CF9AE}" pid="28" name="_dlc_DocIdItemGuid">
    <vt:lpwstr>de76824f-31b1-4e0a-8d27-70e7e6ea90d3</vt:lpwstr>
  </property>
</Properties>
</file>