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20" yWindow="780" windowWidth="8880" windowHeight="7995"/>
  </bookViews>
  <sheets>
    <sheet name="PPTO RESUMEN" sheetId="1" r:id="rId1"/>
    <sheet name="A1 PARQUE" sheetId="5" r:id="rId2"/>
    <sheet name="A21 CRR PG MERCADOS" sheetId="12" r:id="rId3"/>
    <sheet name="A22 CRR PG DRAGONES" sheetId="13" r:id="rId4"/>
    <sheet name="A23 CRR PG S JUAN" sheetId="14" r:id="rId5"/>
    <sheet name="A3 ILUMINACION" sheetId="11" r:id="rId6"/>
    <sheet name="A4 IMAGEN URBANA" sheetId="7" r:id="rId7"/>
    <sheet name="B1 MERCADOS" sheetId="4" r:id="rId8"/>
    <sheet name="B2 SEÑALÉTICA" sheetId="10" r:id="rId9"/>
    <sheet name="B3 ESTACION" sheetId="6" r:id="rId10"/>
    <sheet name="B4 PROMO NEGOCIOS" sheetId="9" r:id="rId11"/>
    <sheet name="B5 VIVIENDA" sheetId="8" r:id="rId12"/>
    <sheet name="C1 COMUNICACIÓN" sheetId="15" r:id="rId13"/>
    <sheet name="C2 FORTALECIMIENTO" sheetId="17" r:id="rId14"/>
    <sheet name="Hoja2" sheetId="2" state="hidden" r:id="rId15"/>
    <sheet name="Hoja3" sheetId="3" state="hidden" r:id="rId16"/>
  </sheets>
  <calcPr calcId="125725"/>
</workbook>
</file>

<file path=xl/calcChain.xml><?xml version="1.0" encoding="utf-8"?>
<calcChain xmlns="http://schemas.openxmlformats.org/spreadsheetml/2006/main">
  <c r="B37" i="1"/>
  <c r="B34"/>
  <c r="B35"/>
  <c r="F30" i="11"/>
  <c r="F29"/>
  <c r="F40"/>
  <c r="F39"/>
  <c r="E38"/>
  <c r="F50"/>
  <c r="F49"/>
  <c r="E48"/>
  <c r="E58"/>
  <c r="F60"/>
  <c r="F59"/>
  <c r="F70"/>
  <c r="F69"/>
  <c r="E68"/>
  <c r="C11" i="1"/>
  <c r="C10"/>
  <c r="C18"/>
  <c r="E19" i="6"/>
  <c r="F19" s="1"/>
  <c r="E137" i="7"/>
  <c r="E7" i="15"/>
  <c r="F7" s="1"/>
  <c r="E6"/>
  <c r="E8" i="17"/>
  <c r="F8" s="1"/>
  <c r="E7"/>
  <c r="F7" s="1"/>
  <c r="E6"/>
  <c r="E8" i="15" l="1"/>
  <c r="F6"/>
  <c r="F8" s="1"/>
  <c r="E9" i="17"/>
  <c r="F6"/>
  <c r="F9" s="1"/>
  <c r="C22" i="1" s="1"/>
  <c r="C21" l="1"/>
  <c r="E10" i="10" l="1"/>
  <c r="F10" s="1"/>
  <c r="E8"/>
  <c r="F8" s="1"/>
  <c r="E9"/>
  <c r="F9" s="1"/>
  <c r="E14" i="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14" i="13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 i="14" l="1"/>
  <c r="E6" i="13"/>
  <c r="E16" s="1"/>
  <c r="F6"/>
  <c r="E17"/>
  <c r="F17" s="1"/>
  <c r="F6" i="14" l="1"/>
  <c r="E16"/>
  <c r="E17"/>
  <c r="F17" s="1"/>
  <c r="F16"/>
  <c r="E15" i="13"/>
  <c r="F16"/>
  <c r="E15" i="14" l="1"/>
  <c r="F15"/>
  <c r="E18"/>
  <c r="E18" i="13"/>
  <c r="F18" s="1"/>
  <c r="B10" i="1" s="1"/>
  <c r="F15" i="13"/>
  <c r="F18" i="14" l="1"/>
  <c r="B11" i="1" s="1"/>
  <c r="E18" i="12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E21" s="1"/>
  <c r="F21" s="1"/>
  <c r="F6" l="1"/>
  <c r="E20"/>
  <c r="E19" l="1"/>
  <c r="F20"/>
  <c r="E22" l="1"/>
  <c r="F22" s="1"/>
  <c r="C9" i="1" s="1"/>
  <c r="F19" i="12"/>
  <c r="E70" i="11" l="1"/>
  <c r="E69"/>
  <c r="E73"/>
  <c r="F73" s="1"/>
  <c r="E60"/>
  <c r="E59"/>
  <c r="E50"/>
  <c r="E49"/>
  <c r="E40"/>
  <c r="E39"/>
  <c r="E30"/>
  <c r="E29"/>
  <c r="E28"/>
  <c r="F28" s="1"/>
  <c r="E20"/>
  <c r="F20" s="1"/>
  <c r="E19"/>
  <c r="F19" s="1"/>
  <c r="E10"/>
  <c r="F10" s="1"/>
  <c r="E9"/>
  <c r="F9" s="1"/>
  <c r="E53" l="1"/>
  <c r="F53" s="1"/>
  <c r="E8"/>
  <c r="F8" s="1"/>
  <c r="G42"/>
  <c r="E63"/>
  <c r="F63" s="1"/>
  <c r="F48"/>
  <c r="F58"/>
  <c r="F68"/>
  <c r="E18"/>
  <c r="F18" s="1"/>
  <c r="E43"/>
  <c r="F43" s="1"/>
  <c r="E12"/>
  <c r="E22"/>
  <c r="E32"/>
  <c r="E33"/>
  <c r="F33" s="1"/>
  <c r="E42"/>
  <c r="E52"/>
  <c r="E72"/>
  <c r="E62" l="1"/>
  <c r="E13"/>
  <c r="F13" s="1"/>
  <c r="F38"/>
  <c r="E23"/>
  <c r="F23" s="1"/>
  <c r="E71"/>
  <c r="F72"/>
  <c r="E51"/>
  <c r="F52"/>
  <c r="F42"/>
  <c r="E41"/>
  <c r="F32"/>
  <c r="E31"/>
  <c r="F22"/>
  <c r="E21"/>
  <c r="F12"/>
  <c r="E11"/>
  <c r="E61"/>
  <c r="F62"/>
  <c r="E64" l="1"/>
  <c r="F64" s="1"/>
  <c r="F61"/>
  <c r="E54"/>
  <c r="F54" s="1"/>
  <c r="F51"/>
  <c r="E74"/>
  <c r="F71"/>
  <c r="F11"/>
  <c r="E14"/>
  <c r="F14" s="1"/>
  <c r="F21"/>
  <c r="E24"/>
  <c r="F24" s="1"/>
  <c r="F31"/>
  <c r="E34"/>
  <c r="F34" s="1"/>
  <c r="E44"/>
  <c r="F44" s="1"/>
  <c r="F41"/>
  <c r="E76" l="1"/>
  <c r="F74"/>
  <c r="F76" l="1"/>
  <c r="E11" i="10"/>
  <c r="F11" s="1"/>
  <c r="E7"/>
  <c r="F7" s="1"/>
  <c r="C12" i="1" l="1"/>
  <c r="E6" i="10"/>
  <c r="E14" s="1"/>
  <c r="F14" s="1"/>
  <c r="B12" i="1" l="1"/>
  <c r="E13" i="10"/>
  <c r="F13" s="1"/>
  <c r="F6"/>
  <c r="E12"/>
  <c r="E15" l="1"/>
  <c r="F15" s="1"/>
  <c r="C16" i="1" s="1"/>
  <c r="F12" i="10"/>
  <c r="E7" i="9" l="1"/>
  <c r="F7" s="1"/>
  <c r="E6" l="1"/>
  <c r="E9" s="1"/>
  <c r="E10" l="1"/>
  <c r="F10" s="1"/>
  <c r="F6"/>
  <c r="E8"/>
  <c r="F9"/>
  <c r="E11" l="1"/>
  <c r="F11" s="1"/>
  <c r="F8"/>
  <c r="E7" i="8"/>
  <c r="F7" s="1"/>
  <c r="E6"/>
  <c r="E9" s="1"/>
  <c r="D14" i="1" l="1"/>
  <c r="F9" i="8"/>
  <c r="E10"/>
  <c r="F10" s="1"/>
  <c r="F6"/>
  <c r="E8" l="1"/>
  <c r="E11" s="1"/>
  <c r="F11" s="1"/>
  <c r="C19" i="1" s="1"/>
  <c r="F8" i="8"/>
  <c r="E131" i="7" l="1"/>
  <c r="F131" s="1"/>
  <c r="E130"/>
  <c r="F130" s="1"/>
  <c r="E129"/>
  <c r="F129" s="1"/>
  <c r="E120"/>
  <c r="F120" s="1"/>
  <c r="E119"/>
  <c r="F119" s="1"/>
  <c r="E118"/>
  <c r="F118" s="1"/>
  <c r="E117"/>
  <c r="F117" s="1"/>
  <c r="E116"/>
  <c r="F116" s="1"/>
  <c r="E115"/>
  <c r="F115" s="1"/>
  <c r="E114"/>
  <c r="F114" s="1"/>
  <c r="C114"/>
  <c r="F105"/>
  <c r="E105"/>
  <c r="F104"/>
  <c r="E104"/>
  <c r="F103"/>
  <c r="E103"/>
  <c r="F102"/>
  <c r="E102"/>
  <c r="F101"/>
  <c r="E101"/>
  <c r="F100"/>
  <c r="E100"/>
  <c r="C99"/>
  <c r="E99" s="1"/>
  <c r="E90"/>
  <c r="F90" s="1"/>
  <c r="E89"/>
  <c r="F89" s="1"/>
  <c r="E88"/>
  <c r="F88" s="1"/>
  <c r="E87"/>
  <c r="F87" s="1"/>
  <c r="E86"/>
  <c r="F86" s="1"/>
  <c r="E85"/>
  <c r="F85" s="1"/>
  <c r="C84"/>
  <c r="E84" s="1"/>
  <c r="F84" s="1"/>
  <c r="E75"/>
  <c r="F75" s="1"/>
  <c r="E74"/>
  <c r="F74" s="1"/>
  <c r="E73"/>
  <c r="F73" s="1"/>
  <c r="E72"/>
  <c r="F72" s="1"/>
  <c r="E71"/>
  <c r="F71" s="1"/>
  <c r="E70"/>
  <c r="F70" s="1"/>
  <c r="C69"/>
  <c r="E69" s="1"/>
  <c r="E60"/>
  <c r="F60" s="1"/>
  <c r="E59"/>
  <c r="F59" s="1"/>
  <c r="E58"/>
  <c r="F58" s="1"/>
  <c r="E57"/>
  <c r="F57" s="1"/>
  <c r="E56"/>
  <c r="F56" s="1"/>
  <c r="E55"/>
  <c r="F55" s="1"/>
  <c r="C54"/>
  <c r="E54" s="1"/>
  <c r="F54" s="1"/>
  <c r="E45"/>
  <c r="F45" s="1"/>
  <c r="E44"/>
  <c r="F44" s="1"/>
  <c r="E43"/>
  <c r="F43" s="1"/>
  <c r="E42"/>
  <c r="F42" s="1"/>
  <c r="E41"/>
  <c r="F41" s="1"/>
  <c r="E40"/>
  <c r="F40" s="1"/>
  <c r="C39"/>
  <c r="E39" s="1"/>
  <c r="E30"/>
  <c r="F30" s="1"/>
  <c r="E29"/>
  <c r="F29" s="1"/>
  <c r="E28"/>
  <c r="F28" s="1"/>
  <c r="E27"/>
  <c r="F27" s="1"/>
  <c r="E26"/>
  <c r="F26" s="1"/>
  <c r="E25"/>
  <c r="F25" s="1"/>
  <c r="C24"/>
  <c r="E24" s="1"/>
  <c r="F24" s="1"/>
  <c r="E15"/>
  <c r="F15" s="1"/>
  <c r="E14"/>
  <c r="F14" s="1"/>
  <c r="E13"/>
  <c r="F13" s="1"/>
  <c r="E12"/>
  <c r="F12" s="1"/>
  <c r="E11"/>
  <c r="F11" s="1"/>
  <c r="E10"/>
  <c r="F10" s="1"/>
  <c r="C9"/>
  <c r="E9" s="1"/>
  <c r="E128" l="1"/>
  <c r="E134" s="1"/>
  <c r="F134" s="1"/>
  <c r="F39"/>
  <c r="E38"/>
  <c r="F99"/>
  <c r="E98"/>
  <c r="F9"/>
  <c r="E8"/>
  <c r="F69"/>
  <c r="E68"/>
  <c r="E23"/>
  <c r="E53"/>
  <c r="E83"/>
  <c r="E113"/>
  <c r="F128"/>
  <c r="E133"/>
  <c r="E93" l="1"/>
  <c r="F93" s="1"/>
  <c r="E92"/>
  <c r="F83"/>
  <c r="E33"/>
  <c r="F33" s="1"/>
  <c r="E32"/>
  <c r="F23"/>
  <c r="E132"/>
  <c r="F133"/>
  <c r="E123"/>
  <c r="F123" s="1"/>
  <c r="E122"/>
  <c r="F113"/>
  <c r="E63"/>
  <c r="F63" s="1"/>
  <c r="E62"/>
  <c r="F53"/>
  <c r="E78"/>
  <c r="F78" s="1"/>
  <c r="E77"/>
  <c r="F68"/>
  <c r="E18"/>
  <c r="F18" s="1"/>
  <c r="E17"/>
  <c r="F8"/>
  <c r="E108"/>
  <c r="F108" s="1"/>
  <c r="E107"/>
  <c r="F98"/>
  <c r="E48"/>
  <c r="F48" s="1"/>
  <c r="E47"/>
  <c r="F38"/>
  <c r="F107" l="1"/>
  <c r="E106"/>
  <c r="E61"/>
  <c r="F62"/>
  <c r="E135"/>
  <c r="F132"/>
  <c r="E31"/>
  <c r="F32"/>
  <c r="F47"/>
  <c r="E46"/>
  <c r="F17"/>
  <c r="E16"/>
  <c r="F77"/>
  <c r="E76"/>
  <c r="E121"/>
  <c r="F122"/>
  <c r="E91"/>
  <c r="F92"/>
  <c r="E94" l="1"/>
  <c r="F94" s="1"/>
  <c r="F91"/>
  <c r="E124"/>
  <c r="F124" s="1"/>
  <c r="F121"/>
  <c r="E34"/>
  <c r="F34" s="1"/>
  <c r="F31"/>
  <c r="F135"/>
  <c r="E64"/>
  <c r="F64" s="1"/>
  <c r="F61"/>
  <c r="F76"/>
  <c r="E79"/>
  <c r="F79" s="1"/>
  <c r="F16"/>
  <c r="E19"/>
  <c r="F19" s="1"/>
  <c r="F46"/>
  <c r="E49"/>
  <c r="F49" s="1"/>
  <c r="F106"/>
  <c r="E109"/>
  <c r="F109" s="1"/>
  <c r="F137" l="1"/>
  <c r="D7" i="1" l="1"/>
  <c r="C13"/>
  <c r="E25" i="6"/>
  <c r="F25" s="1"/>
  <c r="E24"/>
  <c r="F24" s="1"/>
  <c r="E23"/>
  <c r="F23" s="1"/>
  <c r="E21"/>
  <c r="F21" s="1"/>
  <c r="E20"/>
  <c r="F20" s="1"/>
  <c r="E18"/>
  <c r="F18" s="1"/>
  <c r="E16"/>
  <c r="F16" s="1"/>
  <c r="C17"/>
  <c r="E17" s="1"/>
  <c r="F17" s="1"/>
  <c r="C15"/>
  <c r="E15" s="1"/>
  <c r="F15" s="1"/>
  <c r="C14"/>
  <c r="E14" s="1"/>
  <c r="F14" s="1"/>
  <c r="C13"/>
  <c r="E13" s="1"/>
  <c r="F13" s="1"/>
  <c r="C12"/>
  <c r="E12" s="1"/>
  <c r="F12" s="1"/>
  <c r="E11"/>
  <c r="F11" s="1"/>
  <c r="E10"/>
  <c r="F10" s="1"/>
  <c r="E9"/>
  <c r="F9" s="1"/>
  <c r="F8"/>
  <c r="E8"/>
  <c r="B13" i="1" l="1"/>
  <c r="E7" i="6"/>
  <c r="E28" l="1"/>
  <c r="F28" s="1"/>
  <c r="E27"/>
  <c r="F7"/>
  <c r="E26" l="1"/>
  <c r="F27"/>
  <c r="E29" l="1"/>
  <c r="F29" s="1"/>
  <c r="C17" i="1" s="1"/>
  <c r="F26" i="6"/>
  <c r="I18" i="5"/>
  <c r="C18"/>
  <c r="E18" s="1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C7"/>
  <c r="E7" s="1"/>
  <c r="F7" s="1"/>
  <c r="G4" l="1"/>
  <c r="E6"/>
  <c r="E22" l="1"/>
  <c r="F22" s="1"/>
  <c r="E21"/>
  <c r="F21" s="1"/>
  <c r="E20"/>
  <c r="F6"/>
  <c r="E19" l="1"/>
  <c r="F20"/>
  <c r="E23" l="1"/>
  <c r="F23" s="1"/>
  <c r="C8" i="1" s="1"/>
  <c r="F19" i="5"/>
  <c r="E47" i="4"/>
  <c r="F47" s="1"/>
  <c r="E46"/>
  <c r="F46" s="1"/>
  <c r="E45"/>
  <c r="F45" s="1"/>
  <c r="E44"/>
  <c r="F44" s="1"/>
  <c r="E43"/>
  <c r="F43" s="1"/>
  <c r="E42"/>
  <c r="F42" s="1"/>
  <c r="E41"/>
  <c r="F41" s="1"/>
  <c r="E31"/>
  <c r="F31" s="1"/>
  <c r="E30"/>
  <c r="F30" s="1"/>
  <c r="E29"/>
  <c r="F29" s="1"/>
  <c r="E28"/>
  <c r="F28" s="1"/>
  <c r="E27"/>
  <c r="F27" s="1"/>
  <c r="E26"/>
  <c r="F26" s="1"/>
  <c r="E15"/>
  <c r="F15" s="1"/>
  <c r="E14"/>
  <c r="F14" s="1"/>
  <c r="E13"/>
  <c r="F13" s="1"/>
  <c r="E12"/>
  <c r="F12" s="1"/>
  <c r="E11"/>
  <c r="F11" s="1"/>
  <c r="E10"/>
  <c r="F10" s="1"/>
  <c r="E9"/>
  <c r="F9" s="1"/>
  <c r="B8" i="1" l="1"/>
  <c r="C7"/>
  <c r="E40" i="4"/>
  <c r="E51" s="1"/>
  <c r="F51" s="1"/>
  <c r="E8"/>
  <c r="E19" s="1"/>
  <c r="F19" s="1"/>
  <c r="E25"/>
  <c r="E35" s="1"/>
  <c r="F35" s="1"/>
  <c r="F8"/>
  <c r="F40"/>
  <c r="E17"/>
  <c r="E33"/>
  <c r="F33" s="1"/>
  <c r="E49"/>
  <c r="F49" s="1"/>
  <c r="E50"/>
  <c r="F50" s="1"/>
  <c r="E18" l="1"/>
  <c r="F18" s="1"/>
  <c r="F25"/>
  <c r="E34"/>
  <c r="F34" s="1"/>
  <c r="E48"/>
  <c r="E16"/>
  <c r="F17"/>
  <c r="E32" l="1"/>
  <c r="E36" s="1"/>
  <c r="F36" s="1"/>
  <c r="E20"/>
  <c r="F20" s="1"/>
  <c r="F16"/>
  <c r="E52"/>
  <c r="F48"/>
  <c r="F32" l="1"/>
  <c r="E54"/>
  <c r="F54" s="1"/>
  <c r="C15" i="1" s="1"/>
  <c r="C14" s="1"/>
  <c r="F52" i="4"/>
  <c r="B33" i="1" l="1"/>
  <c r="D39"/>
  <c r="B32"/>
  <c r="B36"/>
  <c r="B38"/>
  <c r="B31"/>
  <c r="C39"/>
  <c r="B22"/>
  <c r="B39" l="1"/>
  <c r="B9" l="1"/>
  <c r="B18"/>
  <c r="B19"/>
  <c r="B17"/>
  <c r="B7" l="1"/>
  <c r="E9" s="1"/>
  <c r="B15"/>
  <c r="E10" l="1"/>
  <c r="E11"/>
  <c r="E12"/>
  <c r="E13"/>
  <c r="E8"/>
  <c r="B16"/>
  <c r="B14" l="1"/>
  <c r="E16" s="1"/>
  <c r="E17" l="1"/>
  <c r="E19"/>
  <c r="E18"/>
  <c r="E15"/>
  <c r="E7"/>
  <c r="E14" l="1"/>
  <c r="C20"/>
  <c r="C5" s="1"/>
  <c r="D20"/>
  <c r="D5" s="1"/>
  <c r="B21"/>
  <c r="B20" s="1"/>
  <c r="E22" s="1"/>
  <c r="E21" l="1"/>
  <c r="B5"/>
  <c r="E20" l="1"/>
  <c r="B25" l="1"/>
  <c r="D24"/>
  <c r="D27" s="1"/>
  <c r="C24"/>
  <c r="C27" s="1"/>
  <c r="B24" l="1"/>
  <c r="B27" s="1"/>
  <c r="D28" s="1"/>
  <c r="E25" l="1"/>
  <c r="F10"/>
  <c r="F12"/>
  <c r="F9"/>
  <c r="F11"/>
  <c r="F13"/>
  <c r="F22"/>
  <c r="F15"/>
  <c r="F18"/>
  <c r="F17"/>
  <c r="B28"/>
  <c r="F16"/>
  <c r="F19"/>
  <c r="F8"/>
  <c r="F21"/>
  <c r="E24"/>
  <c r="C28"/>
  <c r="F25"/>
  <c r="F7" l="1"/>
  <c r="F24"/>
  <c r="F20"/>
  <c r="F14"/>
  <c r="F5" l="1"/>
  <c r="F27"/>
</calcChain>
</file>

<file path=xl/sharedStrings.xml><?xml version="1.0" encoding="utf-8"?>
<sst xmlns="http://schemas.openxmlformats.org/spreadsheetml/2006/main" count="835" uniqueCount="187">
  <si>
    <t>CATEGORÍAS PRESUPUESTARIAS</t>
  </si>
  <si>
    <t>LOCAL</t>
  </si>
  <si>
    <t xml:space="preserve"> </t>
  </si>
  <si>
    <t>% PARTICIPACION</t>
  </si>
  <si>
    <t>PRESUPUESTO CH MERIDA (RESUMEN)</t>
  </si>
  <si>
    <t>TOTAL</t>
  </si>
  <si>
    <t>INVERSIONES LOCALES COMPLEMENTARIAS ESTIMADAS</t>
  </si>
  <si>
    <t>TOTAL        US$</t>
  </si>
  <si>
    <t>% del Proyecto</t>
  </si>
  <si>
    <t>BID</t>
  </si>
  <si>
    <t>1. Inversiones (A + B + C)</t>
  </si>
  <si>
    <t>2.  Otros gastos</t>
  </si>
  <si>
    <t>A1. Refuncionalización Mercados y entorno</t>
  </si>
  <si>
    <t>A2. Parque La Plancha</t>
  </si>
  <si>
    <t>B1. Vivienda Nueva</t>
  </si>
  <si>
    <t>B. Componente 2: Desarrollo Social y Económico</t>
  </si>
  <si>
    <t>CENTRO HISTORICO MERIDA: PRESUPUESTO DESAGREGADO POR COMPONENTES</t>
  </si>
  <si>
    <t>Tasa Cambio</t>
  </si>
  <si>
    <t>A. COMPONENTE: DESARROLLO URBANO</t>
  </si>
  <si>
    <t>A1 MERCADOS Y ENTORNO</t>
  </si>
  <si>
    <t>1. MERCADO SAN BENITO</t>
  </si>
  <si>
    <t>RUBRO</t>
  </si>
  <si>
    <t>MEDIDA</t>
  </si>
  <si>
    <t>CANTIDAD</t>
  </si>
  <si>
    <t>COSTO UNITARIO (PM$)</t>
  </si>
  <si>
    <t>COSTO (PM$)</t>
  </si>
  <si>
    <t>COSTO (USD)</t>
  </si>
  <si>
    <t>1. Inversiones</t>
  </si>
  <si>
    <t>Saneamiento y limpieza profunda</t>
  </si>
  <si>
    <t>M2</t>
  </si>
  <si>
    <t>Readecuación de locales</t>
  </si>
  <si>
    <t>Unidad</t>
  </si>
  <si>
    <t>Restructuración de instalaciones y equipamientos</t>
  </si>
  <si>
    <t>Equipamientos y servicios sociales</t>
  </si>
  <si>
    <t>Global</t>
  </si>
  <si>
    <t>Señalética</t>
  </si>
  <si>
    <t>2. Otros gastos</t>
  </si>
  <si>
    <t>Mitigacion de impacto ambiental (1% Inversiones)</t>
  </si>
  <si>
    <t>Estudios (2% Inversiones)</t>
  </si>
  <si>
    <t>Promoción, talleres, difusión (3% Inversiones)</t>
  </si>
  <si>
    <t>TOTAL (1 + 2)</t>
  </si>
  <si>
    <t>2. MERCADO LUCAS DE GALVEZ</t>
  </si>
  <si>
    <t>Replanteamiento funcional (obra civil, desmantelamientos)</t>
  </si>
  <si>
    <t>Reparación de techumbre y cubiertas</t>
  </si>
  <si>
    <t>3. ENTORNO</t>
  </si>
  <si>
    <t>Retiro de cabledo y postes de Luz</t>
  </si>
  <si>
    <t>ML</t>
  </si>
  <si>
    <t>Cableado subterráneo (obra civil)</t>
  </si>
  <si>
    <t>Cableado subterráneo (obra eléctrica)</t>
  </si>
  <si>
    <t>Alumbrado Público</t>
  </si>
  <si>
    <t>Rehabilitación funcional (parque y áreas públicas exteriores)</t>
  </si>
  <si>
    <t>Mitigación de impacto ambiental (1% Inversiones)</t>
  </si>
  <si>
    <t>Estudios (1% Inversiones)</t>
  </si>
  <si>
    <t>m2 totales sin banqueta</t>
  </si>
  <si>
    <t>ml andadores</t>
  </si>
  <si>
    <t>Construcción de Banquetas y Guarniciones</t>
  </si>
  <si>
    <t>M²</t>
  </si>
  <si>
    <t>Cableado Subterráneo (Obra Civil)</t>
  </si>
  <si>
    <t>Cableado Subterráneo (Obra Eléctrica)</t>
  </si>
  <si>
    <t>Alumbrado Público (exterior)</t>
  </si>
  <si>
    <t xml:space="preserve">Mobiliario Urbano (Basureros, Bancas, Juegos Infantiles) </t>
  </si>
  <si>
    <t>Equipamiento (servicios y amenidades)</t>
  </si>
  <si>
    <t>Andador de terracería</t>
  </si>
  <si>
    <t>Pavimentación de calle (pavimento asfáltico)</t>
  </si>
  <si>
    <t>Vegetación de la región</t>
  </si>
  <si>
    <t>andadores 30%</t>
  </si>
  <si>
    <t>Promoción, difusión, capacitación (0,5% Inversiones)</t>
  </si>
  <si>
    <t>A3 ESTACION DEL CONOCIMIENTO</t>
  </si>
  <si>
    <t>BODEGA 1</t>
  </si>
  <si>
    <t>Consolidación muros y restauración edificación</t>
  </si>
  <si>
    <t>Cubierta</t>
  </si>
  <si>
    <t>Alumbrado Público (interior)</t>
  </si>
  <si>
    <t>Andador de Concreto</t>
  </si>
  <si>
    <t>Subestación</t>
  </si>
  <si>
    <t>Patio-Parque Interior</t>
  </si>
  <si>
    <t>Mobiliario de Oficina, Equipamientos e Infraestructura</t>
  </si>
  <si>
    <t>BODEGA 2</t>
  </si>
  <si>
    <t>Consolidación y resane muros</t>
  </si>
  <si>
    <t>Cubierta (temporal)</t>
  </si>
  <si>
    <t>Estudios (3% Inversiones)</t>
  </si>
  <si>
    <t>C. COMPONENTE: PUESTA EN VALOR PATRIMONIO</t>
  </si>
  <si>
    <t>MANZANA 1</t>
  </si>
  <si>
    <t>Rescate de Fachadas</t>
  </si>
  <si>
    <t>Retiro de  cableado  y postes de luz</t>
  </si>
  <si>
    <t>Estudios y Fiscalización (3% Inversiones)</t>
  </si>
  <si>
    <t>MANZANA 2</t>
  </si>
  <si>
    <t>Cableado Subterráneo. (Obra Civil)</t>
  </si>
  <si>
    <t>Cableado Subterráneo. (Obra Eléctrica)</t>
  </si>
  <si>
    <t>MANZANA 3</t>
  </si>
  <si>
    <t>Construcción de Banquetas y Guarniciones.</t>
  </si>
  <si>
    <t>MANZANA 4</t>
  </si>
  <si>
    <t xml:space="preserve">Rescate de Fachadas </t>
  </si>
  <si>
    <t>MANZANA 5</t>
  </si>
  <si>
    <t>Rescate de Fachadas C 62</t>
  </si>
  <si>
    <t>MANZANA 6</t>
  </si>
  <si>
    <t>MANZANA 7</t>
  </si>
  <si>
    <t>MANZANA 8</t>
  </si>
  <si>
    <t>MANZANA 9</t>
  </si>
  <si>
    <t>Rehabilitación Parque</t>
  </si>
  <si>
    <t>Iluminación edificios civiles Plaza Grande</t>
  </si>
  <si>
    <t>TOTAL (MZS 1,2,3,4,5,6,7,8 Y 9)</t>
  </si>
  <si>
    <t>Notas:</t>
  </si>
  <si>
    <t>B. COMPONENTE: DESARROLLO SOCIAL Y ECONOMICO</t>
  </si>
  <si>
    <t>Fondo de mejoramiento de vivienda</t>
  </si>
  <si>
    <t>B. COMPONENTE: DESARROLLO SOCIAL Y ECONÓMICO</t>
  </si>
  <si>
    <t>Promoción y Difusión (2% Inversiones)</t>
  </si>
  <si>
    <t xml:space="preserve">Saneamiento, limpieza y retiro de preexistencias </t>
  </si>
  <si>
    <t>Obra civil e instalación de señalética urbana de turismo</t>
  </si>
  <si>
    <t>C1 ILUMINACION MONUMENTAL</t>
  </si>
  <si>
    <t>1. CATEDRAL DE SAN IDELFONSO</t>
  </si>
  <si>
    <t>Iluminación  Integral</t>
  </si>
  <si>
    <t>Lote</t>
  </si>
  <si>
    <t>3. IGLESIA SANTA ANA</t>
  </si>
  <si>
    <t>4. IGLESIA NTRA. SRA. DEL CARMEN (MEJORADA)</t>
  </si>
  <si>
    <t>5. IGLESIA  DE SANTIAGO</t>
  </si>
  <si>
    <t>7. IGLESIA  DE SAN CRISTOBAL</t>
  </si>
  <si>
    <t>NOTAS:</t>
  </si>
  <si>
    <t>Iluminación puntual en fachadas</t>
  </si>
  <si>
    <t>Retiro de Cableado y Postes de Luz</t>
  </si>
  <si>
    <t>Cableado Subterráneo (obra civil)</t>
  </si>
  <si>
    <t>Cableado Subterráneo (obra eléctrica)</t>
  </si>
  <si>
    <t>Pasos Peatonales (plataforma sobre calzadas)</t>
  </si>
  <si>
    <t>Renivelación y Aplicación de Ladrillos en plazas</t>
  </si>
  <si>
    <t>Replanteamiento funcional (arborización, jardinería y mobiliario urbano en áreas públicas en Emilio Seijo y Segunda Calle Nueva)</t>
  </si>
  <si>
    <t>Cobertura de sombra (estructura y textil sintético)</t>
  </si>
  <si>
    <t>Mitigación de impacto ambiental (0,5% Inversiones)</t>
  </si>
  <si>
    <t>Rescate de Fachadas C 61</t>
  </si>
  <si>
    <t>Mobiliario Urbano</t>
  </si>
  <si>
    <t>A2 PARQUE LA PLANCHA</t>
  </si>
  <si>
    <t>Servicios Públicos (Baños públicos y otros servicios)</t>
  </si>
  <si>
    <t>Instalaciones (Hidráulicas, sanitarias, AC, voz y datos)</t>
  </si>
  <si>
    <t>Promoción y difusión (3% Inversiones)</t>
  </si>
  <si>
    <t>6. IGLESIA  DE SAN JUAN</t>
  </si>
  <si>
    <t>2. IGLESIA SAN SEBASTIAN</t>
  </si>
  <si>
    <t xml:space="preserve">2) Iluminación  Integral (LEDs proveedor con distribución nacional) TBD EW GRAZE POWERCORE 52300003003 48 LEDS 120CM 58W 4000K 10° 120V COLORKINETICS.
</t>
  </si>
  <si>
    <t>1) Costos iluminación referenciales de Perfil de Proyecto de SOP.</t>
  </si>
  <si>
    <t>1) Cableado subterráneo: encofre de tuberías por medios manuales; incluye excavación con pico y pala, terracería y rellenos, resanes en pisos.</t>
  </si>
  <si>
    <t>C2 CORREDOR PLAZA GRANDE-MERCADOS</t>
  </si>
  <si>
    <t>C5 IMAGEN URBANA NUCLEO CENTRAL</t>
  </si>
  <si>
    <t>C4 CORREDOR PLAZA GRANDE - SAN JUAN</t>
  </si>
  <si>
    <t>C3 CORREDOR PLAZA GRANDE - ARCO DRAGONES</t>
  </si>
  <si>
    <t>Obra civil e instalación de mobiliario urbano</t>
  </si>
  <si>
    <t>Piezas señalética urbana de turismo</t>
  </si>
  <si>
    <t>Mobiliario urbano movilidad (paradas y complementos)</t>
  </si>
  <si>
    <t>Retiro de cableado y postes de luz</t>
  </si>
  <si>
    <t>Retiro de cableado y postes</t>
  </si>
  <si>
    <t>1) Fachadas: resanes menores en muros, molduras y puertas, con aplicación de pintura con vinílica a 10 años incluye mano de obra y material.</t>
  </si>
  <si>
    <t>2) Cableado subterráneo: encofre de tuberías por medios manuales incluye excavación con pico y pala, terracería y rellenos.</t>
  </si>
  <si>
    <t>2) Fachadas: Resanes menores en muros, molduras y puertas, con aplicación de pintura vinílica a 10 años inc. Mano de obra y material.</t>
  </si>
  <si>
    <t>Promoción, talleres, difusión (4% Inversiones)</t>
  </si>
  <si>
    <t>A1.  Parque La Plancha</t>
  </si>
  <si>
    <t>B5 VIVIENDA</t>
  </si>
  <si>
    <t>B4 FONDO ASISTENCIA TÉCNICA Y PROMOCIÓN EMPRESAS</t>
  </si>
  <si>
    <t>B. COMPONENTE DESARROLLO SOCIAL Y ECONÓMICO</t>
  </si>
  <si>
    <t>A21. Corredor Plaza Grande-Seijo-Mercados</t>
  </si>
  <si>
    <t>A22. Corredor Plaza Grande-Arco de Dragones</t>
  </si>
  <si>
    <t>A23. Corredor Plaza Grande-San Juan</t>
  </si>
  <si>
    <t>A3. Iluminación monumental</t>
  </si>
  <si>
    <t>C. Componente de Fortalecimiento Institucional y Comunicación</t>
  </si>
  <si>
    <t>TOTAL   (1 + 2)</t>
  </si>
  <si>
    <t>A4. Imagen urbana Núcleo Central</t>
  </si>
  <si>
    <t>B2. Señalética turística</t>
  </si>
  <si>
    <t>A. Componente de Desarrollo e Imagen Urbana</t>
  </si>
  <si>
    <t>B1. Refuncionalización Mercados y entorno</t>
  </si>
  <si>
    <t>B3. Estación del Conocimiento</t>
  </si>
  <si>
    <t>B4. Promoción de negocios y turismo</t>
  </si>
  <si>
    <t>B5. Vivienda</t>
  </si>
  <si>
    <t>C. COMPONENTE FORTALECIMIENTO INSTITUCIONAL Y COMUNICACIÓN</t>
  </si>
  <si>
    <t>C3 FORTALECIMIENTO ORGANISMOS EJECUTORES</t>
  </si>
  <si>
    <t>Manuales</t>
  </si>
  <si>
    <t>Capacitación</t>
  </si>
  <si>
    <t>Asistencia Técnica</t>
  </si>
  <si>
    <t>C1 SOCIALIZACIÓN Y COMUNICACIÓN</t>
  </si>
  <si>
    <t>Desarrollo e implantación Plan Comunicación</t>
  </si>
  <si>
    <t>C1. Plan de comunicación y promoción</t>
  </si>
  <si>
    <t>Diseño Plan Comunicación /Asistencia Técnica</t>
  </si>
  <si>
    <t>Fondo de promoción de pequeñas empresas</t>
  </si>
  <si>
    <t>%</t>
  </si>
  <si>
    <t>B3 SEÑALÉTICA TURÍSTICA Y EQUIP. MOVILIDAD</t>
  </si>
  <si>
    <t>Replanteamiento funcional (obra civil)</t>
  </si>
  <si>
    <t>Movilidad interna vertical (elevadores y escaleras)</t>
  </si>
  <si>
    <t>Adecuación oficinas, baños y paneles división</t>
  </si>
  <si>
    <t>Imprevistos</t>
  </si>
  <si>
    <t>A24.  Paseo de Las Bonitas</t>
  </si>
  <si>
    <t>LOCAL USD</t>
  </si>
  <si>
    <t xml:space="preserve">C2. Fortalecimiento organismos ejecutores </t>
  </si>
  <si>
    <t>% del Total DU</t>
  </si>
</sst>
</file>

<file path=xl/styles.xml><?xml version="1.0" encoding="utf-8"?>
<styleSheet xmlns="http://schemas.openxmlformats.org/spreadsheetml/2006/main">
  <numFmts count="8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&quot;$&quot;* #,##0.00_-;\-&quot;$&quot;* #,##0.00_-;_-&quot;$&quot;* &quot;-&quot;??_-;_-@_-"/>
    <numFmt numFmtId="167" formatCode="_-* #,##0.00\ &quot;€&quot;_-;\-* #,##0.00\ &quot;€&quot;_-;_-* &quot;-&quot;??\ &quot;€&quot;_-;_-@_-"/>
    <numFmt numFmtId="168" formatCode="[$$-80A]#,##0.00"/>
    <numFmt numFmtId="169" formatCode="_-* #,##0_-;\-* #,##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0"/>
      <name val="Times New Roman"/>
      <family val="1"/>
    </font>
    <font>
      <sz val="1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3">
    <xf numFmtId="0" fontId="0" fillId="0" borderId="0" xfId="0"/>
    <xf numFmtId="10" fontId="3" fillId="0" borderId="1" xfId="2" applyNumberFormat="1" applyFont="1" applyFill="1" applyBorder="1" applyAlignment="1">
      <alignment horizontal="center" vertical="center" wrapText="1"/>
    </xf>
    <xf numFmtId="10" fontId="3" fillId="2" borderId="1" xfId="2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0" fontId="3" fillId="3" borderId="1" xfId="2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5" fillId="3" borderId="0" xfId="0" applyFont="1" applyFill="1"/>
    <xf numFmtId="164" fontId="5" fillId="0" borderId="0" xfId="0" applyNumberFormat="1" applyFont="1"/>
    <xf numFmtId="164" fontId="5" fillId="0" borderId="1" xfId="1" applyNumberFormat="1" applyFont="1" applyBorder="1" applyAlignment="1">
      <alignment horizontal="right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vertical="center"/>
    </xf>
    <xf numFmtId="10" fontId="2" fillId="6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left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9" fontId="2" fillId="6" borderId="1" xfId="2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vertical="center"/>
    </xf>
    <xf numFmtId="10" fontId="2" fillId="7" borderId="1" xfId="2" applyNumberFormat="1" applyFont="1" applyFill="1" applyBorder="1" applyAlignment="1">
      <alignment horizontal="center" vertical="center" wrapText="1"/>
    </xf>
    <xf numFmtId="10" fontId="2" fillId="7" borderId="1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6" borderId="0" xfId="0" applyFont="1" applyFill="1" applyBorder="1"/>
    <xf numFmtId="166" fontId="7" fillId="0" borderId="0" xfId="3" applyNumberFormat="1" applyFont="1" applyFill="1" applyBorder="1"/>
    <xf numFmtId="3" fontId="7" fillId="0" borderId="0" xfId="3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7" fillId="8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7" fillId="0" borderId="0" xfId="0" applyFont="1" applyFill="1"/>
    <xf numFmtId="0" fontId="8" fillId="6" borderId="0" xfId="0" applyFont="1" applyFill="1"/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0" xfId="0" applyNumberFormat="1" applyFont="1" applyFill="1"/>
    <xf numFmtId="3" fontId="7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/>
    <xf numFmtId="0" fontId="2" fillId="0" borderId="0" xfId="0" applyFont="1" applyFill="1" applyBorder="1" applyAlignment="1"/>
    <xf numFmtId="3" fontId="2" fillId="5" borderId="1" xfId="0" applyNumberFormat="1" applyFont="1" applyFill="1" applyBorder="1" applyAlignment="1">
      <alignment horizontal="right" vertical="center"/>
    </xf>
    <xf numFmtId="3" fontId="7" fillId="5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8" fillId="6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center"/>
    </xf>
    <xf numFmtId="1" fontId="7" fillId="6" borderId="1" xfId="0" applyNumberFormat="1" applyFont="1" applyFill="1" applyBorder="1" applyAlignment="1">
      <alignment horizontal="left" vertical="center"/>
    </xf>
    <xf numFmtId="3" fontId="7" fillId="6" borderId="1" xfId="0" applyNumberFormat="1" applyFont="1" applyFill="1" applyBorder="1" applyAlignment="1">
      <alignment horizontal="right" vertical="center"/>
    </xf>
    <xf numFmtId="166" fontId="7" fillId="0" borderId="0" xfId="4" applyNumberFormat="1" applyFont="1" applyFill="1" applyBorder="1"/>
    <xf numFmtId="3" fontId="7" fillId="0" borderId="0" xfId="4" applyNumberFormat="1" applyFont="1" applyFill="1" applyBorder="1"/>
    <xf numFmtId="2" fontId="10" fillId="0" borderId="1" xfId="0" applyNumberFormat="1" applyFont="1" applyBorder="1"/>
    <xf numFmtId="0" fontId="2" fillId="6" borderId="0" xfId="0" applyFont="1" applyFill="1"/>
    <xf numFmtId="0" fontId="5" fillId="8" borderId="0" xfId="0" applyFont="1" applyFill="1"/>
    <xf numFmtId="164" fontId="5" fillId="0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0" xfId="0" applyFont="1" applyFill="1"/>
    <xf numFmtId="0" fontId="8" fillId="9" borderId="0" xfId="0" applyFont="1" applyFill="1"/>
    <xf numFmtId="3" fontId="5" fillId="0" borderId="0" xfId="0" applyNumberFormat="1" applyFont="1"/>
    <xf numFmtId="3" fontId="2" fillId="0" borderId="2" xfId="0" applyNumberFormat="1" applyFont="1" applyFill="1" applyBorder="1" applyAlignment="1">
      <alignment horizontal="right" vertical="center"/>
    </xf>
    <xf numFmtId="1" fontId="5" fillId="0" borderId="8" xfId="0" applyNumberFormat="1" applyFont="1" applyFill="1" applyBorder="1" applyAlignment="1">
      <alignment horizontal="right" vertical="center"/>
    </xf>
    <xf numFmtId="0" fontId="5" fillId="10" borderId="0" xfId="0" applyFont="1" applyFill="1"/>
    <xf numFmtId="168" fontId="5" fillId="0" borderId="0" xfId="0" applyNumberFormat="1" applyFont="1" applyFill="1" applyBorder="1" applyAlignment="1">
      <alignment horizontal="right" vertical="center"/>
    </xf>
    <xf numFmtId="0" fontId="8" fillId="0" borderId="2" xfId="0" applyFont="1" applyFill="1" applyBorder="1"/>
    <xf numFmtId="0" fontId="8" fillId="0" borderId="1" xfId="0" applyFont="1" applyBorder="1"/>
    <xf numFmtId="3" fontId="7" fillId="0" borderId="1" xfId="0" applyNumberFormat="1" applyFont="1" applyBorder="1"/>
    <xf numFmtId="3" fontId="5" fillId="0" borderId="9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/>
    <xf numFmtId="3" fontId="5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/>
    <xf numFmtId="0" fontId="7" fillId="11" borderId="1" xfId="0" applyFont="1" applyFill="1" applyBorder="1"/>
    <xf numFmtId="3" fontId="7" fillId="11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7" fillId="7" borderId="0" xfId="0" applyFont="1" applyFill="1"/>
    <xf numFmtId="0" fontId="7" fillId="0" borderId="0" xfId="0" applyFont="1"/>
    <xf numFmtId="168" fontId="5" fillId="0" borderId="0" xfId="0" applyNumberFormat="1" applyFont="1" applyFill="1" applyAlignment="1">
      <alignment horizontal="right" vertical="center"/>
    </xf>
    <xf numFmtId="0" fontId="2" fillId="6" borderId="1" xfId="0" applyFont="1" applyFill="1" applyBorder="1" applyAlignment="1"/>
    <xf numFmtId="3" fontId="2" fillId="6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7" fillId="6" borderId="0" xfId="0" applyFont="1" applyFill="1" applyAlignment="1">
      <alignment horizontal="left" wrapText="1"/>
    </xf>
    <xf numFmtId="1" fontId="5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center"/>
    </xf>
    <xf numFmtId="166" fontId="2" fillId="0" borderId="1" xfId="4" applyNumberFormat="1" applyFont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0" fontId="2" fillId="0" borderId="0" xfId="2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3" fontId="3" fillId="2" borderId="1" xfId="1" applyNumberFormat="1" applyFont="1" applyFill="1" applyBorder="1" applyAlignment="1">
      <alignment horizontal="right" vertical="center"/>
    </xf>
    <xf numFmtId="166" fontId="2" fillId="0" borderId="1" xfId="3" applyNumberFormat="1" applyFont="1" applyBorder="1"/>
    <xf numFmtId="164" fontId="5" fillId="0" borderId="0" xfId="1" applyNumberFormat="1" applyFont="1" applyAlignment="1">
      <alignment horizontal="right" vertical="center"/>
    </xf>
    <xf numFmtId="164" fontId="5" fillId="0" borderId="1" xfId="1" applyNumberFormat="1" applyFont="1" applyFill="1" applyBorder="1"/>
    <xf numFmtId="164" fontId="5" fillId="0" borderId="1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/>
    <xf numFmtId="164" fontId="2" fillId="0" borderId="0" xfId="1" applyNumberFormat="1" applyFont="1" applyFill="1" applyBorder="1" applyAlignment="1"/>
    <xf numFmtId="164" fontId="7" fillId="5" borderId="1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/>
    <xf numFmtId="164" fontId="3" fillId="0" borderId="0" xfId="1" applyNumberFormat="1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Alignment="1">
      <alignment horizontal="right" vertical="center"/>
    </xf>
    <xf numFmtId="3" fontId="2" fillId="7" borderId="1" xfId="0" applyNumberFormat="1" applyFont="1" applyFill="1" applyBorder="1" applyAlignment="1">
      <alignment horizontal="right" vertical="center" wrapText="1"/>
    </xf>
    <xf numFmtId="0" fontId="6" fillId="6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10" fontId="2" fillId="6" borderId="1" xfId="1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vertical="center"/>
    </xf>
    <xf numFmtId="0" fontId="2" fillId="6" borderId="2" xfId="0" applyFont="1" applyFill="1" applyBorder="1" applyAlignment="1">
      <alignment horizontal="left" vertical="center" wrapText="1"/>
    </xf>
    <xf numFmtId="164" fontId="2" fillId="6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0" fontId="2" fillId="12" borderId="2" xfId="0" applyFont="1" applyFill="1" applyBorder="1" applyAlignment="1">
      <alignment horizontal="left" vertical="center" wrapText="1"/>
    </xf>
    <xf numFmtId="10" fontId="2" fillId="12" borderId="2" xfId="2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10" fontId="3" fillId="0" borderId="9" xfId="2" applyNumberFormat="1" applyFont="1" applyFill="1" applyBorder="1" applyAlignment="1">
      <alignment horizontal="center" vertical="center" wrapText="1"/>
    </xf>
    <xf numFmtId="10" fontId="2" fillId="6" borderId="2" xfId="2" applyNumberFormat="1" applyFont="1" applyFill="1" applyBorder="1" applyAlignment="1">
      <alignment horizontal="center" vertical="center" wrapText="1"/>
    </xf>
    <xf numFmtId="164" fontId="2" fillId="6" borderId="1" xfId="1" applyNumberFormat="1" applyFont="1" applyFill="1" applyBorder="1" applyAlignment="1">
      <alignment vertical="center"/>
    </xf>
    <xf numFmtId="10" fontId="2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9" fontId="5" fillId="0" borderId="1" xfId="1" applyNumberFormat="1" applyFont="1" applyBorder="1"/>
    <xf numFmtId="3" fontId="5" fillId="0" borderId="1" xfId="3" applyNumberFormat="1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7" fillId="5" borderId="1" xfId="0" applyFont="1" applyFill="1" applyBorder="1"/>
    <xf numFmtId="0" fontId="5" fillId="0" borderId="0" xfId="0" applyFont="1" applyBorder="1" applyAlignment="1">
      <alignment horizontal="center"/>
    </xf>
    <xf numFmtId="166" fontId="7" fillId="0" borderId="0" xfId="3" applyNumberFormat="1" applyFont="1" applyBorder="1"/>
    <xf numFmtId="3" fontId="7" fillId="5" borderId="1" xfId="3" applyNumberFormat="1" applyFont="1" applyFill="1" applyBorder="1"/>
    <xf numFmtId="3" fontId="7" fillId="5" borderId="1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6" borderId="6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left"/>
    </xf>
    <xf numFmtId="0" fontId="6" fillId="6" borderId="0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left"/>
    </xf>
    <xf numFmtId="0" fontId="3" fillId="3" borderId="2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oneda" xfId="3" builtinId="4"/>
    <cellStyle name="Moneda 2" xfId="4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Relationship Id="rId27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"/>
  <sheetViews>
    <sheetView tabSelected="1" topLeftCell="A16" zoomScaleNormal="100" workbookViewId="0">
      <selection activeCell="J33" sqref="J33"/>
    </sheetView>
  </sheetViews>
  <sheetFormatPr baseColWidth="10" defaultRowHeight="12.75"/>
  <cols>
    <col min="1" max="1" width="45.7109375" style="18" customWidth="1"/>
    <col min="2" max="3" width="10.7109375" style="18" customWidth="1"/>
    <col min="4" max="4" width="10.7109375" style="19" customWidth="1"/>
    <col min="5" max="6" width="10.7109375" style="18" customWidth="1"/>
    <col min="7" max="7" width="11.5703125" style="18" bestFit="1" customWidth="1"/>
    <col min="8" max="8" width="11.42578125" style="18" customWidth="1"/>
    <col min="9" max="16384" width="11.42578125" style="18"/>
  </cols>
  <sheetData>
    <row r="1" spans="1:15" ht="13.5" thickBot="1">
      <c r="A1" s="194" t="s">
        <v>4</v>
      </c>
      <c r="B1" s="195"/>
      <c r="C1" s="195"/>
      <c r="D1" s="195"/>
      <c r="E1" s="195"/>
      <c r="F1" s="196"/>
    </row>
    <row r="2" spans="1:15" ht="4.5" customHeight="1">
      <c r="A2" s="21"/>
      <c r="B2" s="21"/>
      <c r="C2" s="21"/>
      <c r="D2" s="22"/>
      <c r="E2" s="21"/>
      <c r="F2" s="21"/>
    </row>
    <row r="3" spans="1:15" ht="25.5">
      <c r="A3" s="26" t="s">
        <v>0</v>
      </c>
      <c r="B3" s="27" t="s">
        <v>7</v>
      </c>
      <c r="C3" s="27" t="s">
        <v>9</v>
      </c>
      <c r="D3" s="27" t="s">
        <v>1</v>
      </c>
      <c r="E3" s="26" t="s">
        <v>8</v>
      </c>
      <c r="F3" s="26" t="s">
        <v>186</v>
      </c>
    </row>
    <row r="4" spans="1:15" s="16" customFormat="1" ht="4.5" customHeight="1">
      <c r="A4" s="38"/>
      <c r="B4" s="145"/>
      <c r="C4" s="145"/>
      <c r="D4" s="145"/>
      <c r="E4" s="38"/>
      <c r="F4" s="38"/>
    </row>
    <row r="5" spans="1:15">
      <c r="A5" s="32" t="s">
        <v>10</v>
      </c>
      <c r="B5" s="33">
        <f>+B7+B14+B20</f>
        <v>27116913.866595134</v>
      </c>
      <c r="C5" s="165">
        <f>+C7+C14+C20</f>
        <v>27116913.866595134</v>
      </c>
      <c r="D5" s="33">
        <f>+D7+D14+D20</f>
        <v>0</v>
      </c>
      <c r="E5" s="147"/>
      <c r="F5" s="36">
        <f>+F7+F14+F20</f>
        <v>0.99267852873217255</v>
      </c>
    </row>
    <row r="6" spans="1:15" s="16" customFormat="1" ht="5.25" customHeight="1">
      <c r="A6" s="144"/>
      <c r="B6" s="145"/>
      <c r="C6" s="148"/>
      <c r="D6" s="145"/>
      <c r="E6" s="145"/>
      <c r="F6" s="146"/>
    </row>
    <row r="7" spans="1:15">
      <c r="A7" s="31" t="s">
        <v>162</v>
      </c>
      <c r="B7" s="29">
        <f>SUM(B8:B13)</f>
        <v>9653205.0112564936</v>
      </c>
      <c r="C7" s="29">
        <f t="shared" ref="C7:D7" si="0">SUM(C8:C13)</f>
        <v>9653205.0112564936</v>
      </c>
      <c r="D7" s="29">
        <f t="shared" si="0"/>
        <v>0</v>
      </c>
      <c r="E7" s="30">
        <f>SUM(E8:E13)</f>
        <v>1</v>
      </c>
      <c r="F7" s="30">
        <f>SUM(F8:F13)</f>
        <v>0.35337831566182332</v>
      </c>
      <c r="H7" s="20"/>
      <c r="I7" s="20"/>
      <c r="J7" s="20"/>
      <c r="K7" s="20"/>
      <c r="L7" s="20"/>
      <c r="M7" s="20"/>
      <c r="N7" s="20"/>
      <c r="O7" s="20"/>
    </row>
    <row r="8" spans="1:15">
      <c r="A8" s="9" t="s">
        <v>150</v>
      </c>
      <c r="B8" s="3">
        <f t="shared" ref="B8:B13" si="1">SUM(C8:D8)</f>
        <v>4561158.2296605175</v>
      </c>
      <c r="C8" s="149">
        <f>+'A1 PARQUE'!F23</f>
        <v>4561158.2296605175</v>
      </c>
      <c r="D8" s="169">
        <v>0</v>
      </c>
      <c r="E8" s="1">
        <f>+B8/B$7</f>
        <v>0.47250195394605238</v>
      </c>
      <c r="F8" s="4">
        <f t="shared" ref="F8:F13" si="2">B8/B$27</f>
        <v>0.16697194463237638</v>
      </c>
      <c r="H8" s="20"/>
      <c r="I8" s="20"/>
      <c r="J8" s="20"/>
      <c r="K8" s="20"/>
      <c r="L8" s="20"/>
      <c r="M8" s="20"/>
      <c r="N8" s="20"/>
      <c r="O8" s="20"/>
    </row>
    <row r="9" spans="1:15">
      <c r="A9" s="12" t="s">
        <v>154</v>
      </c>
      <c r="B9" s="3">
        <f>SUM(C9:D9)</f>
        <v>1381174.4654253784</v>
      </c>
      <c r="C9" s="149">
        <f>+'A21 CRR PG MERCADOS'!F22</f>
        <v>1381174.4654253784</v>
      </c>
      <c r="D9" s="169">
        <v>0</v>
      </c>
      <c r="E9" s="1">
        <f t="shared" ref="E9:E13" si="3">+B9/B$7</f>
        <v>0.1430793672997524</v>
      </c>
      <c r="F9" s="4">
        <f t="shared" si="2"/>
        <v>5.0561145822345867E-2</v>
      </c>
    </row>
    <row r="10" spans="1:15">
      <c r="A10" s="178" t="s">
        <v>155</v>
      </c>
      <c r="B10" s="169">
        <f t="shared" si="1"/>
        <v>751640.14250645414</v>
      </c>
      <c r="C10" s="169">
        <f>+'A22 CRR PG DRAGONES'!F18</f>
        <v>751640.14250645414</v>
      </c>
      <c r="D10" s="169">
        <v>0</v>
      </c>
      <c r="E10" s="179">
        <f t="shared" si="3"/>
        <v>7.7864309483738819E-2</v>
      </c>
      <c r="F10" s="4">
        <f t="shared" si="2"/>
        <v>2.751555853553456E-2</v>
      </c>
    </row>
    <row r="11" spans="1:15" s="16" customFormat="1">
      <c r="A11" s="9" t="s">
        <v>156</v>
      </c>
      <c r="B11" s="8">
        <f t="shared" si="1"/>
        <v>520015.77068725094</v>
      </c>
      <c r="C11" s="8">
        <f>+'A23 CRR PG S JUAN'!F18</f>
        <v>520015.77068725094</v>
      </c>
      <c r="D11" s="169">
        <v>0</v>
      </c>
      <c r="E11" s="1">
        <f t="shared" si="3"/>
        <v>5.386975311110314E-2</v>
      </c>
      <c r="F11" s="4">
        <f t="shared" si="2"/>
        <v>1.9036402619519895E-2</v>
      </c>
    </row>
    <row r="12" spans="1:15" s="16" customFormat="1">
      <c r="A12" s="14" t="s">
        <v>157</v>
      </c>
      <c r="B12" s="8">
        <f t="shared" si="1"/>
        <v>1034103.5856573705</v>
      </c>
      <c r="C12" s="149">
        <f>+'A3 ILUMINACION'!F76/2</f>
        <v>1034103.5856573705</v>
      </c>
      <c r="D12" s="169">
        <v>0</v>
      </c>
      <c r="E12" s="1">
        <f t="shared" si="3"/>
        <v>0.10712541424858521</v>
      </c>
      <c r="F12" s="4">
        <f t="shared" si="2"/>
        <v>3.7855798451740127E-2</v>
      </c>
    </row>
    <row r="13" spans="1:15" s="16" customFormat="1">
      <c r="A13" s="9" t="s">
        <v>160</v>
      </c>
      <c r="B13" s="8">
        <f t="shared" si="1"/>
        <v>1405112.8173195219</v>
      </c>
      <c r="C13" s="149">
        <f>+'A4 IMAGEN URBANA'!$F$137/2</f>
        <v>1405112.8173195219</v>
      </c>
      <c r="D13" s="169">
        <v>0</v>
      </c>
      <c r="E13" s="1">
        <f t="shared" si="3"/>
        <v>0.14555920191076804</v>
      </c>
      <c r="F13" s="4">
        <f t="shared" si="2"/>
        <v>5.1437465600306466E-2</v>
      </c>
    </row>
    <row r="14" spans="1:15">
      <c r="A14" s="170" t="s">
        <v>15</v>
      </c>
      <c r="B14" s="171">
        <f>SUM(B15:B19)</f>
        <v>16933828.377250992</v>
      </c>
      <c r="C14" s="171">
        <f t="shared" ref="C14:D14" si="4">SUM(C15:C19)</f>
        <v>16933828.377250992</v>
      </c>
      <c r="D14" s="171">
        <f t="shared" si="4"/>
        <v>0</v>
      </c>
      <c r="E14" s="180">
        <f>SUM(E15:E19)</f>
        <v>1</v>
      </c>
      <c r="F14" s="180">
        <f>SUM(F15:F19)</f>
        <v>0.61990268959184158</v>
      </c>
      <c r="G14" s="18" t="s">
        <v>2</v>
      </c>
    </row>
    <row r="15" spans="1:15" s="23" customFormat="1">
      <c r="A15" s="7" t="s">
        <v>163</v>
      </c>
      <c r="B15" s="3">
        <f>SUM(C15:D15)</f>
        <v>8532387.474621512</v>
      </c>
      <c r="C15" s="149">
        <f>+'B1 MERCADOS'!F54</f>
        <v>8532387.474621512</v>
      </c>
      <c r="D15" s="8">
        <v>0</v>
      </c>
      <c r="E15" s="4">
        <f>B15/B$14</f>
        <v>0.5038664196032584</v>
      </c>
      <c r="F15" s="4">
        <f>B15/B$27</f>
        <v>0.31234814870707117</v>
      </c>
      <c r="G15" s="20"/>
      <c r="H15" s="20"/>
      <c r="I15" s="20"/>
      <c r="J15" s="20"/>
      <c r="K15" s="20"/>
      <c r="L15" s="20"/>
      <c r="M15" s="20"/>
      <c r="N15" s="20"/>
      <c r="O15" s="20"/>
    </row>
    <row r="16" spans="1:15" s="23" customFormat="1">
      <c r="A16" s="7" t="s">
        <v>161</v>
      </c>
      <c r="B16" s="3">
        <f>SUM(C16:D16)</f>
        <v>192047.80876494022</v>
      </c>
      <c r="C16" s="149">
        <f>+'B2 SEÑALÉTICA'!F15</f>
        <v>192047.80876494022</v>
      </c>
      <c r="D16" s="11">
        <v>0</v>
      </c>
      <c r="E16" s="4">
        <f t="shared" ref="E16:E19" si="5">B16/B$14</f>
        <v>1.1341074474507986E-2</v>
      </c>
      <c r="F16" s="4">
        <f>B16/B$27</f>
        <v>7.0303625696088801E-3</v>
      </c>
      <c r="G16" s="20"/>
      <c r="H16" s="20"/>
      <c r="I16" s="20"/>
      <c r="J16" s="20"/>
      <c r="K16" s="20"/>
      <c r="L16" s="20"/>
      <c r="M16" s="20"/>
      <c r="N16" s="20"/>
      <c r="O16" s="20"/>
    </row>
    <row r="17" spans="1:10">
      <c r="A17" s="9" t="s">
        <v>164</v>
      </c>
      <c r="B17" s="3">
        <f>SUM(C17:D17)</f>
        <v>5600628.1536254985</v>
      </c>
      <c r="C17" s="149">
        <f>+'B3 ESTACION'!F29</f>
        <v>5600628.1536254985</v>
      </c>
      <c r="D17" s="8">
        <v>0</v>
      </c>
      <c r="E17" s="4">
        <f t="shared" si="5"/>
        <v>0.33073608807500471</v>
      </c>
      <c r="F17" s="4">
        <f>B17/B$27</f>
        <v>0.20502419054277959</v>
      </c>
    </row>
    <row r="18" spans="1:10">
      <c r="A18" s="10" t="s">
        <v>165</v>
      </c>
      <c r="B18" s="3">
        <f>SUM(C18:D18)</f>
        <v>497211.15537848597</v>
      </c>
      <c r="C18" s="149">
        <f>+'B4 PROMO NEGOCIOS'!F11*60%</f>
        <v>497211.15537848597</v>
      </c>
      <c r="D18" s="8">
        <v>0</v>
      </c>
      <c r="E18" s="4">
        <f t="shared" si="5"/>
        <v>2.9362005111994785E-2</v>
      </c>
      <c r="F18" s="4">
        <f>B18/B$27</f>
        <v>1.8201585940734965E-2</v>
      </c>
    </row>
    <row r="19" spans="1:10">
      <c r="A19" s="10" t="s">
        <v>166</v>
      </c>
      <c r="B19" s="3">
        <f>SUM(C19:D19)</f>
        <v>2111553.7848605579</v>
      </c>
      <c r="C19" s="149">
        <f>+'B5 VIVIENDA'!F11</f>
        <v>2111553.7848605579</v>
      </c>
      <c r="D19" s="11">
        <v>0</v>
      </c>
      <c r="E19" s="4">
        <f t="shared" si="5"/>
        <v>0.12469441273523429</v>
      </c>
      <c r="F19" s="4">
        <f>B19/B$27</f>
        <v>7.7298401831646893E-2</v>
      </c>
    </row>
    <row r="20" spans="1:10" ht="25.5">
      <c r="A20" s="28" t="s">
        <v>158</v>
      </c>
      <c r="B20" s="181">
        <f>SUM(B21:B22)</f>
        <v>529880.47808764945</v>
      </c>
      <c r="C20" s="136">
        <f>SUM(C21:C22)</f>
        <v>529880.47808764945</v>
      </c>
      <c r="D20" s="136">
        <f>SUM(D21:D22)</f>
        <v>0</v>
      </c>
      <c r="E20" s="168">
        <f>SUM(E21:E22)</f>
        <v>0.99999999999999978</v>
      </c>
      <c r="F20" s="182">
        <f>SUM(F21:F22)</f>
        <v>1.9397523478507615E-2</v>
      </c>
      <c r="G20" s="20"/>
      <c r="H20" s="20"/>
    </row>
    <row r="21" spans="1:10" s="20" customFormat="1">
      <c r="A21" s="14" t="s">
        <v>174</v>
      </c>
      <c r="B21" s="3">
        <f>SUM(C21:D21)</f>
        <v>250996.01593625499</v>
      </c>
      <c r="C21" s="151">
        <f>+'C1 COMUNICACIÓN'!F8*70%</f>
        <v>250996.01593625499</v>
      </c>
      <c r="D21" s="3">
        <v>0</v>
      </c>
      <c r="E21" s="4">
        <f>B21/B$20</f>
        <v>0.47368421052631576</v>
      </c>
      <c r="F21" s="4">
        <f>B21/B$27</f>
        <v>9.1883005950825561E-3</v>
      </c>
    </row>
    <row r="22" spans="1:10" s="20" customFormat="1">
      <c r="A22" s="14" t="s">
        <v>185</v>
      </c>
      <c r="B22" s="3">
        <f>SUM(C22:D22)</f>
        <v>278884.4621513944</v>
      </c>
      <c r="C22" s="150">
        <f>+'C2 FORTALECIMIENTO'!F9</f>
        <v>278884.4621513944</v>
      </c>
      <c r="D22" s="13">
        <v>0</v>
      </c>
      <c r="E22" s="4">
        <f t="shared" ref="E22" si="6">B22/B$20</f>
        <v>0.52631578947368407</v>
      </c>
      <c r="F22" s="4">
        <f>B22/B$27</f>
        <v>1.0209222883425061E-2</v>
      </c>
    </row>
    <row r="23" spans="1:10" s="16" customFormat="1" ht="4.5" customHeight="1">
      <c r="A23" s="172"/>
      <c r="B23" s="167"/>
      <c r="C23" s="173"/>
      <c r="D23" s="174"/>
      <c r="E23" s="5"/>
      <c r="F23" s="5"/>
    </row>
    <row r="24" spans="1:10">
      <c r="A24" s="32" t="s">
        <v>11</v>
      </c>
      <c r="B24" s="35">
        <f>SUM(B25:B25)</f>
        <v>200000</v>
      </c>
      <c r="C24" s="35">
        <f>SUM(C25:C25)</f>
        <v>200000</v>
      </c>
      <c r="D24" s="35">
        <f>SUM(D25:D25)</f>
        <v>0</v>
      </c>
      <c r="E24" s="36">
        <f>SUM(E25:E25)</f>
        <v>1</v>
      </c>
      <c r="F24" s="37">
        <f>SUM(F25:F25)</f>
        <v>7.3214712678276866E-3</v>
      </c>
    </row>
    <row r="25" spans="1:10">
      <c r="A25" s="15" t="s">
        <v>182</v>
      </c>
      <c r="B25" s="3">
        <f>SUM(C25:D25)</f>
        <v>200000</v>
      </c>
      <c r="C25" s="3">
        <v>200000</v>
      </c>
      <c r="D25" s="3">
        <v>0</v>
      </c>
      <c r="E25" s="2">
        <f>+B25/$B$24</f>
        <v>1</v>
      </c>
      <c r="F25" s="4">
        <f>B25/B$27</f>
        <v>7.3214712678276866E-3</v>
      </c>
    </row>
    <row r="26" spans="1:10" s="126" customFormat="1" ht="6.75" customHeight="1">
      <c r="A26" s="172"/>
      <c r="B26" s="167"/>
      <c r="C26" s="167"/>
      <c r="D26" s="175"/>
      <c r="E26" s="5"/>
      <c r="F26" s="5"/>
      <c r="J26" s="126" t="s">
        <v>2</v>
      </c>
    </row>
    <row r="27" spans="1:10">
      <c r="A27" s="28" t="s">
        <v>159</v>
      </c>
      <c r="B27" s="181">
        <f>+B24+B5</f>
        <v>27316913.866595134</v>
      </c>
      <c r="C27" s="181">
        <f>+C24+C5</f>
        <v>27316913.866595134</v>
      </c>
      <c r="D27" s="181">
        <f>+D24+D5</f>
        <v>0</v>
      </c>
      <c r="E27" s="20"/>
      <c r="F27" s="34">
        <f>+F24+F20+F14+F7</f>
        <v>1.0000000000000002</v>
      </c>
      <c r="G27" s="24"/>
    </row>
    <row r="28" spans="1:10">
      <c r="A28" s="176" t="s">
        <v>3</v>
      </c>
      <c r="B28" s="177">
        <f>+B27/B$27</f>
        <v>1</v>
      </c>
      <c r="C28" s="177">
        <f>+C27/B$27</f>
        <v>1</v>
      </c>
      <c r="D28" s="177">
        <f>+D27/B$27</f>
        <v>0</v>
      </c>
      <c r="E28" s="5"/>
      <c r="F28" s="6"/>
    </row>
    <row r="29" spans="1:10">
      <c r="E29" s="20"/>
      <c r="F29" s="20"/>
    </row>
    <row r="30" spans="1:10" s="20" customFormat="1" ht="27" customHeight="1">
      <c r="A30" s="211" t="s">
        <v>6</v>
      </c>
      <c r="B30" s="211"/>
      <c r="C30" s="211"/>
      <c r="D30" s="212" t="s">
        <v>184</v>
      </c>
      <c r="E30" s="193"/>
      <c r="F30" s="193"/>
    </row>
    <row r="31" spans="1:10">
      <c r="A31" s="208" t="s">
        <v>12</v>
      </c>
      <c r="B31" s="209">
        <f>SUM(C31:D31)</f>
        <v>400000</v>
      </c>
      <c r="C31" s="210">
        <v>0</v>
      </c>
      <c r="D31" s="210">
        <v>400000</v>
      </c>
      <c r="E31" s="16"/>
      <c r="F31" s="16"/>
    </row>
    <row r="32" spans="1:10">
      <c r="A32" s="9" t="s">
        <v>13</v>
      </c>
      <c r="B32" s="3">
        <f t="shared" ref="B32:B36" si="7">SUM(C32:D32)</f>
        <v>300000</v>
      </c>
      <c r="C32" s="8">
        <v>0</v>
      </c>
      <c r="D32" s="8">
        <v>300000</v>
      </c>
      <c r="E32" s="16"/>
      <c r="F32" s="16"/>
    </row>
    <row r="33" spans="1:6">
      <c r="A33" s="17" t="s">
        <v>183</v>
      </c>
      <c r="B33" s="3">
        <f>SUM(C33:D33)</f>
        <v>800000</v>
      </c>
      <c r="C33" s="8">
        <v>0</v>
      </c>
      <c r="D33" s="25">
        <v>800000</v>
      </c>
      <c r="E33" s="16"/>
      <c r="F33" s="16"/>
    </row>
    <row r="34" spans="1:6">
      <c r="A34" s="14" t="s">
        <v>157</v>
      </c>
      <c r="B34" s="3">
        <f t="shared" ref="B34:B35" si="8">SUM(C34:D34)</f>
        <v>1000000</v>
      </c>
      <c r="C34" s="8">
        <v>0</v>
      </c>
      <c r="D34" s="8">
        <v>1000000</v>
      </c>
      <c r="E34" s="16"/>
      <c r="F34" s="16"/>
    </row>
    <row r="35" spans="1:6">
      <c r="A35" s="9" t="s">
        <v>160</v>
      </c>
      <c r="B35" s="3">
        <f t="shared" si="8"/>
        <v>1400000</v>
      </c>
      <c r="C35" s="8">
        <v>0</v>
      </c>
      <c r="D35" s="8">
        <v>1400000</v>
      </c>
      <c r="E35" s="16"/>
      <c r="F35" s="16"/>
    </row>
    <row r="36" spans="1:6">
      <c r="A36" s="9" t="s">
        <v>164</v>
      </c>
      <c r="B36" s="3">
        <f t="shared" si="7"/>
        <v>1000000</v>
      </c>
      <c r="C36" s="8">
        <v>0</v>
      </c>
      <c r="D36" s="8">
        <v>1000000</v>
      </c>
      <c r="E36" s="16"/>
      <c r="F36" s="16"/>
    </row>
    <row r="37" spans="1:6">
      <c r="A37" s="10" t="s">
        <v>14</v>
      </c>
      <c r="B37" s="3">
        <f>SUM(C37:D37)</f>
        <v>2000000</v>
      </c>
      <c r="C37" s="8">
        <v>0</v>
      </c>
      <c r="D37" s="8">
        <v>2000000</v>
      </c>
      <c r="E37" s="16"/>
      <c r="F37" s="16"/>
    </row>
    <row r="38" spans="1:6">
      <c r="A38" s="10" t="s">
        <v>174</v>
      </c>
      <c r="B38" s="3">
        <f>SUM(C38:D38)</f>
        <v>110000</v>
      </c>
      <c r="C38" s="8">
        <v>0</v>
      </c>
      <c r="D38" s="8">
        <v>110000</v>
      </c>
      <c r="E38" s="16"/>
      <c r="F38" s="16"/>
    </row>
    <row r="39" spans="1:6">
      <c r="A39" s="32" t="s">
        <v>5</v>
      </c>
      <c r="B39" s="35">
        <f>SUM(B31:B38)</f>
        <v>7010000</v>
      </c>
      <c r="C39" s="35">
        <f>SUM(C31:C38)</f>
        <v>0</v>
      </c>
      <c r="D39" s="35">
        <f>SUM(D31:D38)</f>
        <v>7010000</v>
      </c>
    </row>
  </sheetData>
  <mergeCells count="3">
    <mergeCell ref="E30:F30"/>
    <mergeCell ref="A1:F1"/>
    <mergeCell ref="A30:C30"/>
  </mergeCells>
  <pageMargins left="0.7" right="0.7" top="0.75" bottom="0.75" header="0.3" footer="0.3"/>
  <pageSetup paperSize="9" orientation="portrait" r:id="rId1"/>
  <ignoredErrors>
    <ignoredError sqref="E7 E20:F20 B14 B20 F14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F30"/>
  <sheetViews>
    <sheetView topLeftCell="A7" workbookViewId="0">
      <selection activeCell="I26" sqref="I26"/>
    </sheetView>
  </sheetViews>
  <sheetFormatPr baseColWidth="10" defaultRowHeight="12.75"/>
  <cols>
    <col min="1" max="1" width="45.7109375" style="18" customWidth="1"/>
    <col min="2" max="6" width="10.7109375" style="18" customWidth="1"/>
    <col min="7" max="16384" width="11.42578125" style="18"/>
  </cols>
  <sheetData>
    <row r="1" spans="1:6" ht="13.5" thickBot="1">
      <c r="A1" s="197" t="s">
        <v>16</v>
      </c>
      <c r="B1" s="198"/>
      <c r="C1" s="198"/>
      <c r="D1" s="198"/>
      <c r="E1" s="199"/>
      <c r="F1" s="200"/>
    </row>
    <row r="2" spans="1:6" s="40" customFormat="1">
      <c r="A2" s="206" t="s">
        <v>153</v>
      </c>
      <c r="B2" s="206"/>
      <c r="C2" s="39"/>
      <c r="D2" s="39"/>
      <c r="E2" s="142" t="s">
        <v>17</v>
      </c>
      <c r="F2" s="152">
        <v>12.55</v>
      </c>
    </row>
    <row r="3" spans="1:6" s="20" customFormat="1">
      <c r="A3" s="46"/>
      <c r="B3" s="16"/>
      <c r="C3" s="16"/>
      <c r="D3" s="43"/>
      <c r="E3" s="44"/>
      <c r="F3" s="45"/>
    </row>
    <row r="4" spans="1:6" s="20" customFormat="1">
      <c r="A4" s="47" t="s">
        <v>67</v>
      </c>
      <c r="B4" s="48"/>
      <c r="C4" s="49"/>
      <c r="D4" s="50"/>
      <c r="E4" s="51"/>
      <c r="F4" s="51"/>
    </row>
    <row r="5" spans="1:6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 s="16" customFormat="1" ht="15.75" customHeight="1">
      <c r="A6" s="106" t="s">
        <v>68</v>
      </c>
      <c r="B6" s="107"/>
      <c r="C6" s="107"/>
      <c r="D6" s="108"/>
      <c r="E6" s="109"/>
      <c r="F6" s="109"/>
    </row>
    <row r="7" spans="1:6" s="20" customFormat="1" ht="13.5">
      <c r="A7" s="57" t="s">
        <v>27</v>
      </c>
      <c r="B7" s="58"/>
      <c r="C7" s="58"/>
      <c r="D7" s="59"/>
      <c r="E7" s="60">
        <f>SUM(E8:E25)</f>
        <v>67584503.200000003</v>
      </c>
      <c r="F7" s="61">
        <f t="shared" ref="F7:F29" si="0">+E7/$F$2</f>
        <v>5385219.3784860559</v>
      </c>
    </row>
    <row r="8" spans="1:6" s="20" customFormat="1">
      <c r="A8" s="66" t="s">
        <v>28</v>
      </c>
      <c r="B8" s="63" t="s">
        <v>29</v>
      </c>
      <c r="C8" s="65">
        <v>4490</v>
      </c>
      <c r="D8" s="65">
        <v>120</v>
      </c>
      <c r="E8" s="65">
        <f>+C8*D8</f>
        <v>538800</v>
      </c>
      <c r="F8" s="65">
        <f t="shared" si="0"/>
        <v>42932.270916334659</v>
      </c>
    </row>
    <row r="9" spans="1:6" s="20" customFormat="1">
      <c r="A9" s="66" t="s">
        <v>69</v>
      </c>
      <c r="B9" s="63" t="s">
        <v>29</v>
      </c>
      <c r="C9" s="65">
        <v>2500</v>
      </c>
      <c r="D9" s="65">
        <v>3000</v>
      </c>
      <c r="E9" s="65">
        <f t="shared" ref="E9:E21" si="1">+C9*D9</f>
        <v>7500000</v>
      </c>
      <c r="F9" s="65">
        <f t="shared" si="0"/>
        <v>597609.56175298803</v>
      </c>
    </row>
    <row r="10" spans="1:6" s="20" customFormat="1">
      <c r="A10" s="66" t="s">
        <v>70</v>
      </c>
      <c r="B10" s="63" t="s">
        <v>29</v>
      </c>
      <c r="C10" s="65">
        <v>3500</v>
      </c>
      <c r="D10" s="65">
        <v>2000</v>
      </c>
      <c r="E10" s="65">
        <f t="shared" si="1"/>
        <v>7000000</v>
      </c>
      <c r="F10" s="65">
        <f t="shared" si="0"/>
        <v>557768.9243027888</v>
      </c>
    </row>
    <row r="11" spans="1:6" s="20" customFormat="1">
      <c r="A11" s="66" t="s">
        <v>55</v>
      </c>
      <c r="B11" s="63" t="s">
        <v>29</v>
      </c>
      <c r="C11" s="65">
        <v>2000</v>
      </c>
      <c r="D11" s="65">
        <v>592.55999999999995</v>
      </c>
      <c r="E11" s="65">
        <f t="shared" si="1"/>
        <v>1185120</v>
      </c>
      <c r="F11" s="65">
        <f t="shared" si="0"/>
        <v>94431.872509960158</v>
      </c>
    </row>
    <row r="12" spans="1:6" s="20" customFormat="1">
      <c r="A12" s="66" t="s">
        <v>57</v>
      </c>
      <c r="B12" s="63" t="s">
        <v>46</v>
      </c>
      <c r="C12" s="65">
        <f>400+405</f>
        <v>805</v>
      </c>
      <c r="D12" s="65">
        <v>3706.15</v>
      </c>
      <c r="E12" s="65">
        <f t="shared" si="1"/>
        <v>2983450.75</v>
      </c>
      <c r="F12" s="65">
        <f t="shared" si="0"/>
        <v>237725.15936254978</v>
      </c>
    </row>
    <row r="13" spans="1:6" s="20" customFormat="1">
      <c r="A13" s="66" t="s">
        <v>58</v>
      </c>
      <c r="B13" s="63" t="s">
        <v>46</v>
      </c>
      <c r="C13" s="65">
        <f>400+405</f>
        <v>805</v>
      </c>
      <c r="D13" s="65">
        <v>3103.21</v>
      </c>
      <c r="E13" s="65">
        <f t="shared" si="1"/>
        <v>2498084.0499999998</v>
      </c>
      <c r="F13" s="65">
        <f t="shared" si="0"/>
        <v>199050.52191235058</v>
      </c>
    </row>
    <row r="14" spans="1:6" s="20" customFormat="1">
      <c r="A14" s="66" t="s">
        <v>71</v>
      </c>
      <c r="B14" s="63" t="s">
        <v>46</v>
      </c>
      <c r="C14" s="65">
        <f>200+135</f>
        <v>335</v>
      </c>
      <c r="D14" s="65">
        <v>4748.76</v>
      </c>
      <c r="E14" s="65">
        <f t="shared" si="1"/>
        <v>1590834.6</v>
      </c>
      <c r="F14" s="65">
        <f t="shared" si="0"/>
        <v>126759.72908366534</v>
      </c>
    </row>
    <row r="15" spans="1:6">
      <c r="A15" s="66" t="s">
        <v>59</v>
      </c>
      <c r="B15" s="63" t="s">
        <v>46</v>
      </c>
      <c r="C15" s="65">
        <f>200+270</f>
        <v>470</v>
      </c>
      <c r="D15" s="65">
        <v>4748.76</v>
      </c>
      <c r="E15" s="65">
        <f t="shared" si="1"/>
        <v>2231917.2000000002</v>
      </c>
      <c r="F15" s="65">
        <f t="shared" si="0"/>
        <v>177842.00796812749</v>
      </c>
    </row>
    <row r="16" spans="1:6">
      <c r="A16" s="66" t="s">
        <v>73</v>
      </c>
      <c r="B16" s="63" t="s">
        <v>31</v>
      </c>
      <c r="C16" s="65">
        <v>2</v>
      </c>
      <c r="D16" s="65">
        <v>250000</v>
      </c>
      <c r="E16" s="65">
        <f>+C16*D16</f>
        <v>500000</v>
      </c>
      <c r="F16" s="65">
        <f>+E16/$F$2</f>
        <v>39840.637450199203</v>
      </c>
    </row>
    <row r="17" spans="1:6">
      <c r="A17" s="66" t="s">
        <v>72</v>
      </c>
      <c r="B17" s="63" t="s">
        <v>29</v>
      </c>
      <c r="C17" s="65">
        <f>800+270</f>
        <v>1070</v>
      </c>
      <c r="D17" s="65">
        <v>415.38</v>
      </c>
      <c r="E17" s="65">
        <f t="shared" si="1"/>
        <v>444456.6</v>
      </c>
      <c r="F17" s="65">
        <f t="shared" si="0"/>
        <v>35414.868525896411</v>
      </c>
    </row>
    <row r="18" spans="1:6" s="20" customFormat="1">
      <c r="A18" s="66" t="s">
        <v>74</v>
      </c>
      <c r="B18" s="63" t="s">
        <v>29</v>
      </c>
      <c r="C18" s="65">
        <v>1856.7</v>
      </c>
      <c r="D18" s="65">
        <v>1200</v>
      </c>
      <c r="E18" s="65">
        <f t="shared" si="1"/>
        <v>2228040</v>
      </c>
      <c r="F18" s="65">
        <f t="shared" si="0"/>
        <v>177533.06772908365</v>
      </c>
    </row>
    <row r="19" spans="1:6" s="20" customFormat="1">
      <c r="A19" s="66" t="s">
        <v>181</v>
      </c>
      <c r="B19" s="63" t="s">
        <v>29</v>
      </c>
      <c r="C19" s="65">
        <v>2948</v>
      </c>
      <c r="D19" s="65">
        <v>4000</v>
      </c>
      <c r="E19" s="65">
        <f t="shared" ref="E19" si="2">+C19*D19</f>
        <v>11792000</v>
      </c>
      <c r="F19" s="65">
        <f t="shared" ref="F19" si="3">+E19/$F$2</f>
        <v>939601.593625498</v>
      </c>
    </row>
    <row r="20" spans="1:6" s="16" customFormat="1">
      <c r="A20" s="66" t="s">
        <v>75</v>
      </c>
      <c r="B20" s="63" t="s">
        <v>29</v>
      </c>
      <c r="C20" s="65">
        <v>2948</v>
      </c>
      <c r="D20" s="65">
        <v>3000</v>
      </c>
      <c r="E20" s="65">
        <f t="shared" si="1"/>
        <v>8844000</v>
      </c>
      <c r="F20" s="65">
        <f t="shared" si="0"/>
        <v>704701.1952191235</v>
      </c>
    </row>
    <row r="21" spans="1:6" s="16" customFormat="1">
      <c r="A21" s="110" t="s">
        <v>130</v>
      </c>
      <c r="B21" s="67" t="s">
        <v>29</v>
      </c>
      <c r="C21" s="65">
        <v>2948</v>
      </c>
      <c r="D21" s="65">
        <v>4850</v>
      </c>
      <c r="E21" s="65">
        <f t="shared" si="1"/>
        <v>14297800</v>
      </c>
      <c r="F21" s="65">
        <f t="shared" si="0"/>
        <v>1139266.9322709162</v>
      </c>
    </row>
    <row r="22" spans="1:6" s="16" customFormat="1" ht="13.5">
      <c r="A22" s="111" t="s">
        <v>76</v>
      </c>
      <c r="B22" s="20"/>
      <c r="C22" s="68"/>
      <c r="D22" s="20"/>
      <c r="E22" s="20"/>
      <c r="F22" s="20"/>
    </row>
    <row r="23" spans="1:6" s="16" customFormat="1">
      <c r="A23" s="66" t="s">
        <v>28</v>
      </c>
      <c r="B23" s="63" t="s">
        <v>29</v>
      </c>
      <c r="C23" s="65">
        <v>2500</v>
      </c>
      <c r="D23" s="65">
        <v>120</v>
      </c>
      <c r="E23" s="65">
        <f>+C23*D23</f>
        <v>300000</v>
      </c>
      <c r="F23" s="65">
        <f t="shared" ref="F23:F25" si="4">+E23/$F$2</f>
        <v>23904.382470119519</v>
      </c>
    </row>
    <row r="24" spans="1:6" s="16" customFormat="1">
      <c r="A24" s="66" t="s">
        <v>77</v>
      </c>
      <c r="B24" s="63" t="s">
        <v>29</v>
      </c>
      <c r="C24" s="65">
        <v>2000</v>
      </c>
      <c r="D24" s="65">
        <v>1200</v>
      </c>
      <c r="E24" s="65">
        <f t="shared" ref="E24:E25" si="5">+C24*D24</f>
        <v>2400000</v>
      </c>
      <c r="F24" s="65">
        <f t="shared" si="4"/>
        <v>191235.05976095615</v>
      </c>
    </row>
    <row r="25" spans="1:6" s="16" customFormat="1">
      <c r="A25" s="66" t="s">
        <v>78</v>
      </c>
      <c r="B25" s="63" t="s">
        <v>29</v>
      </c>
      <c r="C25" s="65">
        <v>2500</v>
      </c>
      <c r="D25" s="65">
        <v>500</v>
      </c>
      <c r="E25" s="65">
        <f t="shared" si="5"/>
        <v>1250000</v>
      </c>
      <c r="F25" s="65">
        <f t="shared" si="4"/>
        <v>99601.593625498004</v>
      </c>
    </row>
    <row r="26" spans="1:6" s="20" customFormat="1" ht="13.5">
      <c r="A26" s="57" t="s">
        <v>36</v>
      </c>
      <c r="D26" s="68"/>
      <c r="E26" s="69">
        <f>SUM(E27:E28)</f>
        <v>2703380.128</v>
      </c>
      <c r="F26" s="61">
        <f t="shared" si="0"/>
        <v>215408.77513944221</v>
      </c>
    </row>
    <row r="27" spans="1:6">
      <c r="A27" s="66" t="s">
        <v>51</v>
      </c>
      <c r="B27" s="63" t="s">
        <v>177</v>
      </c>
      <c r="C27" s="70">
        <v>1</v>
      </c>
      <c r="D27" s="71">
        <v>0.01</v>
      </c>
      <c r="E27" s="65">
        <f t="shared" ref="E27:E28" si="6">+D27*$E$7</f>
        <v>675845.03200000001</v>
      </c>
      <c r="F27" s="65">
        <f t="shared" si="0"/>
        <v>53852.193784860552</v>
      </c>
    </row>
    <row r="28" spans="1:6" s="16" customFormat="1">
      <c r="A28" s="66" t="s">
        <v>79</v>
      </c>
      <c r="B28" s="63" t="s">
        <v>177</v>
      </c>
      <c r="C28" s="64">
        <v>1</v>
      </c>
      <c r="D28" s="71">
        <v>0.03</v>
      </c>
      <c r="E28" s="65">
        <f t="shared" si="6"/>
        <v>2027535.0959999999</v>
      </c>
      <c r="F28" s="65">
        <f t="shared" si="0"/>
        <v>161556.58135458166</v>
      </c>
    </row>
    <row r="29" spans="1:6" s="20" customFormat="1">
      <c r="A29" s="72" t="s">
        <v>40</v>
      </c>
      <c r="B29" s="73"/>
      <c r="C29" s="73"/>
      <c r="D29" s="73"/>
      <c r="E29" s="74">
        <f>+E26+E7</f>
        <v>70287883.328000009</v>
      </c>
      <c r="F29" s="75">
        <f t="shared" si="0"/>
        <v>5600628.1536254985</v>
      </c>
    </row>
    <row r="30" spans="1:6">
      <c r="A30" s="20"/>
      <c r="B30" s="20"/>
      <c r="C30" s="20"/>
      <c r="D30" s="20"/>
      <c r="E30" s="20"/>
      <c r="F30" s="20"/>
    </row>
  </sheetData>
  <mergeCells count="2">
    <mergeCell ref="A1:F1"/>
    <mergeCell ref="A2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E14" sqref="E14"/>
    </sheetView>
  </sheetViews>
  <sheetFormatPr baseColWidth="10" defaultRowHeight="15"/>
  <cols>
    <col min="1" max="1" width="45.7109375" customWidth="1"/>
    <col min="2" max="6" width="10.7109375" customWidth="1"/>
  </cols>
  <sheetData>
    <row r="1" spans="1:6" ht="15.75" thickBot="1">
      <c r="A1" s="197" t="s">
        <v>16</v>
      </c>
      <c r="B1" s="198"/>
      <c r="C1" s="198"/>
      <c r="D1" s="198"/>
      <c r="E1" s="199"/>
      <c r="F1" s="200"/>
    </row>
    <row r="2" spans="1:6">
      <c r="A2" s="204" t="s">
        <v>104</v>
      </c>
      <c r="B2" s="204"/>
      <c r="C2" s="39"/>
      <c r="D2" s="39"/>
      <c r="E2" s="142" t="s">
        <v>17</v>
      </c>
      <c r="F2" s="143">
        <v>12.55</v>
      </c>
    </row>
    <row r="3" spans="1:6">
      <c r="A3" s="46"/>
      <c r="B3" s="16"/>
      <c r="C3" s="16"/>
      <c r="D3" s="99"/>
      <c r="E3" s="100"/>
      <c r="F3" s="45"/>
    </row>
    <row r="4" spans="1:6">
      <c r="A4" s="207" t="s">
        <v>152</v>
      </c>
      <c r="B4" s="207"/>
      <c r="C4" s="51"/>
      <c r="D4" s="51"/>
      <c r="E4" s="51"/>
      <c r="F4" s="51"/>
    </row>
    <row r="5" spans="1:6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>
      <c r="A6" s="57" t="s">
        <v>27</v>
      </c>
      <c r="B6" s="58"/>
      <c r="C6" s="58"/>
      <c r="D6" s="59"/>
      <c r="E6" s="60">
        <f>SUM(E7:E7)</f>
        <v>10000000</v>
      </c>
      <c r="F6" s="61">
        <f>+E6/$F$2</f>
        <v>796812.74900398403</v>
      </c>
    </row>
    <row r="7" spans="1:6">
      <c r="A7" s="66" t="s">
        <v>176</v>
      </c>
      <c r="B7" s="63" t="s">
        <v>34</v>
      </c>
      <c r="C7" s="65">
        <v>1</v>
      </c>
      <c r="D7" s="65">
        <v>10000000</v>
      </c>
      <c r="E7" s="65">
        <f t="shared" ref="E7" si="0">PRODUCT(D7,C7)</f>
        <v>10000000</v>
      </c>
      <c r="F7" s="65">
        <f t="shared" ref="F7:F11" si="1">+E7/$F$2</f>
        <v>796812.74900398403</v>
      </c>
    </row>
    <row r="8" spans="1:6">
      <c r="A8" s="57" t="s">
        <v>36</v>
      </c>
      <c r="B8" s="20"/>
      <c r="C8" s="20"/>
      <c r="D8" s="68"/>
      <c r="E8" s="69">
        <f>SUM(E9:E10)</f>
        <v>400000</v>
      </c>
      <c r="F8" s="61">
        <f t="shared" si="1"/>
        <v>31872.509960159361</v>
      </c>
    </row>
    <row r="9" spans="1:6">
      <c r="A9" s="66" t="s">
        <v>38</v>
      </c>
      <c r="B9" s="63" t="s">
        <v>177</v>
      </c>
      <c r="C9" s="64">
        <v>1</v>
      </c>
      <c r="D9" s="71">
        <v>0.02</v>
      </c>
      <c r="E9" s="65">
        <f t="shared" ref="E9:E10" si="2">+$E$6*D9</f>
        <v>200000</v>
      </c>
      <c r="F9" s="65">
        <f t="shared" si="1"/>
        <v>15936.254980079681</v>
      </c>
    </row>
    <row r="10" spans="1:6">
      <c r="A10" s="66" t="s">
        <v>105</v>
      </c>
      <c r="B10" s="63" t="s">
        <v>177</v>
      </c>
      <c r="C10" s="64">
        <v>1</v>
      </c>
      <c r="D10" s="71">
        <v>0.02</v>
      </c>
      <c r="E10" s="65">
        <f t="shared" si="2"/>
        <v>200000</v>
      </c>
      <c r="F10" s="65">
        <f t="shared" si="1"/>
        <v>15936.254980079681</v>
      </c>
    </row>
    <row r="11" spans="1:6">
      <c r="A11" s="72" t="s">
        <v>5</v>
      </c>
      <c r="B11" s="73"/>
      <c r="C11" s="73"/>
      <c r="D11" s="73"/>
      <c r="E11" s="74">
        <f>+E8+E6</f>
        <v>10400000</v>
      </c>
      <c r="F11" s="75">
        <f t="shared" si="1"/>
        <v>828685.25896414334</v>
      </c>
    </row>
  </sheetData>
  <mergeCells count="3">
    <mergeCell ref="A1:F1"/>
    <mergeCell ref="A2:B2"/>
    <mergeCell ref="A4:B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B11" sqref="B11"/>
    </sheetView>
  </sheetViews>
  <sheetFormatPr baseColWidth="10" defaultRowHeight="12.75"/>
  <cols>
    <col min="1" max="1" width="45.7109375" style="18" customWidth="1"/>
    <col min="2" max="2" width="10.7109375" style="48" customWidth="1"/>
    <col min="3" max="6" width="10.7109375" style="51" customWidth="1"/>
    <col min="7" max="16384" width="11.42578125" style="18"/>
  </cols>
  <sheetData>
    <row r="1" spans="1:6" ht="13.5" thickBot="1">
      <c r="A1" s="197" t="s">
        <v>16</v>
      </c>
      <c r="B1" s="198"/>
      <c r="C1" s="198"/>
      <c r="D1" s="198"/>
      <c r="E1" s="199"/>
      <c r="F1" s="200"/>
    </row>
    <row r="2" spans="1:6" s="40" customFormat="1">
      <c r="A2" s="204" t="s">
        <v>102</v>
      </c>
      <c r="B2" s="204"/>
      <c r="C2" s="39"/>
      <c r="D2" s="39"/>
      <c r="E2" s="142" t="s">
        <v>17</v>
      </c>
      <c r="F2" s="143">
        <v>12.55</v>
      </c>
    </row>
    <row r="3" spans="1:6">
      <c r="A3" s="46"/>
      <c r="B3" s="16"/>
      <c r="C3" s="16"/>
      <c r="D3" s="99"/>
      <c r="E3" s="100"/>
      <c r="F3" s="45"/>
    </row>
    <row r="4" spans="1:6" s="20" customFormat="1">
      <c r="A4" s="102" t="s">
        <v>151</v>
      </c>
      <c r="B4" s="48"/>
      <c r="C4" s="51"/>
      <c r="D4" s="51"/>
      <c r="E4" s="51"/>
      <c r="F4" s="51"/>
    </row>
    <row r="5" spans="1:6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 s="16" customFormat="1" ht="13.5">
      <c r="A6" s="57" t="s">
        <v>27</v>
      </c>
      <c r="B6" s="58"/>
      <c r="C6" s="58"/>
      <c r="D6" s="59"/>
      <c r="E6" s="60">
        <f>SUM(E7:E7)</f>
        <v>25000000</v>
      </c>
      <c r="F6" s="61">
        <f>+E6/$F$2</f>
        <v>1992031.8725099601</v>
      </c>
    </row>
    <row r="7" spans="1:6" s="20" customFormat="1">
      <c r="A7" s="66" t="s">
        <v>103</v>
      </c>
      <c r="B7" s="63" t="s">
        <v>34</v>
      </c>
      <c r="C7" s="65">
        <v>1</v>
      </c>
      <c r="D7" s="65">
        <v>25000000</v>
      </c>
      <c r="E7" s="65">
        <f t="shared" ref="E7" si="0">+D7*C7</f>
        <v>25000000</v>
      </c>
      <c r="F7" s="65">
        <f t="shared" ref="F7:F11" si="1">+E7/$F$2</f>
        <v>1992031.8725099601</v>
      </c>
    </row>
    <row r="8" spans="1:6" ht="13.5">
      <c r="A8" s="57" t="s">
        <v>36</v>
      </c>
      <c r="B8" s="20"/>
      <c r="C8" s="20"/>
      <c r="D8" s="68"/>
      <c r="E8" s="69">
        <f>SUM(E9:E10)</f>
        <v>1500000</v>
      </c>
      <c r="F8" s="61">
        <f t="shared" si="1"/>
        <v>119521.9123505976</v>
      </c>
    </row>
    <row r="9" spans="1:6" s="16" customFormat="1">
      <c r="A9" s="66" t="s">
        <v>79</v>
      </c>
      <c r="B9" s="63" t="s">
        <v>177</v>
      </c>
      <c r="C9" s="64">
        <v>1</v>
      </c>
      <c r="D9" s="71">
        <v>0.03</v>
      </c>
      <c r="E9" s="65">
        <f t="shared" ref="E9:E10" si="2">+$E$6*D9</f>
        <v>750000</v>
      </c>
      <c r="F9" s="65">
        <f t="shared" si="1"/>
        <v>59760.956175298801</v>
      </c>
    </row>
    <row r="10" spans="1:6" s="16" customFormat="1">
      <c r="A10" s="66" t="s">
        <v>131</v>
      </c>
      <c r="B10" s="63" t="s">
        <v>177</v>
      </c>
      <c r="C10" s="64">
        <v>1</v>
      </c>
      <c r="D10" s="71">
        <v>0.03</v>
      </c>
      <c r="E10" s="65">
        <f t="shared" si="2"/>
        <v>750000</v>
      </c>
      <c r="F10" s="65">
        <f t="shared" si="1"/>
        <v>59760.956175298801</v>
      </c>
    </row>
    <row r="11" spans="1:6">
      <c r="A11" s="72" t="s">
        <v>5</v>
      </c>
      <c r="B11" s="73"/>
      <c r="C11" s="73"/>
      <c r="D11" s="73"/>
      <c r="E11" s="74">
        <f>+E8+E6</f>
        <v>26500000</v>
      </c>
      <c r="F11" s="75">
        <f t="shared" si="1"/>
        <v>2111553.7848605579</v>
      </c>
    </row>
    <row r="12" spans="1:6">
      <c r="A12" s="16"/>
      <c r="B12" s="79"/>
      <c r="C12" s="82"/>
      <c r="D12" s="82"/>
      <c r="E12" s="82"/>
      <c r="F12" s="82"/>
    </row>
  </sheetData>
  <mergeCells count="2">
    <mergeCell ref="A1:F1"/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D8" sqref="D8"/>
    </sheetView>
  </sheetViews>
  <sheetFormatPr baseColWidth="10" defaultRowHeight="12.75"/>
  <cols>
    <col min="1" max="1" width="45.7109375" style="18" customWidth="1"/>
    <col min="2" max="2" width="10.7109375" style="48" customWidth="1"/>
    <col min="3" max="6" width="10.7109375" style="51" customWidth="1"/>
    <col min="7" max="16384" width="11.42578125" style="18"/>
  </cols>
  <sheetData>
    <row r="1" spans="1:6" ht="13.5" thickBot="1">
      <c r="A1" s="197" t="s">
        <v>16</v>
      </c>
      <c r="B1" s="198"/>
      <c r="C1" s="198"/>
      <c r="D1" s="198"/>
      <c r="E1" s="199"/>
      <c r="F1" s="200"/>
    </row>
    <row r="2" spans="1:6" s="40" customFormat="1">
      <c r="A2" s="204" t="s">
        <v>167</v>
      </c>
      <c r="B2" s="204"/>
      <c r="C2" s="204"/>
      <c r="D2" s="39"/>
      <c r="E2" s="142" t="s">
        <v>17</v>
      </c>
      <c r="F2" s="143">
        <v>12.55</v>
      </c>
    </row>
    <row r="3" spans="1:6">
      <c r="A3" s="46"/>
      <c r="B3" s="16"/>
      <c r="C3" s="16"/>
      <c r="D3" s="99"/>
      <c r="E3" s="100"/>
      <c r="F3" s="45"/>
    </row>
    <row r="4" spans="1:6" s="20" customFormat="1">
      <c r="A4" s="102" t="s">
        <v>172</v>
      </c>
      <c r="B4" s="48"/>
      <c r="C4" s="51"/>
      <c r="D4" s="51"/>
      <c r="E4" s="51"/>
      <c r="F4" s="51"/>
    </row>
    <row r="5" spans="1:6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 s="16" customFormat="1">
      <c r="A6" s="17" t="s">
        <v>175</v>
      </c>
      <c r="B6" s="183" t="s">
        <v>34</v>
      </c>
      <c r="C6" s="184">
        <v>1</v>
      </c>
      <c r="D6" s="185">
        <v>500000</v>
      </c>
      <c r="E6" s="185">
        <f>+D6*C6</f>
        <v>500000</v>
      </c>
      <c r="F6" s="186">
        <f>+E6/$F$2</f>
        <v>39840.637450199203</v>
      </c>
    </row>
    <row r="7" spans="1:6" s="20" customFormat="1">
      <c r="A7" s="17" t="s">
        <v>173</v>
      </c>
      <c r="B7" s="183" t="s">
        <v>34</v>
      </c>
      <c r="C7" s="184">
        <v>1</v>
      </c>
      <c r="D7" s="185">
        <v>4000000</v>
      </c>
      <c r="E7" s="185">
        <f>+D7*C7</f>
        <v>4000000</v>
      </c>
      <c r="F7" s="186">
        <f>+E7/$F$2</f>
        <v>318725.09960159363</v>
      </c>
    </row>
    <row r="8" spans="1:6" s="16" customFormat="1">
      <c r="A8" s="188" t="s">
        <v>5</v>
      </c>
      <c r="B8" s="189"/>
      <c r="C8" s="126"/>
      <c r="D8" s="190"/>
      <c r="E8" s="191">
        <f>SUM(E6:E7)</f>
        <v>4500000</v>
      </c>
      <c r="F8" s="192">
        <f>SUM(F6:F7)</f>
        <v>358565.73705179285</v>
      </c>
    </row>
    <row r="9" spans="1:6">
      <c r="A9" s="16"/>
      <c r="B9" s="79"/>
      <c r="C9" s="82"/>
      <c r="D9" s="82"/>
      <c r="E9" s="82"/>
      <c r="F9" s="82"/>
    </row>
  </sheetData>
  <mergeCells count="2">
    <mergeCell ref="A1:F1"/>
    <mergeCell ref="A2:C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18" sqref="D18"/>
    </sheetView>
  </sheetViews>
  <sheetFormatPr baseColWidth="10" defaultRowHeight="12.75"/>
  <cols>
    <col min="1" max="1" width="45.7109375" style="18" customWidth="1"/>
    <col min="2" max="2" width="10.7109375" style="48" customWidth="1"/>
    <col min="3" max="6" width="10.7109375" style="51" customWidth="1"/>
    <col min="7" max="16384" width="11.42578125" style="18"/>
  </cols>
  <sheetData>
    <row r="1" spans="1:6" ht="13.5" thickBot="1">
      <c r="A1" s="197" t="s">
        <v>16</v>
      </c>
      <c r="B1" s="198"/>
      <c r="C1" s="198"/>
      <c r="D1" s="198"/>
      <c r="E1" s="199"/>
      <c r="F1" s="200"/>
    </row>
    <row r="2" spans="1:6" s="40" customFormat="1" ht="15" customHeight="1">
      <c r="A2" s="204" t="s">
        <v>167</v>
      </c>
      <c r="B2" s="204"/>
      <c r="C2" s="204"/>
      <c r="D2" s="39"/>
      <c r="E2" s="142" t="s">
        <v>17</v>
      </c>
      <c r="F2" s="143">
        <v>12.55</v>
      </c>
    </row>
    <row r="3" spans="1:6">
      <c r="A3" s="46"/>
      <c r="B3" s="16"/>
      <c r="C3" s="16"/>
      <c r="D3" s="99"/>
      <c r="E3" s="100"/>
      <c r="F3" s="45"/>
    </row>
    <row r="4" spans="1:6" s="20" customFormat="1">
      <c r="A4" s="102" t="s">
        <v>168</v>
      </c>
      <c r="B4" s="48"/>
      <c r="C4" s="51"/>
      <c r="D4" s="51"/>
      <c r="E4" s="51"/>
      <c r="F4" s="51"/>
    </row>
    <row r="5" spans="1:6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 s="20" customFormat="1">
      <c r="A6" s="17" t="s">
        <v>171</v>
      </c>
      <c r="B6" s="183" t="s">
        <v>34</v>
      </c>
      <c r="C6" s="184">
        <v>1</v>
      </c>
      <c r="D6" s="185">
        <v>2000000</v>
      </c>
      <c r="E6" s="185">
        <f>+D6*C6</f>
        <v>2000000</v>
      </c>
      <c r="F6" s="186">
        <f>+E6/$F$2</f>
        <v>159362.54980079681</v>
      </c>
    </row>
    <row r="7" spans="1:6" s="16" customFormat="1">
      <c r="A7" s="17" t="s">
        <v>169</v>
      </c>
      <c r="B7" s="183" t="s">
        <v>34</v>
      </c>
      <c r="C7" s="184">
        <v>1</v>
      </c>
      <c r="D7" s="185">
        <v>500000</v>
      </c>
      <c r="E7" s="185">
        <f>+D7*C7</f>
        <v>500000</v>
      </c>
      <c r="F7" s="186">
        <f>+E7/$F$2</f>
        <v>39840.637450199203</v>
      </c>
    </row>
    <row r="8" spans="1:6" s="16" customFormat="1">
      <c r="A8" s="187" t="s">
        <v>170</v>
      </c>
      <c r="B8" s="183" t="s">
        <v>34</v>
      </c>
      <c r="C8" s="184">
        <v>1</v>
      </c>
      <c r="D8" s="185">
        <v>1000000</v>
      </c>
      <c r="E8" s="185">
        <f>+D8*C8</f>
        <v>1000000</v>
      </c>
      <c r="F8" s="186">
        <f>+E8/$F$2</f>
        <v>79681.274900398406</v>
      </c>
    </row>
    <row r="9" spans="1:6">
      <c r="A9" s="188" t="s">
        <v>5</v>
      </c>
      <c r="B9" s="189"/>
      <c r="C9" s="126"/>
      <c r="D9" s="190"/>
      <c r="E9" s="191">
        <f>SUM(E6:E8)</f>
        <v>3500000</v>
      </c>
      <c r="F9" s="192">
        <f>SUM(F6:F8)</f>
        <v>278884.4621513944</v>
      </c>
    </row>
    <row r="10" spans="1:6">
      <c r="A10" s="16"/>
      <c r="B10" s="79"/>
      <c r="C10" s="82"/>
      <c r="D10" s="82"/>
      <c r="E10" s="82"/>
      <c r="F10" s="82"/>
    </row>
  </sheetData>
  <mergeCells count="2">
    <mergeCell ref="A1:F1"/>
    <mergeCell ref="A2:C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4" sqref="F14"/>
    </sheetView>
  </sheetViews>
  <sheetFormatPr baseColWidth="10" defaultRowHeight="15"/>
  <sheetData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0"/>
  <sheetViews>
    <sheetView zoomScaleNormal="100" workbookViewId="0">
      <selection sqref="A1:F23"/>
    </sheetView>
  </sheetViews>
  <sheetFormatPr baseColWidth="10" defaultRowHeight="12.75"/>
  <cols>
    <col min="1" max="1" width="45.7109375" style="18" customWidth="1"/>
    <col min="2" max="2" width="10.7109375" style="48" customWidth="1"/>
    <col min="3" max="4" width="10.7109375" style="49" customWidth="1"/>
    <col min="5" max="6" width="10.7109375" style="51" customWidth="1"/>
    <col min="7" max="7" width="14.28515625" style="18" hidden="1" customWidth="1"/>
    <col min="8" max="8" width="28.42578125" style="18" hidden="1" customWidth="1"/>
    <col min="9" max="9" width="0" style="18" hidden="1" customWidth="1"/>
    <col min="10" max="14" width="11.42578125" style="18"/>
    <col min="15" max="15" width="0" style="18" hidden="1" customWidth="1"/>
    <col min="16" max="16" width="11.42578125" style="18"/>
    <col min="17" max="17" width="11.42578125" style="20"/>
    <col min="18" max="18" width="40.85546875" style="18" customWidth="1"/>
    <col min="19" max="19" width="11.42578125" style="18"/>
    <col min="20" max="20" width="12" style="18" bestFit="1" customWidth="1"/>
    <col min="21" max="21" width="11.42578125" style="18"/>
    <col min="22" max="22" width="3.85546875" style="18" customWidth="1"/>
    <col min="23" max="23" width="43.140625" style="18" customWidth="1"/>
    <col min="24" max="24" width="11.42578125" style="18"/>
    <col min="25" max="25" width="12" style="18" bestFit="1" customWidth="1"/>
    <col min="26" max="16384" width="11.42578125" style="18"/>
  </cols>
  <sheetData>
    <row r="1" spans="1:9" ht="13.5" thickBot="1">
      <c r="A1" s="197" t="s">
        <v>16</v>
      </c>
      <c r="B1" s="198"/>
      <c r="C1" s="198"/>
      <c r="D1" s="198"/>
      <c r="E1" s="199"/>
      <c r="F1" s="200"/>
    </row>
    <row r="2" spans="1:9" s="40" customFormat="1">
      <c r="A2" s="166" t="s">
        <v>18</v>
      </c>
      <c r="B2" s="39"/>
      <c r="C2" s="39"/>
      <c r="D2" s="39"/>
      <c r="E2" s="142" t="s">
        <v>17</v>
      </c>
      <c r="F2" s="143">
        <v>12.55</v>
      </c>
    </row>
    <row r="3" spans="1:9" s="20" customFormat="1" ht="15">
      <c r="A3" s="46"/>
      <c r="B3" s="16"/>
      <c r="C3" s="16"/>
      <c r="D3" s="99"/>
      <c r="E3" s="100"/>
      <c r="F3" s="45"/>
      <c r="H3" s="20" t="s">
        <v>53</v>
      </c>
      <c r="I3" s="101"/>
    </row>
    <row r="4" spans="1:9" s="20" customFormat="1">
      <c r="A4" s="102" t="s">
        <v>128</v>
      </c>
      <c r="B4" s="48"/>
      <c r="C4" s="51"/>
      <c r="D4" s="51"/>
      <c r="E4" s="51"/>
      <c r="F4" s="51"/>
      <c r="G4" s="95">
        <f>SUM(E8:E11)</f>
        <v>23250126.5973</v>
      </c>
    </row>
    <row r="5" spans="1:9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  <c r="H5" s="20" t="s">
        <v>54</v>
      </c>
    </row>
    <row r="6" spans="1:9" s="20" customFormat="1" ht="13.5">
      <c r="A6" s="57" t="s">
        <v>27</v>
      </c>
      <c r="B6" s="58"/>
      <c r="C6" s="58"/>
      <c r="D6" s="59"/>
      <c r="E6" s="60">
        <f>SUM(E7:E18)</f>
        <v>54777546.203100003</v>
      </c>
      <c r="F6" s="61">
        <f>+E6/$F$2</f>
        <v>4364744.7173784859</v>
      </c>
      <c r="G6" s="103"/>
      <c r="H6" s="103"/>
      <c r="I6" s="103"/>
    </row>
    <row r="7" spans="1:9" s="20" customFormat="1">
      <c r="A7" s="66" t="s">
        <v>28</v>
      </c>
      <c r="B7" s="63" t="s">
        <v>29</v>
      </c>
      <c r="C7" s="104">
        <f>1783.25*10</f>
        <v>17832.5</v>
      </c>
      <c r="D7" s="65">
        <v>120</v>
      </c>
      <c r="E7" s="65">
        <f>+C7*D7</f>
        <v>2139900</v>
      </c>
      <c r="F7" s="65">
        <f t="shared" ref="F7:F23" si="0">+E7/$F$2</f>
        <v>170509.96015936253</v>
      </c>
    </row>
    <row r="8" spans="1:9" s="20" customFormat="1">
      <c r="A8" s="66" t="s">
        <v>55</v>
      </c>
      <c r="B8" s="63" t="s">
        <v>29</v>
      </c>
      <c r="C8" s="104">
        <v>6199.69</v>
      </c>
      <c r="D8" s="65">
        <v>600</v>
      </c>
      <c r="E8" s="65">
        <f t="shared" ref="E8:E18" si="1">+C8*D8</f>
        <v>3719813.9999999995</v>
      </c>
      <c r="F8" s="65">
        <f t="shared" si="0"/>
        <v>296399.52191235055</v>
      </c>
    </row>
    <row r="9" spans="1:9" s="20" customFormat="1">
      <c r="A9" s="66" t="s">
        <v>57</v>
      </c>
      <c r="B9" s="63" t="s">
        <v>46</v>
      </c>
      <c r="C9" s="104">
        <v>1239.98</v>
      </c>
      <c r="D9" s="65">
        <v>3706.15</v>
      </c>
      <c r="E9" s="65">
        <f t="shared" si="1"/>
        <v>4595551.8770000003</v>
      </c>
      <c r="F9" s="65">
        <f t="shared" si="0"/>
        <v>366179.43243027892</v>
      </c>
    </row>
    <row r="10" spans="1:9" s="20" customFormat="1">
      <c r="A10" s="66" t="s">
        <v>58</v>
      </c>
      <c r="B10" s="63" t="s">
        <v>46</v>
      </c>
      <c r="C10" s="104">
        <v>1239.98</v>
      </c>
      <c r="D10" s="65">
        <v>3103.21</v>
      </c>
      <c r="E10" s="65">
        <f t="shared" si="1"/>
        <v>3847918.3358</v>
      </c>
      <c r="F10" s="65">
        <f t="shared" si="0"/>
        <v>306607.03870916332</v>
      </c>
    </row>
    <row r="11" spans="1:9">
      <c r="A11" s="66" t="s">
        <v>71</v>
      </c>
      <c r="B11" s="63" t="s">
        <v>46</v>
      </c>
      <c r="C11" s="104">
        <v>8113.61</v>
      </c>
      <c r="D11" s="65">
        <v>1366.45</v>
      </c>
      <c r="E11" s="65">
        <f t="shared" si="1"/>
        <v>11086842.384500001</v>
      </c>
      <c r="F11" s="65">
        <f t="shared" si="0"/>
        <v>883413.7358167331</v>
      </c>
    </row>
    <row r="12" spans="1:9" s="16" customFormat="1">
      <c r="A12" s="66" t="s">
        <v>59</v>
      </c>
      <c r="B12" s="63" t="s">
        <v>46</v>
      </c>
      <c r="C12" s="104">
        <v>1239.98</v>
      </c>
      <c r="D12" s="65">
        <v>1366.45</v>
      </c>
      <c r="E12" s="65">
        <f t="shared" si="1"/>
        <v>1694370.6710000001</v>
      </c>
      <c r="F12" s="65">
        <f t="shared" si="0"/>
        <v>135009.61521912352</v>
      </c>
    </row>
    <row r="13" spans="1:9" s="20" customFormat="1">
      <c r="A13" s="66" t="s">
        <v>60</v>
      </c>
      <c r="B13" s="63" t="s">
        <v>29</v>
      </c>
      <c r="C13" s="104">
        <v>54881.37</v>
      </c>
      <c r="D13" s="65">
        <v>20</v>
      </c>
      <c r="E13" s="65">
        <f t="shared" si="1"/>
        <v>1097627.4000000001</v>
      </c>
      <c r="F13" s="65">
        <f t="shared" si="0"/>
        <v>87460.350597609562</v>
      </c>
    </row>
    <row r="14" spans="1:9" s="20" customFormat="1">
      <c r="A14" s="66" t="s">
        <v>61</v>
      </c>
      <c r="B14" s="63" t="s">
        <v>29</v>
      </c>
      <c r="C14" s="104">
        <v>500</v>
      </c>
      <c r="D14" s="65">
        <v>6000</v>
      </c>
      <c r="E14" s="65">
        <f t="shared" si="1"/>
        <v>3000000</v>
      </c>
      <c r="F14" s="65">
        <f t="shared" si="0"/>
        <v>239043.8247011952</v>
      </c>
    </row>
    <row r="15" spans="1:9" s="20" customFormat="1">
      <c r="A15" s="66" t="s">
        <v>62</v>
      </c>
      <c r="B15" s="63" t="s">
        <v>29</v>
      </c>
      <c r="C15" s="104">
        <v>14604.5</v>
      </c>
      <c r="D15" s="65">
        <v>500</v>
      </c>
      <c r="E15" s="65">
        <f t="shared" si="1"/>
        <v>7302250</v>
      </c>
      <c r="F15" s="65">
        <f t="shared" si="0"/>
        <v>581852.58964143426</v>
      </c>
    </row>
    <row r="16" spans="1:9">
      <c r="A16" s="66" t="s">
        <v>63</v>
      </c>
      <c r="B16" s="63" t="s">
        <v>29</v>
      </c>
      <c r="C16" s="104">
        <v>22199.46</v>
      </c>
      <c r="D16" s="65">
        <v>219.38</v>
      </c>
      <c r="E16" s="65">
        <f t="shared" si="1"/>
        <v>4870117.5347999996</v>
      </c>
      <c r="F16" s="65">
        <f t="shared" si="0"/>
        <v>388057.17408764933</v>
      </c>
    </row>
    <row r="17" spans="1:9" s="20" customFormat="1">
      <c r="A17" s="66" t="s">
        <v>129</v>
      </c>
      <c r="B17" s="63" t="s">
        <v>29</v>
      </c>
      <c r="C17" s="104">
        <v>200</v>
      </c>
      <c r="D17" s="65">
        <v>6000</v>
      </c>
      <c r="E17" s="65">
        <f t="shared" si="1"/>
        <v>1200000</v>
      </c>
      <c r="F17" s="65">
        <f t="shared" si="0"/>
        <v>95617.529880478076</v>
      </c>
    </row>
    <row r="18" spans="1:9" s="20" customFormat="1">
      <c r="A18" s="66" t="s">
        <v>64</v>
      </c>
      <c r="B18" s="63" t="s">
        <v>29</v>
      </c>
      <c r="C18" s="104">
        <f>48681.68-C15</f>
        <v>34077.18</v>
      </c>
      <c r="D18" s="65">
        <v>300</v>
      </c>
      <c r="E18" s="65">
        <f t="shared" si="1"/>
        <v>10223154</v>
      </c>
      <c r="F18" s="65">
        <f t="shared" si="0"/>
        <v>814593.94422310754</v>
      </c>
      <c r="H18" s="20" t="s">
        <v>65</v>
      </c>
      <c r="I18" s="20">
        <f>I3*0.3</f>
        <v>0</v>
      </c>
    </row>
    <row r="19" spans="1:9" s="20" customFormat="1" ht="13.5">
      <c r="A19" s="57" t="s">
        <v>36</v>
      </c>
      <c r="D19" s="68"/>
      <c r="E19" s="69">
        <f>SUM(E20:E22)</f>
        <v>2464989.5791395004</v>
      </c>
      <c r="F19" s="61">
        <f t="shared" si="0"/>
        <v>196413.51228203188</v>
      </c>
    </row>
    <row r="20" spans="1:9">
      <c r="A20" s="66" t="s">
        <v>51</v>
      </c>
      <c r="B20" s="63" t="s">
        <v>177</v>
      </c>
      <c r="C20" s="70">
        <v>1</v>
      </c>
      <c r="D20" s="105">
        <v>0.01</v>
      </c>
      <c r="E20" s="65">
        <f t="shared" ref="E20:E22" si="2">+$E$6*D20</f>
        <v>547775.46203100006</v>
      </c>
      <c r="F20" s="65">
        <f t="shared" si="0"/>
        <v>43647.447173784865</v>
      </c>
    </row>
    <row r="21" spans="1:9">
      <c r="A21" s="66" t="s">
        <v>79</v>
      </c>
      <c r="B21" s="63" t="s">
        <v>177</v>
      </c>
      <c r="C21" s="64">
        <v>1</v>
      </c>
      <c r="D21" s="105">
        <v>0.03</v>
      </c>
      <c r="E21" s="65">
        <f t="shared" si="2"/>
        <v>1643326.386093</v>
      </c>
      <c r="F21" s="65">
        <f t="shared" si="0"/>
        <v>130942.34152135457</v>
      </c>
    </row>
    <row r="22" spans="1:9" s="20" customFormat="1">
      <c r="A22" s="66" t="s">
        <v>66</v>
      </c>
      <c r="B22" s="63" t="s">
        <v>177</v>
      </c>
      <c r="C22" s="64">
        <v>1</v>
      </c>
      <c r="D22" s="105">
        <v>5.0000000000000001E-3</v>
      </c>
      <c r="E22" s="65">
        <f t="shared" si="2"/>
        <v>273887.73101550003</v>
      </c>
      <c r="F22" s="65">
        <f t="shared" si="0"/>
        <v>21823.723586892433</v>
      </c>
    </row>
    <row r="23" spans="1:9">
      <c r="A23" s="72" t="s">
        <v>5</v>
      </c>
      <c r="B23" s="73"/>
      <c r="C23" s="73"/>
      <c r="D23" s="73"/>
      <c r="E23" s="74">
        <f>+E19+E6</f>
        <v>57242535.782239504</v>
      </c>
      <c r="F23" s="61">
        <f t="shared" si="0"/>
        <v>4561158.2296605175</v>
      </c>
    </row>
    <row r="25" spans="1:9">
      <c r="B25" s="18"/>
      <c r="C25" s="18"/>
      <c r="D25" s="18"/>
      <c r="E25" s="18"/>
      <c r="F25" s="18"/>
      <c r="I25" s="20"/>
    </row>
    <row r="26" spans="1:9">
      <c r="B26" s="18"/>
      <c r="C26" s="18"/>
      <c r="D26" s="18"/>
      <c r="E26" s="18"/>
      <c r="F26" s="18"/>
      <c r="I26" s="20"/>
    </row>
    <row r="27" spans="1:9">
      <c r="B27" s="18"/>
      <c r="C27" s="18"/>
      <c r="D27" s="18"/>
      <c r="E27" s="18"/>
      <c r="F27" s="18"/>
      <c r="I27" s="20"/>
    </row>
    <row r="28" spans="1:9">
      <c r="B28" s="18"/>
      <c r="C28" s="18"/>
      <c r="D28" s="18"/>
      <c r="E28" s="18"/>
      <c r="F28" s="18"/>
      <c r="I28" s="20"/>
    </row>
    <row r="29" spans="1:9">
      <c r="B29" s="18"/>
      <c r="C29" s="18"/>
      <c r="D29" s="18"/>
      <c r="E29" s="18"/>
      <c r="F29" s="18"/>
      <c r="I29" s="20"/>
    </row>
    <row r="30" spans="1:9">
      <c r="B30" s="18"/>
      <c r="C30" s="18"/>
      <c r="D30" s="18"/>
      <c r="E30" s="18"/>
      <c r="F30" s="18"/>
      <c r="I30" s="20"/>
    </row>
  </sheetData>
  <mergeCells count="1">
    <mergeCell ref="A1:F1"/>
  </mergeCells>
  <pageMargins left="0.15748031496062992" right="0.15748031496062992" top="0.35" bottom="0.56999999999999995" header="0.31496062992125984" footer="0.31496062992125984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workbookViewId="0">
      <selection activeCell="G23" sqref="G23"/>
    </sheetView>
  </sheetViews>
  <sheetFormatPr baseColWidth="10" defaultRowHeight="12.75"/>
  <cols>
    <col min="1" max="1" width="50.7109375" style="18" customWidth="1"/>
    <col min="2" max="2" width="10.7109375" style="48" customWidth="1"/>
    <col min="3" max="3" width="10.7109375" style="51" customWidth="1"/>
    <col min="4" max="4" width="10.7109375" style="49" customWidth="1"/>
    <col min="5" max="6" width="10.7109375" style="51" customWidth="1"/>
    <col min="7" max="16384" width="11.42578125" style="18"/>
  </cols>
  <sheetData>
    <row r="1" spans="1:6" ht="13.5" thickBot="1">
      <c r="A1" s="197" t="s">
        <v>16</v>
      </c>
      <c r="B1" s="198"/>
      <c r="C1" s="198"/>
      <c r="D1" s="198"/>
      <c r="E1" s="199"/>
      <c r="F1" s="200"/>
    </row>
    <row r="2" spans="1:6">
      <c r="A2" s="166" t="s">
        <v>80</v>
      </c>
      <c r="B2" s="39"/>
      <c r="C2" s="39"/>
      <c r="D2" s="39"/>
      <c r="E2" s="142" t="s">
        <v>17</v>
      </c>
      <c r="F2" s="143">
        <v>12.55</v>
      </c>
    </row>
    <row r="3" spans="1:6" s="40" customFormat="1">
      <c r="B3" s="16"/>
      <c r="C3" s="16"/>
      <c r="D3" s="99"/>
      <c r="E3" s="100"/>
      <c r="F3" s="45"/>
    </row>
    <row r="4" spans="1:6" s="20" customFormat="1">
      <c r="A4" s="102" t="s">
        <v>137</v>
      </c>
      <c r="B4" s="48"/>
      <c r="C4" s="51"/>
      <c r="D4" s="51"/>
      <c r="E4" s="51"/>
      <c r="F4" s="51"/>
    </row>
    <row r="5" spans="1:6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 s="20" customFormat="1" ht="13.5">
      <c r="A6" s="57" t="s">
        <v>27</v>
      </c>
      <c r="B6" s="58"/>
      <c r="C6" s="58"/>
      <c r="D6" s="59"/>
      <c r="E6" s="60">
        <f>SUM(E8:E18)</f>
        <v>16910965.40594</v>
      </c>
      <c r="F6" s="61">
        <f>+E6/$F$2</f>
        <v>1347487.2833418327</v>
      </c>
    </row>
    <row r="7" spans="1:6">
      <c r="A7" s="66" t="s">
        <v>28</v>
      </c>
      <c r="B7" s="63" t="s">
        <v>29</v>
      </c>
      <c r="C7" s="65">
        <v>4881</v>
      </c>
      <c r="D7" s="65">
        <v>150</v>
      </c>
      <c r="E7" s="65">
        <f>+C7*D7</f>
        <v>732150</v>
      </c>
      <c r="F7" s="65">
        <f t="shared" ref="F7:F22" si="0">+E7/$F$2</f>
        <v>58338.645418326691</v>
      </c>
    </row>
    <row r="8" spans="1:6" s="20" customFormat="1">
      <c r="A8" s="66" t="s">
        <v>55</v>
      </c>
      <c r="B8" s="63" t="s">
        <v>29</v>
      </c>
      <c r="C8" s="65">
        <v>200</v>
      </c>
      <c r="D8" s="65">
        <v>592.55999999999995</v>
      </c>
      <c r="E8" s="65">
        <f t="shared" ref="E8:E18" si="1">+C8*D8</f>
        <v>118511.99999999999</v>
      </c>
      <c r="F8" s="65">
        <f t="shared" si="0"/>
        <v>9443.187250996014</v>
      </c>
    </row>
    <row r="9" spans="1:6" s="20" customFormat="1">
      <c r="A9" s="137" t="s">
        <v>91</v>
      </c>
      <c r="B9" s="63" t="s">
        <v>29</v>
      </c>
      <c r="C9" s="138">
        <v>6685.6561000000002</v>
      </c>
      <c r="D9" s="138">
        <v>534</v>
      </c>
      <c r="E9" s="65">
        <f t="shared" si="1"/>
        <v>3570140.3574000001</v>
      </c>
      <c r="F9" s="65">
        <f t="shared" si="0"/>
        <v>284473.335250996</v>
      </c>
    </row>
    <row r="10" spans="1:6" s="16" customFormat="1">
      <c r="A10" s="137" t="s">
        <v>117</v>
      </c>
      <c r="B10" s="139" t="s">
        <v>31</v>
      </c>
      <c r="C10" s="138">
        <v>30</v>
      </c>
      <c r="D10" s="138">
        <v>28500</v>
      </c>
      <c r="E10" s="65">
        <f t="shared" si="1"/>
        <v>855000</v>
      </c>
      <c r="F10" s="65">
        <f t="shared" si="0"/>
        <v>68127.490039840632</v>
      </c>
    </row>
    <row r="11" spans="1:6" s="16" customFormat="1">
      <c r="A11" s="66" t="s">
        <v>118</v>
      </c>
      <c r="B11" s="63" t="s">
        <v>46</v>
      </c>
      <c r="C11" s="65">
        <v>441.49</v>
      </c>
      <c r="D11" s="65">
        <v>78.3</v>
      </c>
      <c r="E11" s="65">
        <f t="shared" si="1"/>
        <v>34568.667000000001</v>
      </c>
      <c r="F11" s="65">
        <f t="shared" si="0"/>
        <v>2754.4754581673305</v>
      </c>
    </row>
    <row r="12" spans="1:6">
      <c r="A12" s="137" t="s">
        <v>119</v>
      </c>
      <c r="B12" s="139" t="s">
        <v>46</v>
      </c>
      <c r="C12" s="138">
        <v>441.49</v>
      </c>
      <c r="D12" s="138">
        <v>3706.15</v>
      </c>
      <c r="E12" s="65">
        <f t="shared" si="1"/>
        <v>1636228.1635</v>
      </c>
      <c r="F12" s="65">
        <f t="shared" si="0"/>
        <v>130376.74609561752</v>
      </c>
    </row>
    <row r="13" spans="1:6" s="16" customFormat="1">
      <c r="A13" s="66" t="s">
        <v>120</v>
      </c>
      <c r="B13" s="63" t="s">
        <v>46</v>
      </c>
      <c r="C13" s="65">
        <v>441.49</v>
      </c>
      <c r="D13" s="65">
        <v>3103.21</v>
      </c>
      <c r="E13" s="65">
        <f t="shared" si="1"/>
        <v>1370036.1829000001</v>
      </c>
      <c r="F13" s="65">
        <f t="shared" si="0"/>
        <v>109166.22971314742</v>
      </c>
    </row>
    <row r="14" spans="1:6" s="20" customFormat="1">
      <c r="A14" s="66" t="s">
        <v>49</v>
      </c>
      <c r="B14" s="63" t="s">
        <v>46</v>
      </c>
      <c r="C14" s="65">
        <v>441.49</v>
      </c>
      <c r="D14" s="65">
        <v>1366.45</v>
      </c>
      <c r="E14" s="65">
        <f t="shared" si="1"/>
        <v>603274.01049999997</v>
      </c>
      <c r="F14" s="65">
        <f t="shared" si="0"/>
        <v>48069.642270916331</v>
      </c>
    </row>
    <row r="15" spans="1:6" s="20" customFormat="1">
      <c r="A15" s="66" t="s">
        <v>121</v>
      </c>
      <c r="B15" s="63" t="s">
        <v>46</v>
      </c>
      <c r="C15" s="65">
        <v>2741</v>
      </c>
      <c r="D15" s="65">
        <v>792</v>
      </c>
      <c r="E15" s="65">
        <f t="shared" si="1"/>
        <v>2170872</v>
      </c>
      <c r="F15" s="65">
        <f t="shared" si="0"/>
        <v>172977.84860557769</v>
      </c>
    </row>
    <row r="16" spans="1:6" s="20" customFormat="1">
      <c r="A16" s="66" t="s">
        <v>122</v>
      </c>
      <c r="B16" s="63" t="s">
        <v>29</v>
      </c>
      <c r="C16" s="65">
        <v>1931.9304000000002</v>
      </c>
      <c r="D16" s="65">
        <v>591.6</v>
      </c>
      <c r="E16" s="65">
        <f t="shared" si="1"/>
        <v>1142930.0246400002</v>
      </c>
      <c r="F16" s="65">
        <f t="shared" si="0"/>
        <v>91070.121485258976</v>
      </c>
    </row>
    <row r="17" spans="1:6" s="20" customFormat="1" ht="24.75" customHeight="1">
      <c r="A17" s="62" t="s">
        <v>123</v>
      </c>
      <c r="B17" s="67" t="s">
        <v>29</v>
      </c>
      <c r="C17" s="65">
        <v>1931.93</v>
      </c>
      <c r="D17" s="65">
        <v>800</v>
      </c>
      <c r="E17" s="65">
        <f t="shared" si="1"/>
        <v>1545544</v>
      </c>
      <c r="F17" s="65">
        <f t="shared" si="0"/>
        <v>123150.91633466135</v>
      </c>
    </row>
    <row r="18" spans="1:6">
      <c r="A18" s="62" t="s">
        <v>124</v>
      </c>
      <c r="B18" s="67" t="s">
        <v>29</v>
      </c>
      <c r="C18" s="65">
        <v>1931.93</v>
      </c>
      <c r="D18" s="65">
        <v>2000</v>
      </c>
      <c r="E18" s="65">
        <f t="shared" si="1"/>
        <v>3863860</v>
      </c>
      <c r="F18" s="65">
        <f t="shared" si="0"/>
        <v>307877.29083665338</v>
      </c>
    </row>
    <row r="19" spans="1:6" ht="13.5">
      <c r="A19" s="57" t="s">
        <v>36</v>
      </c>
      <c r="B19" s="20"/>
      <c r="C19" s="20"/>
      <c r="D19" s="68"/>
      <c r="E19" s="69">
        <f>SUM(E20:E21)</f>
        <v>422774.13514849998</v>
      </c>
      <c r="F19" s="61">
        <f t="shared" si="0"/>
        <v>33687.182083545813</v>
      </c>
    </row>
    <row r="20" spans="1:6">
      <c r="A20" s="66" t="s">
        <v>125</v>
      </c>
      <c r="B20" s="63" t="s">
        <v>177</v>
      </c>
      <c r="C20" s="70">
        <v>1</v>
      </c>
      <c r="D20" s="71">
        <v>5.0000000000000001E-3</v>
      </c>
      <c r="E20" s="65">
        <f t="shared" ref="E20:E21" si="2">+$E$6*D20</f>
        <v>84554.827029699998</v>
      </c>
      <c r="F20" s="65">
        <f t="shared" si="0"/>
        <v>6737.4364167091626</v>
      </c>
    </row>
    <row r="21" spans="1:6">
      <c r="A21" s="66" t="s">
        <v>38</v>
      </c>
      <c r="B21" s="63" t="s">
        <v>177</v>
      </c>
      <c r="C21" s="64">
        <v>1</v>
      </c>
      <c r="D21" s="71">
        <v>0.02</v>
      </c>
      <c r="E21" s="65">
        <f t="shared" si="2"/>
        <v>338219.30811879999</v>
      </c>
      <c r="F21" s="65">
        <f t="shared" si="0"/>
        <v>26949.74566683665</v>
      </c>
    </row>
    <row r="22" spans="1:6">
      <c r="A22" s="72" t="s">
        <v>5</v>
      </c>
      <c r="B22" s="73"/>
      <c r="C22" s="73"/>
      <c r="D22" s="73"/>
      <c r="E22" s="74">
        <f>+E19+E6</f>
        <v>17333739.541088499</v>
      </c>
      <c r="F22" s="75">
        <f t="shared" si="0"/>
        <v>1381174.4654253784</v>
      </c>
    </row>
    <row r="24" spans="1:6">
      <c r="A24" s="133" t="s">
        <v>116</v>
      </c>
    </row>
    <row r="25" spans="1:6" s="20" customFormat="1" ht="27" customHeight="1">
      <c r="A25" s="201" t="s">
        <v>146</v>
      </c>
      <c r="B25" s="202"/>
      <c r="C25" s="202"/>
      <c r="D25" s="202"/>
      <c r="E25" s="202"/>
      <c r="F25" s="202"/>
    </row>
    <row r="26" spans="1:6" s="20" customFormat="1">
      <c r="A26" s="201" t="s">
        <v>147</v>
      </c>
      <c r="B26" s="202"/>
      <c r="C26" s="202"/>
      <c r="D26" s="202"/>
      <c r="E26" s="202"/>
      <c r="F26" s="202"/>
    </row>
  </sheetData>
  <mergeCells count="3">
    <mergeCell ref="A1:F1"/>
    <mergeCell ref="A25:F25"/>
    <mergeCell ref="A26:F26"/>
  </mergeCells>
  <pageMargins left="0.15748031496062992" right="0.15748031496062992" top="0.35433070866141736" bottom="0.55118110236220474" header="0.31496062992125984" footer="0.31496062992125984"/>
  <pageSetup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P22"/>
  <sheetViews>
    <sheetView workbookViewId="0">
      <selection sqref="A1:F18"/>
    </sheetView>
  </sheetViews>
  <sheetFormatPr baseColWidth="10" defaultRowHeight="12.75"/>
  <cols>
    <col min="1" max="1" width="45.7109375" style="18" customWidth="1"/>
    <col min="2" max="2" width="10.7109375" style="48" customWidth="1"/>
    <col min="3" max="4" width="10.7109375" style="49" customWidth="1"/>
    <col min="5" max="6" width="10.7109375" style="51" customWidth="1"/>
    <col min="7" max="120" width="11.42578125" style="20"/>
    <col min="121" max="16384" width="11.42578125" style="18"/>
  </cols>
  <sheetData>
    <row r="1" spans="1:120" ht="13.5" thickBot="1">
      <c r="A1" s="197" t="s">
        <v>16</v>
      </c>
      <c r="B1" s="198"/>
      <c r="C1" s="198"/>
      <c r="D1" s="198"/>
      <c r="E1" s="199"/>
      <c r="F1" s="200"/>
    </row>
    <row r="2" spans="1:120" s="40" customFormat="1">
      <c r="A2" s="166" t="s">
        <v>80</v>
      </c>
      <c r="B2" s="39"/>
      <c r="C2" s="39"/>
      <c r="D2" s="39"/>
      <c r="E2" s="142" t="s">
        <v>17</v>
      </c>
      <c r="F2" s="143">
        <v>12.55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</row>
    <row r="3" spans="1:120">
      <c r="B3" s="16"/>
      <c r="C3" s="16"/>
      <c r="D3" s="99"/>
      <c r="E3" s="100"/>
      <c r="F3" s="45"/>
    </row>
    <row r="4" spans="1:120" s="116" customFormat="1" ht="15.75" customHeight="1">
      <c r="A4" s="140" t="s">
        <v>140</v>
      </c>
      <c r="B4" s="48"/>
      <c r="C4" s="49"/>
      <c r="D4" s="49"/>
      <c r="E4" s="51"/>
      <c r="F4" s="51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</row>
    <row r="5" spans="1:120" s="20" customFormat="1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120" s="20" customFormat="1" ht="13.5">
      <c r="A6" s="57" t="s">
        <v>27</v>
      </c>
      <c r="B6" s="58"/>
      <c r="C6" s="58"/>
      <c r="D6" s="59"/>
      <c r="E6" s="60">
        <f>SUM(E7:E14)</f>
        <v>9158333.7752</v>
      </c>
      <c r="F6" s="61">
        <f t="shared" ref="F6:F18" si="0">+E6/$F$2</f>
        <v>729747.7111713147</v>
      </c>
    </row>
    <row r="7" spans="1:120" s="20" customFormat="1">
      <c r="A7" s="87" t="s">
        <v>28</v>
      </c>
      <c r="B7" s="67" t="s">
        <v>29</v>
      </c>
      <c r="C7" s="70">
        <v>4734.0600000000004</v>
      </c>
      <c r="D7" s="65">
        <v>120</v>
      </c>
      <c r="E7" s="65">
        <f>+C7*D7</f>
        <v>568087.20000000007</v>
      </c>
      <c r="F7" s="65">
        <f t="shared" si="0"/>
        <v>45265.912350597609</v>
      </c>
    </row>
    <row r="8" spans="1:120" s="20" customFormat="1">
      <c r="A8" s="137" t="s">
        <v>126</v>
      </c>
      <c r="B8" s="139" t="s">
        <v>56</v>
      </c>
      <c r="C8" s="141">
        <v>4734.0625</v>
      </c>
      <c r="D8" s="138">
        <v>534</v>
      </c>
      <c r="E8" s="65">
        <f t="shared" ref="E8:E14" si="1">+C8*D8</f>
        <v>2527989.375</v>
      </c>
      <c r="F8" s="65">
        <f t="shared" si="0"/>
        <v>201433.41633466133</v>
      </c>
    </row>
    <row r="9" spans="1:120" s="20" customFormat="1">
      <c r="A9" s="66" t="s">
        <v>55</v>
      </c>
      <c r="B9" s="63" t="s">
        <v>56</v>
      </c>
      <c r="C9" s="70">
        <v>2058.7400000000002</v>
      </c>
      <c r="D9" s="65">
        <v>592.55999999999995</v>
      </c>
      <c r="E9" s="65">
        <f t="shared" si="1"/>
        <v>1219926.9743999999</v>
      </c>
      <c r="F9" s="65">
        <f t="shared" si="0"/>
        <v>97205.336605577686</v>
      </c>
    </row>
    <row r="10" spans="1:120" s="20" customFormat="1">
      <c r="A10" s="66" t="s">
        <v>83</v>
      </c>
      <c r="B10" s="63" t="s">
        <v>46</v>
      </c>
      <c r="C10" s="70">
        <v>582.78</v>
      </c>
      <c r="D10" s="65">
        <v>78.3</v>
      </c>
      <c r="E10" s="65">
        <f t="shared" si="1"/>
        <v>45631.673999999999</v>
      </c>
      <c r="F10" s="65">
        <f t="shared" si="0"/>
        <v>3635.9899601593625</v>
      </c>
    </row>
    <row r="11" spans="1:120">
      <c r="A11" s="137" t="s">
        <v>119</v>
      </c>
      <c r="B11" s="63" t="s">
        <v>46</v>
      </c>
      <c r="C11" s="70">
        <v>582.78</v>
      </c>
      <c r="D11" s="65">
        <v>3706.15</v>
      </c>
      <c r="E11" s="65">
        <f t="shared" si="1"/>
        <v>2159870.0970000001</v>
      </c>
      <c r="F11" s="65">
        <f t="shared" si="0"/>
        <v>172101.20294820718</v>
      </c>
    </row>
    <row r="12" spans="1:120" s="20" customFormat="1">
      <c r="A12" s="66" t="s">
        <v>120</v>
      </c>
      <c r="B12" s="63" t="s">
        <v>46</v>
      </c>
      <c r="C12" s="70">
        <v>582.78</v>
      </c>
      <c r="D12" s="65">
        <v>3103.21</v>
      </c>
      <c r="E12" s="65">
        <f t="shared" si="1"/>
        <v>1808488.7238</v>
      </c>
      <c r="F12" s="65">
        <f t="shared" si="0"/>
        <v>144102.68715537849</v>
      </c>
    </row>
    <row r="13" spans="1:120" s="20" customFormat="1">
      <c r="A13" s="66" t="s">
        <v>49</v>
      </c>
      <c r="B13" s="63" t="s">
        <v>46</v>
      </c>
      <c r="C13" s="70">
        <v>582.78</v>
      </c>
      <c r="D13" s="65">
        <v>1366.45</v>
      </c>
      <c r="E13" s="65">
        <f t="shared" si="1"/>
        <v>796339.73100000003</v>
      </c>
      <c r="F13" s="65">
        <f t="shared" si="0"/>
        <v>63453.365019920318</v>
      </c>
    </row>
    <row r="14" spans="1:120" s="20" customFormat="1">
      <c r="A14" s="66" t="s">
        <v>127</v>
      </c>
      <c r="B14" s="63" t="s">
        <v>31</v>
      </c>
      <c r="C14" s="70">
        <v>16</v>
      </c>
      <c r="D14" s="65">
        <v>2000</v>
      </c>
      <c r="E14" s="65">
        <f t="shared" si="1"/>
        <v>32000</v>
      </c>
      <c r="F14" s="65">
        <f t="shared" si="0"/>
        <v>2549.800796812749</v>
      </c>
    </row>
    <row r="15" spans="1:120" s="16" customFormat="1" ht="13.5">
      <c r="A15" s="57" t="s">
        <v>36</v>
      </c>
      <c r="B15" s="20"/>
      <c r="C15" s="20"/>
      <c r="D15" s="68"/>
      <c r="E15" s="69">
        <f>SUM(E16:E17)</f>
        <v>274750.01325600001</v>
      </c>
      <c r="F15" s="61">
        <f t="shared" si="0"/>
        <v>21892.431335139441</v>
      </c>
    </row>
    <row r="16" spans="1:120">
      <c r="A16" s="66" t="s">
        <v>51</v>
      </c>
      <c r="B16" s="63" t="s">
        <v>177</v>
      </c>
      <c r="C16" s="70">
        <v>1</v>
      </c>
      <c r="D16" s="71">
        <v>0.01</v>
      </c>
      <c r="E16" s="65">
        <f t="shared" ref="E16:E17" si="2">+D16*$E$6</f>
        <v>91583.337752000007</v>
      </c>
      <c r="F16" s="65">
        <f t="shared" si="0"/>
        <v>7297.4771117131477</v>
      </c>
    </row>
    <row r="17" spans="1:120" s="40" customFormat="1">
      <c r="A17" s="66" t="s">
        <v>38</v>
      </c>
      <c r="B17" s="63" t="s">
        <v>177</v>
      </c>
      <c r="C17" s="64">
        <v>1</v>
      </c>
      <c r="D17" s="71">
        <v>0.02</v>
      </c>
      <c r="E17" s="65">
        <f t="shared" si="2"/>
        <v>183166.67550400001</v>
      </c>
      <c r="F17" s="65">
        <f t="shared" si="0"/>
        <v>14594.954223426295</v>
      </c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</row>
    <row r="18" spans="1:120" s="20" customFormat="1">
      <c r="A18" s="72" t="s">
        <v>5</v>
      </c>
      <c r="B18" s="73"/>
      <c r="C18" s="73"/>
      <c r="D18" s="73"/>
      <c r="E18" s="74">
        <f>+E15+E6</f>
        <v>9433083.7884560004</v>
      </c>
      <c r="F18" s="75">
        <f t="shared" si="0"/>
        <v>751640.14250645414</v>
      </c>
    </row>
    <row r="19" spans="1:120">
      <c r="A19" s="92"/>
      <c r="B19" s="92"/>
      <c r="C19" s="92"/>
      <c r="D19" s="92"/>
      <c r="E19" s="94"/>
      <c r="F19" s="82"/>
    </row>
    <row r="20" spans="1:120">
      <c r="A20" s="133" t="s">
        <v>116</v>
      </c>
      <c r="C20" s="51"/>
    </row>
    <row r="21" spans="1:120" ht="25.5" customHeight="1">
      <c r="A21" s="201" t="s">
        <v>146</v>
      </c>
      <c r="B21" s="202"/>
      <c r="C21" s="202"/>
      <c r="D21" s="202"/>
      <c r="E21" s="202"/>
      <c r="F21" s="202"/>
    </row>
    <row r="22" spans="1:120">
      <c r="A22" s="201" t="s">
        <v>147</v>
      </c>
      <c r="B22" s="202"/>
      <c r="C22" s="202"/>
      <c r="D22" s="202"/>
      <c r="E22" s="202"/>
      <c r="F22" s="202"/>
    </row>
  </sheetData>
  <mergeCells count="3">
    <mergeCell ref="A1:F1"/>
    <mergeCell ref="A21:F21"/>
    <mergeCell ref="A22:F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P22"/>
  <sheetViews>
    <sheetView workbookViewId="0">
      <selection sqref="A1:F18"/>
    </sheetView>
  </sheetViews>
  <sheetFormatPr baseColWidth="10" defaultRowHeight="12.75"/>
  <cols>
    <col min="1" max="1" width="45.7109375" style="18" customWidth="1"/>
    <col min="2" max="2" width="10.7109375" style="48" customWidth="1"/>
    <col min="3" max="4" width="10.7109375" style="49" customWidth="1"/>
    <col min="5" max="6" width="10.7109375" style="51" customWidth="1"/>
    <col min="7" max="120" width="11.42578125" style="20"/>
    <col min="121" max="16384" width="11.42578125" style="18"/>
  </cols>
  <sheetData>
    <row r="1" spans="1:120" ht="13.5" thickBot="1">
      <c r="A1" s="197" t="s">
        <v>16</v>
      </c>
      <c r="B1" s="198"/>
      <c r="C1" s="198"/>
      <c r="D1" s="198"/>
      <c r="E1" s="199"/>
      <c r="F1" s="200"/>
    </row>
    <row r="2" spans="1:120" s="40" customFormat="1">
      <c r="A2" s="166" t="s">
        <v>80</v>
      </c>
      <c r="B2" s="39"/>
      <c r="C2" s="39"/>
      <c r="D2" s="39"/>
      <c r="E2" s="142" t="s">
        <v>17</v>
      </c>
      <c r="F2" s="143">
        <v>12.55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</row>
    <row r="3" spans="1:120">
      <c r="B3" s="16"/>
      <c r="C3" s="16"/>
      <c r="D3" s="99"/>
      <c r="E3" s="100"/>
      <c r="F3" s="45"/>
    </row>
    <row r="4" spans="1:120">
      <c r="A4" s="42" t="s">
        <v>139</v>
      </c>
    </row>
    <row r="5" spans="1:120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120" s="20" customFormat="1" ht="13.5">
      <c r="A6" s="57" t="s">
        <v>27</v>
      </c>
      <c r="B6" s="58"/>
      <c r="C6" s="58"/>
      <c r="D6" s="59"/>
      <c r="E6" s="60">
        <f>SUM(E7:E14)</f>
        <v>6336114.4874999998</v>
      </c>
      <c r="F6" s="61">
        <f t="shared" ref="F6:F18" si="0">+E6/$F$2</f>
        <v>504869.68027888442</v>
      </c>
    </row>
    <row r="7" spans="1:120">
      <c r="A7" s="62" t="s">
        <v>28</v>
      </c>
      <c r="B7" s="63" t="s">
        <v>29</v>
      </c>
      <c r="C7" s="70">
        <v>4550.3917000000001</v>
      </c>
      <c r="D7" s="65">
        <v>120</v>
      </c>
      <c r="E7" s="65">
        <f t="shared" ref="E7:E14" si="1">+C7*D7</f>
        <v>546047.00399999996</v>
      </c>
      <c r="F7" s="65">
        <f t="shared" si="0"/>
        <v>43509.721434262945</v>
      </c>
    </row>
    <row r="8" spans="1:120">
      <c r="A8" s="66" t="s">
        <v>93</v>
      </c>
      <c r="B8" s="63" t="s">
        <v>29</v>
      </c>
      <c r="C8" s="70">
        <v>4550.3917000000001</v>
      </c>
      <c r="D8" s="65">
        <v>534</v>
      </c>
      <c r="E8" s="65">
        <f t="shared" si="1"/>
        <v>2429909.1677999999</v>
      </c>
      <c r="F8" s="65">
        <f t="shared" si="0"/>
        <v>193618.26038247009</v>
      </c>
    </row>
    <row r="9" spans="1:120">
      <c r="A9" s="66" t="s">
        <v>55</v>
      </c>
      <c r="B9" s="63" t="s">
        <v>29</v>
      </c>
      <c r="C9" s="70">
        <v>1131.52</v>
      </c>
      <c r="D9" s="65">
        <v>592.55999999999995</v>
      </c>
      <c r="E9" s="65">
        <f t="shared" si="1"/>
        <v>670493.49119999993</v>
      </c>
      <c r="F9" s="65">
        <f t="shared" si="0"/>
        <v>53425.776191235054</v>
      </c>
    </row>
    <row r="10" spans="1:120">
      <c r="A10" s="66" t="s">
        <v>83</v>
      </c>
      <c r="B10" s="63" t="s">
        <v>46</v>
      </c>
      <c r="C10" s="70">
        <v>322.95</v>
      </c>
      <c r="D10" s="65">
        <v>78.3</v>
      </c>
      <c r="E10" s="65">
        <f t="shared" si="1"/>
        <v>25286.984999999997</v>
      </c>
      <c r="F10" s="65">
        <f t="shared" si="0"/>
        <v>2014.8992031872506</v>
      </c>
    </row>
    <row r="11" spans="1:120">
      <c r="A11" s="66" t="s">
        <v>119</v>
      </c>
      <c r="B11" s="63" t="s">
        <v>46</v>
      </c>
      <c r="C11" s="70">
        <v>322.95</v>
      </c>
      <c r="D11" s="65">
        <v>3706.15</v>
      </c>
      <c r="E11" s="65">
        <f t="shared" si="1"/>
        <v>1196901.1425000001</v>
      </c>
      <c r="F11" s="65">
        <f t="shared" si="0"/>
        <v>95370.608964143423</v>
      </c>
    </row>
    <row r="12" spans="1:120">
      <c r="A12" s="66" t="s">
        <v>120</v>
      </c>
      <c r="B12" s="63" t="s">
        <v>46</v>
      </c>
      <c r="C12" s="70">
        <v>322.95</v>
      </c>
      <c r="D12" s="65">
        <v>3103.21</v>
      </c>
      <c r="E12" s="65">
        <f t="shared" si="1"/>
        <v>1002181.6695</v>
      </c>
      <c r="F12" s="65">
        <f t="shared" si="0"/>
        <v>79855.113107569719</v>
      </c>
    </row>
    <row r="13" spans="1:120">
      <c r="A13" s="66" t="s">
        <v>49</v>
      </c>
      <c r="B13" s="63" t="s">
        <v>46</v>
      </c>
      <c r="C13" s="70">
        <v>322.95</v>
      </c>
      <c r="D13" s="65">
        <v>1366.45</v>
      </c>
      <c r="E13" s="65">
        <f t="shared" si="1"/>
        <v>441295.02750000003</v>
      </c>
      <c r="F13" s="65">
        <f t="shared" si="0"/>
        <v>35162.950398406378</v>
      </c>
    </row>
    <row r="14" spans="1:120">
      <c r="A14" s="66" t="s">
        <v>127</v>
      </c>
      <c r="B14" s="63" t="s">
        <v>31</v>
      </c>
      <c r="C14" s="64">
        <v>12</v>
      </c>
      <c r="D14" s="65">
        <v>2000</v>
      </c>
      <c r="E14" s="65">
        <f t="shared" si="1"/>
        <v>24000</v>
      </c>
      <c r="F14" s="65">
        <f t="shared" si="0"/>
        <v>1912.3505976095616</v>
      </c>
    </row>
    <row r="15" spans="1:120" ht="13.5">
      <c r="A15" s="57" t="s">
        <v>36</v>
      </c>
      <c r="B15" s="20"/>
      <c r="C15" s="20"/>
      <c r="D15" s="68"/>
      <c r="E15" s="69">
        <f>SUM(E16:E17)</f>
        <v>190083.43462499999</v>
      </c>
      <c r="F15" s="61">
        <f t="shared" si="0"/>
        <v>15146.090408366532</v>
      </c>
    </row>
    <row r="16" spans="1:120" s="20" customFormat="1">
      <c r="A16" s="66" t="s">
        <v>51</v>
      </c>
      <c r="B16" s="63" t="s">
        <v>177</v>
      </c>
      <c r="C16" s="70">
        <v>1</v>
      </c>
      <c r="D16" s="71">
        <v>0.01</v>
      </c>
      <c r="E16" s="65">
        <f>+D16*E$6</f>
        <v>63361.144874999998</v>
      </c>
      <c r="F16" s="65">
        <f t="shared" si="0"/>
        <v>5048.6968027888443</v>
      </c>
    </row>
    <row r="17" spans="1:6" s="20" customFormat="1">
      <c r="A17" s="66" t="s">
        <v>38</v>
      </c>
      <c r="B17" s="63" t="s">
        <v>177</v>
      </c>
      <c r="C17" s="64">
        <v>1</v>
      </c>
      <c r="D17" s="71">
        <v>0.02</v>
      </c>
      <c r="E17" s="65">
        <f>+D17*E$6</f>
        <v>126722.28975</v>
      </c>
      <c r="F17" s="65">
        <f t="shared" si="0"/>
        <v>10097.393605577689</v>
      </c>
    </row>
    <row r="18" spans="1:6" s="20" customFormat="1">
      <c r="A18" s="72" t="s">
        <v>5</v>
      </c>
      <c r="B18" s="73"/>
      <c r="C18" s="73"/>
      <c r="D18" s="73"/>
      <c r="E18" s="74">
        <f>+E15+E6</f>
        <v>6526197.9221249996</v>
      </c>
      <c r="F18" s="75">
        <f t="shared" si="0"/>
        <v>520015.77068725094</v>
      </c>
    </row>
    <row r="19" spans="1:6" s="20" customFormat="1">
      <c r="B19" s="83"/>
      <c r="C19" s="84"/>
      <c r="D19" s="134"/>
      <c r="E19" s="86"/>
      <c r="F19" s="86"/>
    </row>
    <row r="20" spans="1:6" s="20" customFormat="1">
      <c r="A20" s="133" t="s">
        <v>116</v>
      </c>
      <c r="B20" s="48"/>
      <c r="C20" s="51"/>
      <c r="D20" s="49"/>
      <c r="E20" s="51"/>
      <c r="F20" s="51"/>
    </row>
    <row r="21" spans="1:6" s="20" customFormat="1" ht="26.25" customHeight="1">
      <c r="A21" s="201" t="s">
        <v>146</v>
      </c>
      <c r="B21" s="202"/>
      <c r="C21" s="202"/>
      <c r="D21" s="202"/>
      <c r="E21" s="202"/>
      <c r="F21" s="202"/>
    </row>
    <row r="22" spans="1:6" s="20" customFormat="1">
      <c r="A22" s="201" t="s">
        <v>147</v>
      </c>
      <c r="B22" s="202"/>
      <c r="C22" s="202"/>
      <c r="D22" s="202"/>
      <c r="E22" s="202"/>
      <c r="F22" s="202"/>
    </row>
  </sheetData>
  <mergeCells count="3">
    <mergeCell ref="A1:F1"/>
    <mergeCell ref="A21:F21"/>
    <mergeCell ref="A22:F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X80"/>
  <sheetViews>
    <sheetView topLeftCell="A34" zoomScaleNormal="100" workbookViewId="0">
      <selection activeCell="A46" sqref="A46:F76"/>
    </sheetView>
  </sheetViews>
  <sheetFormatPr baseColWidth="10" defaultRowHeight="12.75"/>
  <cols>
    <col min="1" max="1" width="45.7109375" style="18" customWidth="1"/>
    <col min="2" max="2" width="10.7109375" style="48" customWidth="1"/>
    <col min="3" max="3" width="10.7109375" style="153" customWidth="1"/>
    <col min="4" max="4" width="10.7109375" style="49" customWidth="1"/>
    <col min="5" max="6" width="10.7109375" style="51" customWidth="1"/>
    <col min="7" max="7" width="12.5703125" style="18" hidden="1" customWidth="1"/>
    <col min="8" max="16384" width="11.42578125" style="18"/>
  </cols>
  <sheetData>
    <row r="1" spans="1:232" ht="13.5" thickBot="1">
      <c r="A1" s="197" t="s">
        <v>16</v>
      </c>
      <c r="B1" s="198"/>
      <c r="C1" s="198"/>
      <c r="D1" s="198"/>
      <c r="E1" s="199"/>
      <c r="F1" s="200"/>
    </row>
    <row r="2" spans="1:232" s="40" customFormat="1">
      <c r="A2" s="166" t="s">
        <v>80</v>
      </c>
      <c r="B2" s="39"/>
      <c r="C2" s="156"/>
      <c r="D2" s="39"/>
      <c r="E2" s="142" t="s">
        <v>17</v>
      </c>
      <c r="F2" s="152">
        <v>12.55</v>
      </c>
    </row>
    <row r="3" spans="1:232">
      <c r="B3" s="16"/>
      <c r="C3" s="157"/>
      <c r="D3" s="43"/>
      <c r="E3" s="44"/>
      <c r="F3" s="45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</row>
    <row r="4" spans="1:232" s="20" customFormat="1">
      <c r="A4" s="102" t="s">
        <v>108</v>
      </c>
      <c r="B4" s="48"/>
      <c r="C4" s="153"/>
      <c r="D4" s="51"/>
      <c r="E4" s="51"/>
      <c r="F4" s="51"/>
    </row>
    <row r="5" spans="1:232" s="20" customFormat="1">
      <c r="A5" s="73"/>
      <c r="B5" s="73"/>
      <c r="C5" s="158"/>
      <c r="D5" s="73"/>
      <c r="E5" s="76"/>
      <c r="F5" s="77"/>
    </row>
    <row r="6" spans="1:232" s="20" customFormat="1">
      <c r="A6" s="132" t="s">
        <v>109</v>
      </c>
      <c r="B6" s="48"/>
      <c r="C6" s="153"/>
      <c r="D6" s="49"/>
      <c r="E6" s="51"/>
      <c r="F6" s="51"/>
    </row>
    <row r="7" spans="1:232" s="20" customFormat="1" ht="38.25">
      <c r="A7" s="54" t="s">
        <v>21</v>
      </c>
      <c r="B7" s="54" t="s">
        <v>22</v>
      </c>
      <c r="C7" s="159" t="s">
        <v>23</v>
      </c>
      <c r="D7" s="55" t="s">
        <v>24</v>
      </c>
      <c r="E7" s="56" t="s">
        <v>25</v>
      </c>
      <c r="F7" s="56" t="s">
        <v>26</v>
      </c>
    </row>
    <row r="8" spans="1:232" ht="13.5">
      <c r="A8" s="57" t="s">
        <v>27</v>
      </c>
      <c r="B8" s="58"/>
      <c r="C8" s="160"/>
      <c r="D8" s="59"/>
      <c r="E8" s="60">
        <f>SUM(E9:E10)</f>
        <v>8750000</v>
      </c>
      <c r="F8" s="61">
        <f>+E8/$F$2</f>
        <v>697211.15537848603</v>
      </c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</row>
    <row r="9" spans="1:232" s="16" customFormat="1">
      <c r="A9" s="66" t="s">
        <v>28</v>
      </c>
      <c r="B9" s="67" t="s">
        <v>29</v>
      </c>
      <c r="C9" s="104">
        <v>5000</v>
      </c>
      <c r="D9" s="65">
        <v>350</v>
      </c>
      <c r="E9" s="65">
        <f>+C9*D9</f>
        <v>1750000</v>
      </c>
      <c r="F9" s="65">
        <f>PRODUCT(E9,1/12.55)</f>
        <v>139442.2310756972</v>
      </c>
    </row>
    <row r="10" spans="1:232" s="40" customFormat="1">
      <c r="A10" s="62" t="s">
        <v>110</v>
      </c>
      <c r="B10" s="67" t="s">
        <v>111</v>
      </c>
      <c r="C10" s="104">
        <v>1</v>
      </c>
      <c r="D10" s="65">
        <v>7000000</v>
      </c>
      <c r="E10" s="65">
        <f>+C10*D10</f>
        <v>7000000</v>
      </c>
      <c r="F10" s="65">
        <f>PRODUCT(E10,1/12.55)</f>
        <v>557768.9243027888</v>
      </c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</row>
    <row r="11" spans="1:232" ht="13.5">
      <c r="A11" s="57" t="s">
        <v>36</v>
      </c>
      <c r="B11" s="20"/>
      <c r="C11" s="161"/>
      <c r="D11" s="68"/>
      <c r="E11" s="69">
        <f>SUM(E12:E13)</f>
        <v>262500</v>
      </c>
      <c r="F11" s="61">
        <f t="shared" ref="F11:F14" si="0">+E11/$F$2</f>
        <v>20916.33466135458</v>
      </c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116" customFormat="1">
      <c r="A12" s="66" t="s">
        <v>51</v>
      </c>
      <c r="B12" s="63" t="s">
        <v>177</v>
      </c>
      <c r="C12" s="104">
        <v>1</v>
      </c>
      <c r="D12" s="71">
        <v>0.01</v>
      </c>
      <c r="E12" s="65">
        <f t="shared" ref="E12:E13" si="1">+$E$8*D12</f>
        <v>87500</v>
      </c>
      <c r="F12" s="65">
        <f t="shared" si="0"/>
        <v>6972.11155378486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0" customFormat="1">
      <c r="A13" s="66" t="s">
        <v>38</v>
      </c>
      <c r="B13" s="63" t="s">
        <v>177</v>
      </c>
      <c r="C13" s="104">
        <v>1</v>
      </c>
      <c r="D13" s="71">
        <v>0.02</v>
      </c>
      <c r="E13" s="65">
        <f t="shared" si="1"/>
        <v>175000</v>
      </c>
      <c r="F13" s="65">
        <f t="shared" si="0"/>
        <v>13944.22310756972</v>
      </c>
    </row>
    <row r="14" spans="1:232">
      <c r="A14" s="72" t="s">
        <v>40</v>
      </c>
      <c r="B14" s="73"/>
      <c r="C14" s="158"/>
      <c r="D14" s="73"/>
      <c r="E14" s="74">
        <f>+E11+E8</f>
        <v>9012500</v>
      </c>
      <c r="F14" s="75">
        <f t="shared" si="0"/>
        <v>718127.49003984057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16" customFormat="1">
      <c r="A15" s="92"/>
      <c r="B15" s="92"/>
      <c r="C15" s="162"/>
      <c r="D15" s="92"/>
      <c r="E15" s="94"/>
      <c r="F15" s="82"/>
    </row>
    <row r="16" spans="1:232" s="20" customFormat="1">
      <c r="A16" s="132" t="s">
        <v>133</v>
      </c>
      <c r="B16" s="92"/>
      <c r="C16" s="162"/>
      <c r="D16" s="92"/>
      <c r="E16" s="94"/>
      <c r="F16" s="82"/>
    </row>
    <row r="17" spans="1:232" s="20" customFormat="1" ht="38.25">
      <c r="A17" s="54" t="s">
        <v>21</v>
      </c>
      <c r="B17" s="54" t="s">
        <v>22</v>
      </c>
      <c r="C17" s="159" t="s">
        <v>23</v>
      </c>
      <c r="D17" s="55" t="s">
        <v>24</v>
      </c>
      <c r="E17" s="56" t="s">
        <v>25</v>
      </c>
      <c r="F17" s="56" t="s">
        <v>26</v>
      </c>
    </row>
    <row r="18" spans="1:232" ht="13.5">
      <c r="A18" s="57" t="s">
        <v>27</v>
      </c>
      <c r="B18" s="58"/>
      <c r="C18" s="160"/>
      <c r="D18" s="59"/>
      <c r="E18" s="60">
        <f>SUM(E19:E20)</f>
        <v>3600000</v>
      </c>
      <c r="F18" s="61">
        <f>+E18/$F$2</f>
        <v>286852.58964143426</v>
      </c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>
      <c r="A19" s="66" t="s">
        <v>28</v>
      </c>
      <c r="B19" s="67" t="s">
        <v>29</v>
      </c>
      <c r="C19" s="104">
        <v>4000</v>
      </c>
      <c r="D19" s="65">
        <v>350</v>
      </c>
      <c r="E19" s="65">
        <f t="shared" ref="E19:E20" si="2">+C19*D19</f>
        <v>1400000</v>
      </c>
      <c r="F19" s="65">
        <f>PRODUCT(E19,1/12.55)</f>
        <v>111553.78486055776</v>
      </c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40" customFormat="1">
      <c r="A20" s="62" t="s">
        <v>110</v>
      </c>
      <c r="B20" s="67" t="s">
        <v>111</v>
      </c>
      <c r="C20" s="104">
        <v>1</v>
      </c>
      <c r="D20" s="65">
        <v>2200000</v>
      </c>
      <c r="E20" s="65">
        <f t="shared" si="2"/>
        <v>2200000</v>
      </c>
      <c r="F20" s="65">
        <f>PRODUCT(E20,1/12.55)</f>
        <v>175298.8047808765</v>
      </c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</row>
    <row r="21" spans="1:232" ht="13.5">
      <c r="A21" s="57" t="s">
        <v>36</v>
      </c>
      <c r="B21" s="20"/>
      <c r="C21" s="161"/>
      <c r="D21" s="68"/>
      <c r="E21" s="69">
        <f>SUM(E22:E23)</f>
        <v>108000</v>
      </c>
      <c r="F21" s="61">
        <f t="shared" ref="F21:F24" si="3">+E21/$F$2</f>
        <v>8605.5776892430276</v>
      </c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0" customFormat="1">
      <c r="A22" s="66" t="s">
        <v>51</v>
      </c>
      <c r="B22" s="63" t="s">
        <v>177</v>
      </c>
      <c r="C22" s="104">
        <v>1</v>
      </c>
      <c r="D22" s="71">
        <v>0.01</v>
      </c>
      <c r="E22" s="65">
        <f t="shared" ref="E22:E23" si="4">+$E$18*D22</f>
        <v>36000</v>
      </c>
      <c r="F22" s="65">
        <f t="shared" si="3"/>
        <v>2868.5258964143422</v>
      </c>
    </row>
    <row r="23" spans="1:232" s="20" customFormat="1">
      <c r="A23" s="66" t="s">
        <v>38</v>
      </c>
      <c r="B23" s="63" t="s">
        <v>177</v>
      </c>
      <c r="C23" s="104">
        <v>1</v>
      </c>
      <c r="D23" s="71">
        <v>0.02</v>
      </c>
      <c r="E23" s="65">
        <f t="shared" si="4"/>
        <v>72000</v>
      </c>
      <c r="F23" s="65">
        <f t="shared" si="3"/>
        <v>5737.0517928286845</v>
      </c>
    </row>
    <row r="24" spans="1:232" s="20" customFormat="1">
      <c r="A24" s="72" t="s">
        <v>40</v>
      </c>
      <c r="B24" s="73"/>
      <c r="C24" s="158"/>
      <c r="D24" s="73"/>
      <c r="E24" s="74">
        <f>+E21+E18</f>
        <v>3708000</v>
      </c>
      <c r="F24" s="75">
        <f t="shared" si="3"/>
        <v>295458.16733067727</v>
      </c>
    </row>
    <row r="25" spans="1:232">
      <c r="A25" s="16"/>
      <c r="B25" s="79"/>
      <c r="C25" s="163"/>
      <c r="D25" s="117"/>
      <c r="E25" s="82"/>
      <c r="F25" s="82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0" customFormat="1">
      <c r="A26" s="132" t="s">
        <v>112</v>
      </c>
      <c r="B26" s="48"/>
      <c r="C26" s="153"/>
      <c r="D26" s="49"/>
      <c r="E26" s="51"/>
      <c r="F26" s="51"/>
    </row>
    <row r="27" spans="1:232" s="20" customFormat="1" ht="38.25">
      <c r="A27" s="54" t="s">
        <v>21</v>
      </c>
      <c r="B27" s="54" t="s">
        <v>22</v>
      </c>
      <c r="C27" s="159" t="s">
        <v>23</v>
      </c>
      <c r="D27" s="55" t="s">
        <v>24</v>
      </c>
      <c r="E27" s="56" t="s">
        <v>25</v>
      </c>
      <c r="F27" s="56" t="s">
        <v>26</v>
      </c>
    </row>
    <row r="28" spans="1:232" ht="13.5">
      <c r="A28" s="57" t="s">
        <v>27</v>
      </c>
      <c r="B28" s="58"/>
      <c r="C28" s="160"/>
      <c r="D28" s="59"/>
      <c r="E28" s="60">
        <f>SUM(E29:E30)</f>
        <v>2400000</v>
      </c>
      <c r="F28" s="61">
        <f>+E28/$F$2</f>
        <v>191235.05976095615</v>
      </c>
    </row>
    <row r="29" spans="1:232">
      <c r="A29" s="66" t="s">
        <v>28</v>
      </c>
      <c r="B29" s="67" t="s">
        <v>29</v>
      </c>
      <c r="C29" s="104">
        <v>4000</v>
      </c>
      <c r="D29" s="65">
        <v>350</v>
      </c>
      <c r="E29" s="65">
        <f t="shared" ref="E29:E30" si="5">+C29*D29</f>
        <v>1400000</v>
      </c>
      <c r="F29" s="65">
        <f t="shared" ref="F29:F30" si="6">+E29/$F$2</f>
        <v>111553.78486055776</v>
      </c>
    </row>
    <row r="30" spans="1:232" s="40" customFormat="1">
      <c r="A30" s="62" t="s">
        <v>110</v>
      </c>
      <c r="B30" s="67" t="s">
        <v>111</v>
      </c>
      <c r="C30" s="104">
        <v>1</v>
      </c>
      <c r="D30" s="65">
        <v>1000000</v>
      </c>
      <c r="E30" s="65">
        <f t="shared" si="5"/>
        <v>1000000</v>
      </c>
      <c r="F30" s="65">
        <f t="shared" si="6"/>
        <v>79681.274900398406</v>
      </c>
    </row>
    <row r="31" spans="1:232" ht="13.5">
      <c r="A31" s="57" t="s">
        <v>36</v>
      </c>
      <c r="B31" s="20"/>
      <c r="C31" s="161"/>
      <c r="D31" s="68"/>
      <c r="E31" s="69">
        <f>SUM(E32:E33)</f>
        <v>72000</v>
      </c>
      <c r="F31" s="61">
        <f t="shared" ref="F31:F34" si="7">+E31/$F$2</f>
        <v>5737.0517928286845</v>
      </c>
    </row>
    <row r="32" spans="1:232" s="20" customFormat="1">
      <c r="A32" s="66" t="s">
        <v>51</v>
      </c>
      <c r="B32" s="63" t="s">
        <v>177</v>
      </c>
      <c r="C32" s="104">
        <v>1</v>
      </c>
      <c r="D32" s="71">
        <v>0.01</v>
      </c>
      <c r="E32" s="65">
        <f t="shared" ref="E32:E33" si="8">+D32*$E$28</f>
        <v>24000</v>
      </c>
      <c r="F32" s="65">
        <f t="shared" si="7"/>
        <v>1912.3505976095616</v>
      </c>
    </row>
    <row r="33" spans="1:7" s="20" customFormat="1">
      <c r="A33" s="66" t="s">
        <v>38</v>
      </c>
      <c r="B33" s="63" t="s">
        <v>177</v>
      </c>
      <c r="C33" s="104">
        <v>1</v>
      </c>
      <c r="D33" s="71">
        <v>0.02</v>
      </c>
      <c r="E33" s="65">
        <f t="shared" si="8"/>
        <v>48000</v>
      </c>
      <c r="F33" s="65">
        <f t="shared" si="7"/>
        <v>3824.7011952191233</v>
      </c>
    </row>
    <row r="34" spans="1:7" s="20" customFormat="1">
      <c r="A34" s="72" t="s">
        <v>40</v>
      </c>
      <c r="B34" s="73"/>
      <c r="C34" s="158"/>
      <c r="D34" s="73"/>
      <c r="E34" s="74">
        <f>+E31+E28</f>
        <v>2472000</v>
      </c>
      <c r="F34" s="75">
        <f t="shared" si="7"/>
        <v>196972.11155378484</v>
      </c>
    </row>
    <row r="35" spans="1:7" s="20" customFormat="1">
      <c r="B35" s="83"/>
      <c r="C35" s="164"/>
      <c r="D35" s="134"/>
      <c r="E35" s="86"/>
      <c r="F35" s="86"/>
    </row>
    <row r="36" spans="1:7" s="20" customFormat="1">
      <c r="A36" s="132" t="s">
        <v>113</v>
      </c>
      <c r="B36" s="48"/>
      <c r="C36" s="153"/>
      <c r="D36" s="49"/>
      <c r="E36" s="51"/>
      <c r="F36" s="51"/>
    </row>
    <row r="37" spans="1:7" s="20" customFormat="1" ht="38.25">
      <c r="A37" s="54" t="s">
        <v>21</v>
      </c>
      <c r="B37" s="54" t="s">
        <v>22</v>
      </c>
      <c r="C37" s="159" t="s">
        <v>23</v>
      </c>
      <c r="D37" s="55" t="s">
        <v>24</v>
      </c>
      <c r="E37" s="56" t="s">
        <v>25</v>
      </c>
      <c r="F37" s="56" t="s">
        <v>26</v>
      </c>
    </row>
    <row r="38" spans="1:7" s="20" customFormat="1" ht="13.5">
      <c r="A38" s="57" t="s">
        <v>27</v>
      </c>
      <c r="B38" s="58"/>
      <c r="C38" s="160"/>
      <c r="D38" s="59"/>
      <c r="E38" s="60">
        <f>SUM(E39:E40)</f>
        <v>2600000</v>
      </c>
      <c r="F38" s="61">
        <f>+E38/$F$2</f>
        <v>207171.31474103584</v>
      </c>
    </row>
    <row r="39" spans="1:7">
      <c r="A39" s="66" t="s">
        <v>28</v>
      </c>
      <c r="B39" s="67" t="s">
        <v>29</v>
      </c>
      <c r="C39" s="104">
        <v>4000</v>
      </c>
      <c r="D39" s="65">
        <v>350</v>
      </c>
      <c r="E39" s="65">
        <f t="shared" ref="E39:E40" si="9">+C39*D39</f>
        <v>1400000</v>
      </c>
      <c r="F39" s="65">
        <f t="shared" ref="F39:F44" si="10">+E39/$F$2</f>
        <v>111553.78486055776</v>
      </c>
    </row>
    <row r="40" spans="1:7">
      <c r="A40" s="62" t="s">
        <v>110</v>
      </c>
      <c r="B40" s="67" t="s">
        <v>111</v>
      </c>
      <c r="C40" s="104">
        <v>1</v>
      </c>
      <c r="D40" s="65">
        <v>1200000</v>
      </c>
      <c r="E40" s="65">
        <f t="shared" si="9"/>
        <v>1200000</v>
      </c>
      <c r="F40" s="65">
        <f t="shared" si="10"/>
        <v>95617.529880478076</v>
      </c>
    </row>
    <row r="41" spans="1:7" s="40" customFormat="1" ht="13.5">
      <c r="A41" s="57" t="s">
        <v>36</v>
      </c>
      <c r="B41" s="20"/>
      <c r="C41" s="161"/>
      <c r="D41" s="68"/>
      <c r="E41" s="69">
        <f>SUM(E42:E43)</f>
        <v>78000</v>
      </c>
      <c r="F41" s="61">
        <f t="shared" si="10"/>
        <v>6215.139442231075</v>
      </c>
    </row>
    <row r="42" spans="1:7" s="20" customFormat="1">
      <c r="A42" s="66" t="s">
        <v>37</v>
      </c>
      <c r="B42" s="63" t="s">
        <v>177</v>
      </c>
      <c r="C42" s="104">
        <v>1</v>
      </c>
      <c r="D42" s="71">
        <v>0.01</v>
      </c>
      <c r="E42" s="65">
        <f t="shared" ref="E42:E43" si="11">+D42*$E$38</f>
        <v>26000</v>
      </c>
      <c r="F42" s="65">
        <f t="shared" si="10"/>
        <v>2071.7131474103585</v>
      </c>
      <c r="G42" s="95">
        <f>SUM(E50:E50)</f>
        <v>1500000</v>
      </c>
    </row>
    <row r="43" spans="1:7" s="20" customFormat="1">
      <c r="A43" s="66" t="s">
        <v>38</v>
      </c>
      <c r="B43" s="63" t="s">
        <v>177</v>
      </c>
      <c r="C43" s="104">
        <v>1</v>
      </c>
      <c r="D43" s="71">
        <v>0.02</v>
      </c>
      <c r="E43" s="65">
        <f t="shared" si="11"/>
        <v>52000</v>
      </c>
      <c r="F43" s="65">
        <f t="shared" si="10"/>
        <v>4143.426294820717</v>
      </c>
    </row>
    <row r="44" spans="1:7" s="20" customFormat="1">
      <c r="A44" s="72" t="s">
        <v>40</v>
      </c>
      <c r="B44" s="73"/>
      <c r="C44" s="158"/>
      <c r="D44" s="73"/>
      <c r="E44" s="74">
        <f>+E41+E38</f>
        <v>2678000</v>
      </c>
      <c r="F44" s="75">
        <f t="shared" si="10"/>
        <v>213386.45418326693</v>
      </c>
    </row>
    <row r="45" spans="1:7" s="20" customFormat="1">
      <c r="A45" s="92"/>
      <c r="B45" s="92"/>
      <c r="C45" s="162"/>
      <c r="D45" s="92"/>
      <c r="E45" s="94"/>
      <c r="F45" s="82"/>
    </row>
    <row r="46" spans="1:7" s="20" customFormat="1">
      <c r="A46" s="132" t="s">
        <v>114</v>
      </c>
      <c r="B46" s="48"/>
      <c r="C46" s="153"/>
      <c r="D46" s="49"/>
      <c r="E46" s="51"/>
      <c r="F46" s="51"/>
    </row>
    <row r="47" spans="1:7" s="20" customFormat="1" ht="38.25">
      <c r="A47" s="54" t="s">
        <v>21</v>
      </c>
      <c r="B47" s="54" t="s">
        <v>22</v>
      </c>
      <c r="C47" s="159" t="s">
        <v>23</v>
      </c>
      <c r="D47" s="55" t="s">
        <v>24</v>
      </c>
      <c r="E47" s="56" t="s">
        <v>25</v>
      </c>
      <c r="F47" s="56" t="s">
        <v>26</v>
      </c>
    </row>
    <row r="48" spans="1:7" ht="13.5">
      <c r="A48" s="57" t="s">
        <v>27</v>
      </c>
      <c r="B48" s="58"/>
      <c r="C48" s="160"/>
      <c r="D48" s="59"/>
      <c r="E48" s="60">
        <f>SUM(E49:E50)</f>
        <v>2900000</v>
      </c>
      <c r="F48" s="61">
        <f>+E48/$F$2</f>
        <v>231075.69721115538</v>
      </c>
    </row>
    <row r="49" spans="1:6">
      <c r="A49" s="66" t="s">
        <v>28</v>
      </c>
      <c r="B49" s="67" t="s">
        <v>29</v>
      </c>
      <c r="C49" s="104">
        <v>4000</v>
      </c>
      <c r="D49" s="65">
        <v>350</v>
      </c>
      <c r="E49" s="65">
        <f t="shared" ref="E49:E50" si="12">+C49*D49</f>
        <v>1400000</v>
      </c>
      <c r="F49" s="65">
        <f t="shared" ref="F49:F54" si="13">+E49/$F$2</f>
        <v>111553.78486055776</v>
      </c>
    </row>
    <row r="50" spans="1:6" s="40" customFormat="1">
      <c r="A50" s="62" t="s">
        <v>110</v>
      </c>
      <c r="B50" s="67" t="s">
        <v>111</v>
      </c>
      <c r="C50" s="104">
        <v>1</v>
      </c>
      <c r="D50" s="65">
        <v>1500000</v>
      </c>
      <c r="E50" s="65">
        <f t="shared" si="12"/>
        <v>1500000</v>
      </c>
      <c r="F50" s="65">
        <f t="shared" si="13"/>
        <v>119521.9123505976</v>
      </c>
    </row>
    <row r="51" spans="1:6" ht="13.5">
      <c r="A51" s="57" t="s">
        <v>36</v>
      </c>
      <c r="B51" s="20"/>
      <c r="C51" s="161"/>
      <c r="D51" s="68"/>
      <c r="E51" s="69">
        <f>SUM(E52:E53)</f>
        <v>87000</v>
      </c>
      <c r="F51" s="61">
        <f t="shared" si="13"/>
        <v>6932.2709163346608</v>
      </c>
    </row>
    <row r="52" spans="1:6" s="20" customFormat="1">
      <c r="A52" s="66" t="s">
        <v>37</v>
      </c>
      <c r="B52" s="63" t="s">
        <v>177</v>
      </c>
      <c r="C52" s="104">
        <v>1</v>
      </c>
      <c r="D52" s="71">
        <v>0.01</v>
      </c>
      <c r="E52" s="65">
        <f t="shared" ref="E52:E53" si="14">+D52*$E$48</f>
        <v>29000</v>
      </c>
      <c r="F52" s="65">
        <f t="shared" si="13"/>
        <v>2310.7569721115538</v>
      </c>
    </row>
    <row r="53" spans="1:6" s="20" customFormat="1">
      <c r="A53" s="66" t="s">
        <v>38</v>
      </c>
      <c r="B53" s="63" t="s">
        <v>177</v>
      </c>
      <c r="C53" s="104">
        <v>1</v>
      </c>
      <c r="D53" s="71">
        <v>0.02</v>
      </c>
      <c r="E53" s="65">
        <f t="shared" si="14"/>
        <v>58000</v>
      </c>
      <c r="F53" s="65">
        <f t="shared" si="13"/>
        <v>4621.5139442231075</v>
      </c>
    </row>
    <row r="54" spans="1:6" s="20" customFormat="1">
      <c r="A54" s="72" t="s">
        <v>40</v>
      </c>
      <c r="B54" s="73"/>
      <c r="C54" s="158"/>
      <c r="D54" s="73"/>
      <c r="E54" s="74">
        <f>+E51+E48</f>
        <v>2987000</v>
      </c>
      <c r="F54" s="75">
        <f t="shared" si="13"/>
        <v>238007.96812749002</v>
      </c>
    </row>
    <row r="55" spans="1:6">
      <c r="A55" s="16"/>
      <c r="B55" s="79"/>
      <c r="C55" s="163"/>
      <c r="D55" s="117"/>
      <c r="E55" s="82"/>
      <c r="F55" s="82"/>
    </row>
    <row r="56" spans="1:6" s="20" customFormat="1">
      <c r="A56" s="132" t="s">
        <v>132</v>
      </c>
      <c r="B56" s="48"/>
      <c r="C56" s="153"/>
      <c r="D56" s="49"/>
      <c r="E56" s="51"/>
      <c r="F56" s="51"/>
    </row>
    <row r="57" spans="1:6" s="20" customFormat="1" ht="38.25">
      <c r="A57" s="54" t="s">
        <v>21</v>
      </c>
      <c r="B57" s="54" t="s">
        <v>22</v>
      </c>
      <c r="C57" s="159" t="s">
        <v>23</v>
      </c>
      <c r="D57" s="55" t="s">
        <v>24</v>
      </c>
      <c r="E57" s="56" t="s">
        <v>25</v>
      </c>
      <c r="F57" s="56" t="s">
        <v>26</v>
      </c>
    </row>
    <row r="58" spans="1:6" ht="13.5">
      <c r="A58" s="57" t="s">
        <v>27</v>
      </c>
      <c r="B58" s="58"/>
      <c r="C58" s="160"/>
      <c r="D58" s="59"/>
      <c r="E58" s="60">
        <f>SUM(E59:E60)</f>
        <v>2575000</v>
      </c>
      <c r="F58" s="61">
        <f>+E58/$F$2</f>
        <v>205179.28286852589</v>
      </c>
    </row>
    <row r="59" spans="1:6">
      <c r="A59" s="66" t="s">
        <v>28</v>
      </c>
      <c r="B59" s="67" t="s">
        <v>29</v>
      </c>
      <c r="C59" s="104">
        <v>4500</v>
      </c>
      <c r="D59" s="65">
        <v>350</v>
      </c>
      <c r="E59" s="65">
        <f t="shared" ref="E59:E60" si="15">+C59*D59</f>
        <v>1575000</v>
      </c>
      <c r="F59" s="65">
        <f t="shared" ref="F59:F64" si="16">+E59/$F$2</f>
        <v>125498.00796812748</v>
      </c>
    </row>
    <row r="60" spans="1:6" s="40" customFormat="1">
      <c r="A60" s="62" t="s">
        <v>110</v>
      </c>
      <c r="B60" s="67" t="s">
        <v>111</v>
      </c>
      <c r="C60" s="104">
        <v>1</v>
      </c>
      <c r="D60" s="65">
        <v>1000000</v>
      </c>
      <c r="E60" s="65">
        <f t="shared" si="15"/>
        <v>1000000</v>
      </c>
      <c r="F60" s="65">
        <f t="shared" si="16"/>
        <v>79681.274900398406</v>
      </c>
    </row>
    <row r="61" spans="1:6" ht="13.5">
      <c r="A61" s="57" t="s">
        <v>36</v>
      </c>
      <c r="B61" s="20"/>
      <c r="C61" s="161"/>
      <c r="D61" s="68"/>
      <c r="E61" s="69">
        <f>SUM(E62:E63)</f>
        <v>77250</v>
      </c>
      <c r="F61" s="61">
        <f t="shared" si="16"/>
        <v>6155.3784860557762</v>
      </c>
    </row>
    <row r="62" spans="1:6" s="20" customFormat="1">
      <c r="A62" s="66" t="s">
        <v>51</v>
      </c>
      <c r="B62" s="63" t="s">
        <v>177</v>
      </c>
      <c r="C62" s="104">
        <v>1</v>
      </c>
      <c r="D62" s="71">
        <v>0.01</v>
      </c>
      <c r="E62" s="65">
        <f t="shared" ref="E62:E63" si="17">+D62*$E$58</f>
        <v>25750</v>
      </c>
      <c r="F62" s="65">
        <f t="shared" si="16"/>
        <v>2051.7928286852589</v>
      </c>
    </row>
    <row r="63" spans="1:6" s="20" customFormat="1">
      <c r="A63" s="66" t="s">
        <v>38</v>
      </c>
      <c r="B63" s="63" t="s">
        <v>177</v>
      </c>
      <c r="C63" s="104">
        <v>1</v>
      </c>
      <c r="D63" s="71">
        <v>0.02</v>
      </c>
      <c r="E63" s="65">
        <f t="shared" si="17"/>
        <v>51500</v>
      </c>
      <c r="F63" s="65">
        <f t="shared" si="16"/>
        <v>4103.5856573705178</v>
      </c>
    </row>
    <row r="64" spans="1:6" s="20" customFormat="1">
      <c r="A64" s="72" t="s">
        <v>40</v>
      </c>
      <c r="B64" s="73"/>
      <c r="C64" s="158"/>
      <c r="D64" s="73"/>
      <c r="E64" s="74">
        <f>+E61+E58</f>
        <v>2652250</v>
      </c>
      <c r="F64" s="75">
        <f t="shared" si="16"/>
        <v>211334.66135458165</v>
      </c>
    </row>
    <row r="65" spans="1:6">
      <c r="A65" s="20"/>
      <c r="B65" s="83"/>
      <c r="C65" s="164"/>
      <c r="D65" s="134"/>
      <c r="E65" s="86"/>
      <c r="F65" s="86"/>
    </row>
    <row r="66" spans="1:6" s="20" customFormat="1">
      <c r="A66" s="132" t="s">
        <v>115</v>
      </c>
      <c r="B66" s="48"/>
      <c r="C66" s="153"/>
      <c r="D66" s="49"/>
      <c r="E66" s="51"/>
      <c r="F66" s="51"/>
    </row>
    <row r="67" spans="1:6" s="16" customFormat="1" ht="38.25">
      <c r="A67" s="54" t="s">
        <v>21</v>
      </c>
      <c r="B67" s="54" t="s">
        <v>22</v>
      </c>
      <c r="C67" s="159" t="s">
        <v>23</v>
      </c>
      <c r="D67" s="55" t="s">
        <v>24</v>
      </c>
      <c r="E67" s="56" t="s">
        <v>25</v>
      </c>
      <c r="F67" s="56" t="s">
        <v>26</v>
      </c>
    </row>
    <row r="68" spans="1:6" ht="13.5">
      <c r="A68" s="57" t="s">
        <v>27</v>
      </c>
      <c r="B68" s="58"/>
      <c r="C68" s="160"/>
      <c r="D68" s="59"/>
      <c r="E68" s="60">
        <f>SUM(E69:E70)</f>
        <v>2375000</v>
      </c>
      <c r="F68" s="61">
        <f>+E68/$F$2</f>
        <v>189243.0278884462</v>
      </c>
    </row>
    <row r="69" spans="1:6">
      <c r="A69" s="66" t="s">
        <v>28</v>
      </c>
      <c r="B69" s="67" t="s">
        <v>29</v>
      </c>
      <c r="C69" s="104">
        <v>4500</v>
      </c>
      <c r="D69" s="65">
        <v>350</v>
      </c>
      <c r="E69" s="65">
        <f t="shared" ref="E69:E70" si="18">+C69*D69</f>
        <v>1575000</v>
      </c>
      <c r="F69" s="65">
        <f>+E69/F$2</f>
        <v>125498.00796812748</v>
      </c>
    </row>
    <row r="70" spans="1:6" s="40" customFormat="1">
      <c r="A70" s="62" t="s">
        <v>110</v>
      </c>
      <c r="B70" s="67" t="s">
        <v>34</v>
      </c>
      <c r="C70" s="104">
        <v>1</v>
      </c>
      <c r="D70" s="65">
        <v>800000</v>
      </c>
      <c r="E70" s="65">
        <f t="shared" si="18"/>
        <v>800000</v>
      </c>
      <c r="F70" s="65">
        <f>+E70/F$2</f>
        <v>63745.019920318722</v>
      </c>
    </row>
    <row r="71" spans="1:6" s="20" customFormat="1" ht="13.5">
      <c r="A71" s="57" t="s">
        <v>36</v>
      </c>
      <c r="C71" s="161"/>
      <c r="D71" s="68"/>
      <c r="E71" s="69">
        <f>SUM(E72:E73)</f>
        <v>71250</v>
      </c>
      <c r="F71" s="61">
        <f t="shared" ref="F71:F76" si="19">+E71/$F$2</f>
        <v>5677.2908366533866</v>
      </c>
    </row>
    <row r="72" spans="1:6">
      <c r="A72" s="66" t="s">
        <v>51</v>
      </c>
      <c r="B72" s="63" t="s">
        <v>177</v>
      </c>
      <c r="C72" s="104">
        <v>1</v>
      </c>
      <c r="D72" s="71">
        <v>0.01</v>
      </c>
      <c r="E72" s="65">
        <f t="shared" ref="E72:E73" si="20">+D72*$E$68</f>
        <v>23750</v>
      </c>
      <c r="F72" s="65">
        <f t="shared" si="19"/>
        <v>1892.430278884462</v>
      </c>
    </row>
    <row r="73" spans="1:6">
      <c r="A73" s="66" t="s">
        <v>38</v>
      </c>
      <c r="B73" s="63" t="s">
        <v>177</v>
      </c>
      <c r="C73" s="104">
        <v>1</v>
      </c>
      <c r="D73" s="71">
        <v>0.02</v>
      </c>
      <c r="E73" s="65">
        <f t="shared" si="20"/>
        <v>47500</v>
      </c>
      <c r="F73" s="65">
        <f t="shared" si="19"/>
        <v>3784.8605577689241</v>
      </c>
    </row>
    <row r="74" spans="1:6">
      <c r="A74" s="72" t="s">
        <v>40</v>
      </c>
      <c r="B74" s="73"/>
      <c r="C74" s="158"/>
      <c r="D74" s="73"/>
      <c r="E74" s="74">
        <f>+E71+E68</f>
        <v>2446250</v>
      </c>
      <c r="F74" s="75">
        <f t="shared" si="19"/>
        <v>194920.31872509958</v>
      </c>
    </row>
    <row r="75" spans="1:6" s="20" customFormat="1">
      <c r="A75" s="73"/>
      <c r="B75" s="73"/>
      <c r="C75" s="158"/>
      <c r="D75" s="73"/>
      <c r="E75" s="76"/>
      <c r="F75" s="77"/>
    </row>
    <row r="76" spans="1:6" s="20" customFormat="1">
      <c r="A76" s="73"/>
      <c r="B76" s="73"/>
      <c r="C76" s="158"/>
      <c r="D76" s="135" t="s">
        <v>5</v>
      </c>
      <c r="E76" s="136">
        <f>+E74+E64+E54+E44+E34+E24+E14</f>
        <v>25956000</v>
      </c>
      <c r="F76" s="98">
        <f t="shared" si="19"/>
        <v>2068207.171314741</v>
      </c>
    </row>
    <row r="77" spans="1:6" s="20" customFormat="1">
      <c r="A77" s="73"/>
      <c r="B77" s="73"/>
      <c r="C77" s="158"/>
      <c r="D77" s="73"/>
      <c r="E77" s="76"/>
      <c r="F77" s="77"/>
    </row>
    <row r="78" spans="1:6">
      <c r="A78" s="133" t="s">
        <v>116</v>
      </c>
    </row>
    <row r="79" spans="1:6">
      <c r="A79" s="18" t="s">
        <v>135</v>
      </c>
    </row>
    <row r="80" spans="1:6" ht="27" customHeight="1">
      <c r="A80" s="201" t="s">
        <v>134</v>
      </c>
      <c r="B80" s="202"/>
      <c r="C80" s="202"/>
      <c r="D80" s="202"/>
      <c r="E80" s="202"/>
      <c r="F80" s="202"/>
    </row>
  </sheetData>
  <mergeCells count="2">
    <mergeCell ref="A1:F1"/>
    <mergeCell ref="A80:F80"/>
  </mergeCells>
  <pageMargins left="0.15748031496062992" right="0.15748031496062992" top="0.35" bottom="0.56999999999999995" header="0.31496062992125984" footer="0.31496062992125984"/>
  <pageSetup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K143"/>
  <sheetViews>
    <sheetView topLeftCell="A122" workbookViewId="0">
      <selection activeCell="D144" sqref="D144"/>
    </sheetView>
  </sheetViews>
  <sheetFormatPr baseColWidth="10" defaultRowHeight="12.75"/>
  <cols>
    <col min="1" max="1" width="45.7109375" style="18" customWidth="1"/>
    <col min="2" max="3" width="10.7109375" style="18" customWidth="1"/>
    <col min="4" max="4" width="10.7109375" style="113" customWidth="1"/>
    <col min="5" max="6" width="10.7109375" style="18" customWidth="1"/>
    <col min="7" max="57" width="11.42578125" style="20"/>
    <col min="58" max="16384" width="11.42578125" style="18"/>
  </cols>
  <sheetData>
    <row r="1" spans="1:63" ht="13.5" thickBot="1">
      <c r="A1" s="197" t="s">
        <v>16</v>
      </c>
      <c r="B1" s="198"/>
      <c r="C1" s="198"/>
      <c r="D1" s="198"/>
      <c r="E1" s="199"/>
      <c r="F1" s="200"/>
    </row>
    <row r="2" spans="1:63">
      <c r="A2" s="204" t="s">
        <v>80</v>
      </c>
      <c r="B2" s="204"/>
      <c r="C2" s="39"/>
      <c r="D2" s="39"/>
      <c r="E2" s="142" t="s">
        <v>17</v>
      </c>
      <c r="F2" s="143">
        <v>12.55</v>
      </c>
    </row>
    <row r="3" spans="1:63">
      <c r="B3" s="16"/>
      <c r="C3" s="16"/>
      <c r="D3" s="99"/>
      <c r="E3" s="100"/>
      <c r="F3" s="45"/>
    </row>
    <row r="4" spans="1:63">
      <c r="A4" s="205" t="s">
        <v>138</v>
      </c>
      <c r="B4" s="205"/>
      <c r="C4" s="16"/>
      <c r="D4" s="99"/>
      <c r="E4" s="100"/>
      <c r="F4" s="45"/>
    </row>
    <row r="5" spans="1:63" s="20" customFormat="1">
      <c r="A5" s="46"/>
      <c r="B5" s="16"/>
      <c r="C5" s="16"/>
      <c r="D5" s="99"/>
      <c r="E5" s="100"/>
      <c r="F5" s="45"/>
    </row>
    <row r="6" spans="1:63" ht="13.5">
      <c r="A6" s="112" t="s">
        <v>81</v>
      </c>
    </row>
    <row r="7" spans="1:63" ht="38.25">
      <c r="A7" s="54" t="s">
        <v>21</v>
      </c>
      <c r="B7" s="54" t="s">
        <v>22</v>
      </c>
      <c r="C7" s="54" t="s">
        <v>23</v>
      </c>
      <c r="D7" s="55" t="s">
        <v>24</v>
      </c>
      <c r="E7" s="56" t="s">
        <v>25</v>
      </c>
      <c r="F7" s="56" t="s">
        <v>26</v>
      </c>
    </row>
    <row r="8" spans="1:63" s="20" customFormat="1" ht="13.5">
      <c r="A8" s="57" t="s">
        <v>27</v>
      </c>
      <c r="B8" s="58"/>
      <c r="C8" s="58"/>
      <c r="D8" s="59"/>
      <c r="E8" s="114">
        <f>SUM(E9:E15)</f>
        <v>1906816.1999999997</v>
      </c>
      <c r="F8" s="61">
        <f>+E8/$F$2</f>
        <v>151937.54581673304</v>
      </c>
    </row>
    <row r="9" spans="1:63" s="20" customFormat="1">
      <c r="A9" s="66" t="s">
        <v>28</v>
      </c>
      <c r="B9" s="63" t="s">
        <v>29</v>
      </c>
      <c r="C9" s="70">
        <f>C10</f>
        <v>1152.3599999999997</v>
      </c>
      <c r="D9" s="65">
        <v>120</v>
      </c>
      <c r="E9" s="65">
        <f t="shared" ref="E9:E15" si="0">C9*D9</f>
        <v>138283.19999999995</v>
      </c>
      <c r="F9" s="65">
        <f>+E9/$F$2</f>
        <v>11018.581673306768</v>
      </c>
    </row>
    <row r="10" spans="1:63" s="116" customFormat="1">
      <c r="A10" s="66" t="s">
        <v>82</v>
      </c>
      <c r="B10" s="63" t="s">
        <v>29</v>
      </c>
      <c r="C10" s="115">
        <v>1152.3599999999997</v>
      </c>
      <c r="D10" s="65">
        <v>300</v>
      </c>
      <c r="E10" s="65">
        <f t="shared" si="0"/>
        <v>345707.99999999988</v>
      </c>
      <c r="F10" s="65">
        <f t="shared" ref="F10:F19" si="1">+E10/$F$2</f>
        <v>27546.45418326692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</row>
    <row r="11" spans="1:63">
      <c r="A11" s="66" t="s">
        <v>55</v>
      </c>
      <c r="B11" s="63" t="s">
        <v>29</v>
      </c>
      <c r="C11" s="115">
        <v>466</v>
      </c>
      <c r="D11" s="65">
        <v>500</v>
      </c>
      <c r="E11" s="65">
        <f t="shared" si="0"/>
        <v>233000</v>
      </c>
      <c r="F11" s="65">
        <f t="shared" si="1"/>
        <v>18565.737051792828</v>
      </c>
      <c r="BF11" s="20"/>
      <c r="BG11" s="20"/>
      <c r="BH11" s="20"/>
      <c r="BI11" s="20"/>
      <c r="BJ11" s="20"/>
      <c r="BK11" s="20"/>
    </row>
    <row r="12" spans="1:63">
      <c r="A12" s="66" t="s">
        <v>83</v>
      </c>
      <c r="B12" s="63" t="s">
        <v>46</v>
      </c>
      <c r="C12" s="115">
        <v>227.5</v>
      </c>
      <c r="D12" s="65">
        <v>80</v>
      </c>
      <c r="E12" s="65">
        <f t="shared" si="0"/>
        <v>18200</v>
      </c>
      <c r="F12" s="65">
        <f t="shared" si="1"/>
        <v>1450.199203187251</v>
      </c>
      <c r="BF12" s="20"/>
      <c r="BG12" s="20"/>
      <c r="BH12" s="20"/>
      <c r="BI12" s="20"/>
      <c r="BJ12" s="20"/>
      <c r="BK12" s="20"/>
    </row>
    <row r="13" spans="1:63" s="116" customFormat="1">
      <c r="A13" s="66" t="s">
        <v>57</v>
      </c>
      <c r="B13" s="63" t="s">
        <v>46</v>
      </c>
      <c r="C13" s="115">
        <v>227.5</v>
      </c>
      <c r="D13" s="65">
        <v>1450</v>
      </c>
      <c r="E13" s="65">
        <f t="shared" si="0"/>
        <v>329875</v>
      </c>
      <c r="F13" s="65">
        <f t="shared" si="1"/>
        <v>26284.860557768923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</row>
    <row r="14" spans="1:63" s="20" customFormat="1">
      <c r="A14" s="66" t="s">
        <v>58</v>
      </c>
      <c r="B14" s="63" t="s">
        <v>46</v>
      </c>
      <c r="C14" s="115">
        <v>227.5</v>
      </c>
      <c r="D14" s="65">
        <v>2500</v>
      </c>
      <c r="E14" s="65">
        <f t="shared" si="0"/>
        <v>568750</v>
      </c>
      <c r="F14" s="65">
        <f t="shared" si="1"/>
        <v>45318.725099601594</v>
      </c>
    </row>
    <row r="15" spans="1:63">
      <c r="A15" s="66" t="s">
        <v>49</v>
      </c>
      <c r="B15" s="63" t="s">
        <v>46</v>
      </c>
      <c r="C15" s="115">
        <v>227.5</v>
      </c>
      <c r="D15" s="65">
        <v>1200</v>
      </c>
      <c r="E15" s="65">
        <f t="shared" si="0"/>
        <v>273000</v>
      </c>
      <c r="F15" s="65">
        <f t="shared" si="1"/>
        <v>21752.988047808765</v>
      </c>
      <c r="BF15" s="20"/>
      <c r="BG15" s="20"/>
      <c r="BH15" s="20"/>
      <c r="BI15" s="20"/>
      <c r="BJ15" s="20"/>
      <c r="BK15" s="20"/>
    </row>
    <row r="16" spans="1:63" ht="13.5">
      <c r="A16" s="57" t="s">
        <v>36</v>
      </c>
      <c r="B16" s="20"/>
      <c r="C16" s="20"/>
      <c r="D16" s="68"/>
      <c r="E16" s="69">
        <f>SUM(E17:E18)</f>
        <v>76272.647999999986</v>
      </c>
      <c r="F16" s="61">
        <f t="shared" si="1"/>
        <v>6077.5018326693216</v>
      </c>
      <c r="BF16" s="20"/>
      <c r="BG16" s="20"/>
      <c r="BH16" s="20"/>
      <c r="BI16" s="20"/>
      <c r="BJ16" s="20"/>
      <c r="BK16" s="20"/>
    </row>
    <row r="17" spans="1:63">
      <c r="A17" s="66" t="s">
        <v>51</v>
      </c>
      <c r="B17" s="125" t="s">
        <v>177</v>
      </c>
      <c r="C17" s="70">
        <v>1</v>
      </c>
      <c r="D17" s="71">
        <v>0.01</v>
      </c>
      <c r="E17" s="65">
        <f>+E8*D17</f>
        <v>19068.161999999997</v>
      </c>
      <c r="F17" s="65">
        <f t="shared" si="1"/>
        <v>1519.3754581673304</v>
      </c>
      <c r="BF17" s="20"/>
      <c r="BG17" s="20"/>
      <c r="BH17" s="20"/>
      <c r="BI17" s="20"/>
      <c r="BJ17" s="20"/>
      <c r="BK17" s="20"/>
    </row>
    <row r="18" spans="1:63">
      <c r="A18" s="66" t="s">
        <v>84</v>
      </c>
      <c r="B18" s="125" t="s">
        <v>177</v>
      </c>
      <c r="C18" s="64">
        <v>1</v>
      </c>
      <c r="D18" s="71">
        <v>0.03</v>
      </c>
      <c r="E18" s="65">
        <f>+E8*D18</f>
        <v>57204.48599999999</v>
      </c>
      <c r="F18" s="65">
        <f t="shared" si="1"/>
        <v>4558.1263745019905</v>
      </c>
      <c r="BF18" s="20"/>
      <c r="BG18" s="20"/>
      <c r="BH18" s="20"/>
      <c r="BI18" s="20"/>
      <c r="BJ18" s="20"/>
      <c r="BK18" s="20"/>
    </row>
    <row r="19" spans="1:63">
      <c r="A19" s="72" t="s">
        <v>40</v>
      </c>
      <c r="B19" s="73"/>
      <c r="C19" s="73"/>
      <c r="D19" s="73"/>
      <c r="E19" s="74">
        <f>+E8+E16</f>
        <v>1983088.8479999998</v>
      </c>
      <c r="F19" s="75">
        <f t="shared" si="1"/>
        <v>158015.04764940238</v>
      </c>
      <c r="BF19" s="20"/>
      <c r="BG19" s="20"/>
      <c r="BH19" s="20"/>
      <c r="BI19" s="20"/>
      <c r="BJ19" s="20"/>
      <c r="BK19" s="20"/>
    </row>
    <row r="20" spans="1:63">
      <c r="A20" s="16"/>
      <c r="B20" s="79"/>
      <c r="C20" s="80"/>
      <c r="D20" s="117"/>
      <c r="E20" s="82"/>
      <c r="F20" s="82"/>
      <c r="BF20" s="20"/>
      <c r="BG20" s="20"/>
      <c r="BH20" s="20"/>
      <c r="BI20" s="20"/>
      <c r="BJ20" s="20"/>
      <c r="BK20" s="20"/>
    </row>
    <row r="21" spans="1:63" ht="13.5">
      <c r="A21" s="112" t="s">
        <v>85</v>
      </c>
      <c r="B21" s="79"/>
      <c r="C21" s="80"/>
      <c r="D21" s="117"/>
      <c r="E21" s="82"/>
      <c r="F21" s="82"/>
      <c r="BF21" s="20"/>
      <c r="BG21" s="20"/>
    </row>
    <row r="22" spans="1:63" ht="38.25">
      <c r="A22" s="54" t="s">
        <v>21</v>
      </c>
      <c r="B22" s="54" t="s">
        <v>22</v>
      </c>
      <c r="C22" s="54" t="s">
        <v>23</v>
      </c>
      <c r="D22" s="55" t="s">
        <v>24</v>
      </c>
      <c r="E22" s="56" t="s">
        <v>25</v>
      </c>
      <c r="F22" s="56" t="s">
        <v>26</v>
      </c>
      <c r="G22" s="16"/>
      <c r="BF22" s="20"/>
      <c r="BG22" s="20"/>
    </row>
    <row r="23" spans="1:63" ht="13.5">
      <c r="A23" s="118" t="s">
        <v>27</v>
      </c>
      <c r="B23" s="58"/>
      <c r="C23" s="58"/>
      <c r="D23" s="59"/>
      <c r="E23" s="114">
        <f>SUM(E24:E30)</f>
        <v>5009910.3000000007</v>
      </c>
      <c r="F23" s="61">
        <f t="shared" ref="F23:F34" si="2">+E23/$F$2</f>
        <v>399196.03984063747</v>
      </c>
      <c r="G23" s="16"/>
      <c r="BF23" s="20"/>
      <c r="BG23" s="20"/>
    </row>
    <row r="24" spans="1:63" s="20" customFormat="1">
      <c r="A24" s="66" t="s">
        <v>28</v>
      </c>
      <c r="B24" s="63" t="s">
        <v>29</v>
      </c>
      <c r="C24" s="65">
        <f>C25</f>
        <v>7471.58</v>
      </c>
      <c r="D24" s="65">
        <v>120</v>
      </c>
      <c r="E24" s="65">
        <f>PRODUCT(D24,C24)</f>
        <v>896589.6</v>
      </c>
      <c r="F24" s="65">
        <f t="shared" si="2"/>
        <v>71441.402390438234</v>
      </c>
      <c r="G24" s="16"/>
    </row>
    <row r="25" spans="1:63" s="116" customFormat="1">
      <c r="A25" s="66" t="s">
        <v>82</v>
      </c>
      <c r="B25" s="63" t="s">
        <v>56</v>
      </c>
      <c r="C25" s="65">
        <v>7471.58</v>
      </c>
      <c r="D25" s="65">
        <v>300</v>
      </c>
      <c r="E25" s="65">
        <f t="shared" ref="E25:E30" si="3">C25*D25</f>
        <v>2241474</v>
      </c>
      <c r="F25" s="65">
        <f t="shared" si="2"/>
        <v>178603.50597609562</v>
      </c>
      <c r="G25" s="16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</row>
    <row r="26" spans="1:63">
      <c r="A26" s="66" t="s">
        <v>55</v>
      </c>
      <c r="B26" s="63" t="s">
        <v>56</v>
      </c>
      <c r="C26" s="65">
        <v>1140</v>
      </c>
      <c r="D26" s="65">
        <v>500</v>
      </c>
      <c r="E26" s="65">
        <f t="shared" si="3"/>
        <v>570000</v>
      </c>
      <c r="F26" s="65">
        <f t="shared" si="2"/>
        <v>45418.326693227093</v>
      </c>
      <c r="G26" s="16"/>
      <c r="BF26" s="20"/>
      <c r="BG26" s="20"/>
    </row>
    <row r="27" spans="1:63">
      <c r="A27" s="66" t="s">
        <v>83</v>
      </c>
      <c r="B27" s="63" t="s">
        <v>46</v>
      </c>
      <c r="C27" s="65">
        <v>249</v>
      </c>
      <c r="D27" s="65">
        <v>78.3</v>
      </c>
      <c r="E27" s="65">
        <f t="shared" si="3"/>
        <v>19496.7</v>
      </c>
      <c r="F27" s="65">
        <f t="shared" si="2"/>
        <v>1553.5219123505976</v>
      </c>
      <c r="G27" s="16"/>
      <c r="BF27" s="20"/>
      <c r="BG27" s="20"/>
    </row>
    <row r="28" spans="1:63">
      <c r="A28" s="66" t="s">
        <v>86</v>
      </c>
      <c r="B28" s="63" t="s">
        <v>46</v>
      </c>
      <c r="C28" s="65">
        <v>249</v>
      </c>
      <c r="D28" s="65">
        <v>1450</v>
      </c>
      <c r="E28" s="65">
        <f t="shared" si="3"/>
        <v>361050</v>
      </c>
      <c r="F28" s="65">
        <f t="shared" si="2"/>
        <v>28768.924302788844</v>
      </c>
      <c r="BF28" s="20"/>
      <c r="BG28" s="20"/>
    </row>
    <row r="29" spans="1:63">
      <c r="A29" s="66" t="s">
        <v>87</v>
      </c>
      <c r="B29" s="63" t="s">
        <v>46</v>
      </c>
      <c r="C29" s="65">
        <v>249</v>
      </c>
      <c r="D29" s="65">
        <v>2500</v>
      </c>
      <c r="E29" s="65">
        <f t="shared" si="3"/>
        <v>622500</v>
      </c>
      <c r="F29" s="65">
        <f t="shared" si="2"/>
        <v>49601.593625498004</v>
      </c>
      <c r="BF29" s="20"/>
      <c r="BG29" s="20"/>
    </row>
    <row r="30" spans="1:63">
      <c r="A30" s="66" t="s">
        <v>49</v>
      </c>
      <c r="B30" s="63" t="s">
        <v>46</v>
      </c>
      <c r="C30" s="65">
        <v>249</v>
      </c>
      <c r="D30" s="65">
        <v>1200</v>
      </c>
      <c r="E30" s="65">
        <f t="shared" si="3"/>
        <v>298800</v>
      </c>
      <c r="F30" s="65">
        <f t="shared" si="2"/>
        <v>23808.764940239042</v>
      </c>
      <c r="BF30" s="20"/>
      <c r="BG30" s="20"/>
    </row>
    <row r="31" spans="1:63" ht="13.5">
      <c r="A31" s="119" t="s">
        <v>36</v>
      </c>
      <c r="E31" s="120">
        <f>SUM(E32:E33)</f>
        <v>200396.41200000001</v>
      </c>
      <c r="F31" s="61">
        <f t="shared" si="2"/>
        <v>15967.841593625499</v>
      </c>
      <c r="BF31" s="20"/>
      <c r="BG31" s="20"/>
    </row>
    <row r="32" spans="1:63">
      <c r="A32" s="66" t="s">
        <v>51</v>
      </c>
      <c r="B32" s="125" t="s">
        <v>177</v>
      </c>
      <c r="C32" s="64">
        <v>1</v>
      </c>
      <c r="D32" s="71">
        <v>0.01</v>
      </c>
      <c r="E32" s="121">
        <f>+E23*D32</f>
        <v>50099.10300000001</v>
      </c>
      <c r="F32" s="65">
        <f t="shared" si="2"/>
        <v>3991.9603984063751</v>
      </c>
      <c r="BF32" s="20"/>
      <c r="BG32" s="20"/>
    </row>
    <row r="33" spans="1:59">
      <c r="A33" s="66" t="s">
        <v>84</v>
      </c>
      <c r="B33" s="125" t="s">
        <v>177</v>
      </c>
      <c r="C33" s="64">
        <v>1</v>
      </c>
      <c r="D33" s="71">
        <v>0.03</v>
      </c>
      <c r="E33" s="121">
        <f>+E23*D33</f>
        <v>150297.30900000001</v>
      </c>
      <c r="F33" s="65">
        <f t="shared" si="2"/>
        <v>11975.881195219123</v>
      </c>
      <c r="BF33" s="20"/>
      <c r="BG33" s="20"/>
    </row>
    <row r="34" spans="1:59">
      <c r="A34" s="72" t="s">
        <v>40</v>
      </c>
      <c r="B34" s="122"/>
      <c r="C34" s="122"/>
      <c r="D34" s="122"/>
      <c r="E34" s="74">
        <f>+E31+E23</f>
        <v>5210306.7120000012</v>
      </c>
      <c r="F34" s="75">
        <f t="shared" si="2"/>
        <v>415163.88143426302</v>
      </c>
    </row>
    <row r="35" spans="1:59" s="16" customFormat="1">
      <c r="A35" s="92"/>
      <c r="B35" s="92"/>
      <c r="C35" s="92"/>
      <c r="D35" s="92"/>
      <c r="E35" s="94"/>
      <c r="F35" s="94"/>
    </row>
    <row r="36" spans="1:59" ht="13.5">
      <c r="A36" s="53" t="s">
        <v>88</v>
      </c>
    </row>
    <row r="37" spans="1:59" ht="38.25">
      <c r="A37" s="54" t="s">
        <v>21</v>
      </c>
      <c r="B37" s="54" t="s">
        <v>22</v>
      </c>
      <c r="C37" s="54" t="s">
        <v>23</v>
      </c>
      <c r="D37" s="55" t="s">
        <v>24</v>
      </c>
      <c r="E37" s="56" t="s">
        <v>25</v>
      </c>
      <c r="F37" s="56" t="s">
        <v>26</v>
      </c>
    </row>
    <row r="38" spans="1:59" ht="13.5">
      <c r="A38" s="118" t="s">
        <v>27</v>
      </c>
      <c r="B38" s="58"/>
      <c r="C38" s="58"/>
      <c r="D38" s="59"/>
      <c r="E38" s="114">
        <f>SUM(E39:E45)</f>
        <v>2757277.6999999997</v>
      </c>
      <c r="F38" s="61">
        <f t="shared" ref="F38:F49" si="4">+E38/$F$2</f>
        <v>219703.40239043822</v>
      </c>
    </row>
    <row r="39" spans="1:59" s="20" customFormat="1">
      <c r="A39" s="66" t="s">
        <v>28</v>
      </c>
      <c r="B39" s="63" t="s">
        <v>29</v>
      </c>
      <c r="C39" s="65">
        <f>C40</f>
        <v>3408.9999999999995</v>
      </c>
      <c r="D39" s="65">
        <v>120</v>
      </c>
      <c r="E39" s="65">
        <f>PRODUCT(D39,C39)</f>
        <v>409079.99999999994</v>
      </c>
      <c r="F39" s="65">
        <f t="shared" si="4"/>
        <v>32596.015936254975</v>
      </c>
    </row>
    <row r="40" spans="1:59" s="116" customFormat="1">
      <c r="A40" s="123" t="s">
        <v>82</v>
      </c>
      <c r="B40" s="63" t="s">
        <v>29</v>
      </c>
      <c r="C40" s="65">
        <v>3408.9999999999995</v>
      </c>
      <c r="D40" s="65">
        <v>300</v>
      </c>
      <c r="E40" s="65">
        <f t="shared" ref="E40:E45" si="5">C40*D40</f>
        <v>1022699.9999999999</v>
      </c>
      <c r="F40" s="65">
        <f t="shared" si="4"/>
        <v>81490.03984063743</v>
      </c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</row>
    <row r="41" spans="1:59">
      <c r="A41" s="123" t="s">
        <v>89</v>
      </c>
      <c r="B41" s="63" t="s">
        <v>29</v>
      </c>
      <c r="C41" s="65">
        <v>361</v>
      </c>
      <c r="D41" s="65">
        <v>500</v>
      </c>
      <c r="E41" s="65">
        <f t="shared" si="5"/>
        <v>180500</v>
      </c>
      <c r="F41" s="65">
        <f t="shared" si="4"/>
        <v>14382.470119521911</v>
      </c>
    </row>
    <row r="42" spans="1:59">
      <c r="A42" s="123" t="s">
        <v>83</v>
      </c>
      <c r="B42" s="124" t="s">
        <v>46</v>
      </c>
      <c r="C42" s="65">
        <v>219</v>
      </c>
      <c r="D42" s="65">
        <v>78.3</v>
      </c>
      <c r="E42" s="65">
        <f t="shared" si="5"/>
        <v>17147.7</v>
      </c>
      <c r="F42" s="65">
        <f t="shared" si="4"/>
        <v>1366.3505976095616</v>
      </c>
    </row>
    <row r="43" spans="1:59" s="116" customFormat="1">
      <c r="A43" s="123" t="s">
        <v>86</v>
      </c>
      <c r="B43" s="124" t="s">
        <v>46</v>
      </c>
      <c r="C43" s="65">
        <v>219</v>
      </c>
      <c r="D43" s="65">
        <v>1450</v>
      </c>
      <c r="E43" s="65">
        <f t="shared" si="5"/>
        <v>317550</v>
      </c>
      <c r="F43" s="65">
        <f t="shared" si="4"/>
        <v>25302.788844621511</v>
      </c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</row>
    <row r="44" spans="1:59">
      <c r="A44" s="123" t="s">
        <v>87</v>
      </c>
      <c r="B44" s="124" t="s">
        <v>46</v>
      </c>
      <c r="C44" s="65">
        <v>219</v>
      </c>
      <c r="D44" s="65">
        <v>2500</v>
      </c>
      <c r="E44" s="65">
        <f t="shared" si="5"/>
        <v>547500</v>
      </c>
      <c r="F44" s="65">
        <f t="shared" si="4"/>
        <v>43625.498007968126</v>
      </c>
    </row>
    <row r="45" spans="1:59">
      <c r="A45" s="123" t="s">
        <v>49</v>
      </c>
      <c r="B45" s="124" t="s">
        <v>46</v>
      </c>
      <c r="C45" s="65">
        <v>219</v>
      </c>
      <c r="D45" s="65">
        <v>1200</v>
      </c>
      <c r="E45" s="65">
        <f t="shared" si="5"/>
        <v>262800</v>
      </c>
      <c r="F45" s="65">
        <f t="shared" si="4"/>
        <v>20940.239043824698</v>
      </c>
    </row>
    <row r="46" spans="1:59" ht="13.5">
      <c r="A46" s="119" t="s">
        <v>36</v>
      </c>
      <c r="E46" s="120">
        <f>SUM(E47:E48)</f>
        <v>110291.10799999999</v>
      </c>
      <c r="F46" s="61">
        <f t="shared" si="4"/>
        <v>8788.1360956175286</v>
      </c>
    </row>
    <row r="47" spans="1:59">
      <c r="A47" s="66" t="s">
        <v>51</v>
      </c>
      <c r="B47" s="125" t="s">
        <v>177</v>
      </c>
      <c r="C47" s="64">
        <v>1</v>
      </c>
      <c r="D47" s="71">
        <v>0.01</v>
      </c>
      <c r="E47" s="121">
        <f>+E38*D47</f>
        <v>27572.776999999998</v>
      </c>
      <c r="F47" s="65">
        <f t="shared" si="4"/>
        <v>2197.0340239043821</v>
      </c>
    </row>
    <row r="48" spans="1:59">
      <c r="A48" s="66" t="s">
        <v>84</v>
      </c>
      <c r="B48" s="125" t="s">
        <v>177</v>
      </c>
      <c r="C48" s="64">
        <v>1</v>
      </c>
      <c r="D48" s="71">
        <v>0.03</v>
      </c>
      <c r="E48" s="121">
        <f>+E38*D48</f>
        <v>82718.330999999991</v>
      </c>
      <c r="F48" s="65">
        <f t="shared" si="4"/>
        <v>6591.102071713146</v>
      </c>
    </row>
    <row r="49" spans="1:57">
      <c r="A49" s="72" t="s">
        <v>40</v>
      </c>
      <c r="B49" s="122"/>
      <c r="C49" s="122"/>
      <c r="D49" s="122"/>
      <c r="E49" s="74">
        <f>+E46+E38</f>
        <v>2867568.8079999997</v>
      </c>
      <c r="F49" s="75">
        <f t="shared" si="4"/>
        <v>228491.53848605574</v>
      </c>
    </row>
    <row r="50" spans="1:57">
      <c r="A50" s="203"/>
      <c r="B50" s="203"/>
      <c r="C50" s="203"/>
      <c r="D50" s="203"/>
    </row>
    <row r="51" spans="1:57" ht="13.5">
      <c r="A51" s="112" t="s">
        <v>90</v>
      </c>
    </row>
    <row r="52" spans="1:57" ht="38.25">
      <c r="A52" s="54" t="s">
        <v>21</v>
      </c>
      <c r="B52" s="54" t="s">
        <v>22</v>
      </c>
      <c r="C52" s="54" t="s">
        <v>23</v>
      </c>
      <c r="D52" s="55" t="s">
        <v>24</v>
      </c>
      <c r="E52" s="56" t="s">
        <v>25</v>
      </c>
      <c r="F52" s="56" t="s">
        <v>26</v>
      </c>
    </row>
    <row r="53" spans="1:57" s="20" customFormat="1" ht="13.5">
      <c r="A53" s="118" t="s">
        <v>27</v>
      </c>
      <c r="B53" s="58"/>
      <c r="C53" s="58"/>
      <c r="D53" s="59"/>
      <c r="E53" s="114">
        <f>SUM(E54:E60)</f>
        <v>2628583.46</v>
      </c>
      <c r="F53" s="61">
        <f t="shared" ref="F53:F64" si="6">+E53/$F$2</f>
        <v>209448.88127490037</v>
      </c>
    </row>
    <row r="54" spans="1:57" s="20" customFormat="1">
      <c r="A54" s="66" t="s">
        <v>28</v>
      </c>
      <c r="B54" s="63" t="s">
        <v>29</v>
      </c>
      <c r="C54" s="65">
        <f>C55</f>
        <v>2181.8530000000001</v>
      </c>
      <c r="D54" s="65">
        <v>120</v>
      </c>
      <c r="E54" s="65">
        <f>PRODUCT(D54,C54)</f>
        <v>261822.36000000002</v>
      </c>
      <c r="F54" s="65">
        <f t="shared" si="6"/>
        <v>20862.339442231074</v>
      </c>
    </row>
    <row r="55" spans="1:57" s="116" customFormat="1">
      <c r="A55" s="123" t="s">
        <v>91</v>
      </c>
      <c r="B55" s="63" t="s">
        <v>29</v>
      </c>
      <c r="C55" s="65">
        <v>2181.8530000000001</v>
      </c>
      <c r="D55" s="65">
        <v>300</v>
      </c>
      <c r="E55" s="65">
        <f t="shared" ref="E55:E60" si="7">C55*D55</f>
        <v>654555.9</v>
      </c>
      <c r="F55" s="65">
        <f t="shared" si="6"/>
        <v>52155.848605577688</v>
      </c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</row>
    <row r="56" spans="1:57">
      <c r="A56" s="123" t="s">
        <v>89</v>
      </c>
      <c r="B56" s="63" t="s">
        <v>29</v>
      </c>
      <c r="C56" s="65">
        <v>873</v>
      </c>
      <c r="D56" s="65">
        <v>500</v>
      </c>
      <c r="E56" s="65">
        <f t="shared" si="7"/>
        <v>436500</v>
      </c>
      <c r="F56" s="65">
        <f t="shared" si="6"/>
        <v>34780.876494023905</v>
      </c>
    </row>
    <row r="57" spans="1:57">
      <c r="A57" s="123" t="s">
        <v>83</v>
      </c>
      <c r="B57" s="124" t="s">
        <v>46</v>
      </c>
      <c r="C57" s="65">
        <v>244</v>
      </c>
      <c r="D57" s="65">
        <v>78.3</v>
      </c>
      <c r="E57" s="65">
        <f t="shared" si="7"/>
        <v>19105.2</v>
      </c>
      <c r="F57" s="65">
        <f t="shared" si="6"/>
        <v>1522.3266932270917</v>
      </c>
    </row>
    <row r="58" spans="1:57" s="116" customFormat="1">
      <c r="A58" s="123" t="s">
        <v>86</v>
      </c>
      <c r="B58" s="124" t="s">
        <v>46</v>
      </c>
      <c r="C58" s="65">
        <v>244</v>
      </c>
      <c r="D58" s="65">
        <v>1450</v>
      </c>
      <c r="E58" s="65">
        <f t="shared" si="7"/>
        <v>353800</v>
      </c>
      <c r="F58" s="65">
        <f t="shared" si="6"/>
        <v>28191.235059760955</v>
      </c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</row>
    <row r="59" spans="1:57">
      <c r="A59" s="123" t="s">
        <v>87</v>
      </c>
      <c r="B59" s="124" t="s">
        <v>46</v>
      </c>
      <c r="C59" s="65">
        <v>244</v>
      </c>
      <c r="D59" s="65">
        <v>2500</v>
      </c>
      <c r="E59" s="65">
        <f t="shared" si="7"/>
        <v>610000</v>
      </c>
      <c r="F59" s="65">
        <f t="shared" si="6"/>
        <v>48605.577689243022</v>
      </c>
    </row>
    <row r="60" spans="1:57">
      <c r="A60" s="123" t="s">
        <v>49</v>
      </c>
      <c r="B60" s="124" t="s">
        <v>46</v>
      </c>
      <c r="C60" s="65">
        <v>244</v>
      </c>
      <c r="D60" s="65">
        <v>1200</v>
      </c>
      <c r="E60" s="65">
        <f t="shared" si="7"/>
        <v>292800</v>
      </c>
      <c r="F60" s="65">
        <f t="shared" si="6"/>
        <v>23330.677290836651</v>
      </c>
    </row>
    <row r="61" spans="1:57" ht="13.5">
      <c r="A61" s="119" t="s">
        <v>36</v>
      </c>
      <c r="E61" s="120">
        <f>SUM(E62:E63)</f>
        <v>105143.33839999999</v>
      </c>
      <c r="F61" s="61">
        <f t="shared" si="6"/>
        <v>8377.9552509960158</v>
      </c>
    </row>
    <row r="62" spans="1:57">
      <c r="A62" s="66" t="s">
        <v>51</v>
      </c>
      <c r="B62" s="125" t="s">
        <v>177</v>
      </c>
      <c r="C62" s="64">
        <v>1</v>
      </c>
      <c r="D62" s="71">
        <v>0.01</v>
      </c>
      <c r="E62" s="121">
        <f>+E53*D62</f>
        <v>26285.834600000002</v>
      </c>
      <c r="F62" s="65">
        <f t="shared" si="6"/>
        <v>2094.488812749004</v>
      </c>
    </row>
    <row r="63" spans="1:57">
      <c r="A63" s="66" t="s">
        <v>84</v>
      </c>
      <c r="B63" s="125" t="s">
        <v>177</v>
      </c>
      <c r="C63" s="64">
        <v>1</v>
      </c>
      <c r="D63" s="71">
        <v>0.03</v>
      </c>
      <c r="E63" s="121">
        <f>+E53*D63</f>
        <v>78857.503799999991</v>
      </c>
      <c r="F63" s="65">
        <f t="shared" si="6"/>
        <v>6283.466438247011</v>
      </c>
    </row>
    <row r="64" spans="1:57">
      <c r="A64" s="72" t="s">
        <v>40</v>
      </c>
      <c r="B64" s="73"/>
      <c r="C64" s="73"/>
      <c r="D64" s="73"/>
      <c r="E64" s="74">
        <f>+E61+E53</f>
        <v>2733726.7983999997</v>
      </c>
      <c r="F64" s="75">
        <f t="shared" si="6"/>
        <v>217826.83652589639</v>
      </c>
    </row>
    <row r="65" spans="1:57" s="16" customFormat="1">
      <c r="A65" s="92"/>
      <c r="B65" s="92"/>
      <c r="C65" s="92"/>
      <c r="D65" s="92"/>
      <c r="E65" s="94"/>
      <c r="F65" s="94"/>
    </row>
    <row r="66" spans="1:57" ht="13.5">
      <c r="A66" s="112" t="s">
        <v>92</v>
      </c>
    </row>
    <row r="67" spans="1:57" ht="38.25">
      <c r="A67" s="54" t="s">
        <v>21</v>
      </c>
      <c r="B67" s="54" t="s">
        <v>22</v>
      </c>
      <c r="C67" s="54" t="s">
        <v>23</v>
      </c>
      <c r="D67" s="55" t="s">
        <v>24</v>
      </c>
      <c r="E67" s="56" t="s">
        <v>25</v>
      </c>
      <c r="F67" s="56" t="s">
        <v>26</v>
      </c>
    </row>
    <row r="68" spans="1:57" ht="13.5">
      <c r="A68" s="118" t="s">
        <v>27</v>
      </c>
      <c r="B68" s="58"/>
      <c r="C68" s="58"/>
      <c r="D68" s="59"/>
      <c r="E68" s="114">
        <f>SUM(E69:E75)</f>
        <v>2931391.7539999997</v>
      </c>
      <c r="F68" s="61">
        <f t="shared" ref="F68:F79" si="8">+E68/$F$2</f>
        <v>233577.03219123502</v>
      </c>
    </row>
    <row r="69" spans="1:57" s="20" customFormat="1">
      <c r="A69" s="66" t="s">
        <v>28</v>
      </c>
      <c r="B69" s="63" t="s">
        <v>29</v>
      </c>
      <c r="C69" s="65">
        <f>C70</f>
        <v>3112.8386999999998</v>
      </c>
      <c r="D69" s="65">
        <v>120</v>
      </c>
      <c r="E69" s="65">
        <f>PRODUCT(D69,C69)</f>
        <v>373540.64399999997</v>
      </c>
      <c r="F69" s="65">
        <f t="shared" si="8"/>
        <v>29764.194741035852</v>
      </c>
    </row>
    <row r="70" spans="1:57" s="116" customFormat="1">
      <c r="A70" s="123" t="s">
        <v>93</v>
      </c>
      <c r="B70" s="63" t="s">
        <v>29</v>
      </c>
      <c r="C70" s="65">
        <v>3112.8386999999998</v>
      </c>
      <c r="D70" s="65">
        <v>300</v>
      </c>
      <c r="E70" s="65">
        <f t="shared" ref="E70:E75" si="9">C70*D70</f>
        <v>933851.61</v>
      </c>
      <c r="F70" s="65">
        <f t="shared" si="8"/>
        <v>74410.486852589631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</row>
    <row r="71" spans="1:57">
      <c r="A71" s="123" t="s">
        <v>55</v>
      </c>
      <c r="B71" s="63" t="s">
        <v>29</v>
      </c>
      <c r="C71" s="65">
        <v>477</v>
      </c>
      <c r="D71" s="65">
        <v>500</v>
      </c>
      <c r="E71" s="65">
        <f t="shared" si="9"/>
        <v>238500</v>
      </c>
      <c r="F71" s="65">
        <f t="shared" si="8"/>
        <v>19003.984063745018</v>
      </c>
    </row>
    <row r="72" spans="1:57">
      <c r="A72" s="123" t="s">
        <v>83</v>
      </c>
      <c r="B72" s="124" t="s">
        <v>46</v>
      </c>
      <c r="C72" s="65">
        <v>265</v>
      </c>
      <c r="D72" s="65">
        <v>78.3</v>
      </c>
      <c r="E72" s="65">
        <f t="shared" si="9"/>
        <v>20749.5</v>
      </c>
      <c r="F72" s="65">
        <f t="shared" si="8"/>
        <v>1653.3466135458166</v>
      </c>
    </row>
    <row r="73" spans="1:57" s="116" customFormat="1">
      <c r="A73" s="123" t="s">
        <v>57</v>
      </c>
      <c r="B73" s="124" t="s">
        <v>46</v>
      </c>
      <c r="C73" s="65">
        <v>265</v>
      </c>
      <c r="D73" s="65">
        <v>1450</v>
      </c>
      <c r="E73" s="65">
        <f t="shared" si="9"/>
        <v>384250</v>
      </c>
      <c r="F73" s="65">
        <f t="shared" si="8"/>
        <v>30617.529880478087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</row>
    <row r="74" spans="1:57">
      <c r="A74" s="123" t="s">
        <v>58</v>
      </c>
      <c r="B74" s="124" t="s">
        <v>46</v>
      </c>
      <c r="C74" s="65">
        <v>265</v>
      </c>
      <c r="D74" s="65">
        <v>2500</v>
      </c>
      <c r="E74" s="65">
        <f t="shared" si="9"/>
        <v>662500</v>
      </c>
      <c r="F74" s="65">
        <f t="shared" si="8"/>
        <v>52788.844621513941</v>
      </c>
    </row>
    <row r="75" spans="1:57">
      <c r="A75" s="123" t="s">
        <v>49</v>
      </c>
      <c r="B75" s="124" t="s">
        <v>46</v>
      </c>
      <c r="C75" s="65">
        <v>265</v>
      </c>
      <c r="D75" s="65">
        <v>1200</v>
      </c>
      <c r="E75" s="65">
        <f t="shared" si="9"/>
        <v>318000</v>
      </c>
      <c r="F75" s="65">
        <f t="shared" si="8"/>
        <v>25338.645418326691</v>
      </c>
    </row>
    <row r="76" spans="1:57" ht="13.5">
      <c r="A76" s="119" t="s">
        <v>36</v>
      </c>
      <c r="E76" s="120">
        <f>SUM(E77:E78)</f>
        <v>117255.67015999998</v>
      </c>
      <c r="F76" s="61">
        <f t="shared" si="8"/>
        <v>9343.0812876494001</v>
      </c>
    </row>
    <row r="77" spans="1:57">
      <c r="A77" s="66" t="s">
        <v>51</v>
      </c>
      <c r="B77" s="125" t="s">
        <v>177</v>
      </c>
      <c r="C77" s="64">
        <v>1</v>
      </c>
      <c r="D77" s="71">
        <v>0.01</v>
      </c>
      <c r="E77" s="121">
        <f>+E68*D77</f>
        <v>29313.917539999999</v>
      </c>
      <c r="F77" s="65">
        <f t="shared" si="8"/>
        <v>2335.7703219123505</v>
      </c>
    </row>
    <row r="78" spans="1:57" s="126" customFormat="1">
      <c r="A78" s="66" t="s">
        <v>84</v>
      </c>
      <c r="B78" s="125" t="s">
        <v>177</v>
      </c>
      <c r="C78" s="64">
        <v>1</v>
      </c>
      <c r="D78" s="71">
        <v>0.03</v>
      </c>
      <c r="E78" s="121">
        <f>+E68*D78</f>
        <v>87941.752619999985</v>
      </c>
      <c r="F78" s="65">
        <f t="shared" si="8"/>
        <v>7007.3109657370505</v>
      </c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</row>
    <row r="79" spans="1:57">
      <c r="A79" s="72" t="s">
        <v>40</v>
      </c>
      <c r="B79" s="122"/>
      <c r="C79" s="122"/>
      <c r="D79" s="122"/>
      <c r="E79" s="74">
        <f>+E76+E68</f>
        <v>3048647.4241599999</v>
      </c>
      <c r="F79" s="75">
        <f t="shared" si="8"/>
        <v>242920.11347888445</v>
      </c>
    </row>
    <row r="80" spans="1:57">
      <c r="A80" s="16"/>
      <c r="B80" s="79"/>
      <c r="C80" s="80"/>
      <c r="D80" s="117"/>
      <c r="E80" s="82"/>
      <c r="F80" s="82"/>
    </row>
    <row r="81" spans="1:57" ht="13.5">
      <c r="A81" s="112" t="s">
        <v>94</v>
      </c>
    </row>
    <row r="82" spans="1:57" ht="38.25">
      <c r="A82" s="54" t="s">
        <v>21</v>
      </c>
      <c r="B82" s="54" t="s">
        <v>22</v>
      </c>
      <c r="C82" s="54" t="s">
        <v>23</v>
      </c>
      <c r="D82" s="55" t="s">
        <v>24</v>
      </c>
      <c r="E82" s="56" t="s">
        <v>25</v>
      </c>
      <c r="F82" s="56" t="s">
        <v>26</v>
      </c>
    </row>
    <row r="83" spans="1:57" ht="13.5">
      <c r="A83" s="118" t="s">
        <v>27</v>
      </c>
      <c r="B83" s="58"/>
      <c r="C83" s="58"/>
      <c r="D83" s="59"/>
      <c r="E83" s="114">
        <f>SUM(E84:E90)</f>
        <v>3264470.4039999996</v>
      </c>
      <c r="F83" s="61">
        <f t="shared" ref="F83:F94" si="10">+E83/$F$2</f>
        <v>260117.16366533859</v>
      </c>
    </row>
    <row r="84" spans="1:57" s="20" customFormat="1">
      <c r="A84" s="66" t="s">
        <v>28</v>
      </c>
      <c r="B84" s="63" t="s">
        <v>29</v>
      </c>
      <c r="C84" s="65">
        <f>C85</f>
        <v>3272.6261999999997</v>
      </c>
      <c r="D84" s="65">
        <v>120</v>
      </c>
      <c r="E84" s="65">
        <f>PRODUCT(D84,C84)</f>
        <v>392715.14399999997</v>
      </c>
      <c r="F84" s="65">
        <f t="shared" si="10"/>
        <v>31292.04334661354</v>
      </c>
    </row>
    <row r="85" spans="1:57" s="116" customFormat="1">
      <c r="A85" s="123" t="s">
        <v>91</v>
      </c>
      <c r="B85" s="63" t="s">
        <v>29</v>
      </c>
      <c r="C85" s="65">
        <v>3272.6261999999997</v>
      </c>
      <c r="D85" s="65">
        <v>300</v>
      </c>
      <c r="E85" s="65">
        <f t="shared" ref="E85:E90" si="11">C85*D85</f>
        <v>981787.85999999987</v>
      </c>
      <c r="F85" s="65">
        <f t="shared" si="10"/>
        <v>78230.108366533852</v>
      </c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</row>
    <row r="86" spans="1:57">
      <c r="A86" s="123" t="s">
        <v>89</v>
      </c>
      <c r="B86" s="63" t="s">
        <v>29</v>
      </c>
      <c r="C86" s="65">
        <v>873</v>
      </c>
      <c r="D86" s="65">
        <v>500</v>
      </c>
      <c r="E86" s="65">
        <f t="shared" si="11"/>
        <v>436500</v>
      </c>
      <c r="F86" s="65">
        <f t="shared" si="10"/>
        <v>34780.876494023905</v>
      </c>
    </row>
    <row r="87" spans="1:57">
      <c r="A87" s="123" t="s">
        <v>144</v>
      </c>
      <c r="B87" s="124" t="s">
        <v>46</v>
      </c>
      <c r="C87" s="65">
        <v>278</v>
      </c>
      <c r="D87" s="65">
        <v>78.3</v>
      </c>
      <c r="E87" s="65">
        <f t="shared" si="11"/>
        <v>21767.399999999998</v>
      </c>
      <c r="F87" s="65">
        <f t="shared" si="10"/>
        <v>1734.454183266932</v>
      </c>
    </row>
    <row r="88" spans="1:57" s="116" customFormat="1">
      <c r="A88" s="123" t="s">
        <v>119</v>
      </c>
      <c r="B88" s="124" t="s">
        <v>46</v>
      </c>
      <c r="C88" s="65">
        <v>278</v>
      </c>
      <c r="D88" s="65">
        <v>1450</v>
      </c>
      <c r="E88" s="65">
        <f t="shared" si="11"/>
        <v>403100</v>
      </c>
      <c r="F88" s="65">
        <f t="shared" si="10"/>
        <v>32119.521912350596</v>
      </c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</row>
    <row r="89" spans="1:57">
      <c r="A89" s="123" t="s">
        <v>120</v>
      </c>
      <c r="B89" s="124" t="s">
        <v>46</v>
      </c>
      <c r="C89" s="65">
        <v>278</v>
      </c>
      <c r="D89" s="65">
        <v>2500</v>
      </c>
      <c r="E89" s="65">
        <f t="shared" si="11"/>
        <v>695000</v>
      </c>
      <c r="F89" s="65">
        <f t="shared" si="10"/>
        <v>55378.486055776892</v>
      </c>
    </row>
    <row r="90" spans="1:57">
      <c r="A90" s="123" t="s">
        <v>49</v>
      </c>
      <c r="B90" s="124" t="s">
        <v>46</v>
      </c>
      <c r="C90" s="65">
        <v>278</v>
      </c>
      <c r="D90" s="65">
        <v>1200</v>
      </c>
      <c r="E90" s="65">
        <f t="shared" si="11"/>
        <v>333600</v>
      </c>
      <c r="F90" s="65">
        <f t="shared" si="10"/>
        <v>26581.673306772907</v>
      </c>
    </row>
    <row r="91" spans="1:57" ht="13.5">
      <c r="A91" s="119" t="s">
        <v>36</v>
      </c>
      <c r="E91" s="120">
        <f>SUM(E92:E93)</f>
        <v>130578.81615999999</v>
      </c>
      <c r="F91" s="61">
        <f t="shared" si="10"/>
        <v>10404.686546613544</v>
      </c>
    </row>
    <row r="92" spans="1:57">
      <c r="A92" s="66" t="s">
        <v>51</v>
      </c>
      <c r="B92" s="125" t="s">
        <v>177</v>
      </c>
      <c r="C92" s="64">
        <v>1</v>
      </c>
      <c r="D92" s="71">
        <v>0.01</v>
      </c>
      <c r="E92" s="121">
        <f>+E83*D92</f>
        <v>32644.704039999997</v>
      </c>
      <c r="F92" s="65">
        <f t="shared" si="10"/>
        <v>2601.171636653386</v>
      </c>
    </row>
    <row r="93" spans="1:57">
      <c r="A93" s="66" t="s">
        <v>84</v>
      </c>
      <c r="B93" s="125" t="s">
        <v>177</v>
      </c>
      <c r="C93" s="64">
        <v>1</v>
      </c>
      <c r="D93" s="71">
        <v>0.03</v>
      </c>
      <c r="E93" s="121">
        <f>+E83*D93</f>
        <v>97934.112119999991</v>
      </c>
      <c r="F93" s="65">
        <f t="shared" si="10"/>
        <v>7803.5149099601585</v>
      </c>
    </row>
    <row r="94" spans="1:57">
      <c r="A94" s="72" t="s">
        <v>40</v>
      </c>
      <c r="B94" s="122"/>
      <c r="C94" s="122"/>
      <c r="D94" s="122"/>
      <c r="E94" s="74">
        <f>+E91+E83</f>
        <v>3395049.2201599996</v>
      </c>
      <c r="F94" s="75">
        <f t="shared" si="10"/>
        <v>270521.85021195211</v>
      </c>
    </row>
    <row r="96" spans="1:57" ht="13.5">
      <c r="A96" s="112" t="s">
        <v>95</v>
      </c>
    </row>
    <row r="97" spans="1:57" ht="38.25">
      <c r="A97" s="54" t="s">
        <v>21</v>
      </c>
      <c r="B97" s="54" t="s">
        <v>22</v>
      </c>
      <c r="C97" s="54" t="s">
        <v>23</v>
      </c>
      <c r="D97" s="55" t="s">
        <v>24</v>
      </c>
      <c r="E97" s="56" t="s">
        <v>25</v>
      </c>
      <c r="F97" s="56" t="s">
        <v>26</v>
      </c>
    </row>
    <row r="98" spans="1:57" ht="13.5">
      <c r="A98" s="118" t="s">
        <v>27</v>
      </c>
      <c r="B98" s="58"/>
      <c r="C98" s="58"/>
      <c r="D98" s="59"/>
      <c r="E98" s="114">
        <f>SUM(E99:E105)</f>
        <v>2679645.2000000002</v>
      </c>
      <c r="F98" s="61">
        <f t="shared" ref="F98:F109" si="12">+E98/$F$2</f>
        <v>213517.54581673307</v>
      </c>
    </row>
    <row r="99" spans="1:57" s="20" customFormat="1">
      <c r="A99" s="66" t="s">
        <v>28</v>
      </c>
      <c r="B99" s="63" t="s">
        <v>29</v>
      </c>
      <c r="C99" s="65">
        <f>C100</f>
        <v>2740.8500000000004</v>
      </c>
      <c r="D99" s="65">
        <v>120</v>
      </c>
      <c r="E99" s="65">
        <f>PRODUCT(D99,C99)</f>
        <v>328902.00000000006</v>
      </c>
      <c r="F99" s="65">
        <f t="shared" si="12"/>
        <v>26207.33067729084</v>
      </c>
    </row>
    <row r="100" spans="1:57" s="116" customFormat="1">
      <c r="A100" s="123" t="s">
        <v>91</v>
      </c>
      <c r="B100" s="63" t="s">
        <v>29</v>
      </c>
      <c r="C100" s="65">
        <v>2740.8500000000004</v>
      </c>
      <c r="D100" s="65">
        <v>300</v>
      </c>
      <c r="E100" s="65">
        <f t="shared" ref="E100:E105" si="13">C100*D100</f>
        <v>822255.00000000012</v>
      </c>
      <c r="F100" s="65">
        <f t="shared" si="12"/>
        <v>65518.3266932271</v>
      </c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</row>
    <row r="101" spans="1:57">
      <c r="A101" s="123" t="s">
        <v>89</v>
      </c>
      <c r="B101" s="63" t="s">
        <v>29</v>
      </c>
      <c r="C101" s="65">
        <v>401</v>
      </c>
      <c r="D101" s="65">
        <v>500</v>
      </c>
      <c r="E101" s="65">
        <f t="shared" si="13"/>
        <v>200500</v>
      </c>
      <c r="F101" s="65">
        <f t="shared" si="12"/>
        <v>15976.09561752988</v>
      </c>
    </row>
    <row r="102" spans="1:57">
      <c r="A102" s="123" t="s">
        <v>145</v>
      </c>
      <c r="B102" s="124" t="s">
        <v>46</v>
      </c>
      <c r="C102" s="65">
        <v>254</v>
      </c>
      <c r="D102" s="65">
        <v>78.3</v>
      </c>
      <c r="E102" s="65">
        <f t="shared" si="13"/>
        <v>19888.2</v>
      </c>
      <c r="F102" s="65">
        <f t="shared" si="12"/>
        <v>1584.7171314741036</v>
      </c>
    </row>
    <row r="103" spans="1:57" s="116" customFormat="1">
      <c r="A103" s="123" t="s">
        <v>119</v>
      </c>
      <c r="B103" s="124" t="s">
        <v>46</v>
      </c>
      <c r="C103" s="65">
        <v>254</v>
      </c>
      <c r="D103" s="65">
        <v>1450</v>
      </c>
      <c r="E103" s="65">
        <f t="shared" si="13"/>
        <v>368300</v>
      </c>
      <c r="F103" s="65">
        <f t="shared" si="12"/>
        <v>29346.61354581673</v>
      </c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</row>
    <row r="104" spans="1:57">
      <c r="A104" s="123" t="s">
        <v>120</v>
      </c>
      <c r="B104" s="124" t="s">
        <v>46</v>
      </c>
      <c r="C104" s="65">
        <v>254</v>
      </c>
      <c r="D104" s="65">
        <v>2500</v>
      </c>
      <c r="E104" s="65">
        <f t="shared" si="13"/>
        <v>635000</v>
      </c>
      <c r="F104" s="65">
        <f t="shared" si="12"/>
        <v>50597.609561752986</v>
      </c>
    </row>
    <row r="105" spans="1:57">
      <c r="A105" s="123" t="s">
        <v>49</v>
      </c>
      <c r="B105" s="124" t="s">
        <v>46</v>
      </c>
      <c r="C105" s="65">
        <v>254</v>
      </c>
      <c r="D105" s="65">
        <v>1200</v>
      </c>
      <c r="E105" s="65">
        <f t="shared" si="13"/>
        <v>304800</v>
      </c>
      <c r="F105" s="65">
        <f t="shared" si="12"/>
        <v>24286.852589641432</v>
      </c>
    </row>
    <row r="106" spans="1:57" ht="13.5">
      <c r="A106" s="119" t="s">
        <v>36</v>
      </c>
      <c r="E106" s="120">
        <f>SUM(E107:E108)</f>
        <v>107185.808</v>
      </c>
      <c r="F106" s="61">
        <f t="shared" si="12"/>
        <v>8540.7018326693233</v>
      </c>
    </row>
    <row r="107" spans="1:57">
      <c r="A107" s="66" t="s">
        <v>51</v>
      </c>
      <c r="B107" s="125" t="s">
        <v>177</v>
      </c>
      <c r="C107" s="64">
        <v>1</v>
      </c>
      <c r="D107" s="71">
        <v>0.01</v>
      </c>
      <c r="E107" s="121">
        <f>+E98*D107</f>
        <v>26796.452000000001</v>
      </c>
      <c r="F107" s="65">
        <f t="shared" si="12"/>
        <v>2135.1754581673308</v>
      </c>
    </row>
    <row r="108" spans="1:57">
      <c r="A108" s="66" t="s">
        <v>84</v>
      </c>
      <c r="B108" s="125" t="s">
        <v>177</v>
      </c>
      <c r="C108" s="64">
        <v>1</v>
      </c>
      <c r="D108" s="71">
        <v>0.03</v>
      </c>
      <c r="E108" s="121">
        <f>+E98*D108</f>
        <v>80389.356</v>
      </c>
      <c r="F108" s="65">
        <f t="shared" si="12"/>
        <v>6405.526374501992</v>
      </c>
    </row>
    <row r="109" spans="1:57">
      <c r="A109" s="72" t="s">
        <v>40</v>
      </c>
      <c r="B109" s="122"/>
      <c r="C109" s="122"/>
      <c r="D109" s="122"/>
      <c r="E109" s="74">
        <f>+E106+E98</f>
        <v>2786831.0080000004</v>
      </c>
      <c r="F109" s="75">
        <f t="shared" si="12"/>
        <v>222058.24764940242</v>
      </c>
    </row>
    <row r="110" spans="1:57">
      <c r="A110" s="16"/>
      <c r="B110" s="79"/>
      <c r="C110" s="80"/>
      <c r="D110" s="117"/>
      <c r="E110" s="82"/>
      <c r="F110" s="82"/>
    </row>
    <row r="111" spans="1:57" ht="13.5">
      <c r="A111" s="112" t="s">
        <v>96</v>
      </c>
    </row>
    <row r="112" spans="1:57" ht="38.25">
      <c r="A112" s="54" t="s">
        <v>21</v>
      </c>
      <c r="B112" s="54" t="s">
        <v>22</v>
      </c>
      <c r="C112" s="54" t="s">
        <v>23</v>
      </c>
      <c r="D112" s="55" t="s">
        <v>24</v>
      </c>
      <c r="E112" s="56" t="s">
        <v>25</v>
      </c>
      <c r="F112" s="56" t="s">
        <v>26</v>
      </c>
    </row>
    <row r="113" spans="1:57" ht="13.5">
      <c r="A113" s="118" t="s">
        <v>27</v>
      </c>
      <c r="B113" s="58"/>
      <c r="C113" s="58"/>
      <c r="D113" s="59"/>
      <c r="E113" s="114">
        <f>SUM(E114:E120)</f>
        <v>2027539.4</v>
      </c>
      <c r="F113" s="61">
        <f t="shared" ref="F113:F124" si="14">+E113/$F$2</f>
        <v>161556.92430278883</v>
      </c>
    </row>
    <row r="114" spans="1:57" s="20" customFormat="1">
      <c r="A114" s="66" t="s">
        <v>28</v>
      </c>
      <c r="B114" s="63" t="s">
        <v>29</v>
      </c>
      <c r="C114" s="65">
        <f>C115</f>
        <v>1211.2</v>
      </c>
      <c r="D114" s="65">
        <v>120</v>
      </c>
      <c r="E114" s="65">
        <f>PRODUCT(D114,C114)</f>
        <v>145344</v>
      </c>
      <c r="F114" s="65">
        <f t="shared" si="14"/>
        <v>11581.195219123505</v>
      </c>
    </row>
    <row r="115" spans="1:57" s="116" customFormat="1">
      <c r="A115" s="123" t="s">
        <v>91</v>
      </c>
      <c r="B115" s="63" t="s">
        <v>29</v>
      </c>
      <c r="C115" s="65">
        <v>1211.2</v>
      </c>
      <c r="D115" s="65">
        <v>300</v>
      </c>
      <c r="E115" s="65">
        <f t="shared" ref="E115:E120" si="15">C115*D115</f>
        <v>363360</v>
      </c>
      <c r="F115" s="65">
        <f t="shared" si="14"/>
        <v>28952.988047808762</v>
      </c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</row>
    <row r="116" spans="1:57">
      <c r="A116" s="123" t="s">
        <v>55</v>
      </c>
      <c r="B116" s="63" t="s">
        <v>29</v>
      </c>
      <c r="C116" s="65">
        <v>549</v>
      </c>
      <c r="D116" s="65">
        <v>500</v>
      </c>
      <c r="E116" s="65">
        <f t="shared" si="15"/>
        <v>274500</v>
      </c>
      <c r="F116" s="65">
        <f t="shared" si="14"/>
        <v>21872.509960159361</v>
      </c>
    </row>
    <row r="117" spans="1:57">
      <c r="A117" s="123" t="s">
        <v>144</v>
      </c>
      <c r="B117" s="124" t="s">
        <v>46</v>
      </c>
      <c r="C117" s="65">
        <v>238</v>
      </c>
      <c r="D117" s="65">
        <v>78.3</v>
      </c>
      <c r="E117" s="65">
        <f t="shared" si="15"/>
        <v>18635.399999999998</v>
      </c>
      <c r="F117" s="65">
        <f t="shared" si="14"/>
        <v>1484.8924302788841</v>
      </c>
    </row>
    <row r="118" spans="1:57" s="116" customFormat="1">
      <c r="A118" s="123" t="s">
        <v>119</v>
      </c>
      <c r="B118" s="124" t="s">
        <v>46</v>
      </c>
      <c r="C118" s="65">
        <v>238</v>
      </c>
      <c r="D118" s="65">
        <v>1450</v>
      </c>
      <c r="E118" s="65">
        <f t="shared" si="15"/>
        <v>345100</v>
      </c>
      <c r="F118" s="65">
        <f t="shared" si="14"/>
        <v>27498.007968127487</v>
      </c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</row>
    <row r="119" spans="1:57" s="20" customFormat="1">
      <c r="A119" s="123" t="s">
        <v>120</v>
      </c>
      <c r="B119" s="124" t="s">
        <v>46</v>
      </c>
      <c r="C119" s="65">
        <v>238</v>
      </c>
      <c r="D119" s="65">
        <v>2500</v>
      </c>
      <c r="E119" s="65">
        <f t="shared" si="15"/>
        <v>595000</v>
      </c>
      <c r="F119" s="65">
        <f t="shared" si="14"/>
        <v>47410.35856573705</v>
      </c>
    </row>
    <row r="120" spans="1:57">
      <c r="A120" s="123" t="s">
        <v>49</v>
      </c>
      <c r="B120" s="124" t="s">
        <v>46</v>
      </c>
      <c r="C120" s="65">
        <v>238</v>
      </c>
      <c r="D120" s="65">
        <v>1200</v>
      </c>
      <c r="E120" s="65">
        <f t="shared" si="15"/>
        <v>285600</v>
      </c>
      <c r="F120" s="65">
        <f t="shared" si="14"/>
        <v>22756.972111553783</v>
      </c>
    </row>
    <row r="121" spans="1:57" ht="13.5">
      <c r="A121" s="119" t="s">
        <v>36</v>
      </c>
      <c r="E121" s="120">
        <f>SUM(E122:E123)</f>
        <v>81101.576000000001</v>
      </c>
      <c r="F121" s="61">
        <f t="shared" si="14"/>
        <v>6462.2769721115537</v>
      </c>
    </row>
    <row r="122" spans="1:57">
      <c r="A122" s="66" t="s">
        <v>51</v>
      </c>
      <c r="B122" s="125" t="s">
        <v>177</v>
      </c>
      <c r="C122" s="64">
        <v>1</v>
      </c>
      <c r="D122" s="71">
        <v>0.01</v>
      </c>
      <c r="E122" s="121">
        <f>+E113*D122</f>
        <v>20275.394</v>
      </c>
      <c r="F122" s="65">
        <f t="shared" si="14"/>
        <v>1615.5692430278884</v>
      </c>
    </row>
    <row r="123" spans="1:57">
      <c r="A123" s="66" t="s">
        <v>84</v>
      </c>
      <c r="B123" s="125" t="s">
        <v>177</v>
      </c>
      <c r="C123" s="64">
        <v>1</v>
      </c>
      <c r="D123" s="71">
        <v>0.03</v>
      </c>
      <c r="E123" s="121">
        <f>+E113*D123</f>
        <v>60826.181999999993</v>
      </c>
      <c r="F123" s="65">
        <f t="shared" si="14"/>
        <v>4846.7077290836642</v>
      </c>
    </row>
    <row r="124" spans="1:57">
      <c r="A124" s="72" t="s">
        <v>40</v>
      </c>
      <c r="B124" s="122"/>
      <c r="C124" s="122"/>
      <c r="D124" s="122"/>
      <c r="E124" s="74">
        <f>+E121+E113</f>
        <v>2108640.9759999998</v>
      </c>
      <c r="F124" s="75">
        <f t="shared" si="14"/>
        <v>168019.20127490038</v>
      </c>
    </row>
    <row r="125" spans="1:57" s="126" customFormat="1">
      <c r="A125" s="92"/>
      <c r="B125" s="92"/>
      <c r="C125" s="92"/>
      <c r="D125" s="92"/>
      <c r="E125" s="94"/>
      <c r="F125" s="94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</row>
    <row r="126" spans="1:57" ht="13.5">
      <c r="A126" s="112" t="s">
        <v>97</v>
      </c>
      <c r="B126" s="127"/>
      <c r="C126" s="127"/>
      <c r="D126" s="127"/>
    </row>
    <row r="127" spans="1:57" ht="38.25">
      <c r="A127" s="54" t="s">
        <v>21</v>
      </c>
      <c r="B127" s="54" t="s">
        <v>22</v>
      </c>
      <c r="C127" s="54" t="s">
        <v>23</v>
      </c>
      <c r="D127" s="55" t="s">
        <v>24</v>
      </c>
      <c r="E127" s="56" t="s">
        <v>25</v>
      </c>
      <c r="F127" s="56" t="s">
        <v>26</v>
      </c>
    </row>
    <row r="128" spans="1:57" ht="13.5">
      <c r="A128" s="118" t="s">
        <v>27</v>
      </c>
      <c r="B128" s="58"/>
      <c r="C128" s="58"/>
      <c r="D128" s="59"/>
      <c r="E128" s="114">
        <f>SUM(E129:E131)</f>
        <v>10706223</v>
      </c>
      <c r="F128" s="61">
        <f t="shared" ref="F128:F135" si="16">+E128/$F$2</f>
        <v>853085.49800796807</v>
      </c>
    </row>
    <row r="129" spans="1:57" s="20" customFormat="1">
      <c r="A129" s="66" t="s">
        <v>28</v>
      </c>
      <c r="B129" s="63" t="s">
        <v>29</v>
      </c>
      <c r="C129" s="65">
        <v>12634</v>
      </c>
      <c r="D129" s="65">
        <v>120</v>
      </c>
      <c r="E129" s="65">
        <f>PRODUCT(D129,C129)</f>
        <v>1516080</v>
      </c>
      <c r="F129" s="65">
        <f t="shared" si="16"/>
        <v>120803.18725099601</v>
      </c>
    </row>
    <row r="130" spans="1:57" s="116" customFormat="1">
      <c r="A130" s="123" t="s">
        <v>98</v>
      </c>
      <c r="B130" s="63" t="s">
        <v>29</v>
      </c>
      <c r="C130" s="65">
        <v>12633.81</v>
      </c>
      <c r="D130" s="65">
        <v>300</v>
      </c>
      <c r="E130" s="65">
        <f>C130*D130</f>
        <v>3790143</v>
      </c>
      <c r="F130" s="65">
        <f t="shared" si="16"/>
        <v>302003.42629482067</v>
      </c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</row>
    <row r="131" spans="1:57" s="116" customFormat="1">
      <c r="A131" s="123" t="s">
        <v>99</v>
      </c>
      <c r="B131" s="63" t="s">
        <v>34</v>
      </c>
      <c r="C131" s="65">
        <v>6</v>
      </c>
      <c r="D131" s="65">
        <v>900000</v>
      </c>
      <c r="E131" s="65">
        <f>C131*D131</f>
        <v>5400000</v>
      </c>
      <c r="F131" s="65">
        <f t="shared" si="16"/>
        <v>430278.88446215139</v>
      </c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</row>
    <row r="132" spans="1:57" ht="13.5">
      <c r="A132" s="119" t="s">
        <v>36</v>
      </c>
      <c r="E132" s="120">
        <f>SUM(E133:E134)</f>
        <v>428248.92</v>
      </c>
      <c r="F132" s="61">
        <f t="shared" si="16"/>
        <v>34123.419920318724</v>
      </c>
    </row>
    <row r="133" spans="1:57">
      <c r="A133" s="66" t="s">
        <v>51</v>
      </c>
      <c r="B133" s="125" t="s">
        <v>177</v>
      </c>
      <c r="C133" s="64">
        <v>1</v>
      </c>
      <c r="D133" s="71">
        <v>0.01</v>
      </c>
      <c r="E133" s="121">
        <f>+E128*D133</f>
        <v>107062.23</v>
      </c>
      <c r="F133" s="65">
        <f t="shared" si="16"/>
        <v>8530.8549800796809</v>
      </c>
    </row>
    <row r="134" spans="1:57">
      <c r="A134" s="66" t="s">
        <v>84</v>
      </c>
      <c r="B134" s="125" t="s">
        <v>177</v>
      </c>
      <c r="C134" s="64">
        <v>1</v>
      </c>
      <c r="D134" s="71">
        <v>0.03</v>
      </c>
      <c r="E134" s="121">
        <f>+E128*D134</f>
        <v>321186.69</v>
      </c>
      <c r="F134" s="65">
        <f t="shared" si="16"/>
        <v>25592.564940239041</v>
      </c>
    </row>
    <row r="135" spans="1:57">
      <c r="A135" s="72" t="s">
        <v>40</v>
      </c>
      <c r="B135" s="122"/>
      <c r="C135" s="122"/>
      <c r="D135" s="122"/>
      <c r="E135" s="74">
        <f>+E132+E128</f>
        <v>11134471.92</v>
      </c>
      <c r="F135" s="75">
        <f t="shared" si="16"/>
        <v>887208.91792828683</v>
      </c>
    </row>
    <row r="136" spans="1:57">
      <c r="A136" s="16"/>
      <c r="B136" s="79"/>
      <c r="C136" s="80"/>
      <c r="D136" s="117"/>
      <c r="E136" s="82"/>
      <c r="F136" s="82"/>
    </row>
    <row r="137" spans="1:57">
      <c r="A137" s="128" t="s">
        <v>100</v>
      </c>
      <c r="B137" s="79"/>
      <c r="C137" s="80"/>
      <c r="D137" s="117"/>
      <c r="E137" s="129">
        <f>+E19+E34+E49+E64+E79+E94+E109+E124+E135</f>
        <v>35268331.714720003</v>
      </c>
      <c r="F137" s="129">
        <f>+E137/$F$2</f>
        <v>2810225.6346390438</v>
      </c>
    </row>
    <row r="138" spans="1:57">
      <c r="A138" s="16"/>
      <c r="B138" s="82"/>
      <c r="C138" s="82"/>
      <c r="D138" s="82"/>
      <c r="E138" s="82"/>
      <c r="F138" s="82"/>
    </row>
    <row r="139" spans="1:57">
      <c r="A139" s="46" t="s">
        <v>101</v>
      </c>
      <c r="B139" s="82"/>
      <c r="C139" s="82"/>
      <c r="D139" s="82"/>
      <c r="E139" s="82"/>
      <c r="F139" s="82"/>
    </row>
    <row r="140" spans="1:57" ht="25.5" customHeight="1">
      <c r="A140" s="202" t="s">
        <v>136</v>
      </c>
      <c r="B140" s="202"/>
      <c r="C140" s="202"/>
      <c r="D140" s="202"/>
      <c r="E140" s="202"/>
      <c r="F140" s="202"/>
    </row>
    <row r="141" spans="1:57" ht="25.5" customHeight="1">
      <c r="A141" s="202" t="s">
        <v>148</v>
      </c>
      <c r="B141" s="202"/>
      <c r="C141" s="202"/>
      <c r="D141" s="202"/>
      <c r="E141" s="202"/>
      <c r="F141" s="202"/>
    </row>
    <row r="143" spans="1:57">
      <c r="E143" s="18" t="s">
        <v>2</v>
      </c>
    </row>
  </sheetData>
  <mergeCells count="6">
    <mergeCell ref="A1:F1"/>
    <mergeCell ref="A50:D50"/>
    <mergeCell ref="A140:F140"/>
    <mergeCell ref="A141:F141"/>
    <mergeCell ref="A2:B2"/>
    <mergeCell ref="A4:B4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N54"/>
  <sheetViews>
    <sheetView topLeftCell="A43" zoomScaleNormal="100" workbookViewId="0">
      <selection activeCell="F54" sqref="F54"/>
    </sheetView>
  </sheetViews>
  <sheetFormatPr baseColWidth="10" defaultRowHeight="12.75"/>
  <cols>
    <col min="1" max="1" width="45.7109375" style="18" customWidth="1"/>
    <col min="2" max="2" width="10.7109375" style="48" customWidth="1"/>
    <col min="3" max="3" width="10.7109375" style="49" customWidth="1"/>
    <col min="4" max="4" width="10.7109375" style="50" customWidth="1"/>
    <col min="5" max="6" width="10.7109375" style="51" customWidth="1"/>
    <col min="7" max="7" width="11.42578125" style="18"/>
    <col min="8" max="8" width="13.42578125" style="18" bestFit="1" customWidth="1"/>
    <col min="9" max="10" width="13.28515625" style="18" customWidth="1"/>
    <col min="11" max="11" width="11.42578125" style="18"/>
    <col min="12" max="12" width="5.85546875" style="20" customWidth="1"/>
    <col min="13" max="13" width="45" style="18" customWidth="1"/>
    <col min="14" max="14" width="11.42578125" style="18"/>
    <col min="15" max="15" width="13.5703125" style="18" customWidth="1"/>
    <col min="16" max="16" width="11.85546875" style="18" customWidth="1"/>
    <col min="17" max="17" width="4.42578125" style="18" customWidth="1"/>
    <col min="18" max="18" width="42.28515625" style="18" customWidth="1"/>
    <col min="19" max="19" width="11.42578125" style="18"/>
    <col min="20" max="20" width="13.42578125" style="18" customWidth="1"/>
    <col min="21" max="21" width="11.5703125" style="18" customWidth="1"/>
    <col min="22" max="248" width="11.42578125" style="20"/>
    <col min="249" max="16384" width="11.42578125" style="18"/>
  </cols>
  <sheetData>
    <row r="1" spans="1:248" ht="13.5" thickBot="1">
      <c r="A1" s="197" t="s">
        <v>16</v>
      </c>
      <c r="B1" s="198"/>
      <c r="C1" s="198"/>
      <c r="D1" s="198"/>
      <c r="E1" s="199"/>
      <c r="F1" s="200"/>
    </row>
    <row r="2" spans="1:248" s="40" customFormat="1">
      <c r="A2" s="206" t="s">
        <v>18</v>
      </c>
      <c r="B2" s="206"/>
      <c r="C2" s="39"/>
      <c r="D2" s="39"/>
      <c r="E2" s="142" t="s">
        <v>17</v>
      </c>
      <c r="F2" s="152">
        <v>12.55</v>
      </c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</row>
    <row r="3" spans="1:248">
      <c r="C3" s="16"/>
      <c r="D3" s="43"/>
      <c r="E3" s="44"/>
      <c r="F3" s="45"/>
    </row>
    <row r="4" spans="1:248" s="20" customFormat="1">
      <c r="A4" s="47" t="s">
        <v>19</v>
      </c>
      <c r="B4" s="48"/>
      <c r="C4" s="49"/>
      <c r="D4" s="50"/>
      <c r="E4" s="51"/>
      <c r="F4" s="51"/>
    </row>
    <row r="5" spans="1:248" s="20" customFormat="1">
      <c r="A5" s="52"/>
      <c r="B5" s="48"/>
      <c r="C5" s="49"/>
      <c r="D5" s="50"/>
      <c r="E5" s="51"/>
      <c r="F5" s="51"/>
    </row>
    <row r="6" spans="1:248" s="20" customFormat="1" ht="13.5">
      <c r="A6" s="53" t="s">
        <v>20</v>
      </c>
      <c r="B6" s="48"/>
      <c r="C6" s="49"/>
      <c r="D6" s="50"/>
      <c r="E6" s="51"/>
      <c r="F6" s="51"/>
    </row>
    <row r="7" spans="1:248" s="20" customFormat="1" ht="38.25">
      <c r="A7" s="54" t="s">
        <v>21</v>
      </c>
      <c r="B7" s="54" t="s">
        <v>22</v>
      </c>
      <c r="C7" s="54" t="s">
        <v>23</v>
      </c>
      <c r="D7" s="55" t="s">
        <v>24</v>
      </c>
      <c r="E7" s="56" t="s">
        <v>25</v>
      </c>
      <c r="F7" s="56" t="s">
        <v>26</v>
      </c>
    </row>
    <row r="8" spans="1:248" ht="13.5">
      <c r="A8" s="57" t="s">
        <v>27</v>
      </c>
      <c r="B8" s="58"/>
      <c r="C8" s="58"/>
      <c r="D8" s="59"/>
      <c r="E8" s="60">
        <f>SUM(E9:E15)</f>
        <v>54982465</v>
      </c>
      <c r="F8" s="61">
        <f t="shared" ref="F8:F9" si="0">+E8/$F$2</f>
        <v>4381072.9083665339</v>
      </c>
    </row>
    <row r="9" spans="1:248">
      <c r="A9" s="62" t="s">
        <v>28</v>
      </c>
      <c r="B9" s="63" t="s">
        <v>29</v>
      </c>
      <c r="C9" s="104">
        <v>23943</v>
      </c>
      <c r="D9" s="65">
        <v>200</v>
      </c>
      <c r="E9" s="65">
        <f>+C9*D9</f>
        <v>4788600</v>
      </c>
      <c r="F9" s="65">
        <f t="shared" si="0"/>
        <v>381561.75298804778</v>
      </c>
      <c r="G9" s="18" t="s">
        <v>2</v>
      </c>
    </row>
    <row r="10" spans="1:248" s="20" customFormat="1">
      <c r="A10" s="66" t="s">
        <v>30</v>
      </c>
      <c r="B10" s="63" t="s">
        <v>29</v>
      </c>
      <c r="C10" s="104">
        <v>4099</v>
      </c>
      <c r="D10" s="65">
        <v>1250</v>
      </c>
      <c r="E10" s="65">
        <f t="shared" ref="E10:E15" si="1">+C10*D10</f>
        <v>5123750</v>
      </c>
      <c r="F10" s="65">
        <f>+E10/$F$2</f>
        <v>408266.9322709163</v>
      </c>
    </row>
    <row r="11" spans="1:248" s="20" customFormat="1">
      <c r="A11" s="66" t="s">
        <v>180</v>
      </c>
      <c r="B11" s="63" t="s">
        <v>31</v>
      </c>
      <c r="C11" s="104">
        <v>4</v>
      </c>
      <c r="D11" s="65">
        <v>921150</v>
      </c>
      <c r="E11" s="65">
        <f t="shared" si="1"/>
        <v>3684600</v>
      </c>
      <c r="F11" s="65">
        <f t="shared" ref="F11:F20" si="2">+E11/$F$2</f>
        <v>293593.62549800792</v>
      </c>
    </row>
    <row r="12" spans="1:248">
      <c r="A12" s="62" t="s">
        <v>32</v>
      </c>
      <c r="B12" s="63" t="s">
        <v>29</v>
      </c>
      <c r="C12" s="104">
        <v>23943</v>
      </c>
      <c r="D12" s="65">
        <v>605</v>
      </c>
      <c r="E12" s="65">
        <f t="shared" si="1"/>
        <v>14485515</v>
      </c>
      <c r="F12" s="65">
        <f t="shared" si="2"/>
        <v>1154224.3027888446</v>
      </c>
    </row>
    <row r="13" spans="1:248" s="20" customFormat="1">
      <c r="A13" s="62" t="s">
        <v>179</v>
      </c>
      <c r="B13" s="67" t="s">
        <v>29</v>
      </c>
      <c r="C13" s="104">
        <v>11000</v>
      </c>
      <c r="D13" s="65">
        <v>2300</v>
      </c>
      <c r="E13" s="65">
        <f t="shared" si="1"/>
        <v>25300000</v>
      </c>
      <c r="F13" s="65">
        <f t="shared" si="2"/>
        <v>2015936.2549800796</v>
      </c>
    </row>
    <row r="14" spans="1:248" s="20" customFormat="1">
      <c r="A14" s="62" t="s">
        <v>33</v>
      </c>
      <c r="B14" s="63" t="s">
        <v>34</v>
      </c>
      <c r="C14" s="64">
        <v>1</v>
      </c>
      <c r="D14" s="65">
        <v>1200000</v>
      </c>
      <c r="E14" s="65">
        <f t="shared" si="1"/>
        <v>1200000</v>
      </c>
      <c r="F14" s="65">
        <f t="shared" si="2"/>
        <v>95617.529880478076</v>
      </c>
    </row>
    <row r="15" spans="1:248" s="40" customFormat="1">
      <c r="A15" s="66" t="s">
        <v>35</v>
      </c>
      <c r="B15" s="63" t="s">
        <v>34</v>
      </c>
      <c r="C15" s="64">
        <v>1</v>
      </c>
      <c r="D15" s="65">
        <v>400000</v>
      </c>
      <c r="E15" s="65">
        <f t="shared" si="1"/>
        <v>400000</v>
      </c>
      <c r="F15" s="65">
        <f t="shared" si="2"/>
        <v>31872.509960159361</v>
      </c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</row>
    <row r="16" spans="1:248" ht="13.5">
      <c r="A16" s="57" t="s">
        <v>36</v>
      </c>
      <c r="B16" s="20"/>
      <c r="C16" s="20"/>
      <c r="D16" s="68"/>
      <c r="E16" s="69">
        <f>SUM(E17:E19)</f>
        <v>3848772.5500000003</v>
      </c>
      <c r="F16" s="61">
        <f t="shared" si="2"/>
        <v>306675.10358565737</v>
      </c>
    </row>
    <row r="17" spans="1:248" s="20" customFormat="1">
      <c r="A17" s="66" t="s">
        <v>51</v>
      </c>
      <c r="B17" s="63" t="s">
        <v>177</v>
      </c>
      <c r="C17" s="70">
        <v>1</v>
      </c>
      <c r="D17" s="71">
        <v>0.01</v>
      </c>
      <c r="E17" s="65">
        <f t="shared" ref="E17:E19" si="3">+$E$8*D17</f>
        <v>549824.65</v>
      </c>
      <c r="F17" s="65">
        <f t="shared" si="2"/>
        <v>43810.729083665341</v>
      </c>
      <c r="I17" s="20" t="s">
        <v>2</v>
      </c>
    </row>
    <row r="18" spans="1:248" s="20" customFormat="1">
      <c r="A18" s="66" t="s">
        <v>38</v>
      </c>
      <c r="B18" s="63" t="s">
        <v>177</v>
      </c>
      <c r="C18" s="64">
        <v>1</v>
      </c>
      <c r="D18" s="71">
        <v>0.02</v>
      </c>
      <c r="E18" s="65">
        <f t="shared" si="3"/>
        <v>1099649.3</v>
      </c>
      <c r="F18" s="65">
        <f t="shared" si="2"/>
        <v>87621.458167330682</v>
      </c>
    </row>
    <row r="19" spans="1:248" s="20" customFormat="1">
      <c r="A19" s="66" t="s">
        <v>149</v>
      </c>
      <c r="B19" s="63" t="s">
        <v>177</v>
      </c>
      <c r="C19" s="64">
        <v>1</v>
      </c>
      <c r="D19" s="71">
        <v>0.04</v>
      </c>
      <c r="E19" s="65">
        <f t="shared" si="3"/>
        <v>2199298.6</v>
      </c>
      <c r="F19" s="65">
        <f t="shared" si="2"/>
        <v>175242.91633466136</v>
      </c>
    </row>
    <row r="20" spans="1:248" s="20" customFormat="1">
      <c r="A20" s="72" t="s">
        <v>40</v>
      </c>
      <c r="B20" s="73"/>
      <c r="C20" s="73"/>
      <c r="D20" s="73"/>
      <c r="E20" s="74">
        <f>+E16+E8</f>
        <v>58831237.549999997</v>
      </c>
      <c r="F20" s="75">
        <f t="shared" si="2"/>
        <v>4687748.0119521907</v>
      </c>
    </row>
    <row r="21" spans="1:248" s="20" customFormat="1">
      <c r="A21" s="73"/>
      <c r="B21" s="73"/>
      <c r="C21" s="73"/>
      <c r="D21" s="73"/>
      <c r="E21" s="76"/>
      <c r="F21" s="77"/>
    </row>
    <row r="22" spans="1:248" s="20" customFormat="1" ht="13.5">
      <c r="A22" s="78" t="s">
        <v>41</v>
      </c>
      <c r="B22" s="79"/>
      <c r="C22" s="80"/>
      <c r="D22" s="81"/>
      <c r="E22" s="82"/>
      <c r="F22" s="82"/>
    </row>
    <row r="23" spans="1:248" s="20" customFormat="1" ht="38.25">
      <c r="A23" s="54" t="s">
        <v>21</v>
      </c>
      <c r="B23" s="54" t="s">
        <v>22</v>
      </c>
      <c r="C23" s="54" t="s">
        <v>23</v>
      </c>
      <c r="D23" s="55" t="s">
        <v>24</v>
      </c>
      <c r="E23" s="56" t="s">
        <v>25</v>
      </c>
      <c r="F23" s="56" t="s">
        <v>26</v>
      </c>
    </row>
    <row r="24" spans="1:248">
      <c r="B24" s="83"/>
      <c r="C24" s="84"/>
      <c r="D24" s="85"/>
      <c r="E24" s="86"/>
      <c r="F24" s="86"/>
    </row>
    <row r="25" spans="1:248" ht="13.5">
      <c r="A25" s="57" t="s">
        <v>27</v>
      </c>
      <c r="B25" s="58"/>
      <c r="C25" s="58"/>
      <c r="D25" s="59"/>
      <c r="E25" s="60">
        <f>SUM(E26:E31)</f>
        <v>36736660</v>
      </c>
      <c r="F25" s="61">
        <f t="shared" ref="F25:F36" si="4">+E25/$F$2</f>
        <v>2927223.9043824701</v>
      </c>
    </row>
    <row r="26" spans="1:248" s="20" customFormat="1">
      <c r="A26" s="62" t="s">
        <v>28</v>
      </c>
      <c r="B26" s="63" t="s">
        <v>29</v>
      </c>
      <c r="C26" s="104">
        <v>17462</v>
      </c>
      <c r="D26" s="65">
        <v>200</v>
      </c>
      <c r="E26" s="65">
        <f t="shared" ref="E26:E31" si="5">+C26*D26</f>
        <v>3492400</v>
      </c>
      <c r="F26" s="65">
        <f>+E26/$F$2</f>
        <v>278278.88446215139</v>
      </c>
    </row>
    <row r="27" spans="1:248" s="20" customFormat="1">
      <c r="A27" s="66" t="s">
        <v>30</v>
      </c>
      <c r="B27" s="63" t="s">
        <v>29</v>
      </c>
      <c r="C27" s="104">
        <v>4250</v>
      </c>
      <c r="D27" s="65">
        <v>620</v>
      </c>
      <c r="E27" s="65">
        <f t="shared" si="5"/>
        <v>2635000</v>
      </c>
      <c r="F27" s="65">
        <f t="shared" si="4"/>
        <v>209960.15936254978</v>
      </c>
    </row>
    <row r="28" spans="1:248">
      <c r="A28" s="66" t="s">
        <v>32</v>
      </c>
      <c r="B28" s="63" t="s">
        <v>29</v>
      </c>
      <c r="C28" s="104">
        <v>17462</v>
      </c>
      <c r="D28" s="65">
        <v>780</v>
      </c>
      <c r="E28" s="65">
        <f t="shared" si="5"/>
        <v>13620360</v>
      </c>
      <c r="F28" s="65">
        <f t="shared" si="4"/>
        <v>1085287.6494023905</v>
      </c>
    </row>
    <row r="29" spans="1:248" s="20" customFormat="1">
      <c r="A29" s="66" t="s">
        <v>42</v>
      </c>
      <c r="B29" s="63" t="s">
        <v>29</v>
      </c>
      <c r="C29" s="104">
        <v>17462</v>
      </c>
      <c r="D29" s="65">
        <v>650</v>
      </c>
      <c r="E29" s="65">
        <f t="shared" si="5"/>
        <v>11350300</v>
      </c>
      <c r="F29" s="65">
        <f t="shared" si="4"/>
        <v>904406.37450199202</v>
      </c>
    </row>
    <row r="30" spans="1:248" s="40" customFormat="1">
      <c r="A30" s="62" t="s">
        <v>43</v>
      </c>
      <c r="B30" s="67" t="s">
        <v>29</v>
      </c>
      <c r="C30" s="153">
        <v>17462</v>
      </c>
      <c r="D30" s="65">
        <v>300</v>
      </c>
      <c r="E30" s="65">
        <f t="shared" si="5"/>
        <v>5238600</v>
      </c>
      <c r="F30" s="65">
        <f t="shared" si="4"/>
        <v>417418.32669322705</v>
      </c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  <c r="DJ30" s="41"/>
      <c r="DK30" s="41"/>
      <c r="DL30" s="41"/>
      <c r="DM30" s="41"/>
      <c r="DN30" s="41"/>
      <c r="DO30" s="41"/>
      <c r="DP30" s="41"/>
      <c r="DQ30" s="41"/>
      <c r="DR30" s="41"/>
      <c r="DS30" s="41"/>
      <c r="DT30" s="41"/>
      <c r="DU30" s="41"/>
      <c r="DV30" s="41"/>
      <c r="DW30" s="41"/>
      <c r="DX30" s="41"/>
      <c r="DY30" s="41"/>
      <c r="DZ30" s="41"/>
      <c r="EA30" s="41"/>
      <c r="EB30" s="41"/>
      <c r="EC30" s="41"/>
      <c r="ED30" s="41"/>
      <c r="EE30" s="41"/>
      <c r="EF30" s="41"/>
      <c r="EG30" s="41"/>
      <c r="EH30" s="41"/>
      <c r="EI30" s="41"/>
      <c r="EJ30" s="41"/>
      <c r="EK30" s="41"/>
      <c r="EL30" s="41"/>
      <c r="EM30" s="41"/>
      <c r="EN30" s="41"/>
      <c r="EO30" s="41"/>
      <c r="EP30" s="41"/>
      <c r="EQ30" s="41"/>
      <c r="ER30" s="41"/>
      <c r="ES30" s="41"/>
      <c r="ET30" s="41"/>
      <c r="EU30" s="41"/>
      <c r="EV30" s="41"/>
      <c r="EW30" s="41"/>
      <c r="EX30" s="41"/>
      <c r="EY30" s="41"/>
      <c r="EZ30" s="41"/>
      <c r="FA30" s="41"/>
      <c r="FB30" s="41"/>
      <c r="FC30" s="41"/>
      <c r="FD30" s="41"/>
      <c r="FE30" s="41"/>
      <c r="FF30" s="41"/>
      <c r="FG30" s="41"/>
      <c r="FH30" s="41"/>
      <c r="FI30" s="41"/>
      <c r="FJ30" s="41"/>
      <c r="FK30" s="41"/>
      <c r="FL30" s="41"/>
      <c r="FM30" s="41"/>
      <c r="FN30" s="41"/>
      <c r="FO30" s="41"/>
      <c r="FP30" s="41"/>
      <c r="FQ30" s="41"/>
      <c r="FR30" s="41"/>
      <c r="FS30" s="41"/>
      <c r="FT30" s="41"/>
      <c r="FU30" s="41"/>
      <c r="FV30" s="41"/>
      <c r="FW30" s="41"/>
      <c r="FX30" s="41"/>
      <c r="FY30" s="41"/>
      <c r="FZ30" s="41"/>
      <c r="GA30" s="41"/>
      <c r="GB30" s="41"/>
      <c r="GC30" s="41"/>
      <c r="GD30" s="41"/>
      <c r="GE30" s="41"/>
      <c r="GF30" s="41"/>
      <c r="GG30" s="41"/>
      <c r="GH30" s="41"/>
      <c r="GI30" s="41"/>
      <c r="GJ30" s="41"/>
      <c r="GK30" s="41"/>
      <c r="GL30" s="41"/>
      <c r="GM30" s="41"/>
      <c r="GN30" s="41"/>
      <c r="GO30" s="41"/>
      <c r="GP30" s="41"/>
      <c r="GQ30" s="41"/>
      <c r="GR30" s="41"/>
      <c r="GS30" s="41"/>
      <c r="GT30" s="41"/>
      <c r="GU30" s="41"/>
      <c r="GV30" s="41"/>
      <c r="GW30" s="41"/>
      <c r="GX30" s="41"/>
      <c r="GY30" s="41"/>
      <c r="GZ30" s="41"/>
      <c r="HA30" s="41"/>
      <c r="HB30" s="41"/>
      <c r="HC30" s="41"/>
      <c r="HD30" s="41"/>
      <c r="HE30" s="41"/>
      <c r="HF30" s="41"/>
      <c r="HG30" s="41"/>
      <c r="HH30" s="41"/>
      <c r="HI30" s="41"/>
      <c r="HJ30" s="41"/>
      <c r="HK30" s="41"/>
      <c r="HL30" s="41"/>
      <c r="HM30" s="41"/>
      <c r="HN30" s="41"/>
      <c r="HO30" s="41"/>
      <c r="HP30" s="41"/>
      <c r="HQ30" s="41"/>
      <c r="HR30" s="41"/>
      <c r="HS30" s="41"/>
      <c r="HT30" s="41"/>
      <c r="HU30" s="41"/>
      <c r="HV30" s="41"/>
      <c r="HW30" s="41"/>
      <c r="HX30" s="41"/>
      <c r="HY30" s="41"/>
      <c r="HZ30" s="41"/>
      <c r="IA30" s="41"/>
      <c r="IB30" s="41"/>
      <c r="IC30" s="41"/>
      <c r="ID30" s="41"/>
      <c r="IE30" s="41"/>
      <c r="IF30" s="41"/>
      <c r="IG30" s="41"/>
      <c r="IH30" s="41"/>
      <c r="II30" s="41"/>
      <c r="IJ30" s="41"/>
      <c r="IK30" s="41"/>
      <c r="IL30" s="41"/>
      <c r="IM30" s="41"/>
      <c r="IN30" s="41"/>
    </row>
    <row r="31" spans="1:248">
      <c r="A31" s="66" t="s">
        <v>35</v>
      </c>
      <c r="B31" s="63" t="s">
        <v>34</v>
      </c>
      <c r="C31" s="87">
        <v>1</v>
      </c>
      <c r="D31" s="65">
        <v>400000</v>
      </c>
      <c r="E31" s="65">
        <f t="shared" si="5"/>
        <v>400000</v>
      </c>
      <c r="F31" s="65">
        <f t="shared" si="4"/>
        <v>31872.509960159361</v>
      </c>
    </row>
    <row r="32" spans="1:248" s="20" customFormat="1" ht="13.5">
      <c r="A32" s="57" t="s">
        <v>36</v>
      </c>
      <c r="D32" s="68"/>
      <c r="E32" s="69">
        <f>SUM(E33:E35)</f>
        <v>2204199.6</v>
      </c>
      <c r="F32" s="61">
        <f t="shared" si="4"/>
        <v>175633.4342629482</v>
      </c>
    </row>
    <row r="33" spans="1:248" s="20" customFormat="1">
      <c r="A33" s="66" t="s">
        <v>51</v>
      </c>
      <c r="B33" s="63" t="s">
        <v>177</v>
      </c>
      <c r="C33" s="70">
        <v>1</v>
      </c>
      <c r="D33" s="71">
        <v>0.01</v>
      </c>
      <c r="E33" s="65">
        <f t="shared" ref="E33:E35" si="6">+$E$25*D33</f>
        <v>367366.60000000003</v>
      </c>
      <c r="F33" s="65">
        <f t="shared" si="4"/>
        <v>29272.239043824702</v>
      </c>
    </row>
    <row r="34" spans="1:248" s="20" customFormat="1">
      <c r="A34" s="66" t="s">
        <v>38</v>
      </c>
      <c r="B34" s="63" t="s">
        <v>177</v>
      </c>
      <c r="C34" s="64">
        <v>1</v>
      </c>
      <c r="D34" s="71">
        <v>0.02</v>
      </c>
      <c r="E34" s="65">
        <f t="shared" si="6"/>
        <v>734733.20000000007</v>
      </c>
      <c r="F34" s="65">
        <f t="shared" si="4"/>
        <v>58544.478087649404</v>
      </c>
      <c r="V34" s="88"/>
      <c r="W34" s="89"/>
      <c r="X34" s="90"/>
      <c r="Y34" s="91"/>
    </row>
    <row r="35" spans="1:248" s="20" customFormat="1">
      <c r="A35" s="66" t="s">
        <v>39</v>
      </c>
      <c r="B35" s="63" t="s">
        <v>177</v>
      </c>
      <c r="C35" s="64">
        <v>1</v>
      </c>
      <c r="D35" s="71">
        <v>0.03</v>
      </c>
      <c r="E35" s="65">
        <f t="shared" si="6"/>
        <v>1102099.8</v>
      </c>
      <c r="F35" s="65">
        <f t="shared" si="4"/>
        <v>87816.717131474099</v>
      </c>
      <c r="V35" s="88"/>
      <c r="W35" s="89"/>
      <c r="X35" s="90"/>
      <c r="Y35" s="91"/>
    </row>
    <row r="36" spans="1:248" s="20" customFormat="1">
      <c r="A36" s="72" t="s">
        <v>40</v>
      </c>
      <c r="B36" s="73"/>
      <c r="C36" s="73"/>
      <c r="D36" s="73"/>
      <c r="E36" s="74">
        <f>+E32+E25</f>
        <v>38940859.600000001</v>
      </c>
      <c r="F36" s="75">
        <f t="shared" si="4"/>
        <v>3102857.3386454182</v>
      </c>
      <c r="W36" s="16"/>
      <c r="X36" s="16"/>
      <c r="Y36" s="16"/>
    </row>
    <row r="37" spans="1:248">
      <c r="A37" s="92"/>
      <c r="B37" s="92"/>
      <c r="C37" s="92"/>
      <c r="D37" s="93"/>
      <c r="E37" s="94"/>
      <c r="F37" s="82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</row>
    <row r="38" spans="1:248" ht="13.5">
      <c r="A38" s="53" t="s">
        <v>44</v>
      </c>
      <c r="B38" s="92"/>
      <c r="C38" s="92"/>
      <c r="D38" s="93"/>
      <c r="E38" s="94"/>
      <c r="F38" s="82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</row>
    <row r="39" spans="1:248" s="16" customFormat="1" ht="38.25">
      <c r="A39" s="54" t="s">
        <v>21</v>
      </c>
      <c r="B39" s="54" t="s">
        <v>22</v>
      </c>
      <c r="C39" s="54" t="s">
        <v>23</v>
      </c>
      <c r="D39" s="55" t="s">
        <v>24</v>
      </c>
      <c r="E39" s="56" t="s">
        <v>25</v>
      </c>
      <c r="F39" s="56" t="s">
        <v>26</v>
      </c>
    </row>
    <row r="40" spans="1:248" s="20" customFormat="1" ht="13.5">
      <c r="A40" s="57" t="s">
        <v>27</v>
      </c>
      <c r="B40" s="58"/>
      <c r="C40" s="58"/>
      <c r="D40" s="59"/>
      <c r="E40" s="60">
        <f>SUM(E41:E47)</f>
        <v>8866062.5299999993</v>
      </c>
      <c r="F40" s="61">
        <f t="shared" ref="F40:F52" si="7">+E40/$F$2</f>
        <v>706459.16573705175</v>
      </c>
      <c r="V40" s="16"/>
      <c r="W40" s="16"/>
    </row>
    <row r="41" spans="1:248" s="16" customFormat="1">
      <c r="A41" s="62" t="s">
        <v>28</v>
      </c>
      <c r="B41" s="63" t="s">
        <v>29</v>
      </c>
      <c r="C41" s="104">
        <v>4371</v>
      </c>
      <c r="D41" s="65">
        <v>150</v>
      </c>
      <c r="E41" s="65">
        <f>+C41*D41</f>
        <v>655650</v>
      </c>
      <c r="F41" s="65">
        <f t="shared" si="7"/>
        <v>52243.02788844621</v>
      </c>
    </row>
    <row r="42" spans="1:248" s="20" customFormat="1">
      <c r="A42" s="66" t="s">
        <v>35</v>
      </c>
      <c r="B42" s="63" t="s">
        <v>34</v>
      </c>
      <c r="C42" s="104">
        <v>1</v>
      </c>
      <c r="D42" s="65">
        <v>200000</v>
      </c>
      <c r="E42" s="65">
        <f t="shared" ref="E42:E47" si="8">+C42*D42</f>
        <v>200000</v>
      </c>
      <c r="F42" s="65">
        <f t="shared" si="7"/>
        <v>15936.254980079681</v>
      </c>
      <c r="V42" s="16"/>
      <c r="W42" s="16"/>
    </row>
    <row r="43" spans="1:248" s="16" customFormat="1">
      <c r="A43" s="62" t="s">
        <v>45</v>
      </c>
      <c r="B43" s="63" t="s">
        <v>46</v>
      </c>
      <c r="C43" s="154">
        <v>513</v>
      </c>
      <c r="D43" s="95">
        <v>350</v>
      </c>
      <c r="E43" s="65">
        <f t="shared" si="8"/>
        <v>179550</v>
      </c>
      <c r="F43" s="65">
        <f t="shared" si="7"/>
        <v>14306.772908366533</v>
      </c>
    </row>
    <row r="44" spans="1:248">
      <c r="A44" s="62" t="s">
        <v>47</v>
      </c>
      <c r="B44" s="63" t="s">
        <v>46</v>
      </c>
      <c r="C44" s="154">
        <v>513</v>
      </c>
      <c r="D44" s="95">
        <v>3706.15</v>
      </c>
      <c r="E44" s="65">
        <f t="shared" si="8"/>
        <v>1901254.95</v>
      </c>
      <c r="F44" s="65">
        <f t="shared" si="7"/>
        <v>151494.41832669321</v>
      </c>
      <c r="V44" s="16"/>
      <c r="W44" s="16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</row>
    <row r="45" spans="1:248" s="16" customFormat="1">
      <c r="A45" s="62" t="s">
        <v>48</v>
      </c>
      <c r="B45" s="63" t="s">
        <v>46</v>
      </c>
      <c r="C45" s="154">
        <v>513</v>
      </c>
      <c r="D45" s="95">
        <v>3103.21</v>
      </c>
      <c r="E45" s="65">
        <f t="shared" si="8"/>
        <v>1591946.73</v>
      </c>
      <c r="F45" s="65">
        <f t="shared" si="7"/>
        <v>126848.34501992031</v>
      </c>
      <c r="Q45" s="20"/>
      <c r="R45" s="20"/>
    </row>
    <row r="46" spans="1:248">
      <c r="A46" s="62" t="s">
        <v>49</v>
      </c>
      <c r="B46" s="63" t="s">
        <v>46</v>
      </c>
      <c r="C46" s="154">
        <v>513</v>
      </c>
      <c r="D46" s="95">
        <v>1366.45</v>
      </c>
      <c r="E46" s="65">
        <f t="shared" si="8"/>
        <v>700988.85</v>
      </c>
      <c r="F46" s="65">
        <f t="shared" si="7"/>
        <v>55855.685258964135</v>
      </c>
      <c r="M46" s="20"/>
      <c r="N46" s="20"/>
      <c r="O46" s="20"/>
      <c r="P46" s="20"/>
      <c r="Q46" s="20"/>
      <c r="R46" s="20"/>
      <c r="S46" s="20"/>
      <c r="T46" s="20"/>
      <c r="U46" s="20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</row>
    <row r="47" spans="1:248" s="20" customFormat="1" ht="11.25" customHeight="1">
      <c r="A47" s="62" t="s">
        <v>50</v>
      </c>
      <c r="B47" s="67" t="s">
        <v>29</v>
      </c>
      <c r="C47" s="155">
        <v>4371</v>
      </c>
      <c r="D47" s="96">
        <v>832</v>
      </c>
      <c r="E47" s="65">
        <f t="shared" si="8"/>
        <v>3636672</v>
      </c>
      <c r="F47" s="65">
        <f t="shared" si="7"/>
        <v>289774.66135458165</v>
      </c>
    </row>
    <row r="48" spans="1:248" ht="13.5">
      <c r="A48" s="57" t="s">
        <v>36</v>
      </c>
      <c r="B48" s="20"/>
      <c r="C48" s="20"/>
      <c r="D48" s="68"/>
      <c r="E48" s="69">
        <f>SUM(E49:E51)</f>
        <v>443303.12650000001</v>
      </c>
      <c r="F48" s="61">
        <f t="shared" si="7"/>
        <v>35322.95828685259</v>
      </c>
      <c r="M48" s="20"/>
      <c r="N48" s="20"/>
      <c r="O48" s="20"/>
      <c r="P48" s="20"/>
      <c r="Q48" s="20"/>
      <c r="R48" s="20"/>
      <c r="S48" s="20"/>
      <c r="T48" s="20"/>
      <c r="U48" s="20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</row>
    <row r="49" spans="1:248">
      <c r="A49" s="66" t="s">
        <v>51</v>
      </c>
      <c r="B49" s="63" t="s">
        <v>177</v>
      </c>
      <c r="C49" s="70">
        <v>1</v>
      </c>
      <c r="D49" s="71">
        <v>0.01</v>
      </c>
      <c r="E49" s="65">
        <f t="shared" ref="E49:E51" si="9">+$E$40*D49</f>
        <v>88660.6253</v>
      </c>
      <c r="F49" s="65">
        <f t="shared" si="7"/>
        <v>7064.5916573705172</v>
      </c>
      <c r="Q49" s="20"/>
      <c r="R49" s="20"/>
      <c r="S49" s="20"/>
      <c r="T49" s="20"/>
      <c r="U49" s="20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</row>
    <row r="50" spans="1:248">
      <c r="A50" s="66" t="s">
        <v>52</v>
      </c>
      <c r="B50" s="63" t="s">
        <v>177</v>
      </c>
      <c r="C50" s="64">
        <v>1</v>
      </c>
      <c r="D50" s="71">
        <v>0.01</v>
      </c>
      <c r="E50" s="65">
        <f t="shared" si="9"/>
        <v>88660.6253</v>
      </c>
      <c r="F50" s="65">
        <f t="shared" si="7"/>
        <v>7064.5916573705172</v>
      </c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</row>
    <row r="51" spans="1:248">
      <c r="A51" s="66" t="s">
        <v>39</v>
      </c>
      <c r="B51" s="63" t="s">
        <v>177</v>
      </c>
      <c r="C51" s="64">
        <v>1</v>
      </c>
      <c r="D51" s="71">
        <v>0.03</v>
      </c>
      <c r="E51" s="65">
        <f t="shared" si="9"/>
        <v>265981.87589999998</v>
      </c>
      <c r="F51" s="65">
        <f t="shared" si="7"/>
        <v>21193.774972111551</v>
      </c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</row>
    <row r="52" spans="1:248">
      <c r="A52" s="72" t="s">
        <v>40</v>
      </c>
      <c r="B52" s="73"/>
      <c r="C52" s="73"/>
      <c r="D52" s="73"/>
      <c r="E52" s="74">
        <f>+E48+E40</f>
        <v>9309365.6564999986</v>
      </c>
      <c r="F52" s="75">
        <f t="shared" si="7"/>
        <v>741782.12402390421</v>
      </c>
      <c r="M52" s="20"/>
      <c r="N52" s="20"/>
      <c r="O52" s="20"/>
      <c r="P52" s="20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</row>
    <row r="54" spans="1:248">
      <c r="D54" s="97" t="s">
        <v>5</v>
      </c>
      <c r="E54" s="98">
        <f>+E52+E36+E20</f>
        <v>107081462.80649999</v>
      </c>
      <c r="F54" s="98">
        <f t="shared" ref="F54" si="10">+E54/$F$2</f>
        <v>8532387.474621512</v>
      </c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</row>
  </sheetData>
  <mergeCells count="2">
    <mergeCell ref="A1:F1"/>
    <mergeCell ref="A2:B2"/>
  </mergeCells>
  <pageMargins left="0.15748031496062992" right="0.15748031496062992" top="0.35433070866141736" bottom="0.55118110236220474" header="0.31496062992125984" footer="0.31496062992125984"/>
  <pageSetup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D15" sqref="D15"/>
    </sheetView>
  </sheetViews>
  <sheetFormatPr baseColWidth="10" defaultRowHeight="15"/>
  <cols>
    <col min="1" max="1" width="45.7109375" customWidth="1"/>
    <col min="2" max="6" width="10.7109375" customWidth="1"/>
  </cols>
  <sheetData>
    <row r="1" spans="1:6" ht="15.75" thickBot="1">
      <c r="A1" s="197" t="s">
        <v>16</v>
      </c>
      <c r="B1" s="198"/>
      <c r="C1" s="198"/>
      <c r="D1" s="198"/>
      <c r="E1" s="199"/>
      <c r="F1" s="200"/>
    </row>
    <row r="2" spans="1:6">
      <c r="A2" s="204" t="s">
        <v>104</v>
      </c>
      <c r="B2" s="204"/>
      <c r="C2" s="39"/>
      <c r="D2" s="39"/>
      <c r="E2" s="142" t="s">
        <v>17</v>
      </c>
      <c r="F2" s="143">
        <v>12.55</v>
      </c>
    </row>
    <row r="3" spans="1:6">
      <c r="A3" s="46"/>
      <c r="B3" s="16"/>
      <c r="C3" s="16"/>
      <c r="D3" s="99"/>
      <c r="E3" s="100"/>
      <c r="F3" s="45"/>
    </row>
    <row r="4" spans="1:6">
      <c r="A4" s="102" t="s">
        <v>178</v>
      </c>
      <c r="B4" s="48"/>
      <c r="C4" s="51"/>
      <c r="D4" s="51"/>
      <c r="E4" s="51"/>
      <c r="F4" s="51"/>
    </row>
    <row r="5" spans="1:6" ht="38.25">
      <c r="A5" s="54" t="s">
        <v>21</v>
      </c>
      <c r="B5" s="54" t="s">
        <v>22</v>
      </c>
      <c r="C5" s="54" t="s">
        <v>23</v>
      </c>
      <c r="D5" s="55" t="s">
        <v>24</v>
      </c>
      <c r="E5" s="56" t="s">
        <v>25</v>
      </c>
      <c r="F5" s="56" t="s">
        <v>26</v>
      </c>
    </row>
    <row r="6" spans="1:6">
      <c r="A6" s="57" t="s">
        <v>27</v>
      </c>
      <c r="B6" s="58"/>
      <c r="C6" s="58"/>
      <c r="D6" s="59"/>
      <c r="E6" s="60">
        <f>SUM(E7:E11)</f>
        <v>2340000</v>
      </c>
      <c r="F6" s="61">
        <f>+E6/$F$2</f>
        <v>186454.18326693226</v>
      </c>
    </row>
    <row r="7" spans="1:6">
      <c r="A7" s="62" t="s">
        <v>106</v>
      </c>
      <c r="B7" s="63" t="s">
        <v>46</v>
      </c>
      <c r="C7" s="130">
        <v>2000</v>
      </c>
      <c r="D7" s="65">
        <v>30</v>
      </c>
      <c r="E7" s="65">
        <f>+D7*C7</f>
        <v>60000</v>
      </c>
      <c r="F7" s="65">
        <f t="shared" ref="F7:F15" si="0">+E7/$F$2</f>
        <v>4780.8764940239043</v>
      </c>
    </row>
    <row r="8" spans="1:6">
      <c r="A8" s="131" t="s">
        <v>142</v>
      </c>
      <c r="B8" s="67" t="s">
        <v>31</v>
      </c>
      <c r="C8" s="65">
        <v>200</v>
      </c>
      <c r="D8" s="65">
        <v>6000</v>
      </c>
      <c r="E8" s="65">
        <f>+D8*C8</f>
        <v>1200000</v>
      </c>
      <c r="F8" s="65">
        <f t="shared" si="0"/>
        <v>95617.529880478076</v>
      </c>
    </row>
    <row r="9" spans="1:6">
      <c r="A9" s="131" t="s">
        <v>107</v>
      </c>
      <c r="B9" s="67" t="s">
        <v>31</v>
      </c>
      <c r="C9" s="65">
        <v>200</v>
      </c>
      <c r="D9" s="65">
        <v>1000</v>
      </c>
      <c r="E9" s="65">
        <f>+D9*C9</f>
        <v>200000</v>
      </c>
      <c r="F9" s="65">
        <f t="shared" ref="F9:F10" si="1">+E9/$F$2</f>
        <v>15936.254980079681</v>
      </c>
    </row>
    <row r="10" spans="1:6">
      <c r="A10" s="131" t="s">
        <v>143</v>
      </c>
      <c r="B10" s="67" t="s">
        <v>31</v>
      </c>
      <c r="C10" s="65">
        <v>8</v>
      </c>
      <c r="D10" s="65">
        <v>100000</v>
      </c>
      <c r="E10" s="65">
        <f>+D10*C10</f>
        <v>800000</v>
      </c>
      <c r="F10" s="65">
        <f t="shared" si="1"/>
        <v>63745.019920318722</v>
      </c>
    </row>
    <row r="11" spans="1:6">
      <c r="A11" s="131" t="s">
        <v>141</v>
      </c>
      <c r="B11" s="67" t="s">
        <v>31</v>
      </c>
      <c r="C11" s="65">
        <v>8</v>
      </c>
      <c r="D11" s="65">
        <v>10000</v>
      </c>
      <c r="E11" s="65">
        <f>+D11*C11</f>
        <v>80000</v>
      </c>
      <c r="F11" s="65">
        <f t="shared" si="0"/>
        <v>6374.5019920318719</v>
      </c>
    </row>
    <row r="12" spans="1:6">
      <c r="A12" s="57" t="s">
        <v>36</v>
      </c>
      <c r="B12" s="20"/>
      <c r="C12" s="20"/>
      <c r="D12" s="68"/>
      <c r="E12" s="69">
        <f>SUM(E13:E14)</f>
        <v>70200</v>
      </c>
      <c r="F12" s="61">
        <f t="shared" si="0"/>
        <v>5593.6254980079675</v>
      </c>
    </row>
    <row r="13" spans="1:6">
      <c r="A13" s="66" t="s">
        <v>51</v>
      </c>
      <c r="B13" s="63" t="s">
        <v>177</v>
      </c>
      <c r="C13" s="70">
        <v>1</v>
      </c>
      <c r="D13" s="71">
        <v>0.01</v>
      </c>
      <c r="E13" s="65">
        <f t="shared" ref="E13:E14" si="2">+$E$6*D13</f>
        <v>23400</v>
      </c>
      <c r="F13" s="65">
        <f t="shared" si="0"/>
        <v>1864.5418326693225</v>
      </c>
    </row>
    <row r="14" spans="1:6">
      <c r="A14" s="66" t="s">
        <v>38</v>
      </c>
      <c r="B14" s="63" t="s">
        <v>177</v>
      </c>
      <c r="C14" s="64">
        <v>1</v>
      </c>
      <c r="D14" s="71">
        <v>0.02</v>
      </c>
      <c r="E14" s="65">
        <f t="shared" si="2"/>
        <v>46800</v>
      </c>
      <c r="F14" s="65">
        <f t="shared" si="0"/>
        <v>3729.083665338645</v>
      </c>
    </row>
    <row r="15" spans="1:6">
      <c r="A15" s="72" t="s">
        <v>5</v>
      </c>
      <c r="B15" s="73"/>
      <c r="C15" s="73"/>
      <c r="D15" s="73"/>
      <c r="E15" s="74">
        <f>+E12+E6</f>
        <v>2410200</v>
      </c>
      <c r="F15" s="75">
        <f t="shared" si="0"/>
        <v>192047.80876494022</v>
      </c>
    </row>
  </sheetData>
  <mergeCells count="2">
    <mergeCell ref="A1:F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35174312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>2550/OC-ME</Approval_x0020_Number>
    <Document_x0020_Author xmlns="cdc7663a-08f0-4737-9e8c-148ce897a09c">CAROLINEPO</Document_x0020_Author>
    <Fiscal_x0020_Year_x0020_IDB xmlns="cdc7663a-08f0-4737-9e8c-148ce897a09c">2010</Fiscal_x0020_Year_x0020_IDB>
    <Other_x0020_Author xmlns="cdc7663a-08f0-4737-9e8c-148ce897a09c" xsi:nil="true"/>
    <Project_x0020_Number xmlns="cdc7663a-08f0-4737-9e8c-148ce897a09c">ME-L1059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EXCELLPLoan Proposal0N</Migration_x0020_Info>
    <Operation_x0020_Type xmlns="cdc7663a-08f0-4737-9e8c-148ce897a09c" xsi:nil="true"/>
    <Record_x0020_Number xmlns="cdc7663a-08f0-4737-9e8c-148ce897a09c">R0002763255</Record_x0020_Number>
    <Document_x0020_Language_x0020_IDB xmlns="cdc7663a-08f0-4737-9e8c-148ce897a09c">Spanish</Document_x0020_Language_x0020_IDB>
    <Identifier xmlns="cdc7663a-08f0-4737-9e8c-148ce897a09c"> TECFILE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EZSHARE-1588997856-132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https://idbg.sharepoint.com/teams/EZ-ME-LON/ME-L1059/_layouts/15/DocIdRedir.aspx?ID=EZSHARE-1588997856-132</Url>
      <Description>EZSHARE-1588997856-132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77ECA45727864EBF532F4F77A0D49A" ma:contentTypeVersion="941" ma:contentTypeDescription="The base project type from which other project content types inherit their information." ma:contentTypeScope="" ma:versionID="6f6e837ed1f9a131a19deb50772af50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cecb95fe2434c19e2c728460651381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ME-L105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30C1527A-DAD9-4647-BBC5-5009FE1AF7DF}"/>
</file>

<file path=customXml/itemProps2.xml><?xml version="1.0" encoding="utf-8"?>
<ds:datastoreItem xmlns:ds="http://schemas.openxmlformats.org/officeDocument/2006/customXml" ds:itemID="{9D706B8F-6297-4296-98C0-443D4C47EAB4}"/>
</file>

<file path=customXml/itemProps3.xml><?xml version="1.0" encoding="utf-8"?>
<ds:datastoreItem xmlns:ds="http://schemas.openxmlformats.org/officeDocument/2006/customXml" ds:itemID="{4A9DC699-3E91-40EC-8FA1-2ED7806193B5}"/>
</file>

<file path=customXml/itemProps4.xml><?xml version="1.0" encoding="utf-8"?>
<ds:datastoreItem xmlns:ds="http://schemas.openxmlformats.org/officeDocument/2006/customXml" ds:itemID="{115C93A8-386B-4C88-9B33-0D8DD82D0EAA}"/>
</file>

<file path=customXml/itemProps5.xml><?xml version="1.0" encoding="utf-8"?>
<ds:datastoreItem xmlns:ds="http://schemas.openxmlformats.org/officeDocument/2006/customXml" ds:itemID="{9291FB70-C40A-40AF-83CA-BED70F8B7B9C}"/>
</file>

<file path=customXml/itemProps6.xml><?xml version="1.0" encoding="utf-8"?>
<ds:datastoreItem xmlns:ds="http://schemas.openxmlformats.org/officeDocument/2006/customXml" ds:itemID="{D4428A3D-954F-4169-8F87-D9FCF3494630}"/>
</file>

<file path=customXml/itemProps7.xml><?xml version="1.0" encoding="utf-8"?>
<ds:datastoreItem xmlns:ds="http://schemas.openxmlformats.org/officeDocument/2006/customXml" ds:itemID="{D0D25C6D-A3A0-4C68-B503-048C7E3084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PPTO RESUMEN</vt:lpstr>
      <vt:lpstr>A1 PARQUE</vt:lpstr>
      <vt:lpstr>A21 CRR PG MERCADOS</vt:lpstr>
      <vt:lpstr>A22 CRR PG DRAGONES</vt:lpstr>
      <vt:lpstr>A23 CRR PG S JUAN</vt:lpstr>
      <vt:lpstr>A3 ILUMINACION</vt:lpstr>
      <vt:lpstr>A4 IMAGEN URBANA</vt:lpstr>
      <vt:lpstr>B1 MERCADOS</vt:lpstr>
      <vt:lpstr>B2 SEÑALÉTICA</vt:lpstr>
      <vt:lpstr>B3 ESTACION</vt:lpstr>
      <vt:lpstr>B4 PROMO NEGOCIOS</vt:lpstr>
      <vt:lpstr>B5 VIVIENDA</vt:lpstr>
      <vt:lpstr>C1 COMUNICACIÓN</vt:lpstr>
      <vt:lpstr>C2 FORTALECIMIENTO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 - Mérida</dc:title>
  <dc:creator>Diego Carrión</dc:creator>
  <cp:lastModifiedBy>Diego Carrión</cp:lastModifiedBy>
  <dcterms:created xsi:type="dcterms:W3CDTF">2010-04-13T17:07:07Z</dcterms:created>
  <dcterms:modified xsi:type="dcterms:W3CDTF">2010-05-14T23:44:43Z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0x010100ACF722E9F6B0B149B0CD8BE2560A6672003C77ECA45727864EBF532F4F77A0D49A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17;#Loan Proposal|6ee86b6f-6e46-485b-8bfb-87a1f44622ac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13200</vt:r8>
  </property>
  <property fmtid="{D5CDD505-2E9C-101B-9397-08002B2CF9AE}" pid="18" name="Disclosure Activity">
    <vt:lpwstr>Loan Proposal</vt:lpwstr>
  </property>
  <property fmtid="{D5CDD505-2E9C-101B-9397-08002B2CF9AE}" pid="22" name="Webtopic">
    <vt:lpwstr>Urban Rehabilitation and Heritage Preservation</vt:lpwstr>
  </property>
  <property fmtid="{D5CDD505-2E9C-101B-9397-08002B2CF9AE}" pid="24" name="Disclosed">
    <vt:bool>true</vt:bool>
  </property>
  <property fmtid="{D5CDD505-2E9C-101B-9397-08002B2CF9AE}" pid="28" name="_dlc_DocIdItemGuid">
    <vt:lpwstr>7c768871-7c92-44aa-a0f2-43b4c0933d3d</vt:lpwstr>
  </property>
</Properties>
</file>