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activeTab="2"/>
  </bookViews>
  <sheets>
    <sheet name="Cuadro Resumen" sheetId="3" r:id="rId1"/>
    <sheet name="Presupuesto Detallado" sheetId="2" r:id="rId2"/>
    <sheet name="PEP" sheetId="1" r:id="rId3"/>
  </sheets>
  <externalReferences>
    <externalReference r:id="rId4"/>
  </externalReferences>
  <definedNames>
    <definedName name="_xlnm._FilterDatabase" localSheetId="2" hidden="1">PEP!$A$5:$AJ$186</definedName>
    <definedName name="aa">!#REF!</definedName>
    <definedName name="AÇO">"""'[1]conc 20'!#ref!"""</definedName>
    <definedName name="Área_impressão_IM">!#REF!</definedName>
    <definedName name="BDI">!#REF!</definedName>
    <definedName name="DDADOS_VOL5_0">!#REF!</definedName>
    <definedName name="DES">!#REF!</definedName>
    <definedName name="Detalhes_do_Demonstrativo_MDE">"""'[2]anexo x - ensino'!#ref!"""</definedName>
    <definedName name="Excel_BuiltIn_Database">!#REF!</definedName>
    <definedName name="Ganhos_e_perdas_de_receita">!#REF!</definedName>
    <definedName name="Ganhos_e_Perdas_de_Receita_99">!#REF!</definedName>
    <definedName name="HTML_CodePage">1252</definedName>
    <definedName name="HTML_Description">""""""""""""""</definedName>
    <definedName name="HTML_Email">""""""""""""""</definedName>
    <definedName name="HTML_Header">"""""""Tabela"""""""</definedName>
    <definedName name="HTML_LastUpdate">"""""""16/03/98"""""""</definedName>
    <definedName name="HTML_LineAfter">0</definedName>
    <definedName name="HTML_LineBefore">0</definedName>
    <definedName name="HTML_Name">"""""""Rede Integrada"""""""</definedName>
    <definedName name="HTML_OBDlg2">1</definedName>
    <definedName name="HTML_OBDlg4">1</definedName>
    <definedName name="HTML_OS">0</definedName>
    <definedName name="HTML_Title">"""""""Balpep11"""""""</definedName>
    <definedName name="MOE">!#REF!</definedName>
    <definedName name="MOH">!#REF!</definedName>
    <definedName name="Planilha_1ÁreaTotal">"""(#ref!,#ref!))"""</definedName>
    <definedName name="Planilha_1CabGráfico">!#REF!</definedName>
    <definedName name="Planilha_1TítCols">"""(#ref!,#ref!))"""</definedName>
    <definedName name="Planilha_1TítLins">!#REF!</definedName>
    <definedName name="Planilha_2ÁreaTotal">"""(#ref!,#ref!))"""</definedName>
    <definedName name="Planilha_2CabGráfico">!#REF!</definedName>
    <definedName name="Planilha_2TítCols">"""(#ref!,#ref!))"""</definedName>
    <definedName name="Planilha_2TítLins">!#REF!</definedName>
    <definedName name="Planilha_3ÁreaTotal">"""(#ref!,#ref!))"""</definedName>
    <definedName name="Planilha_3CabGráfico">!#REF!</definedName>
    <definedName name="Planilha_3TítCols">"""(#ref!,#ref!))"""</definedName>
    <definedName name="Planilha_3TítLins">!#REF!</definedName>
    <definedName name="Planilha_4ÁreaTotal">"""(#ref!,#ref!))"""</definedName>
    <definedName name="Planilha_4TítCols">"""(#ref!,#ref!))"""</definedName>
    <definedName name="_xlnm.Print_Area" localSheetId="0">'Cuadro Resumen'!$B$1:$I$11</definedName>
    <definedName name="_xlnm.Print_Area" localSheetId="2">PEP!$A$1:$AJ$184</definedName>
    <definedName name="_xlnm.Print_Titles" localSheetId="2">PEP!$G:$G,PEP!$4:$5</definedName>
    <definedName name="sss">"""'[2]anexo x - ensino'!#ref!"""</definedName>
    <definedName name="Tabela_1___Déficit_da_Previdência_Social__RGPS">!#REF!</definedName>
    <definedName name="Tabela_10___Resultado_Primário_do_Governo_Central_em_1999">!#REF!</definedName>
    <definedName name="Tabela_2___Contribuições_Previdenciárias">!#REF!</definedName>
    <definedName name="Tabela_3___Benefícios__previsto_x_realizado">!#REF!</definedName>
    <definedName name="Tabela_4___Receitas_Administradas_pela_SRF__previsto_x_realizado">!#REF!</definedName>
    <definedName name="Tabela_5___Receitas_Administradas_em_Agosto">!#REF!</definedName>
    <definedName name="Tabela_6___Receitas_Diretamente_Arrecadadas">!#REF!</definedName>
    <definedName name="Tabela_7___Déficit_da_Previdência_Social_em_1999">!#REF!</definedName>
    <definedName name="Tabela_8___Receitas_Administradas__revisão_da_previsão">!#REF!</definedName>
    <definedName name="Tabela_9___Resultado_Primário_de_1999">!#REF!</definedName>
    <definedName name="total">"""'[4]orçamento sem preço'!#ref!"""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2" i="1" l="1"/>
  <c r="X103" i="1"/>
  <c r="W103" i="1"/>
  <c r="W101" i="1" s="1"/>
  <c r="V103" i="1"/>
  <c r="X102" i="1"/>
  <c r="W102" i="1"/>
  <c r="H103" i="1"/>
  <c r="J103" i="1" s="1"/>
  <c r="W87" i="1" l="1"/>
  <c r="X87" i="1"/>
  <c r="Y87" i="1"/>
  <c r="A9" i="2"/>
  <c r="A19" i="2"/>
  <c r="A21" i="2"/>
  <c r="A20" i="2"/>
  <c r="A18" i="2"/>
  <c r="A17" i="2"/>
  <c r="A16" i="2"/>
  <c r="A15" i="2"/>
  <c r="A14" i="2"/>
  <c r="A13" i="2"/>
  <c r="A12" i="2"/>
  <c r="A11" i="2"/>
  <c r="A10" i="2"/>
  <c r="A8" i="2"/>
  <c r="A7" i="2"/>
  <c r="A6" i="2"/>
  <c r="A5" i="2"/>
  <c r="B10" i="3"/>
  <c r="B9" i="3"/>
  <c r="B8" i="3"/>
  <c r="B7" i="3"/>
  <c r="B6" i="3"/>
  <c r="B5" i="3"/>
  <c r="B4" i="3"/>
  <c r="J180" i="1" l="1"/>
  <c r="K180" i="1"/>
  <c r="R143" i="1"/>
  <c r="U101" i="1"/>
  <c r="Y101" i="1"/>
  <c r="V35" i="1"/>
  <c r="X35" i="1" s="1"/>
  <c r="U35" i="1"/>
  <c r="W35" i="1" l="1"/>
  <c r="Y35" i="1" s="1"/>
  <c r="Z182" i="1"/>
  <c r="X114" i="1"/>
  <c r="Y114" i="1"/>
  <c r="V31" i="1" l="1"/>
  <c r="H183" i="1"/>
  <c r="J182" i="1"/>
  <c r="I182" i="1"/>
  <c r="Y180" i="1"/>
  <c r="H179" i="1"/>
  <c r="I179" i="1" s="1"/>
  <c r="K179" i="1" s="1"/>
  <c r="Y178" i="1"/>
  <c r="X178" i="1"/>
  <c r="W178" i="1"/>
  <c r="V178" i="1"/>
  <c r="U178" i="1"/>
  <c r="R178" i="1"/>
  <c r="H178" i="1" s="1"/>
  <c r="Y177" i="1"/>
  <c r="X177" i="1"/>
  <c r="W177" i="1"/>
  <c r="V177" i="1"/>
  <c r="U177" i="1"/>
  <c r="R177" i="1"/>
  <c r="H177" i="1" s="1"/>
  <c r="Y176" i="1"/>
  <c r="X176" i="1"/>
  <c r="W176" i="1"/>
  <c r="V176" i="1"/>
  <c r="U176" i="1"/>
  <c r="R176" i="1"/>
  <c r="H176" i="1" s="1"/>
  <c r="J176" i="1" s="1"/>
  <c r="Y175" i="1"/>
  <c r="X175" i="1"/>
  <c r="W175" i="1"/>
  <c r="V175" i="1"/>
  <c r="U175" i="1"/>
  <c r="R175" i="1"/>
  <c r="H175" i="1" s="1"/>
  <c r="Y174" i="1"/>
  <c r="X174" i="1"/>
  <c r="W174" i="1"/>
  <c r="V174" i="1"/>
  <c r="U174" i="1"/>
  <c r="R174" i="1"/>
  <c r="H174" i="1" s="1"/>
  <c r="Y173" i="1"/>
  <c r="X173" i="1"/>
  <c r="W173" i="1"/>
  <c r="V173" i="1"/>
  <c r="U173" i="1"/>
  <c r="R173" i="1"/>
  <c r="H173" i="1" s="1"/>
  <c r="J173" i="1" s="1"/>
  <c r="Y172" i="1"/>
  <c r="X172" i="1"/>
  <c r="W172" i="1"/>
  <c r="V172" i="1"/>
  <c r="U172" i="1"/>
  <c r="R172" i="1"/>
  <c r="H172" i="1" s="1"/>
  <c r="Y171" i="1"/>
  <c r="X171" i="1"/>
  <c r="W171" i="1"/>
  <c r="V171" i="1"/>
  <c r="U171" i="1"/>
  <c r="R171" i="1"/>
  <c r="H171" i="1" s="1"/>
  <c r="Y169" i="1"/>
  <c r="X169" i="1"/>
  <c r="W169" i="1"/>
  <c r="V169" i="1"/>
  <c r="U169" i="1"/>
  <c r="H169" i="1"/>
  <c r="I169" i="1" s="1"/>
  <c r="K169" i="1" s="1"/>
  <c r="Y168" i="1"/>
  <c r="X168" i="1"/>
  <c r="W168" i="1"/>
  <c r="V168" i="1"/>
  <c r="U168" i="1"/>
  <c r="H168" i="1"/>
  <c r="I168" i="1" s="1"/>
  <c r="K168" i="1" s="1"/>
  <c r="Y167" i="1"/>
  <c r="X167" i="1"/>
  <c r="W167" i="1"/>
  <c r="V167" i="1"/>
  <c r="U167" i="1"/>
  <c r="H167" i="1"/>
  <c r="I167" i="1" s="1"/>
  <c r="K167" i="1" s="1"/>
  <c r="Y166" i="1"/>
  <c r="X166" i="1"/>
  <c r="W166" i="1"/>
  <c r="V166" i="1"/>
  <c r="U166" i="1"/>
  <c r="H166" i="1"/>
  <c r="I166" i="1" s="1"/>
  <c r="H162" i="1"/>
  <c r="J162" i="1" s="1"/>
  <c r="V161" i="1"/>
  <c r="V160" i="1" s="1"/>
  <c r="V159" i="1" s="1"/>
  <c r="U161" i="1"/>
  <c r="J158" i="1"/>
  <c r="I158" i="1"/>
  <c r="K158" i="1" s="1"/>
  <c r="H157" i="1"/>
  <c r="Y156" i="1"/>
  <c r="Y154" i="1" s="1"/>
  <c r="X156" i="1"/>
  <c r="X154" i="1" s="1"/>
  <c r="W156" i="1"/>
  <c r="R156" i="1"/>
  <c r="H156" i="1" s="1"/>
  <c r="H155" i="1"/>
  <c r="I155" i="1" s="1"/>
  <c r="K155" i="1" s="1"/>
  <c r="U154" i="1"/>
  <c r="H151" i="1"/>
  <c r="J151" i="1" s="1"/>
  <c r="Y150" i="1"/>
  <c r="X150" i="1"/>
  <c r="W150" i="1"/>
  <c r="V150" i="1"/>
  <c r="U150" i="1"/>
  <c r="R150" i="1"/>
  <c r="H150" i="1" s="1"/>
  <c r="I150" i="1" s="1"/>
  <c r="K150" i="1" s="1"/>
  <c r="Y149" i="1"/>
  <c r="X149" i="1"/>
  <c r="W149" i="1"/>
  <c r="W148" i="1" s="1"/>
  <c r="V149" i="1"/>
  <c r="U149" i="1"/>
  <c r="R149" i="1"/>
  <c r="H149" i="1" s="1"/>
  <c r="Y143" i="1"/>
  <c r="Y141" i="1" s="1"/>
  <c r="X143" i="1"/>
  <c r="X141" i="1" s="1"/>
  <c r="W143" i="1"/>
  <c r="W141" i="1" s="1"/>
  <c r="V143" i="1"/>
  <c r="H143" i="1"/>
  <c r="I143" i="1" s="1"/>
  <c r="H142" i="1"/>
  <c r="U140" i="1"/>
  <c r="H140" i="1"/>
  <c r="Y139" i="1"/>
  <c r="X139" i="1"/>
  <c r="W139" i="1"/>
  <c r="V139" i="1"/>
  <c r="H137" i="1"/>
  <c r="Y136" i="1"/>
  <c r="Y134" i="1" s="1"/>
  <c r="X136" i="1"/>
  <c r="X134" i="1" s="1"/>
  <c r="W136" i="1"/>
  <c r="W134" i="1" s="1"/>
  <c r="V136" i="1"/>
  <c r="R136" i="1"/>
  <c r="H136" i="1" s="1"/>
  <c r="I136" i="1" s="1"/>
  <c r="K136" i="1" s="1"/>
  <c r="V135" i="1"/>
  <c r="U135" i="1"/>
  <c r="H135" i="1"/>
  <c r="U133" i="1"/>
  <c r="H133" i="1"/>
  <c r="Y132" i="1"/>
  <c r="X132" i="1"/>
  <c r="W132" i="1"/>
  <c r="V132" i="1"/>
  <c r="H131" i="1"/>
  <c r="I131" i="1" s="1"/>
  <c r="Y129" i="1"/>
  <c r="X129" i="1"/>
  <c r="W129" i="1"/>
  <c r="R129" i="1"/>
  <c r="H129" i="1" s="1"/>
  <c r="Y128" i="1"/>
  <c r="Y126" i="1" s="1"/>
  <c r="Y125" i="1" s="1"/>
  <c r="X128" i="1"/>
  <c r="X126" i="1" s="1"/>
  <c r="X125" i="1" s="1"/>
  <c r="W128" i="1"/>
  <c r="W126" i="1" s="1"/>
  <c r="W125" i="1" s="1"/>
  <c r="V128" i="1"/>
  <c r="R128" i="1"/>
  <c r="H128" i="1" s="1"/>
  <c r="V127" i="1"/>
  <c r="U127" i="1"/>
  <c r="U126" i="1" s="1"/>
  <c r="U125" i="1" s="1"/>
  <c r="H127" i="1"/>
  <c r="Y124" i="1"/>
  <c r="Y122" i="1" s="1"/>
  <c r="X124" i="1"/>
  <c r="X122" i="1" s="1"/>
  <c r="W124" i="1"/>
  <c r="V124" i="1"/>
  <c r="R124" i="1"/>
  <c r="H124" i="1" s="1"/>
  <c r="U123" i="1"/>
  <c r="U122" i="1"/>
  <c r="H121" i="1"/>
  <c r="J121" i="1" s="1"/>
  <c r="J120" i="1" s="1"/>
  <c r="U120" i="1"/>
  <c r="H118" i="1"/>
  <c r="I118" i="1" s="1"/>
  <c r="K118" i="1" s="1"/>
  <c r="H117" i="1"/>
  <c r="T116" i="1"/>
  <c r="H116" i="1" s="1"/>
  <c r="H113" i="1"/>
  <c r="I113" i="1" s="1"/>
  <c r="K113" i="1" s="1"/>
  <c r="H112" i="1"/>
  <c r="I112" i="1" s="1"/>
  <c r="K112" i="1" s="1"/>
  <c r="Y111" i="1"/>
  <c r="Y110" i="1" s="1"/>
  <c r="X111" i="1"/>
  <c r="X110" i="1" s="1"/>
  <c r="W111" i="1"/>
  <c r="W110" i="1" s="1"/>
  <c r="V111" i="1"/>
  <c r="R111" i="1"/>
  <c r="H111" i="1" s="1"/>
  <c r="H110" i="1" s="1"/>
  <c r="H109" i="1"/>
  <c r="H108" i="1" s="1"/>
  <c r="Y107" i="1"/>
  <c r="X107" i="1"/>
  <c r="W107" i="1"/>
  <c r="V107" i="1"/>
  <c r="U107" i="1"/>
  <c r="R107" i="1"/>
  <c r="H107" i="1" s="1"/>
  <c r="J107" i="1" s="1"/>
  <c r="Y106" i="1"/>
  <c r="X106" i="1"/>
  <c r="W106" i="1"/>
  <c r="V106" i="1"/>
  <c r="U106" i="1"/>
  <c r="R106" i="1"/>
  <c r="H106" i="1" s="1"/>
  <c r="J106" i="1" s="1"/>
  <c r="I103" i="1"/>
  <c r="K103" i="1" s="1"/>
  <c r="H102" i="1"/>
  <c r="H101" i="1" s="1"/>
  <c r="Y100" i="1"/>
  <c r="X100" i="1"/>
  <c r="W100" i="1"/>
  <c r="V100" i="1"/>
  <c r="R100" i="1"/>
  <c r="H100" i="1" s="1"/>
  <c r="H99" i="1"/>
  <c r="T97" i="1"/>
  <c r="H97" i="1" s="1"/>
  <c r="H94" i="1"/>
  <c r="T92" i="1"/>
  <c r="H92" i="1" s="1"/>
  <c r="H91" i="1" s="1"/>
  <c r="H90" i="1"/>
  <c r="H89" i="1"/>
  <c r="J89" i="1" s="1"/>
  <c r="V89" i="1" s="1"/>
  <c r="H88" i="1"/>
  <c r="H86" i="1"/>
  <c r="Y82" i="1"/>
  <c r="X82" i="1"/>
  <c r="W82" i="1"/>
  <c r="V82" i="1"/>
  <c r="U82" i="1"/>
  <c r="R82" i="1"/>
  <c r="H82" i="1" s="1"/>
  <c r="Y81" i="1"/>
  <c r="X81" i="1"/>
  <c r="W81" i="1"/>
  <c r="V81" i="1"/>
  <c r="U81" i="1"/>
  <c r="R81" i="1"/>
  <c r="H81" i="1" s="1"/>
  <c r="I81" i="1" s="1"/>
  <c r="K81" i="1" s="1"/>
  <c r="Y80" i="1"/>
  <c r="X80" i="1"/>
  <c r="W80" i="1"/>
  <c r="V80" i="1"/>
  <c r="U80" i="1"/>
  <c r="R80" i="1"/>
  <c r="H80" i="1" s="1"/>
  <c r="Y78" i="1"/>
  <c r="Y77" i="1" s="1"/>
  <c r="X78" i="1"/>
  <c r="X77" i="1" s="1"/>
  <c r="W78" i="1"/>
  <c r="W77" i="1" s="1"/>
  <c r="V78" i="1"/>
  <c r="V77" i="1" s="1"/>
  <c r="U78" i="1"/>
  <c r="R78" i="1"/>
  <c r="H78" i="1" s="1"/>
  <c r="J78" i="1" s="1"/>
  <c r="U75" i="1"/>
  <c r="H75" i="1"/>
  <c r="I75" i="1" s="1"/>
  <c r="Y74" i="1"/>
  <c r="X74" i="1"/>
  <c r="W74" i="1"/>
  <c r="H74" i="1"/>
  <c r="Y72" i="1"/>
  <c r="X72" i="1"/>
  <c r="W72" i="1"/>
  <c r="H72" i="1"/>
  <c r="I72" i="1" s="1"/>
  <c r="K72" i="1" s="1"/>
  <c r="Y71" i="1"/>
  <c r="Y70" i="1" s="1"/>
  <c r="X71" i="1"/>
  <c r="X70" i="1" s="1"/>
  <c r="W71" i="1"/>
  <c r="W70" i="1" s="1"/>
  <c r="V71" i="1"/>
  <c r="V70" i="1" s="1"/>
  <c r="U71" i="1"/>
  <c r="R71" i="1"/>
  <c r="H71" i="1" s="1"/>
  <c r="H67" i="1"/>
  <c r="J67" i="1" s="1"/>
  <c r="W67" i="1" s="1"/>
  <c r="Y66" i="1"/>
  <c r="X66" i="1"/>
  <c r="W66" i="1"/>
  <c r="V66" i="1"/>
  <c r="U66" i="1"/>
  <c r="R66" i="1"/>
  <c r="H66" i="1" s="1"/>
  <c r="Y65" i="1"/>
  <c r="X65" i="1"/>
  <c r="W65" i="1"/>
  <c r="V65" i="1"/>
  <c r="U65" i="1"/>
  <c r="R65" i="1"/>
  <c r="H65" i="1" s="1"/>
  <c r="J65" i="1" s="1"/>
  <c r="Y64" i="1"/>
  <c r="X64" i="1"/>
  <c r="W64" i="1"/>
  <c r="V64" i="1"/>
  <c r="U64" i="1"/>
  <c r="R64" i="1"/>
  <c r="H64" i="1" s="1"/>
  <c r="J64" i="1" s="1"/>
  <c r="U60" i="1"/>
  <c r="H60" i="1"/>
  <c r="I60" i="1" s="1"/>
  <c r="K60" i="1" s="1"/>
  <c r="K59" i="1" s="1"/>
  <c r="H58" i="1"/>
  <c r="J58" i="1" s="1"/>
  <c r="H57" i="1"/>
  <c r="I57" i="1" s="1"/>
  <c r="Y55" i="1"/>
  <c r="X55" i="1"/>
  <c r="W55" i="1"/>
  <c r="V55" i="1"/>
  <c r="U55" i="1"/>
  <c r="R55" i="1"/>
  <c r="H55" i="1" s="1"/>
  <c r="Y54" i="1"/>
  <c r="X54" i="1"/>
  <c r="W54" i="1"/>
  <c r="V54" i="1"/>
  <c r="U54" i="1"/>
  <c r="R54" i="1"/>
  <c r="H54" i="1" s="1"/>
  <c r="Y53" i="1"/>
  <c r="X53" i="1"/>
  <c r="W53" i="1"/>
  <c r="V53" i="1"/>
  <c r="U53" i="1"/>
  <c r="R53" i="1"/>
  <c r="H53" i="1" s="1"/>
  <c r="Y49" i="1"/>
  <c r="X49" i="1"/>
  <c r="W49" i="1"/>
  <c r="V49" i="1"/>
  <c r="U49" i="1"/>
  <c r="R49" i="1"/>
  <c r="H49" i="1" s="1"/>
  <c r="Y48" i="1"/>
  <c r="X48" i="1"/>
  <c r="W48" i="1"/>
  <c r="V48" i="1"/>
  <c r="U48" i="1"/>
  <c r="R48" i="1"/>
  <c r="H48" i="1" s="1"/>
  <c r="I48" i="1" s="1"/>
  <c r="K48" i="1" s="1"/>
  <c r="Y47" i="1"/>
  <c r="X47" i="1"/>
  <c r="W47" i="1"/>
  <c r="V47" i="1"/>
  <c r="U47" i="1"/>
  <c r="R47" i="1"/>
  <c r="H47" i="1" s="1"/>
  <c r="Y46" i="1"/>
  <c r="X46" i="1"/>
  <c r="W46" i="1"/>
  <c r="V46" i="1"/>
  <c r="U46" i="1"/>
  <c r="R46" i="1"/>
  <c r="H46" i="1" s="1"/>
  <c r="Y44" i="1"/>
  <c r="X44" i="1"/>
  <c r="W44" i="1"/>
  <c r="V44" i="1"/>
  <c r="U44" i="1"/>
  <c r="R44" i="1"/>
  <c r="H44" i="1" s="1"/>
  <c r="Y43" i="1"/>
  <c r="X43" i="1"/>
  <c r="W43" i="1"/>
  <c r="V43" i="1"/>
  <c r="U43" i="1"/>
  <c r="R43" i="1"/>
  <c r="H43" i="1" s="1"/>
  <c r="Y41" i="1"/>
  <c r="X41" i="1"/>
  <c r="W41" i="1"/>
  <c r="R41" i="1"/>
  <c r="H41" i="1" s="1"/>
  <c r="Y40" i="1"/>
  <c r="X40" i="1"/>
  <c r="W40" i="1"/>
  <c r="V40" i="1"/>
  <c r="R40" i="1"/>
  <c r="H40" i="1" s="1"/>
  <c r="H39" i="1"/>
  <c r="H38" i="1"/>
  <c r="Y36" i="1"/>
  <c r="X36" i="1"/>
  <c r="W36" i="1"/>
  <c r="H36" i="1"/>
  <c r="R35" i="1"/>
  <c r="H35" i="1" s="1"/>
  <c r="Y33" i="1"/>
  <c r="X33" i="1"/>
  <c r="W33" i="1"/>
  <c r="V33" i="1"/>
  <c r="R33" i="1"/>
  <c r="H33" i="1" s="1"/>
  <c r="Y32" i="1"/>
  <c r="X32" i="1"/>
  <c r="W32" i="1"/>
  <c r="V32" i="1"/>
  <c r="R32" i="1"/>
  <c r="H32" i="1" s="1"/>
  <c r="I32" i="1" s="1"/>
  <c r="K32" i="1" s="1"/>
  <c r="Y31" i="1"/>
  <c r="X31" i="1"/>
  <c r="W31" i="1"/>
  <c r="R31" i="1"/>
  <c r="H31" i="1" s="1"/>
  <c r="H30" i="1"/>
  <c r="Y29" i="1"/>
  <c r="X29" i="1"/>
  <c r="W29" i="1"/>
  <c r="V29" i="1"/>
  <c r="H29" i="1"/>
  <c r="H28" i="1"/>
  <c r="J25" i="1"/>
  <c r="X25" i="1" s="1"/>
  <c r="I25" i="1"/>
  <c r="K25" i="1" s="1"/>
  <c r="H24" i="1"/>
  <c r="Y23" i="1"/>
  <c r="X23" i="1"/>
  <c r="W23" i="1"/>
  <c r="H23" i="1"/>
  <c r="I23" i="1" s="1"/>
  <c r="K23" i="1" s="1"/>
  <c r="V22" i="1"/>
  <c r="U22" i="1"/>
  <c r="H22" i="1"/>
  <c r="J22" i="1" s="1"/>
  <c r="V21" i="1"/>
  <c r="U21" i="1"/>
  <c r="H21" i="1"/>
  <c r="Y20" i="1"/>
  <c r="X20" i="1"/>
  <c r="W20" i="1"/>
  <c r="Y19" i="1"/>
  <c r="X19" i="1"/>
  <c r="W19" i="1"/>
  <c r="V19" i="1"/>
  <c r="U19" i="1"/>
  <c r="R19" i="1"/>
  <c r="H19" i="1" s="1"/>
  <c r="I19" i="1" s="1"/>
  <c r="K19" i="1" s="1"/>
  <c r="Y18" i="1"/>
  <c r="X18" i="1"/>
  <c r="W18" i="1"/>
  <c r="V18" i="1"/>
  <c r="U18" i="1"/>
  <c r="R18" i="1"/>
  <c r="H18" i="1" s="1"/>
  <c r="J18" i="1" s="1"/>
  <c r="Y16" i="1"/>
  <c r="X16" i="1"/>
  <c r="W16" i="1"/>
  <c r="V16" i="1"/>
  <c r="U16" i="1"/>
  <c r="R16" i="1"/>
  <c r="H16" i="1" s="1"/>
  <c r="Y15" i="1"/>
  <c r="X15" i="1"/>
  <c r="W15" i="1"/>
  <c r="V15" i="1"/>
  <c r="U15" i="1"/>
  <c r="R15" i="1"/>
  <c r="H15" i="1" s="1"/>
  <c r="Y14" i="1"/>
  <c r="X14" i="1"/>
  <c r="W14" i="1"/>
  <c r="V14" i="1"/>
  <c r="U14" i="1"/>
  <c r="R14" i="1"/>
  <c r="H14" i="1" s="1"/>
  <c r="J14" i="1" s="1"/>
  <c r="Y13" i="1"/>
  <c r="X13" i="1"/>
  <c r="W13" i="1"/>
  <c r="V13" i="1"/>
  <c r="U13" i="1"/>
  <c r="R13" i="1"/>
  <c r="H13" i="1" s="1"/>
  <c r="I13" i="1" s="1"/>
  <c r="K13" i="1" s="1"/>
  <c r="Y12" i="1"/>
  <c r="X12" i="1"/>
  <c r="W12" i="1"/>
  <c r="V12" i="1"/>
  <c r="U12" i="1"/>
  <c r="R12" i="1"/>
  <c r="H12" i="1" s="1"/>
  <c r="Z150" i="1" l="1"/>
  <c r="I128" i="1"/>
  <c r="H126" i="1"/>
  <c r="H125" i="1" s="1"/>
  <c r="V126" i="1"/>
  <c r="V125" i="1" s="1"/>
  <c r="Z127" i="1"/>
  <c r="H73" i="1"/>
  <c r="X148" i="1"/>
  <c r="H87" i="1"/>
  <c r="H120" i="1"/>
  <c r="Z21" i="1"/>
  <c r="V20" i="1"/>
  <c r="Y123" i="1"/>
  <c r="V17" i="1"/>
  <c r="W17" i="1"/>
  <c r="Z22" i="1"/>
  <c r="J32" i="1"/>
  <c r="L32" i="1" s="1"/>
  <c r="V52" i="1"/>
  <c r="V51" i="1" s="1"/>
  <c r="Z66" i="1"/>
  <c r="Z111" i="1"/>
  <c r="Z81" i="1"/>
  <c r="Z100" i="1"/>
  <c r="I102" i="1"/>
  <c r="X101" i="1"/>
  <c r="Z129" i="1"/>
  <c r="U148" i="1"/>
  <c r="Y148" i="1"/>
  <c r="Z176" i="1"/>
  <c r="Z44" i="1"/>
  <c r="Z47" i="1"/>
  <c r="Z33" i="1"/>
  <c r="X42" i="1"/>
  <c r="Z54" i="1"/>
  <c r="J75" i="1"/>
  <c r="W105" i="1"/>
  <c r="V148" i="1"/>
  <c r="Y165" i="1"/>
  <c r="W165" i="1"/>
  <c r="Z168" i="1"/>
  <c r="Z171" i="1"/>
  <c r="J57" i="1"/>
  <c r="J56" i="1" s="1"/>
  <c r="K143" i="1"/>
  <c r="I49" i="1"/>
  <c r="K49" i="1" s="1"/>
  <c r="J49" i="1"/>
  <c r="U165" i="1"/>
  <c r="Z166" i="1"/>
  <c r="Z178" i="1"/>
  <c r="H45" i="1"/>
  <c r="Z65" i="1"/>
  <c r="Z71" i="1"/>
  <c r="Z80" i="1"/>
  <c r="Z89" i="1"/>
  <c r="J102" i="1"/>
  <c r="U105" i="1"/>
  <c r="Z106" i="1"/>
  <c r="V110" i="1"/>
  <c r="Z110" i="1" s="1"/>
  <c r="J112" i="1"/>
  <c r="V112" i="1" s="1"/>
  <c r="Z128" i="1"/>
  <c r="U134" i="1"/>
  <c r="Z135" i="1"/>
  <c r="Z136" i="1"/>
  <c r="X138" i="1"/>
  <c r="Z149" i="1"/>
  <c r="Z173" i="1"/>
  <c r="Z175" i="1"/>
  <c r="U59" i="1"/>
  <c r="V122" i="1"/>
  <c r="Z124" i="1"/>
  <c r="U160" i="1"/>
  <c r="Z40" i="1"/>
  <c r="Z12" i="1"/>
  <c r="U17" i="1"/>
  <c r="Z18" i="1"/>
  <c r="Y17" i="1"/>
  <c r="Z32" i="1"/>
  <c r="V37" i="1"/>
  <c r="Z41" i="1"/>
  <c r="U42" i="1"/>
  <c r="Z43" i="1"/>
  <c r="Y42" i="1"/>
  <c r="Z46" i="1"/>
  <c r="Z48" i="1"/>
  <c r="Z49" i="1"/>
  <c r="Z53" i="1"/>
  <c r="Z55" i="1"/>
  <c r="H59" i="1"/>
  <c r="U70" i="1"/>
  <c r="Z82" i="1"/>
  <c r="U132" i="1"/>
  <c r="Z132" i="1" s="1"/>
  <c r="Z133" i="1"/>
  <c r="I151" i="1"/>
  <c r="K151" i="1" s="1"/>
  <c r="M151" i="1" s="1"/>
  <c r="N151" i="1" s="1"/>
  <c r="W154" i="1"/>
  <c r="Z156" i="1"/>
  <c r="Z167" i="1"/>
  <c r="Z169" i="1"/>
  <c r="Z172" i="1"/>
  <c r="I176" i="1"/>
  <c r="K176" i="1" s="1"/>
  <c r="L176" i="1" s="1"/>
  <c r="Z177" i="1"/>
  <c r="Z19" i="1"/>
  <c r="Z13" i="1"/>
  <c r="Z15" i="1"/>
  <c r="J13" i="1"/>
  <c r="M13" i="1" s="1"/>
  <c r="N13" i="1" s="1"/>
  <c r="Z14" i="1"/>
  <c r="Z16" i="1"/>
  <c r="U63" i="1"/>
  <c r="Z64" i="1"/>
  <c r="Y63" i="1"/>
  <c r="U77" i="1"/>
  <c r="Z77" i="1" s="1"/>
  <c r="Z78" i="1"/>
  <c r="Z107" i="1"/>
  <c r="J113" i="1"/>
  <c r="L113" i="1" s="1"/>
  <c r="U139" i="1"/>
  <c r="Z139" i="1" s="1"/>
  <c r="Z140" i="1"/>
  <c r="Z143" i="1"/>
  <c r="U153" i="1"/>
  <c r="Z174" i="1"/>
  <c r="Z31" i="1"/>
  <c r="V151" i="1"/>
  <c r="X151" i="1"/>
  <c r="K75" i="1"/>
  <c r="V123" i="1"/>
  <c r="U11" i="1"/>
  <c r="Y11" i="1"/>
  <c r="I14" i="1"/>
  <c r="K14" i="1" s="1"/>
  <c r="M14" i="1" s="1"/>
  <c r="N14" i="1" s="1"/>
  <c r="X17" i="1"/>
  <c r="H63" i="1"/>
  <c r="H62" i="1" s="1"/>
  <c r="H61" i="1" s="1"/>
  <c r="B8" i="2" s="1"/>
  <c r="X123" i="1"/>
  <c r="H134" i="1"/>
  <c r="J143" i="1"/>
  <c r="J155" i="1"/>
  <c r="M155" i="1" s="1"/>
  <c r="N155" i="1" s="1"/>
  <c r="U170" i="1"/>
  <c r="U52" i="1"/>
  <c r="Y52" i="1"/>
  <c r="Y51" i="1" s="1"/>
  <c r="V165" i="1"/>
  <c r="H11" i="1"/>
  <c r="J19" i="1"/>
  <c r="M19" i="1" s="1"/>
  <c r="N19" i="1" s="1"/>
  <c r="X63" i="1"/>
  <c r="W79" i="1"/>
  <c r="W76" i="1" s="1"/>
  <c r="X105" i="1"/>
  <c r="X104" i="1" s="1"/>
  <c r="H154" i="1"/>
  <c r="H153" i="1" s="1"/>
  <c r="H152" i="1" s="1"/>
  <c r="B16" i="2" s="1"/>
  <c r="H161" i="1"/>
  <c r="H160" i="1" s="1"/>
  <c r="J72" i="1"/>
  <c r="U72" i="1" s="1"/>
  <c r="U79" i="1"/>
  <c r="Y79" i="1"/>
  <c r="Y76" i="1" s="1"/>
  <c r="W138" i="1"/>
  <c r="J23" i="1"/>
  <c r="L23" i="1" s="1"/>
  <c r="W63" i="1"/>
  <c r="W62" i="1" s="1"/>
  <c r="W61" i="1" s="1"/>
  <c r="I67" i="1"/>
  <c r="K67" i="1" s="1"/>
  <c r="L67" i="1" s="1"/>
  <c r="X79" i="1"/>
  <c r="X76" i="1" s="1"/>
  <c r="W180" i="1"/>
  <c r="H56" i="1"/>
  <c r="I58" i="1"/>
  <c r="K58" i="1" s="1"/>
  <c r="M58" i="1" s="1"/>
  <c r="N58" i="1" s="1"/>
  <c r="J60" i="1"/>
  <c r="M60" i="1" s="1"/>
  <c r="N60" i="1" s="1"/>
  <c r="J44" i="1"/>
  <c r="I44" i="1"/>
  <c r="K44" i="1" s="1"/>
  <c r="J28" i="1"/>
  <c r="I28" i="1"/>
  <c r="K28" i="1" s="1"/>
  <c r="J30" i="1"/>
  <c r="U30" i="1" s="1"/>
  <c r="Z30" i="1" s="1"/>
  <c r="I30" i="1"/>
  <c r="K30" i="1" s="1"/>
  <c r="W123" i="1"/>
  <c r="W122" i="1"/>
  <c r="I137" i="1"/>
  <c r="K137" i="1" s="1"/>
  <c r="J137" i="1"/>
  <c r="X137" i="1" s="1"/>
  <c r="X130" i="1" s="1"/>
  <c r="J149" i="1"/>
  <c r="I149" i="1"/>
  <c r="H148" i="1"/>
  <c r="H147" i="1" s="1"/>
  <c r="H146" i="1" s="1"/>
  <c r="B15" i="2" s="1"/>
  <c r="I55" i="1"/>
  <c r="K55" i="1" s="1"/>
  <c r="J55" i="1"/>
  <c r="I59" i="1"/>
  <c r="I127" i="1"/>
  <c r="K127" i="1" s="1"/>
  <c r="J127" i="1"/>
  <c r="V134" i="1"/>
  <c r="V11" i="1"/>
  <c r="J29" i="1"/>
  <c r="U29" i="1" s="1"/>
  <c r="Z29" i="1" s="1"/>
  <c r="I29" i="1"/>
  <c r="K29" i="1" s="1"/>
  <c r="K57" i="1"/>
  <c r="J80" i="1"/>
  <c r="I80" i="1"/>
  <c r="K80" i="1" s="1"/>
  <c r="I129" i="1"/>
  <c r="J129" i="1"/>
  <c r="U20" i="1"/>
  <c r="J24" i="1"/>
  <c r="V24" i="1" s="1"/>
  <c r="I24" i="1"/>
  <c r="K24" i="1" s="1"/>
  <c r="W45" i="1"/>
  <c r="V45" i="1"/>
  <c r="V58" i="1"/>
  <c r="W58" i="1"/>
  <c r="H70" i="1"/>
  <c r="H69" i="1" s="1"/>
  <c r="J71" i="1"/>
  <c r="J70" i="1" s="1"/>
  <c r="I71" i="1"/>
  <c r="I70" i="1" s="1"/>
  <c r="J74" i="1"/>
  <c r="I74" i="1"/>
  <c r="I73" i="1" s="1"/>
  <c r="J92" i="1"/>
  <c r="W92" i="1" s="1"/>
  <c r="W91" i="1" s="1"/>
  <c r="I92" i="1"/>
  <c r="K92" i="1" s="1"/>
  <c r="K91" i="1" s="1"/>
  <c r="J135" i="1"/>
  <c r="I135" i="1"/>
  <c r="K135" i="1" s="1"/>
  <c r="K134" i="1" s="1"/>
  <c r="J177" i="1"/>
  <c r="I177" i="1"/>
  <c r="K177" i="1" s="1"/>
  <c r="M180" i="1"/>
  <c r="N180" i="1" s="1"/>
  <c r="L180" i="1"/>
  <c r="H181" i="1"/>
  <c r="B21" i="2" s="1"/>
  <c r="J183" i="1"/>
  <c r="W183" i="1" s="1"/>
  <c r="I183" i="1"/>
  <c r="K183" i="1" s="1"/>
  <c r="Y162" i="1"/>
  <c r="Y161" i="1" s="1"/>
  <c r="Y160" i="1" s="1"/>
  <c r="Y159" i="1" s="1"/>
  <c r="Y27" i="1"/>
  <c r="W42" i="1"/>
  <c r="U45" i="1"/>
  <c r="Y45" i="1"/>
  <c r="Y67" i="1"/>
  <c r="I121" i="1"/>
  <c r="I162" i="1"/>
  <c r="H165" i="1"/>
  <c r="J167" i="1"/>
  <c r="L167" i="1" s="1"/>
  <c r="J168" i="1"/>
  <c r="M168" i="1" s="1"/>
  <c r="N168" i="1" s="1"/>
  <c r="J169" i="1"/>
  <c r="M169" i="1" s="1"/>
  <c r="N169" i="1" s="1"/>
  <c r="Y170" i="1"/>
  <c r="V63" i="1"/>
  <c r="W11" i="1"/>
  <c r="X27" i="1"/>
  <c r="W37" i="1"/>
  <c r="X45" i="1"/>
  <c r="X52" i="1"/>
  <c r="X51" i="1" s="1"/>
  <c r="W52" i="1"/>
  <c r="W51" i="1" s="1"/>
  <c r="W98" i="1"/>
  <c r="I107" i="1"/>
  <c r="K107" i="1" s="1"/>
  <c r="Y105" i="1"/>
  <c r="Y104" i="1" s="1"/>
  <c r="J118" i="1"/>
  <c r="L118" i="1" s="1"/>
  <c r="J150" i="1"/>
  <c r="L150" i="1" s="1"/>
  <c r="M158" i="1"/>
  <c r="N158" i="1" s="1"/>
  <c r="J166" i="1"/>
  <c r="X165" i="1"/>
  <c r="X170" i="1"/>
  <c r="J179" i="1"/>
  <c r="L179" i="1" s="1"/>
  <c r="V180" i="1"/>
  <c r="Y37" i="1"/>
  <c r="Y98" i="1"/>
  <c r="W27" i="1"/>
  <c r="X37" i="1"/>
  <c r="J15" i="1"/>
  <c r="I15" i="1"/>
  <c r="K15" i="1" s="1"/>
  <c r="I21" i="1"/>
  <c r="J21" i="1"/>
  <c r="I36" i="1"/>
  <c r="K36" i="1" s="1"/>
  <c r="J36" i="1"/>
  <c r="I39" i="1"/>
  <c r="K39" i="1" s="1"/>
  <c r="J39" i="1"/>
  <c r="I43" i="1"/>
  <c r="H42" i="1"/>
  <c r="J47" i="1"/>
  <c r="I47" i="1"/>
  <c r="K47" i="1" s="1"/>
  <c r="J77" i="1"/>
  <c r="J82" i="1"/>
  <c r="I82" i="1"/>
  <c r="K82" i="1" s="1"/>
  <c r="J94" i="1"/>
  <c r="H93" i="1"/>
  <c r="I94" i="1"/>
  <c r="J97" i="1"/>
  <c r="H96" i="1"/>
  <c r="I97" i="1"/>
  <c r="J16" i="1"/>
  <c r="I16" i="1"/>
  <c r="K16" i="1" s="1"/>
  <c r="I31" i="1"/>
  <c r="H27" i="1"/>
  <c r="I33" i="1"/>
  <c r="K33" i="1" s="1"/>
  <c r="J33" i="1"/>
  <c r="J35" i="1"/>
  <c r="H34" i="1"/>
  <c r="I35" i="1"/>
  <c r="I53" i="1"/>
  <c r="J53" i="1"/>
  <c r="J86" i="1"/>
  <c r="I86" i="1"/>
  <c r="J12" i="1"/>
  <c r="I12" i="1"/>
  <c r="X11" i="1"/>
  <c r="I18" i="1"/>
  <c r="H17" i="1"/>
  <c r="H20" i="1"/>
  <c r="W25" i="1"/>
  <c r="M25" i="1"/>
  <c r="N25" i="1" s="1"/>
  <c r="Y25" i="1"/>
  <c r="U25" i="1"/>
  <c r="V25" i="1"/>
  <c r="L25" i="1"/>
  <c r="H37" i="1"/>
  <c r="I38" i="1"/>
  <c r="J38" i="1"/>
  <c r="I40" i="1"/>
  <c r="K40" i="1" s="1"/>
  <c r="J40" i="1"/>
  <c r="J43" i="1"/>
  <c r="V42" i="1"/>
  <c r="J48" i="1"/>
  <c r="H52" i="1"/>
  <c r="H51" i="1" s="1"/>
  <c r="J54" i="1"/>
  <c r="I54" i="1"/>
  <c r="K54" i="1" s="1"/>
  <c r="I66" i="1"/>
  <c r="K66" i="1" s="1"/>
  <c r="J66" i="1"/>
  <c r="J31" i="1"/>
  <c r="V27" i="1"/>
  <c r="J41" i="1"/>
  <c r="I41" i="1"/>
  <c r="K41" i="1" s="1"/>
  <c r="I46" i="1"/>
  <c r="J46" i="1"/>
  <c r="J105" i="1"/>
  <c r="I22" i="1"/>
  <c r="K22" i="1" s="1"/>
  <c r="M22" i="1" s="1"/>
  <c r="N22" i="1" s="1"/>
  <c r="U58" i="1"/>
  <c r="Y58" i="1"/>
  <c r="I64" i="1"/>
  <c r="I65" i="1"/>
  <c r="K65" i="1" s="1"/>
  <c r="L65" i="1" s="1"/>
  <c r="V79" i="1"/>
  <c r="V76" i="1" s="1"/>
  <c r="H79" i="1"/>
  <c r="J81" i="1"/>
  <c r="J88" i="1"/>
  <c r="J87" i="1" s="1"/>
  <c r="I88" i="1"/>
  <c r="J90" i="1"/>
  <c r="I90" i="1"/>
  <c r="K90" i="1" s="1"/>
  <c r="J109" i="1"/>
  <c r="I109" i="1"/>
  <c r="W121" i="1"/>
  <c r="W120" i="1" s="1"/>
  <c r="V121" i="1"/>
  <c r="X121" i="1"/>
  <c r="X120" i="1" s="1"/>
  <c r="I124" i="1"/>
  <c r="H123" i="1"/>
  <c r="H122" i="1"/>
  <c r="J124" i="1"/>
  <c r="J133" i="1"/>
  <c r="H132" i="1"/>
  <c r="I133" i="1"/>
  <c r="I140" i="1"/>
  <c r="H139" i="1"/>
  <c r="J140" i="1"/>
  <c r="K182" i="1"/>
  <c r="X58" i="1"/>
  <c r="V67" i="1"/>
  <c r="U67" i="1"/>
  <c r="I99" i="1"/>
  <c r="K99" i="1" s="1"/>
  <c r="J99" i="1"/>
  <c r="H105" i="1"/>
  <c r="H104" i="1" s="1"/>
  <c r="I106" i="1"/>
  <c r="X67" i="1"/>
  <c r="I78" i="1"/>
  <c r="H77" i="1"/>
  <c r="I100" i="1"/>
  <c r="J100" i="1"/>
  <c r="H98" i="1"/>
  <c r="X98" i="1"/>
  <c r="J116" i="1"/>
  <c r="I116" i="1"/>
  <c r="H115" i="1"/>
  <c r="H114" i="1" s="1"/>
  <c r="Y121" i="1"/>
  <c r="Y120" i="1" s="1"/>
  <c r="I175" i="1"/>
  <c r="K175" i="1" s="1"/>
  <c r="J175" i="1"/>
  <c r="K128" i="1"/>
  <c r="I89" i="1"/>
  <c r="V105" i="1"/>
  <c r="J117" i="1"/>
  <c r="I117" i="1"/>
  <c r="K117" i="1" s="1"/>
  <c r="J128" i="1"/>
  <c r="J131" i="1"/>
  <c r="I142" i="1"/>
  <c r="I141" i="1" s="1"/>
  <c r="H141" i="1"/>
  <c r="J142" i="1"/>
  <c r="J172" i="1"/>
  <c r="I172" i="1"/>
  <c r="K172" i="1" s="1"/>
  <c r="J178" i="1"/>
  <c r="I178" i="1"/>
  <c r="K178" i="1" s="1"/>
  <c r="J111" i="1"/>
  <c r="I111" i="1"/>
  <c r="K131" i="1"/>
  <c r="Y138" i="1"/>
  <c r="I156" i="1"/>
  <c r="J156" i="1"/>
  <c r="J157" i="1"/>
  <c r="I157" i="1"/>
  <c r="K157" i="1" s="1"/>
  <c r="J136" i="1"/>
  <c r="W151" i="1"/>
  <c r="W147" i="1" s="1"/>
  <c r="W146" i="1" s="1"/>
  <c r="Y151" i="1"/>
  <c r="Y147" i="1" s="1"/>
  <c r="Y146" i="1" s="1"/>
  <c r="I165" i="1"/>
  <c r="K166" i="1"/>
  <c r="K165" i="1" s="1"/>
  <c r="W170" i="1"/>
  <c r="J174" i="1"/>
  <c r="I174" i="1"/>
  <c r="K174" i="1" s="1"/>
  <c r="W158" i="1"/>
  <c r="L158" i="1"/>
  <c r="V158" i="1"/>
  <c r="W162" i="1"/>
  <c r="J161" i="1"/>
  <c r="X162" i="1"/>
  <c r="X161" i="1" s="1"/>
  <c r="X160" i="1" s="1"/>
  <c r="X159" i="1" s="1"/>
  <c r="I171" i="1"/>
  <c r="K171" i="1" s="1"/>
  <c r="H170" i="1"/>
  <c r="V170" i="1"/>
  <c r="J171" i="1"/>
  <c r="I173" i="1"/>
  <c r="K173" i="1" s="1"/>
  <c r="X180" i="1"/>
  <c r="U180" i="1"/>
  <c r="J126" i="1" l="1"/>
  <c r="J125" i="1" s="1"/>
  <c r="X147" i="1"/>
  <c r="X146" i="1" s="1"/>
  <c r="I126" i="1"/>
  <c r="I125" i="1" s="1"/>
  <c r="M103" i="1"/>
  <c r="N103" i="1" s="1"/>
  <c r="J101" i="1"/>
  <c r="L112" i="1"/>
  <c r="W112" i="1"/>
  <c r="Z112" i="1" s="1"/>
  <c r="M112" i="1"/>
  <c r="N112" i="1" s="1"/>
  <c r="I87" i="1"/>
  <c r="X95" i="1"/>
  <c r="I69" i="1"/>
  <c r="L49" i="1"/>
  <c r="H85" i="1"/>
  <c r="Z70" i="1"/>
  <c r="U74" i="1"/>
  <c r="U73" i="1" s="1"/>
  <c r="U69" i="1" s="1"/>
  <c r="J73" i="1"/>
  <c r="J69" i="1" s="1"/>
  <c r="M177" i="1"/>
  <c r="N177" i="1" s="1"/>
  <c r="V147" i="1"/>
  <c r="V146" i="1" s="1"/>
  <c r="Z20" i="1"/>
  <c r="V179" i="1"/>
  <c r="V164" i="1" s="1"/>
  <c r="V163" i="1" s="1"/>
  <c r="H159" i="1"/>
  <c r="B18" i="2"/>
  <c r="M32" i="1"/>
  <c r="N32" i="1" s="1"/>
  <c r="Z103" i="1"/>
  <c r="J17" i="1"/>
  <c r="X10" i="1"/>
  <c r="M49" i="1"/>
  <c r="N49" i="1" s="1"/>
  <c r="V23" i="1"/>
  <c r="V10" i="1" s="1"/>
  <c r="W113" i="1"/>
  <c r="M72" i="1"/>
  <c r="N72" i="1" s="1"/>
  <c r="Z148" i="1"/>
  <c r="X60" i="1"/>
  <c r="X59" i="1" s="1"/>
  <c r="Y10" i="1"/>
  <c r="M143" i="1"/>
  <c r="N143" i="1" s="1"/>
  <c r="I134" i="1"/>
  <c r="L13" i="1"/>
  <c r="L80" i="1"/>
  <c r="L30" i="1"/>
  <c r="L143" i="1"/>
  <c r="L151" i="1"/>
  <c r="M150" i="1"/>
  <c r="N150" i="1" s="1"/>
  <c r="H145" i="1"/>
  <c r="X75" i="1"/>
  <c r="L19" i="1"/>
  <c r="L103" i="1"/>
  <c r="I91" i="1"/>
  <c r="L92" i="1"/>
  <c r="L91" i="1" s="1"/>
  <c r="X62" i="1"/>
  <c r="X61" i="1" s="1"/>
  <c r="H130" i="1"/>
  <c r="W75" i="1"/>
  <c r="M55" i="1"/>
  <c r="N55" i="1" s="1"/>
  <c r="J148" i="1"/>
  <c r="J147" i="1" s="1"/>
  <c r="Z123" i="1"/>
  <c r="Z17" i="1"/>
  <c r="V72" i="1"/>
  <c r="Z72" i="1" s="1"/>
  <c r="M176" i="1"/>
  <c r="N176" i="1" s="1"/>
  <c r="L72" i="1"/>
  <c r="M167" i="1"/>
  <c r="N167" i="1" s="1"/>
  <c r="V113" i="1"/>
  <c r="Z102" i="1"/>
  <c r="M67" i="1"/>
  <c r="N67" i="1" s="1"/>
  <c r="V75" i="1"/>
  <c r="Y57" i="1"/>
  <c r="Y56" i="1" s="1"/>
  <c r="L55" i="1"/>
  <c r="M30" i="1"/>
  <c r="N30" i="1" s="1"/>
  <c r="L177" i="1"/>
  <c r="W57" i="1"/>
  <c r="W56" i="1" s="1"/>
  <c r="M57" i="1"/>
  <c r="N57" i="1" s="1"/>
  <c r="J59" i="1"/>
  <c r="M59" i="1" s="1"/>
  <c r="N59" i="1" s="1"/>
  <c r="J141" i="1"/>
  <c r="L75" i="1"/>
  <c r="M113" i="1"/>
  <c r="N113" i="1" s="1"/>
  <c r="K102" i="1"/>
  <c r="I101" i="1"/>
  <c r="U138" i="1"/>
  <c r="W118" i="1"/>
  <c r="Y137" i="1"/>
  <c r="Y130" i="1" s="1"/>
  <c r="Y119" i="1" s="1"/>
  <c r="X57" i="1"/>
  <c r="X56" i="1" s="1"/>
  <c r="M75" i="1"/>
  <c r="Y75" i="1" s="1"/>
  <c r="U57" i="1"/>
  <c r="U56" i="1" s="1"/>
  <c r="Z25" i="1"/>
  <c r="U76" i="1"/>
  <c r="Z76" i="1" s="1"/>
  <c r="L155" i="1"/>
  <c r="V57" i="1"/>
  <c r="M29" i="1"/>
  <c r="N29" i="1" s="1"/>
  <c r="M127" i="1"/>
  <c r="N127" i="1" s="1"/>
  <c r="Z122" i="1"/>
  <c r="H50" i="1"/>
  <c r="B7" i="2" s="1"/>
  <c r="L14" i="1"/>
  <c r="J165" i="1"/>
  <c r="M165" i="1" s="1"/>
  <c r="N165" i="1" s="1"/>
  <c r="Z126" i="1"/>
  <c r="Z125" i="1" s="1"/>
  <c r="Z134" i="1"/>
  <c r="Z105" i="1"/>
  <c r="Z165" i="1"/>
  <c r="Z45" i="1"/>
  <c r="U147" i="1"/>
  <c r="U159" i="1"/>
  <c r="Y183" i="1"/>
  <c r="Z183" i="1" s="1"/>
  <c r="V92" i="1"/>
  <c r="U62" i="1"/>
  <c r="Z67" i="1"/>
  <c r="V155" i="1"/>
  <c r="Z158" i="1"/>
  <c r="J91" i="1"/>
  <c r="M91" i="1" s="1"/>
  <c r="N91" i="1" s="1"/>
  <c r="L168" i="1"/>
  <c r="Z58" i="1"/>
  <c r="Y62" i="1"/>
  <c r="Y61" i="1" s="1"/>
  <c r="L183" i="1"/>
  <c r="Z79" i="1"/>
  <c r="U51" i="1"/>
  <c r="Z52" i="1"/>
  <c r="Z11" i="1"/>
  <c r="Z63" i="1"/>
  <c r="Z42" i="1"/>
  <c r="V120" i="1"/>
  <c r="Z120" i="1" s="1"/>
  <c r="Z121" i="1"/>
  <c r="W161" i="1"/>
  <c r="Z162" i="1"/>
  <c r="Z180" i="1"/>
  <c r="Z170" i="1"/>
  <c r="Z151" i="1"/>
  <c r="U152" i="1"/>
  <c r="I56" i="1"/>
  <c r="W95" i="1"/>
  <c r="I79" i="1"/>
  <c r="L24" i="1"/>
  <c r="Y95" i="1"/>
  <c r="L166" i="1"/>
  <c r="M135" i="1"/>
  <c r="N135" i="1" s="1"/>
  <c r="W60" i="1"/>
  <c r="W59" i="1" s="1"/>
  <c r="M137" i="1"/>
  <c r="N137" i="1" s="1"/>
  <c r="L28" i="1"/>
  <c r="V62" i="1"/>
  <c r="V61" i="1" s="1"/>
  <c r="M166" i="1"/>
  <c r="N166" i="1" s="1"/>
  <c r="L58" i="1"/>
  <c r="L29" i="1"/>
  <c r="U23" i="1"/>
  <c r="W10" i="1"/>
  <c r="L127" i="1"/>
  <c r="J79" i="1"/>
  <c r="J76" i="1" s="1"/>
  <c r="U28" i="1"/>
  <c r="M23" i="1"/>
  <c r="N23" i="1" s="1"/>
  <c r="M24" i="1"/>
  <c r="N24" i="1" s="1"/>
  <c r="M28" i="1"/>
  <c r="N28" i="1" s="1"/>
  <c r="Y60" i="1"/>
  <c r="Y59" i="1" s="1"/>
  <c r="V60" i="1"/>
  <c r="L60" i="1"/>
  <c r="L59" i="1" s="1"/>
  <c r="V56" i="1"/>
  <c r="W137" i="1"/>
  <c r="W130" i="1" s="1"/>
  <c r="Y179" i="1"/>
  <c r="X179" i="1"/>
  <c r="X164" i="1" s="1"/>
  <c r="X163" i="1" s="1"/>
  <c r="K162" i="1"/>
  <c r="I161" i="1"/>
  <c r="I160" i="1" s="1"/>
  <c r="M183" i="1"/>
  <c r="N183" i="1" s="1"/>
  <c r="M118" i="1"/>
  <c r="N118" i="1" s="1"/>
  <c r="V137" i="1"/>
  <c r="V130" i="1" s="1"/>
  <c r="V118" i="1"/>
  <c r="M92" i="1"/>
  <c r="N92" i="1" s="1"/>
  <c r="H76" i="1"/>
  <c r="H68" i="1" s="1"/>
  <c r="B9" i="2" s="1"/>
  <c r="V74" i="1"/>
  <c r="L57" i="1"/>
  <c r="L137" i="1"/>
  <c r="I181" i="1"/>
  <c r="C21" i="2" s="1"/>
  <c r="L169" i="1"/>
  <c r="K71" i="1"/>
  <c r="U24" i="1"/>
  <c r="Z24" i="1" s="1"/>
  <c r="H10" i="1"/>
  <c r="L22" i="1"/>
  <c r="M107" i="1"/>
  <c r="N107" i="1" s="1"/>
  <c r="L107" i="1"/>
  <c r="K149" i="1"/>
  <c r="L149" i="1" s="1"/>
  <c r="L148" i="1" s="1"/>
  <c r="I148" i="1"/>
  <c r="I147" i="1" s="1"/>
  <c r="I146" i="1" s="1"/>
  <c r="C15" i="2" s="1"/>
  <c r="K129" i="1"/>
  <c r="K126" i="1" s="1"/>
  <c r="K125" i="1" s="1"/>
  <c r="M179" i="1"/>
  <c r="N179" i="1" s="1"/>
  <c r="J181" i="1"/>
  <c r="U179" i="1"/>
  <c r="W179" i="1"/>
  <c r="U137" i="1"/>
  <c r="K56" i="1"/>
  <c r="M56" i="1" s="1"/>
  <c r="N56" i="1" s="1"/>
  <c r="H26" i="1"/>
  <c r="K121" i="1"/>
  <c r="I120" i="1"/>
  <c r="L135" i="1"/>
  <c r="K74" i="1"/>
  <c r="K73" i="1" s="1"/>
  <c r="L44" i="1"/>
  <c r="M44" i="1"/>
  <c r="N44" i="1" s="1"/>
  <c r="J154" i="1"/>
  <c r="L128" i="1"/>
  <c r="M128" i="1"/>
  <c r="N128" i="1" s="1"/>
  <c r="J132" i="1"/>
  <c r="J123" i="1"/>
  <c r="J122" i="1"/>
  <c r="K46" i="1"/>
  <c r="K45" i="1" s="1"/>
  <c r="I45" i="1"/>
  <c r="U38" i="1"/>
  <c r="Z38" i="1" s="1"/>
  <c r="J37" i="1"/>
  <c r="K86" i="1"/>
  <c r="J52" i="1"/>
  <c r="M16" i="1"/>
  <c r="N16" i="1" s="1"/>
  <c r="L16" i="1"/>
  <c r="J96" i="1"/>
  <c r="U97" i="1"/>
  <c r="U36" i="1"/>
  <c r="M36" i="1"/>
  <c r="N36" i="1" s="1"/>
  <c r="V36" i="1"/>
  <c r="V34" i="1" s="1"/>
  <c r="V26" i="1" s="1"/>
  <c r="L36" i="1"/>
  <c r="K89" i="1"/>
  <c r="I77" i="1"/>
  <c r="K78" i="1"/>
  <c r="J139" i="1"/>
  <c r="X119" i="1"/>
  <c r="I108" i="1"/>
  <c r="K109" i="1"/>
  <c r="K108" i="1" s="1"/>
  <c r="U88" i="1"/>
  <c r="U87" i="1" s="1"/>
  <c r="V88" i="1"/>
  <c r="V87" i="1" s="1"/>
  <c r="K79" i="1"/>
  <c r="M66" i="1"/>
  <c r="N66" i="1" s="1"/>
  <c r="L66" i="1"/>
  <c r="J63" i="1"/>
  <c r="L54" i="1"/>
  <c r="M54" i="1"/>
  <c r="N54" i="1" s="1"/>
  <c r="J42" i="1"/>
  <c r="K38" i="1"/>
  <c r="K37" i="1" s="1"/>
  <c r="I37" i="1"/>
  <c r="U86" i="1"/>
  <c r="K53" i="1"/>
  <c r="K52" i="1" s="1"/>
  <c r="K51" i="1" s="1"/>
  <c r="I52" i="1"/>
  <c r="I51" i="1" s="1"/>
  <c r="M33" i="1"/>
  <c r="N33" i="1" s="1"/>
  <c r="L33" i="1"/>
  <c r="I27" i="1"/>
  <c r="K31" i="1"/>
  <c r="K27" i="1" s="1"/>
  <c r="I93" i="1"/>
  <c r="K94" i="1"/>
  <c r="K93" i="1" s="1"/>
  <c r="L82" i="1"/>
  <c r="M82" i="1"/>
  <c r="N82" i="1" s="1"/>
  <c r="I42" i="1"/>
  <c r="K43" i="1"/>
  <c r="K42" i="1" s="1"/>
  <c r="J20" i="1"/>
  <c r="L173" i="1"/>
  <c r="M173" i="1"/>
  <c r="N173" i="1" s="1"/>
  <c r="J160" i="1"/>
  <c r="D18" i="2" s="1"/>
  <c r="M136" i="1"/>
  <c r="N136" i="1" s="1"/>
  <c r="J134" i="1"/>
  <c r="M134" i="1" s="1"/>
  <c r="N134" i="1" s="1"/>
  <c r="L136" i="1"/>
  <c r="I110" i="1"/>
  <c r="K111" i="1"/>
  <c r="K110" i="1" s="1"/>
  <c r="M178" i="1"/>
  <c r="N178" i="1" s="1"/>
  <c r="L178" i="1"/>
  <c r="V142" i="1"/>
  <c r="M117" i="1"/>
  <c r="N117" i="1" s="1"/>
  <c r="W117" i="1"/>
  <c r="V117" i="1"/>
  <c r="L117" i="1"/>
  <c r="M175" i="1"/>
  <c r="N175" i="1" s="1"/>
  <c r="L175" i="1"/>
  <c r="J98" i="1"/>
  <c r="H138" i="1"/>
  <c r="I132" i="1"/>
  <c r="K133" i="1"/>
  <c r="K132" i="1" s="1"/>
  <c r="K130" i="1" s="1"/>
  <c r="J108" i="1"/>
  <c r="U109" i="1"/>
  <c r="V109" i="1"/>
  <c r="V108" i="1" s="1"/>
  <c r="Y90" i="1"/>
  <c r="Y85" i="1" s="1"/>
  <c r="U90" i="1"/>
  <c r="W90" i="1"/>
  <c r="W85" i="1" s="1"/>
  <c r="L90" i="1"/>
  <c r="V90" i="1"/>
  <c r="M90" i="1"/>
  <c r="N90" i="1" s="1"/>
  <c r="X90" i="1"/>
  <c r="M81" i="1"/>
  <c r="N81" i="1" s="1"/>
  <c r="L81" i="1"/>
  <c r="K64" i="1"/>
  <c r="I63" i="1"/>
  <c r="I62" i="1" s="1"/>
  <c r="I61" i="1" s="1"/>
  <c r="C8" i="2" s="1"/>
  <c r="L41" i="1"/>
  <c r="M41" i="1"/>
  <c r="N41" i="1" s="1"/>
  <c r="M40" i="1"/>
  <c r="N40" i="1" s="1"/>
  <c r="L40" i="1"/>
  <c r="I11" i="1"/>
  <c r="K12" i="1"/>
  <c r="K11" i="1" s="1"/>
  <c r="I34" i="1"/>
  <c r="K35" i="1"/>
  <c r="K34" i="1" s="1"/>
  <c r="J27" i="1"/>
  <c r="K97" i="1"/>
  <c r="K96" i="1" s="1"/>
  <c r="I96" i="1"/>
  <c r="M80" i="1"/>
  <c r="N80" i="1" s="1"/>
  <c r="U39" i="1"/>
  <c r="Z39" i="1" s="1"/>
  <c r="M39" i="1"/>
  <c r="N39" i="1" s="1"/>
  <c r="L39" i="1"/>
  <c r="K21" i="1"/>
  <c r="K20" i="1" s="1"/>
  <c r="I20" i="1"/>
  <c r="M15" i="1"/>
  <c r="N15" i="1" s="1"/>
  <c r="L15" i="1"/>
  <c r="M174" i="1"/>
  <c r="N174" i="1" s="1"/>
  <c r="L174" i="1"/>
  <c r="L172" i="1"/>
  <c r="M172" i="1"/>
  <c r="N172" i="1" s="1"/>
  <c r="K142" i="1"/>
  <c r="K141" i="1" s="1"/>
  <c r="J115" i="1"/>
  <c r="V116" i="1"/>
  <c r="V115" i="1" s="1"/>
  <c r="U116" i="1"/>
  <c r="I105" i="1"/>
  <c r="K106" i="1"/>
  <c r="K181" i="1"/>
  <c r="E21" i="2" s="1"/>
  <c r="L182" i="1"/>
  <c r="M182" i="1"/>
  <c r="N182" i="1" s="1"/>
  <c r="W34" i="1"/>
  <c r="W26" i="1" s="1"/>
  <c r="J34" i="1"/>
  <c r="Y34" i="1"/>
  <c r="Y26" i="1" s="1"/>
  <c r="L35" i="1"/>
  <c r="X34" i="1"/>
  <c r="X26" i="1" s="1"/>
  <c r="I170" i="1"/>
  <c r="K170" i="1" s="1"/>
  <c r="H164" i="1"/>
  <c r="J170" i="1"/>
  <c r="I154" i="1"/>
  <c r="I153" i="1" s="1"/>
  <c r="I152" i="1" s="1"/>
  <c r="C16" i="2" s="1"/>
  <c r="K156" i="1"/>
  <c r="K154" i="1" s="1"/>
  <c r="K153" i="1" s="1"/>
  <c r="K152" i="1" s="1"/>
  <c r="E16" i="2" s="1"/>
  <c r="M99" i="1"/>
  <c r="N99" i="1" s="1"/>
  <c r="L99" i="1"/>
  <c r="V99" i="1"/>
  <c r="V98" i="1" s="1"/>
  <c r="U99" i="1"/>
  <c r="M171" i="1"/>
  <c r="N171" i="1" s="1"/>
  <c r="L171" i="1"/>
  <c r="Y157" i="1"/>
  <c r="Y153" i="1" s="1"/>
  <c r="Y152" i="1" s="1"/>
  <c r="Y145" i="1" s="1"/>
  <c r="Y144" i="1" s="1"/>
  <c r="W157" i="1"/>
  <c r="W153" i="1" s="1"/>
  <c r="W152" i="1" s="1"/>
  <c r="W145" i="1" s="1"/>
  <c r="V157" i="1"/>
  <c r="M157" i="1"/>
  <c r="N157" i="1" s="1"/>
  <c r="L157" i="1"/>
  <c r="X157" i="1"/>
  <c r="X153" i="1" s="1"/>
  <c r="X152" i="1" s="1"/>
  <c r="J110" i="1"/>
  <c r="L131" i="1"/>
  <c r="U131" i="1"/>
  <c r="Z131" i="1" s="1"/>
  <c r="M131" i="1"/>
  <c r="N131" i="1" s="1"/>
  <c r="K116" i="1"/>
  <c r="K115" i="1" s="1"/>
  <c r="K114" i="1" s="1"/>
  <c r="I115" i="1"/>
  <c r="I114" i="1" s="1"/>
  <c r="I98" i="1"/>
  <c r="K100" i="1"/>
  <c r="K98" i="1" s="1"/>
  <c r="I139" i="1"/>
  <c r="I138" i="1" s="1"/>
  <c r="K140" i="1"/>
  <c r="K139" i="1" s="1"/>
  <c r="I123" i="1"/>
  <c r="I122" i="1"/>
  <c r="K124" i="1"/>
  <c r="L124" i="1" s="1"/>
  <c r="K88" i="1"/>
  <c r="J45" i="1"/>
  <c r="M65" i="1"/>
  <c r="N65" i="1" s="1"/>
  <c r="M48" i="1"/>
  <c r="N48" i="1" s="1"/>
  <c r="L48" i="1"/>
  <c r="I17" i="1"/>
  <c r="K18" i="1"/>
  <c r="J11" i="1"/>
  <c r="H95" i="1"/>
  <c r="J93" i="1"/>
  <c r="V94" i="1"/>
  <c r="V93" i="1" s="1"/>
  <c r="U94" i="1"/>
  <c r="L47" i="1"/>
  <c r="M47" i="1"/>
  <c r="N47" i="1" s="1"/>
  <c r="Z51" i="1" l="1"/>
  <c r="X145" i="1"/>
  <c r="X144" i="1" s="1"/>
  <c r="N75" i="1"/>
  <c r="Y9" i="1"/>
  <c r="Z113" i="1"/>
  <c r="K87" i="1"/>
  <c r="M87" i="1" s="1"/>
  <c r="N87" i="1" s="1"/>
  <c r="W104" i="1"/>
  <c r="V73" i="1"/>
  <c r="J85" i="1"/>
  <c r="I85" i="1"/>
  <c r="X85" i="1"/>
  <c r="X84" i="1" s="1"/>
  <c r="X83" i="1" s="1"/>
  <c r="Z86" i="1"/>
  <c r="M86" i="1"/>
  <c r="N86" i="1" s="1"/>
  <c r="K85" i="1"/>
  <c r="W73" i="1"/>
  <c r="W69" i="1" s="1"/>
  <c r="W68" i="1" s="1"/>
  <c r="V69" i="1"/>
  <c r="Y73" i="1"/>
  <c r="Y69" i="1" s="1"/>
  <c r="Y68" i="1" s="1"/>
  <c r="X73" i="1"/>
  <c r="X69" i="1" s="1"/>
  <c r="X68" i="1" s="1"/>
  <c r="Z23" i="1"/>
  <c r="W181" i="1"/>
  <c r="Y181" i="1" s="1"/>
  <c r="Y164" i="1" s="1"/>
  <c r="Y163" i="1" s="1"/>
  <c r="D21" i="2"/>
  <c r="V101" i="1"/>
  <c r="V95" i="1" s="1"/>
  <c r="I159" i="1"/>
  <c r="C18" i="2"/>
  <c r="Z101" i="1"/>
  <c r="H144" i="1"/>
  <c r="B14" i="2"/>
  <c r="C9" i="3"/>
  <c r="B17" i="2"/>
  <c r="H163" i="1"/>
  <c r="C10" i="3" s="1"/>
  <c r="B20" i="2"/>
  <c r="X9" i="1"/>
  <c r="M79" i="1"/>
  <c r="N79" i="1" s="1"/>
  <c r="L147" i="1"/>
  <c r="L146" i="1" s="1"/>
  <c r="F15" i="2" s="1"/>
  <c r="X50" i="1"/>
  <c r="W50" i="1"/>
  <c r="W114" i="1"/>
  <c r="L94" i="1"/>
  <c r="L93" i="1" s="1"/>
  <c r="I130" i="1"/>
  <c r="L134" i="1"/>
  <c r="M94" i="1"/>
  <c r="N94" i="1" s="1"/>
  <c r="M93" i="1"/>
  <c r="N93" i="1" s="1"/>
  <c r="M181" i="1"/>
  <c r="I76" i="1"/>
  <c r="I68" i="1" s="1"/>
  <c r="C9" i="2" s="1"/>
  <c r="C8" i="3"/>
  <c r="W9" i="1"/>
  <c r="I145" i="1"/>
  <c r="Z118" i="1"/>
  <c r="V9" i="1"/>
  <c r="V68" i="1"/>
  <c r="V104" i="1"/>
  <c r="Z57" i="1"/>
  <c r="K101" i="1"/>
  <c r="M101" i="1" s="1"/>
  <c r="N101" i="1" s="1"/>
  <c r="L102" i="1"/>
  <c r="L101" i="1" s="1"/>
  <c r="M102" i="1"/>
  <c r="N102" i="1" s="1"/>
  <c r="L56" i="1"/>
  <c r="Z36" i="1"/>
  <c r="L165" i="1"/>
  <c r="W119" i="1"/>
  <c r="M12" i="1"/>
  <c r="N12" i="1" s="1"/>
  <c r="M46" i="1"/>
  <c r="N46" i="1" s="1"/>
  <c r="L181" i="1"/>
  <c r="F21" i="2" s="1"/>
  <c r="L86" i="1"/>
  <c r="Z74" i="1"/>
  <c r="U93" i="1"/>
  <c r="Z93" i="1" s="1"/>
  <c r="Z94" i="1"/>
  <c r="U68" i="1"/>
  <c r="U61" i="1"/>
  <c r="Z62" i="1"/>
  <c r="U146" i="1"/>
  <c r="Z147" i="1"/>
  <c r="Z157" i="1"/>
  <c r="Z117" i="1"/>
  <c r="V141" i="1"/>
  <c r="Z142" i="1"/>
  <c r="Z141" i="1" s="1"/>
  <c r="U164" i="1"/>
  <c r="Z179" i="1"/>
  <c r="Z75" i="1"/>
  <c r="V91" i="1"/>
  <c r="Z91" i="1" s="1"/>
  <c r="Z92" i="1"/>
  <c r="Z35" i="1"/>
  <c r="U108" i="1"/>
  <c r="Z109" i="1"/>
  <c r="Z87" i="1"/>
  <c r="Z88" i="1"/>
  <c r="U96" i="1"/>
  <c r="Z96" i="1" s="1"/>
  <c r="Z97" i="1"/>
  <c r="U27" i="1"/>
  <c r="Z27" i="1" s="1"/>
  <c r="Z28" i="1"/>
  <c r="V154" i="1"/>
  <c r="Z154" i="1" s="1"/>
  <c r="Z155" i="1"/>
  <c r="U98" i="1"/>
  <c r="Z98" i="1" s="1"/>
  <c r="Z99" i="1"/>
  <c r="K164" i="1"/>
  <c r="Z116" i="1"/>
  <c r="U50" i="1"/>
  <c r="Z56" i="1"/>
  <c r="Z90" i="1"/>
  <c r="I50" i="1"/>
  <c r="C7" i="2" s="1"/>
  <c r="Z137" i="1"/>
  <c r="V59" i="1"/>
  <c r="Z59" i="1" s="1"/>
  <c r="Z60" i="1"/>
  <c r="W160" i="1"/>
  <c r="Z161" i="1"/>
  <c r="K50" i="1"/>
  <c r="E7" i="2" s="1"/>
  <c r="Y84" i="1"/>
  <c r="Y83" i="1" s="1"/>
  <c r="H9" i="1"/>
  <c r="B6" i="2" s="1"/>
  <c r="U10" i="1"/>
  <c r="L111" i="1"/>
  <c r="L110" i="1" s="1"/>
  <c r="M111" i="1"/>
  <c r="N111" i="1" s="1"/>
  <c r="M110" i="1"/>
  <c r="N110" i="1" s="1"/>
  <c r="L79" i="1"/>
  <c r="L129" i="1"/>
  <c r="L126" i="1" s="1"/>
  <c r="L125" i="1" s="1"/>
  <c r="Y50" i="1"/>
  <c r="K161" i="1"/>
  <c r="M162" i="1"/>
  <c r="N162" i="1" s="1"/>
  <c r="L162" i="1"/>
  <c r="L161" i="1" s="1"/>
  <c r="L160" i="1" s="1"/>
  <c r="H84" i="1"/>
  <c r="B11" i="2" s="1"/>
  <c r="M20" i="1"/>
  <c r="N20" i="1" s="1"/>
  <c r="K26" i="1"/>
  <c r="U130" i="1"/>
  <c r="I164" i="1"/>
  <c r="M35" i="1"/>
  <c r="N35" i="1" s="1"/>
  <c r="L100" i="1"/>
  <c r="L98" i="1" s="1"/>
  <c r="M21" i="1"/>
  <c r="N21" i="1" s="1"/>
  <c r="I26" i="1"/>
  <c r="M74" i="1"/>
  <c r="N74" i="1" s="1"/>
  <c r="M149" i="1"/>
  <c r="N149" i="1" s="1"/>
  <c r="K148" i="1"/>
  <c r="L116" i="1"/>
  <c r="L115" i="1" s="1"/>
  <c r="L114" i="1" s="1"/>
  <c r="L156" i="1"/>
  <c r="L154" i="1" s="1"/>
  <c r="L153" i="1" s="1"/>
  <c r="L152" i="1" s="1"/>
  <c r="F16" i="2" s="1"/>
  <c r="K120" i="1"/>
  <c r="M120" i="1" s="1"/>
  <c r="N120" i="1" s="1"/>
  <c r="L121" i="1"/>
  <c r="L120" i="1" s="1"/>
  <c r="M121" i="1"/>
  <c r="N121" i="1" s="1"/>
  <c r="M73" i="1"/>
  <c r="N73" i="1" s="1"/>
  <c r="K138" i="1"/>
  <c r="M34" i="1"/>
  <c r="N34" i="1" s="1"/>
  <c r="M108" i="1"/>
  <c r="N108" i="1" s="1"/>
  <c r="H119" i="1"/>
  <c r="B12" i="2" s="1"/>
  <c r="M100" i="1"/>
  <c r="N100" i="1" s="1"/>
  <c r="M132" i="1"/>
  <c r="N132" i="1" s="1"/>
  <c r="M129" i="1"/>
  <c r="N129" i="1" s="1"/>
  <c r="K70" i="1"/>
  <c r="K69" i="1" s="1"/>
  <c r="L71" i="1"/>
  <c r="L70" i="1" s="1"/>
  <c r="M71" i="1"/>
  <c r="N71" i="1" s="1"/>
  <c r="L74" i="1"/>
  <c r="L73" i="1" s="1"/>
  <c r="J10" i="1"/>
  <c r="M11" i="1"/>
  <c r="N11" i="1" s="1"/>
  <c r="M170" i="1"/>
  <c r="N170" i="1" s="1"/>
  <c r="L170" i="1"/>
  <c r="K63" i="1"/>
  <c r="K62" i="1" s="1"/>
  <c r="K61" i="1" s="1"/>
  <c r="E8" i="2" s="1"/>
  <c r="L64" i="1"/>
  <c r="L63" i="1" s="1"/>
  <c r="L62" i="1" s="1"/>
  <c r="L61" i="1" s="1"/>
  <c r="F8" i="2" s="1"/>
  <c r="M64" i="1"/>
  <c r="N64" i="1" s="1"/>
  <c r="M142" i="1"/>
  <c r="N142" i="1" s="1"/>
  <c r="M88" i="1"/>
  <c r="N88" i="1" s="1"/>
  <c r="M139" i="1"/>
  <c r="N139" i="1" s="1"/>
  <c r="J138" i="1"/>
  <c r="J95" i="1"/>
  <c r="M96" i="1"/>
  <c r="N96" i="1" s="1"/>
  <c r="M52" i="1"/>
  <c r="N52" i="1" s="1"/>
  <c r="J51" i="1"/>
  <c r="L38" i="1"/>
  <c r="L37" i="1" s="1"/>
  <c r="L123" i="1"/>
  <c r="L122" i="1"/>
  <c r="K17" i="1"/>
  <c r="M17" i="1" s="1"/>
  <c r="N17" i="1" s="1"/>
  <c r="L18" i="1"/>
  <c r="L17" i="1" s="1"/>
  <c r="M18" i="1"/>
  <c r="N18" i="1" s="1"/>
  <c r="L46" i="1"/>
  <c r="L45" i="1" s="1"/>
  <c r="K123" i="1"/>
  <c r="M123" i="1" s="1"/>
  <c r="N123" i="1" s="1"/>
  <c r="K122" i="1"/>
  <c r="J130" i="1"/>
  <c r="M130" i="1" s="1"/>
  <c r="N130" i="1" s="1"/>
  <c r="K105" i="1"/>
  <c r="L106" i="1"/>
  <c r="L105" i="1" s="1"/>
  <c r="M106" i="1"/>
  <c r="N106" i="1" s="1"/>
  <c r="M27" i="1"/>
  <c r="N27" i="1" s="1"/>
  <c r="J26" i="1"/>
  <c r="I10" i="1"/>
  <c r="J104" i="1"/>
  <c r="L109" i="1"/>
  <c r="L108" i="1" s="1"/>
  <c r="V114" i="1"/>
  <c r="M141" i="1"/>
  <c r="N141" i="1" s="1"/>
  <c r="M42" i="1"/>
  <c r="N42" i="1" s="1"/>
  <c r="L140" i="1"/>
  <c r="L139" i="1" s="1"/>
  <c r="K77" i="1"/>
  <c r="M78" i="1"/>
  <c r="N78" i="1" s="1"/>
  <c r="L78" i="1"/>
  <c r="L77" i="1" s="1"/>
  <c r="L89" i="1"/>
  <c r="M89" i="1"/>
  <c r="N89" i="1" s="1"/>
  <c r="M97" i="1"/>
  <c r="N97" i="1" s="1"/>
  <c r="M53" i="1"/>
  <c r="N53" i="1" s="1"/>
  <c r="M37" i="1"/>
  <c r="N37" i="1" s="1"/>
  <c r="L31" i="1"/>
  <c r="L27" i="1" s="1"/>
  <c r="M124" i="1"/>
  <c r="N124" i="1" s="1"/>
  <c r="M156" i="1"/>
  <c r="N156" i="1" s="1"/>
  <c r="L12" i="1"/>
  <c r="L11" i="1" s="1"/>
  <c r="M45" i="1"/>
  <c r="N45" i="1" s="1"/>
  <c r="L34" i="1"/>
  <c r="I104" i="1"/>
  <c r="M116" i="1"/>
  <c r="N116" i="1" s="1"/>
  <c r="M98" i="1"/>
  <c r="N98" i="1" s="1"/>
  <c r="L142" i="1"/>
  <c r="L141" i="1" s="1"/>
  <c r="J159" i="1"/>
  <c r="L21" i="1"/>
  <c r="L20" i="1" s="1"/>
  <c r="L43" i="1"/>
  <c r="L42" i="1" s="1"/>
  <c r="J62" i="1"/>
  <c r="L88" i="1"/>
  <c r="M140" i="1"/>
  <c r="N140" i="1" s="1"/>
  <c r="M38" i="1"/>
  <c r="N38" i="1" s="1"/>
  <c r="M31" i="1"/>
  <c r="N31" i="1" s="1"/>
  <c r="M133" i="1"/>
  <c r="N133" i="1" s="1"/>
  <c r="U34" i="1"/>
  <c r="Z34" i="1" s="1"/>
  <c r="U115" i="1"/>
  <c r="Z115" i="1" s="1"/>
  <c r="U114" i="1"/>
  <c r="J114" i="1"/>
  <c r="M114" i="1" s="1"/>
  <c r="N114" i="1" s="1"/>
  <c r="M115" i="1"/>
  <c r="N115" i="1" s="1"/>
  <c r="I95" i="1"/>
  <c r="M109" i="1"/>
  <c r="N109" i="1" s="1"/>
  <c r="M43" i="1"/>
  <c r="N43" i="1" s="1"/>
  <c r="J164" i="1"/>
  <c r="D20" i="2" s="1"/>
  <c r="J146" i="1"/>
  <c r="D15" i="2" s="1"/>
  <c r="L97" i="1"/>
  <c r="L96" i="1" s="1"/>
  <c r="L53" i="1"/>
  <c r="L52" i="1" s="1"/>
  <c r="L51" i="1" s="1"/>
  <c r="U37" i="1"/>
  <c r="Z37" i="1" s="1"/>
  <c r="L133" i="1"/>
  <c r="L132" i="1" s="1"/>
  <c r="M126" i="1"/>
  <c r="N126" i="1" s="1"/>
  <c r="M125" i="1"/>
  <c r="N125" i="1" s="1"/>
  <c r="M154" i="1"/>
  <c r="N154" i="1" s="1"/>
  <c r="J153" i="1"/>
  <c r="Z10" i="1" l="1"/>
  <c r="Z61" i="1"/>
  <c r="H8" i="1"/>
  <c r="C5" i="3" s="1"/>
  <c r="W84" i="1"/>
  <c r="W83" i="1" s="1"/>
  <c r="W164" i="1"/>
  <c r="W163" i="1" s="1"/>
  <c r="Z73" i="1"/>
  <c r="Z69" i="1" s="1"/>
  <c r="U85" i="1"/>
  <c r="L87" i="1"/>
  <c r="L85" i="1" s="1"/>
  <c r="V85" i="1"/>
  <c r="V84" i="1" s="1"/>
  <c r="Y8" i="1"/>
  <c r="Y7" i="1" s="1"/>
  <c r="Y6" i="1" s="1"/>
  <c r="L69" i="1"/>
  <c r="W8" i="1"/>
  <c r="K95" i="1"/>
  <c r="M95" i="1" s="1"/>
  <c r="N95" i="1" s="1"/>
  <c r="I144" i="1"/>
  <c r="C14" i="2"/>
  <c r="L159" i="1"/>
  <c r="F18" i="2"/>
  <c r="B5" i="2"/>
  <c r="C7" i="3"/>
  <c r="B13" i="2"/>
  <c r="D9" i="3"/>
  <c r="C17" i="2"/>
  <c r="L130" i="1"/>
  <c r="D8" i="3"/>
  <c r="X8" i="1"/>
  <c r="X7" i="1" s="1"/>
  <c r="X184" i="1" s="1"/>
  <c r="B19" i="2"/>
  <c r="E9" i="3"/>
  <c r="D17" i="2"/>
  <c r="I163" i="1"/>
  <c r="D10" i="3" s="1"/>
  <c r="C20" i="2"/>
  <c r="K163" i="1"/>
  <c r="E19" i="2" s="1"/>
  <c r="E20" i="2"/>
  <c r="N181" i="1"/>
  <c r="H21" i="2" s="1"/>
  <c r="G21" i="2"/>
  <c r="I119" i="1"/>
  <c r="C12" i="2" s="1"/>
  <c r="Z68" i="1"/>
  <c r="Z114" i="1"/>
  <c r="L50" i="1"/>
  <c r="F7" i="2" s="1"/>
  <c r="L76" i="1"/>
  <c r="L145" i="1"/>
  <c r="L164" i="1"/>
  <c r="L95" i="1"/>
  <c r="I9" i="1"/>
  <c r="V50" i="1"/>
  <c r="V8" i="1" s="1"/>
  <c r="H83" i="1"/>
  <c r="B10" i="2" s="1"/>
  <c r="V138" i="1"/>
  <c r="U163" i="1"/>
  <c r="Z146" i="1"/>
  <c r="U145" i="1"/>
  <c r="U119" i="1"/>
  <c r="Z130" i="1"/>
  <c r="U104" i="1"/>
  <c r="Z104" i="1" s="1"/>
  <c r="Z108" i="1"/>
  <c r="U95" i="1"/>
  <c r="Z95" i="1" s="1"/>
  <c r="W159" i="1"/>
  <c r="Z160" i="1"/>
  <c r="Z181" i="1"/>
  <c r="V153" i="1"/>
  <c r="K119" i="1"/>
  <c r="E12" i="2" s="1"/>
  <c r="L138" i="1"/>
  <c r="L104" i="1"/>
  <c r="K10" i="1"/>
  <c r="K9" i="1" s="1"/>
  <c r="E6" i="2" s="1"/>
  <c r="M26" i="1"/>
  <c r="N26" i="1" s="1"/>
  <c r="M138" i="1"/>
  <c r="N138" i="1" s="1"/>
  <c r="K160" i="1"/>
  <c r="E18" i="2" s="1"/>
  <c r="M161" i="1"/>
  <c r="N161" i="1" s="1"/>
  <c r="I84" i="1"/>
  <c r="M63" i="1"/>
  <c r="N63" i="1" s="1"/>
  <c r="J68" i="1"/>
  <c r="D9" i="2" s="1"/>
  <c r="K147" i="1"/>
  <c r="M148" i="1"/>
  <c r="N148" i="1" s="1"/>
  <c r="M85" i="1"/>
  <c r="N85" i="1" s="1"/>
  <c r="M69" i="1"/>
  <c r="N69" i="1" s="1"/>
  <c r="M70" i="1"/>
  <c r="N70" i="1" s="1"/>
  <c r="J84" i="1"/>
  <c r="D11" i="2" s="1"/>
  <c r="M62" i="1"/>
  <c r="N62" i="1" s="1"/>
  <c r="J61" i="1"/>
  <c r="K76" i="1"/>
  <c r="M77" i="1"/>
  <c r="N77" i="1" s="1"/>
  <c r="M51" i="1"/>
  <c r="N51" i="1" s="1"/>
  <c r="J50" i="1"/>
  <c r="M153" i="1"/>
  <c r="N153" i="1" s="1"/>
  <c r="J152" i="1"/>
  <c r="M164" i="1"/>
  <c r="J163" i="1"/>
  <c r="J119" i="1"/>
  <c r="D12" i="2" s="1"/>
  <c r="J9" i="1"/>
  <c r="D6" i="2" s="1"/>
  <c r="M122" i="1"/>
  <c r="N122" i="1" s="1"/>
  <c r="U26" i="1"/>
  <c r="L10" i="1"/>
  <c r="L26" i="1"/>
  <c r="K104" i="1"/>
  <c r="M104" i="1" s="1"/>
  <c r="N104" i="1" s="1"/>
  <c r="M105" i="1"/>
  <c r="N105" i="1" s="1"/>
  <c r="Z163" i="1" l="1"/>
  <c r="Z164" i="1"/>
  <c r="F10" i="3"/>
  <c r="W7" i="1"/>
  <c r="Z85" i="1"/>
  <c r="L144" i="1"/>
  <c r="F13" i="2" s="1"/>
  <c r="C19" i="2"/>
  <c r="M152" i="1"/>
  <c r="D16" i="2"/>
  <c r="I83" i="1"/>
  <c r="C10" i="2" s="1"/>
  <c r="C11" i="2"/>
  <c r="G9" i="3"/>
  <c r="F17" i="2"/>
  <c r="I8" i="1"/>
  <c r="C6" i="2"/>
  <c r="M50" i="1"/>
  <c r="D7" i="2"/>
  <c r="M61" i="1"/>
  <c r="D8" i="2"/>
  <c r="L119" i="1"/>
  <c r="F12" i="2" s="1"/>
  <c r="G8" i="3"/>
  <c r="F14" i="2"/>
  <c r="D7" i="3"/>
  <c r="C13" i="2"/>
  <c r="L163" i="1"/>
  <c r="G10" i="3" s="1"/>
  <c r="F20" i="2"/>
  <c r="N164" i="1"/>
  <c r="H20" i="2" s="1"/>
  <c r="G20" i="2"/>
  <c r="E10" i="3"/>
  <c r="D19" i="2"/>
  <c r="L68" i="1"/>
  <c r="F9" i="2" s="1"/>
  <c r="L84" i="1"/>
  <c r="F11" i="2" s="1"/>
  <c r="M119" i="1"/>
  <c r="H7" i="1"/>
  <c r="C6" i="3"/>
  <c r="Z50" i="1"/>
  <c r="X6" i="1"/>
  <c r="M163" i="1"/>
  <c r="G19" i="2" s="1"/>
  <c r="U84" i="1"/>
  <c r="U83" i="1" s="1"/>
  <c r="U144" i="1"/>
  <c r="Z159" i="1"/>
  <c r="W144" i="1"/>
  <c r="V119" i="1"/>
  <c r="V83" i="1" s="1"/>
  <c r="V7" i="1" s="1"/>
  <c r="Z138" i="1"/>
  <c r="U9" i="1"/>
  <c r="Z26" i="1"/>
  <c r="V152" i="1"/>
  <c r="Z153" i="1"/>
  <c r="Y184" i="1"/>
  <c r="J145" i="1"/>
  <c r="L9" i="1"/>
  <c r="M10" i="1"/>
  <c r="N10" i="1" s="1"/>
  <c r="K146" i="1"/>
  <c r="E15" i="2" s="1"/>
  <c r="M147" i="1"/>
  <c r="N147" i="1" s="1"/>
  <c r="K159" i="1"/>
  <c r="E17" i="2" s="1"/>
  <c r="M160" i="1"/>
  <c r="J83" i="1"/>
  <c r="M9" i="1"/>
  <c r="J8" i="1"/>
  <c r="K68" i="1"/>
  <c r="E9" i="2" s="1"/>
  <c r="M76" i="1"/>
  <c r="N76" i="1" s="1"/>
  <c r="K84" i="1"/>
  <c r="G7" i="3" l="1"/>
  <c r="I7" i="1"/>
  <c r="I184" i="1" s="1"/>
  <c r="I186" i="1" s="1"/>
  <c r="L83" i="1"/>
  <c r="G6" i="3" s="1"/>
  <c r="D6" i="3"/>
  <c r="L8" i="1"/>
  <c r="F6" i="2"/>
  <c r="F19" i="2"/>
  <c r="N50" i="1"/>
  <c r="H7" i="2" s="1"/>
  <c r="G7" i="2"/>
  <c r="D5" i="3"/>
  <c r="C5" i="2"/>
  <c r="N9" i="1"/>
  <c r="H6" i="2" s="1"/>
  <c r="G6" i="2"/>
  <c r="N119" i="1"/>
  <c r="H12" i="2" s="1"/>
  <c r="G12" i="2"/>
  <c r="N160" i="1"/>
  <c r="H18" i="2" s="1"/>
  <c r="G18" i="2"/>
  <c r="E5" i="3"/>
  <c r="D5" i="2"/>
  <c r="K83" i="1"/>
  <c r="M83" i="1" s="1"/>
  <c r="G10" i="2" s="1"/>
  <c r="E11" i="2"/>
  <c r="E6" i="3"/>
  <c r="D10" i="2"/>
  <c r="E8" i="3"/>
  <c r="D14" i="2"/>
  <c r="N61" i="1"/>
  <c r="H8" i="2" s="1"/>
  <c r="G8" i="2"/>
  <c r="N152" i="1"/>
  <c r="H16" i="2" s="1"/>
  <c r="G16" i="2"/>
  <c r="I6" i="1"/>
  <c r="D4" i="3"/>
  <c r="D11" i="3" s="1"/>
  <c r="C4" i="3"/>
  <c r="C11" i="3" s="1"/>
  <c r="B4" i="2"/>
  <c r="B22" i="2" s="1"/>
  <c r="H184" i="1"/>
  <c r="H186" i="1" s="1"/>
  <c r="H6" i="1"/>
  <c r="J144" i="1"/>
  <c r="M159" i="1"/>
  <c r="G17" i="2" s="1"/>
  <c r="F9" i="3"/>
  <c r="Z84" i="1"/>
  <c r="N163" i="1"/>
  <c r="H10" i="3"/>
  <c r="Z83" i="1"/>
  <c r="W184" i="1"/>
  <c r="W6" i="1"/>
  <c r="V145" i="1"/>
  <c r="Z152" i="1"/>
  <c r="Z119" i="1"/>
  <c r="U8" i="1"/>
  <c r="Z9" i="1"/>
  <c r="K145" i="1"/>
  <c r="M146" i="1"/>
  <c r="M84" i="1"/>
  <c r="J7" i="1"/>
  <c r="M68" i="1"/>
  <c r="K8" i="1"/>
  <c r="E5" i="2" s="1"/>
  <c r="C4" i="2" l="1"/>
  <c r="C22" i="2" s="1"/>
  <c r="F10" i="2"/>
  <c r="N84" i="1"/>
  <c r="H11" i="2" s="1"/>
  <c r="G11" i="2"/>
  <c r="E7" i="3"/>
  <c r="D13" i="2"/>
  <c r="F6" i="3"/>
  <c r="E10" i="2"/>
  <c r="N68" i="1"/>
  <c r="H9" i="2" s="1"/>
  <c r="G9" i="2"/>
  <c r="N146" i="1"/>
  <c r="H15" i="2" s="1"/>
  <c r="G15" i="2"/>
  <c r="F8" i="3"/>
  <c r="E14" i="2"/>
  <c r="G5" i="3"/>
  <c r="F5" i="2"/>
  <c r="I10" i="3"/>
  <c r="H19" i="2"/>
  <c r="N159" i="1"/>
  <c r="H9" i="3"/>
  <c r="N83" i="1"/>
  <c r="H6" i="3"/>
  <c r="K7" i="1"/>
  <c r="F5" i="3"/>
  <c r="J184" i="1"/>
  <c r="D4" i="2"/>
  <c r="E4" i="3"/>
  <c r="Z8" i="1"/>
  <c r="U7" i="1"/>
  <c r="V144" i="1"/>
  <c r="Z145" i="1"/>
  <c r="K144" i="1"/>
  <c r="M145" i="1"/>
  <c r="G14" i="2" s="1"/>
  <c r="M8" i="1"/>
  <c r="G5" i="2" s="1"/>
  <c r="M7" i="1"/>
  <c r="L7" i="1"/>
  <c r="J6" i="1"/>
  <c r="E11" i="3" l="1"/>
  <c r="K6" i="1"/>
  <c r="M6" i="1" s="1"/>
  <c r="N6" i="1" s="1"/>
  <c r="E13" i="2"/>
  <c r="I6" i="3"/>
  <c r="H10" i="2"/>
  <c r="D22" i="2"/>
  <c r="I9" i="3"/>
  <c r="H17" i="2"/>
  <c r="N7" i="1"/>
  <c r="I4" i="3" s="1"/>
  <c r="H4" i="3"/>
  <c r="N145" i="1"/>
  <c r="H8" i="3"/>
  <c r="M144" i="1"/>
  <c r="G13" i="2" s="1"/>
  <c r="F7" i="3"/>
  <c r="K184" i="1"/>
  <c r="E4" i="2"/>
  <c r="F4" i="3"/>
  <c r="L184" i="1"/>
  <c r="F4" i="2"/>
  <c r="F22" i="2" s="1"/>
  <c r="G4" i="3"/>
  <c r="G11" i="3" s="1"/>
  <c r="H11" i="3" s="1"/>
  <c r="N8" i="1"/>
  <c r="H5" i="3"/>
  <c r="V184" i="1"/>
  <c r="Z144" i="1"/>
  <c r="V6" i="1"/>
  <c r="U184" i="1"/>
  <c r="Z7" i="1"/>
  <c r="U6" i="1"/>
  <c r="G22" i="2" l="1"/>
  <c r="E22" i="2"/>
  <c r="H22" i="2" s="1"/>
  <c r="I8" i="3"/>
  <c r="H14" i="2"/>
  <c r="I5" i="3"/>
  <c r="H5" i="2"/>
  <c r="F11" i="3"/>
  <c r="I11" i="3" s="1"/>
  <c r="N144" i="1"/>
  <c r="H7" i="3"/>
  <c r="Y185" i="1"/>
  <c r="Z184" i="1"/>
  <c r="Z6" i="1"/>
  <c r="I7" i="3" l="1"/>
  <c r="H13" i="2"/>
</calcChain>
</file>

<file path=xl/comments1.xml><?xml version="1.0" encoding="utf-8"?>
<comments xmlns="http://schemas.openxmlformats.org/spreadsheetml/2006/main">
  <authors>
    <author>JCC</author>
    <author>PAT</author>
  </authors>
  <commentList>
    <comment ref="B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Subcomponente</t>
        </r>
      </text>
    </comment>
    <comment ref="C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Línea de acción</t>
        </r>
      </text>
    </comment>
    <comment ref="D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Actividad</t>
        </r>
      </text>
    </comment>
    <comment ref="E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Tarea</t>
        </r>
      </text>
    </comment>
    <comment ref="F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Gasto</t>
        </r>
      </text>
    </comment>
    <comment ref="O5" authorId="0">
      <text>
        <r>
          <rPr>
            <b/>
            <sz val="9"/>
            <color rgb="FF000000"/>
            <rFont val="Arial"/>
            <family val="2"/>
          </rPr>
          <t xml:space="preserve">Patricia:
</t>
        </r>
        <r>
          <rPr>
            <sz val="9"/>
            <color rgb="FF000000"/>
            <rFont val="Arial"/>
            <family val="2"/>
          </rPr>
          <t>Para los consultores se discrimina;
CI-ET  Equipo Técnico permanente
CI-E - Estudio especifico
CI-D Diseño intervenciones
CI-P - Consultoría con productos específicos
T Talleres
ByS Adquisiciones de bienes y servicios distintos de consultoría
Si está pintado de naranja el TdR es Clave</t>
        </r>
      </text>
    </comment>
    <comment ref="H11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$ 49.092.000 (=60*96000+2*60*74000+3*54*68000+7*54*62000)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I2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cero</t>
        </r>
      </text>
    </comment>
    <comment ref="I24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cero</t>
        </r>
      </text>
    </comment>
    <comment ref="H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U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V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W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X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Y37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$ 5.916.000 (=2*58*51000)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H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U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V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W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X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Y4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$41.580.000 (=770000*54)</t>
        </r>
      </text>
    </comment>
    <comment ref="H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U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V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W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X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Y52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$ 11.880.000 (=+(60*96000)+(60*2*51000))</t>
        </r>
      </text>
    </comment>
    <comment ref="H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U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V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W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X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Y63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$ 16.542.000 (=54*43000+ 60*3*79000)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G76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Era 1.1.5.1</t>
        </r>
      </text>
    </comment>
    <comment ref="H79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$ 12.840.000 (=+(60*96000)+(60*2*59000)</t>
        </r>
      </text>
    </comment>
    <comment ref="Y79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$ 12.840.000 (=+(60*96000)+(60*2*59000)</t>
        </r>
      </text>
    </comment>
    <comment ref="I101" authorId="1">
      <text>
        <r>
          <rPr>
            <b/>
            <sz val="9"/>
            <color indexed="81"/>
            <rFont val="Tahoma"/>
            <family val="2"/>
          </rPr>
          <t>PAT:</t>
        </r>
        <r>
          <rPr>
            <sz val="9"/>
            <color indexed="81"/>
            <rFont val="Tahoma"/>
            <family val="2"/>
          </rPr>
          <t xml:space="preserve">
Formula estaba errada y se salteaba una línea</t>
        </r>
      </text>
    </comment>
    <comment ref="H10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$ 12.840.000 (=+(60*96000)+(60*2*59000))</t>
        </r>
      </text>
    </comment>
    <comment ref="H126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$ 6.048.000 (=54*2*56000)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H134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$ 2.912.000 (=52*56000)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H141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El monto anterior era $ 1.512.000 (=27*56000)</t>
        </r>
        <r>
          <rPr>
            <sz val="9"/>
            <color rgb="FF000000"/>
            <rFont val="Arial"/>
            <family val="2"/>
          </rPr>
          <t xml:space="preserve">
</t>
        </r>
      </text>
    </comment>
    <comment ref="H143" authorId="1">
      <text>
        <r>
          <rPr>
            <b/>
            <sz val="9"/>
            <color indexed="81"/>
            <rFont val="Tahoma"/>
            <family val="2"/>
          </rPr>
          <t>PAT:</t>
        </r>
        <r>
          <rPr>
            <sz val="9"/>
            <color indexed="81"/>
            <rFont val="Tahoma"/>
            <family val="2"/>
          </rPr>
          <t xml:space="preserve">
Calculo no era consistente con plan anual. En calculo total decía 36 meses, y en planificación anual quedaban 48 con los últimos dos decrecientes</t>
        </r>
      </text>
    </comment>
  </commentList>
</comments>
</file>

<file path=xl/sharedStrings.xml><?xml version="1.0" encoding="utf-8"?>
<sst xmlns="http://schemas.openxmlformats.org/spreadsheetml/2006/main" count="457" uniqueCount="255">
  <si>
    <t>URUGUAY – Sistema Nacional de Cuidados</t>
  </si>
  <si>
    <t>PLAN DE EJECUCIÓN DEL PROYECTO (PEP) 5 AÑOS</t>
  </si>
  <si>
    <t>C</t>
  </si>
  <si>
    <t>S</t>
  </si>
  <si>
    <t>L</t>
  </si>
  <si>
    <t>A</t>
  </si>
  <si>
    <t>T</t>
  </si>
  <si>
    <t>G</t>
  </si>
  <si>
    <t>Actividades</t>
  </si>
  <si>
    <t>Costo BID en $U</t>
  </si>
  <si>
    <t>Costo Local en $U</t>
  </si>
  <si>
    <t>Costo BID en USD</t>
  </si>
  <si>
    <t>Costo Local en USD</t>
  </si>
  <si>
    <t>Total USD</t>
  </si>
  <si>
    <t>BID (%)</t>
  </si>
  <si>
    <t>Local (%)</t>
  </si>
  <si>
    <t>Inicio</t>
  </si>
  <si>
    <t>Fin</t>
  </si>
  <si>
    <t>Duración meses</t>
  </si>
  <si>
    <t>#</t>
  </si>
  <si>
    <t>Monto mensual</t>
  </si>
  <si>
    <t>Año 1 – Fondos BID</t>
  </si>
  <si>
    <t>Año 2 – Fondos BID</t>
  </si>
  <si>
    <t>Año 3 – Fondos BID</t>
  </si>
  <si>
    <t>Año 4 – Fondos BID</t>
  </si>
  <si>
    <t>Año 5 – Fondos BID</t>
  </si>
  <si>
    <t>2016 - I</t>
  </si>
  <si>
    <t>2016-II</t>
  </si>
  <si>
    <t>2017-I</t>
  </si>
  <si>
    <t>2017-II</t>
  </si>
  <si>
    <t>2018 - I</t>
  </si>
  <si>
    <t>2018 - II</t>
  </si>
  <si>
    <t>2019 - I</t>
  </si>
  <si>
    <t>2019 - II</t>
  </si>
  <si>
    <t>2020 - I</t>
  </si>
  <si>
    <t>2020 - II</t>
  </si>
  <si>
    <t>Componente 1 – Apoyo al SNIC</t>
  </si>
  <si>
    <t>Subcomponente 1.1 – Acciones transversales</t>
  </si>
  <si>
    <r>
      <rPr>
        <b/>
        <i/>
        <sz val="9"/>
        <color rgb="FF000000"/>
        <rFont val="Calibri"/>
        <family val="2"/>
      </rPr>
      <t>Línea de Acción 1.1.1. - Portal de cuidados.</t>
    </r>
  </si>
  <si>
    <r>
      <t xml:space="preserve">Actividad 1.1.1.1 – Instalación y desarrollo del Portal de </t>
    </r>
    <r>
      <rPr>
        <sz val="9"/>
        <color rgb="FF000000"/>
        <rFont val="Calibri"/>
        <family val="2"/>
      </rPr>
      <t>en la SNIC</t>
    </r>
  </si>
  <si>
    <t>Contratación de Equipo Técnico para gestión de servicios asociados al Portal de Cuidados (15 CI)</t>
  </si>
  <si>
    <t>60 meses</t>
  </si>
  <si>
    <t>CI-ET</t>
  </si>
  <si>
    <t>(1) Jefe/a de Área de Servicios de la SNC</t>
  </si>
  <si>
    <t>(1) Asistentente Técnico del Área de Servicios de la SNC</t>
  </si>
  <si>
    <t>Contratación de Equipo Técnico para atención al usuario en Portal de Cuidados (12 CI)</t>
  </si>
  <si>
    <t>54 meses</t>
  </si>
  <si>
    <t>(2) Supervisores Técnicos para el Portal de Cuidados del SNC</t>
  </si>
  <si>
    <t>(10) Operadores Técnicos para el Portal de Cuidados del SNC</t>
  </si>
  <si>
    <t>12 meses</t>
  </si>
  <si>
    <t>CI-D</t>
  </si>
  <si>
    <t>Consultor para la definición del modelo conceptual del Portal</t>
  </si>
  <si>
    <t>Consultor para la definición de la arquitectura tecnológica del Portal</t>
  </si>
  <si>
    <t xml:space="preserve">Equipamiento para la puesta en funcionamiento del Portal </t>
  </si>
  <si>
    <t>ByS</t>
  </si>
  <si>
    <t>Talleres e instancias de formación de técnicos y operadores del Portal</t>
  </si>
  <si>
    <t>18 meses</t>
  </si>
  <si>
    <t>Gastos Operativos para el funcionamiento del Portal</t>
  </si>
  <si>
    <t>Actividad 1.1.1.2 – Registro Nacional de Cuidados.</t>
  </si>
  <si>
    <t>CI</t>
  </si>
  <si>
    <t>Consultor para la definición conceptual y funcional del Registro Nacional de Cuidados</t>
  </si>
  <si>
    <t>Consultor para la definición tecnológica del Registro Nacional de Cuidados</t>
  </si>
  <si>
    <t>CI-P</t>
  </si>
  <si>
    <t>Consultor funcional para la implantación del Registro Nacional de Cuidados</t>
  </si>
  <si>
    <t>Consultor informático para la implantación del Registro Nacional de Cuidados</t>
  </si>
  <si>
    <t>Consultor asistente informático para la implantación del Registro Nacional de Cuidados</t>
  </si>
  <si>
    <t>Consultorías especializadas para integración de nuevos registros al RNC (3 CI)</t>
  </si>
  <si>
    <t>Consultores informáticos para el desarrollo y adecuación de la informatización del Registro específicos a integrar al Registro Nacional de Cuidados</t>
  </si>
  <si>
    <t>Consultores asistentes técnicos para la informatización del Registro específicos a integrar al Registro Nacional de Cuidados</t>
  </si>
  <si>
    <t>58 meses</t>
  </si>
  <si>
    <t>Consultores para el relevamiento de la información sobre proveedores y recursos humanos de cuidados (“oferta de cuidados”).</t>
  </si>
  <si>
    <t>Consultor asistente técnico para el relevamiento de la información sobre proveedores y recursos humanos de cuidados (“oferta de cuidados”).</t>
  </si>
  <si>
    <t>Consultores para la gestión de la información sobre proveedores y recursos humanos de cuidados (“oferta de cuidados”).</t>
  </si>
  <si>
    <t>Consultor asistente técnico para la gestión de la información sobre proveedores y recursos humanos de cuidados (“oferta de cuidados”).</t>
  </si>
  <si>
    <t>Consultor para el relevamiento de información sobre proveedores de formación en cuidados habilitados (“oferta de formación”).</t>
  </si>
  <si>
    <t>Consultor asistente técnico para el relevamiento de información sobre proveedores de formación en cuidados habilitados (“oferta de formación”).</t>
  </si>
  <si>
    <t>(1) Jefe de Campo para el baremado de población dependiente severa</t>
  </si>
  <si>
    <t>(4) Supervisores para el baremado de población dependiente severa</t>
  </si>
  <si>
    <t>(17) Baremadores u operadores de campo para el baremado de población dependiente severa</t>
  </si>
  <si>
    <t>(2) Administrativos para el baremado de población dependiente severa</t>
  </si>
  <si>
    <t>Línea de Acción 1.1.2. -Estrategia de Comunicación del SNIC.</t>
  </si>
  <si>
    <t>Actividad 1.1.2.1 – Acciones de apoyo a implementación de PNC.</t>
  </si>
  <si>
    <t>(1) Jefe de Área de Comunicación de la SNC</t>
  </si>
  <si>
    <t>(1) Ayudante Técnico del Área de Comunicación de la SNC</t>
  </si>
  <si>
    <t>(1) Asistentente Técnico del Área de Comunicación de la SNC</t>
  </si>
  <si>
    <t>Actividad 1.1.2.2 – Campañas en medios</t>
  </si>
  <si>
    <t>Agencia de Comunicación para campañas en medios del SNC</t>
  </si>
  <si>
    <t>Actividad 1.1.2.3 – Acciones de promoción y comunicación territorial</t>
  </si>
  <si>
    <t>Fondos para Proyectos Comunitarios</t>
  </si>
  <si>
    <t>48 meses</t>
  </si>
  <si>
    <t>Línea de Acción 1.1.3. - Generación y gestión de la información y el conocimiento</t>
  </si>
  <si>
    <t>Actividad 1.1.3.1 – Generación y gestión de información</t>
  </si>
  <si>
    <t>Asistente de la SNC para la generación y gestión de la información y conocimiento</t>
  </si>
  <si>
    <t>Responsable de la SNC para la generación y gestión de la información y conocimiento</t>
  </si>
  <si>
    <t>Fondo para la realización de Estudios</t>
  </si>
  <si>
    <t>56 meses</t>
  </si>
  <si>
    <t>Línea de Acción 1.1.4. -Marco Regulatorio del SNIC.</t>
  </si>
  <si>
    <t>Actividad 1.1.4.1 – Marco Regulatorio Común.</t>
  </si>
  <si>
    <t>Consultor abogado para el apoyo jurídico de la SNC</t>
  </si>
  <si>
    <t>Consultor para la revisión y diseño del marco regulatorio específico de los servicios de cuidado para la primera infancia</t>
  </si>
  <si>
    <t>24 meses</t>
  </si>
  <si>
    <t>Consultor técnico de apoyo a la implementación del ajustes al marco regulatorio de primera infancia.</t>
  </si>
  <si>
    <r>
      <t>Actividad 1.1.4.2 –Conceptualización del</t>
    </r>
    <r>
      <rPr>
        <b/>
        <sz val="9"/>
        <color rgb="FFFF0000"/>
        <rFont val="Calibri"/>
        <family val="2"/>
      </rPr>
      <t xml:space="preserve"> </t>
    </r>
    <r>
      <rPr>
        <b/>
        <sz val="9"/>
        <color rgb="FF000000"/>
        <rFont val="Calibri"/>
        <family val="2"/>
      </rPr>
      <t>Modelo de Calidad</t>
    </r>
  </si>
  <si>
    <t xml:space="preserve">(2) Consultores para la conceptualización del Modelos de Calidad </t>
  </si>
  <si>
    <t>(1) Jefe de Área de Dependencia de la SNC</t>
  </si>
  <si>
    <t>(1) Asistente del Área de Dependencia de la SNC</t>
  </si>
  <si>
    <t>Subcomponente 1.2 – Mejora de la calidad de atención en PI.</t>
  </si>
  <si>
    <t>Línea de Acción 1.2.1. - Mejora de la atención en PI</t>
  </si>
  <si>
    <t>Actividad 1.2.1.1 Piloto de instrumentos de medición del desarrollo infantil en centros de cuidado</t>
  </si>
  <si>
    <t>3 meses</t>
  </si>
  <si>
    <t>15 meses</t>
  </si>
  <si>
    <t>(3) Consultores para testeo de instrumentos DIT en Centros de PI</t>
  </si>
  <si>
    <t>44 meses</t>
  </si>
  <si>
    <t>Contratación de horas de mantenimiento evolutivo de Firma Consultora que desarrolló SIPI del INAU</t>
  </si>
  <si>
    <t>Consultor informático para desarrollo de sistemas de carga de información relevada con test de DIT</t>
  </si>
  <si>
    <t>6 meses</t>
  </si>
  <si>
    <t>51 meses</t>
  </si>
  <si>
    <t>Consultor para diseño del Programa de Formación para la primera infancia con base en la currícula diseñada</t>
  </si>
  <si>
    <t>36 meses</t>
  </si>
  <si>
    <t>Consultor para el diseño y especificación del programa de formación y calificación de RR.HH.</t>
  </si>
  <si>
    <t>(2) Asistentes del Área de Primera Infancia de la SNC</t>
  </si>
  <si>
    <t>Firma Consultora especializada para revisión de sistemas de supervisión en PI</t>
  </si>
  <si>
    <t>Consultoría especializada para revisión de sistemas de supervisión actualmente implementados por los distintos organismos y elaboración de propuesta de diseño de nuevo sistema de supervisión de centros de cuidado infantil.</t>
  </si>
  <si>
    <t>FC</t>
  </si>
  <si>
    <t>Talleres de capacitación a supervisores sobre nuevo sistema de supervisión de calidad de Centros (2 talleres regionales semestrales)</t>
  </si>
  <si>
    <t>Talleres de capacitación a técnicos de Centros de Cuidado Infantil sobre nuevo sistema de supervisión</t>
  </si>
  <si>
    <t>Actividad 1.2.1.4 Validación e implementación de instrumentos de medición de calidad de centros de PI</t>
  </si>
  <si>
    <t xml:space="preserve">Consultoría especializada para revisión y posterior validación de instrumentos de medición de calidad de centros de cuidado de primera infancia </t>
  </si>
  <si>
    <t>Talleres de capacitación a técnicos de Centros de Cuidado Infantil sobre nuevo sistema de supervisión de la calidad de los Centros</t>
  </si>
  <si>
    <t>Línea de Acción 1.2.2. - Desarrollo de servicios innovadores de cuidado</t>
  </si>
  <si>
    <t>Actividad 1.2.2.1 Transporte escolar</t>
  </si>
  <si>
    <t>40 meses</t>
  </si>
  <si>
    <t>Actividad 1.2.2.3 CCC</t>
  </si>
  <si>
    <t>(2) técnicos para la captación y selección de cuidadoras para las Casas Comunitarias de Cuidado</t>
  </si>
  <si>
    <t>(3) Técnicos de apoyo a la implantación y supervisión de las Casas Comunitarias de Cuidado</t>
  </si>
  <si>
    <t>Actividad 1.2.2.4 CSE</t>
  </si>
  <si>
    <t>5 meses</t>
  </si>
  <si>
    <t>Consultoría para el diseño de experiencias de Centros de Sindicatos y Empresas para niños y niñas hijos e hijas de trabajadores/as.</t>
  </si>
  <si>
    <t>52 meses</t>
  </si>
  <si>
    <t>Consultor técnico para la captación, selección, habilitación y formación de personal de los Centros de Sindicatos y Empresas</t>
  </si>
  <si>
    <t>Consultor técnico para el apoyo a la implantación y supervisión de los Centros de Sindicatos y Empresas</t>
  </si>
  <si>
    <t>Encuentros y talleres con Sindicatos y Empresas para difundir y promover el servicio</t>
  </si>
  <si>
    <t>Actividad 1.2.2.5 AS</t>
  </si>
  <si>
    <t>Consultor para el diseño del Servicio de Asistente Socioeducativo.</t>
  </si>
  <si>
    <t>Consultor de apoyo para la captación, selección y formación de personal del Servicio de Asistentes Socioeducativos</t>
  </si>
  <si>
    <r>
      <t>Componente 2 – Expansión y mejora de la calidad</t>
    </r>
    <r>
      <rPr>
        <b/>
        <sz val="9"/>
        <color rgb="FF7030A0"/>
        <rFont val="Calibri"/>
        <family val="2"/>
      </rPr>
      <t xml:space="preserve"> </t>
    </r>
    <r>
      <rPr>
        <b/>
        <sz val="9"/>
        <color rgb="FF000000"/>
        <rFont val="Calibri"/>
        <family val="2"/>
      </rPr>
      <t>de Centros CAIF</t>
    </r>
  </si>
  <si>
    <t>Subcomponente 2.1 Apoyo a la mejora de calidad de acciones de PI en INAU</t>
  </si>
  <si>
    <t>Actividad 2.1.1.1 – Fortalecimiento de la Secretaría de PI del INAU</t>
  </si>
  <si>
    <t>(4) Asistentes técnicos para el fortalecimiento de la Secretaría de Primera Infancia de INAU</t>
  </si>
  <si>
    <t>(2) Ayudantes técnicos para el fortalecimiento de la Secretaría de Primera Infancia de INAU</t>
  </si>
  <si>
    <t>Actividad 2.1.2.1 – Implementación del PPP</t>
  </si>
  <si>
    <t>Consultor para diseño del Programa de Parentalidades Positivas adaptado a los Centros CAIF</t>
  </si>
  <si>
    <r>
      <rPr>
        <sz val="9"/>
        <color rgb="FF000000"/>
        <rFont val="Calibri"/>
        <family val="2"/>
      </rPr>
      <t xml:space="preserve">Subcomponente </t>
    </r>
    <r>
      <rPr>
        <b/>
        <sz val="9"/>
        <color rgb="FF000000"/>
        <rFont val="Calibri"/>
        <family val="2"/>
      </rPr>
      <t>2.2 Apoyo a la expansión de Centros CAIF</t>
    </r>
  </si>
  <si>
    <t>Obras</t>
  </si>
  <si>
    <t>Componente 3 – Administración, evaluación y auditoría</t>
  </si>
  <si>
    <t>Unidad de Ejecución del Proyecto</t>
  </si>
  <si>
    <t>Coordinador Ejecutivo</t>
  </si>
  <si>
    <t>Asistentes Técnicos de la Coordinación Ejecutiva</t>
  </si>
  <si>
    <t>Coordinador Operativo de la SNC para el Proyecto</t>
  </si>
  <si>
    <t>Coordinadores Técnicos de la SNC para el Proyecto</t>
  </si>
  <si>
    <t>Unidad de Administración del Proyecto</t>
  </si>
  <si>
    <t>Adjunto</t>
  </si>
  <si>
    <t>Jefe de Unidad</t>
  </si>
  <si>
    <t>Asistentes encargados</t>
  </si>
  <si>
    <t>Administrativa</t>
  </si>
  <si>
    <t>Gastos de administración y gestión del Proyecto</t>
  </si>
  <si>
    <t>Imprevistos</t>
  </si>
  <si>
    <t>Auditoría</t>
  </si>
  <si>
    <t>TOTAL</t>
  </si>
  <si>
    <t>Evaluación de Impacto de CAIFs nuevos</t>
  </si>
  <si>
    <t>Total</t>
  </si>
  <si>
    <t>Contratación de equipos técnicos para relevamiento y gestión de la información sobre "oferta de cuidados" (6 CI)</t>
  </si>
  <si>
    <t>Consultorías especializadas para diseño, desarrollo y puesta en funcionamiento del RNC (6 CI)</t>
  </si>
  <si>
    <t>Contratación de equipos técnicos para relevamiento y gestión de la información sobre "oferta de formación" (2 CI)</t>
  </si>
  <si>
    <t>Costo BID  $U</t>
  </si>
  <si>
    <t>Costo Local $U</t>
  </si>
  <si>
    <t>Costo BID USD</t>
  </si>
  <si>
    <t>Costo Local USD</t>
  </si>
  <si>
    <t>CUADRO RESUMEN DE COSTOS</t>
  </si>
  <si>
    <t>URUGUAY
PROGRAMA DE APOYO AL SISTEMA NACIONAL INTEGRADO DE CUIDADOS 
(UR-L1110)</t>
  </si>
  <si>
    <t>PRESUPUESTO DETALLADO</t>
  </si>
  <si>
    <t>Contratación de equipo técnico para implementar estrategia de comunicación del SNIC (3 CI)</t>
  </si>
  <si>
    <t>Contratación de equipo técnico para área de generación y gestión de información de la SNC (3 CI)</t>
  </si>
  <si>
    <t>Contratación se asesor jurídico para SNC (1 CI)</t>
  </si>
  <si>
    <t>Consultorías especializadas para revisión e implementación de ajustes al marco regulatorio de cuidados de primera infancia (2 CI)</t>
  </si>
  <si>
    <t>Contratación de equipo técnico para Área de Dependencia de la SNC (3 CI)</t>
  </si>
  <si>
    <t>(1) Consultor para procesamiento y análisis de datos</t>
  </si>
  <si>
    <t>Servicios informáticos para desarrollo de sistema para test de DIT</t>
  </si>
  <si>
    <t>Proyecto UR-L1110</t>
  </si>
  <si>
    <t>CI-P TdR*</t>
  </si>
  <si>
    <t>Fondo para Publicaciones, instancias de formación y materiales vinculados al Programa de Parentalidades Positivas de INAU</t>
  </si>
  <si>
    <t>ByS TDR*</t>
  </si>
  <si>
    <t>CI-D TdR*</t>
  </si>
  <si>
    <t>Consultorías de apoyo a diseño e implementación del Programa de Formación</t>
  </si>
  <si>
    <t>Actividad 1.2.1.2. Programa de Formación y Calificación de RR.HH (alcance nacional)</t>
  </si>
  <si>
    <t>Contratación de equipo técnico en la SNC para supervisión de calidad en PI (3 CI)</t>
  </si>
  <si>
    <t>Consultoría especializada para medición de calidad en centros de PI</t>
  </si>
  <si>
    <t>Talleres de capacitación a supervisores sobre nuevo sistema de medición de calidad de Centros (2 talleres regionales semestrales)</t>
  </si>
  <si>
    <t>Servicio de transporte escolar para niños de 0 a 3 años</t>
  </si>
  <si>
    <t>Contratación de equipo técnico de apoyo a piloto Casa Comunitarias de Cuidado (7 CI)</t>
  </si>
  <si>
    <t>Consultoría especializada para diseño experiencia de centros con Sindicatos y Empresas</t>
  </si>
  <si>
    <t>CI-TE</t>
  </si>
  <si>
    <t>Consultoría especializada par diseño de servicio de AS en PI</t>
  </si>
  <si>
    <t>Contratación de equipo técnico de apoyo a la implantación del servicio de AS en PI (2 CI)</t>
  </si>
  <si>
    <t>Contratación de equipo técnico de apoyo a la SPI de INAU (6 CI)</t>
  </si>
  <si>
    <t>Consultorías especializadas para diseño, desarrollo y puesta en funcionamiento del PPP (7 CI)</t>
  </si>
  <si>
    <t>Ob</t>
  </si>
  <si>
    <t>CI-2 T2R*</t>
  </si>
  <si>
    <t>CI-R TRR*</t>
  </si>
  <si>
    <t>CI-1 T1R*</t>
  </si>
  <si>
    <t>CI-A TAR*</t>
  </si>
  <si>
    <t>CI-C TCR*</t>
  </si>
  <si>
    <t>CI-G TGR*</t>
  </si>
  <si>
    <t>CI-M TMR*</t>
  </si>
  <si>
    <t>Forma de calculo</t>
  </si>
  <si>
    <t>Distribución anual fondos BID</t>
  </si>
  <si>
    <t>Montos totales del Proyecto</t>
  </si>
  <si>
    <t>Verificador</t>
  </si>
  <si>
    <t>Tipo Gasto</t>
  </si>
  <si>
    <t>Gantt</t>
  </si>
  <si>
    <t>(4) Supervisores Técnicos del Área de Servicios de la SNC</t>
  </si>
  <si>
    <t>(8) Ayudantes técnicos del Área de Servicios de la SNC</t>
  </si>
  <si>
    <t>Consultorías especializadas para diseño de modelo conceptual y arquitectura del Portal</t>
  </si>
  <si>
    <t>Consultor asistente informático para el desarrollo del los módulos del Registro Nacional de Cuidados</t>
  </si>
  <si>
    <t>Contratación de equipo técnico para baremo de población con dependencia severa (24 CI)</t>
  </si>
  <si>
    <t>Contratación de espacios en medios de comunicación</t>
  </si>
  <si>
    <t>Fondo para estudios de mapeo de las competencias regulatorias de los diferentes actores del SNIC</t>
  </si>
  <si>
    <t>Contratación de equipo técnico para conceptualización de modelos de calidad de la SNC (2 CI)</t>
  </si>
  <si>
    <t>Adquisición de instrumentos de medición de DIT</t>
  </si>
  <si>
    <t>Consultorías especializadas para testeo de instrumentos de medición de DIT en centros de cuidado de diferentes dependencias institucionales (3 CI)</t>
  </si>
  <si>
    <t>Talleres de discusión sobre instrumentos de medición de DIT</t>
  </si>
  <si>
    <t>Servicios informáticos de ajuste de funcionalidades del SIPI en respuesta a nuevo requerimientos del modelo de medición de DIT</t>
  </si>
  <si>
    <t>Consultoría especializada de apoyo al diseño de la currícula para el Programa de Formación y Calificación de RRHH en PI</t>
  </si>
  <si>
    <t>Consultor para diseño de la currícula del Programa de Formación</t>
  </si>
  <si>
    <t>Consultor para diseño e implementación del Programa de Formación para la primera infancia con base en la currícula diseñada</t>
  </si>
  <si>
    <t>Consultor asistente técnico para el diseño y especificación del programa de formación y calificación de RR.HH.</t>
  </si>
  <si>
    <t>Actividad 1.2.1.3. Calidad de la supervisión en PI</t>
  </si>
  <si>
    <t>(1) Responsable en la SNC para los temas de supervisión y calidad  en PI</t>
  </si>
  <si>
    <t>Contratación de equipos técnicos para acompañamiento a la puesta en marcha del nuevo sistema de supervisión (5CI)</t>
  </si>
  <si>
    <t xml:space="preserve">(5) Consultores asistentes para la implantación del nuevo sistema de supervisión diseñado </t>
  </si>
  <si>
    <t>CI-E TdR*</t>
  </si>
  <si>
    <t>Actividad 1.2.2.2 Extra horario</t>
  </si>
  <si>
    <t>Contratación de equipo técnico de apoyo a piloto extra horario en ANEP</t>
  </si>
  <si>
    <t>Consultor técnico de apoyo a la experiencia de extra horarios en Jardines de la ANEP</t>
  </si>
  <si>
    <t>Estudio diagnóstico de medición de carga de cuidados de los trabajadores/as de los sectores priorizados por el MTSS.</t>
  </si>
  <si>
    <t>Contratación de equipo técnico de apoyo a la implementación de CSE</t>
  </si>
  <si>
    <t>Línea de Acción 2.1.1 - Fortalecimiento del INAU en la puesta en funcionamiento de la Secretaría de PI</t>
  </si>
  <si>
    <t>Talleres e instancias de fortalecimiento de la sociedad civil, promoción de organizaciones cooperativas, captación y formación de organizaciones para la gestión de los Centros CAIF a instalar</t>
  </si>
  <si>
    <t>Línea de Acción 2.1.2 - Programa de Parentalidades Positivas</t>
  </si>
  <si>
    <t>Actividad 2.2.1.1 – Construcción de 50 Centros CAIF</t>
  </si>
  <si>
    <t>Asistentes contables-administrativos</t>
  </si>
  <si>
    <t>Taller regional dirigido a actores vinculados a los Centros CAIF (incluye participación de expertos).</t>
  </si>
  <si>
    <t>Línea de Acción 2.2.1 Ampliación de oferta de centros CAIF</t>
  </si>
  <si>
    <t>Línea de Acción 3.1 Administración y Ejecución del Proyecto</t>
  </si>
  <si>
    <t>Línea de Acción 3.2 Evaluación y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</si>
</sst>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#,##0.00&quot; &quot;;&quot; (&quot;#,##0.00&quot;)&quot;;&quot; -&quot;#&quot; &quot;;@&quot; &quot;"/>
    <numFmt numFmtId="165" formatCode="[$-380A]#,##0&quot; &quot;;[$-380A]&quot;(&quot;#,##0&quot;)&quot;"/>
    <numFmt numFmtId="166" formatCode="&quot;R$ &quot;#,##0.00;[Red]&quot;R$ &quot;#,##0.00"/>
    <numFmt numFmtId="167" formatCode="[$-380A]0"/>
    <numFmt numFmtId="168" formatCode="#,##0&quot; &quot;;&quot; (&quot;#,##0&quot;)&quot;;&quot; -&quot;#&quot; &quot;;@&quot; &quot;"/>
    <numFmt numFmtId="169" formatCode="[$-380A]0%"/>
    <numFmt numFmtId="170" formatCode="mmm\-yy;@"/>
    <numFmt numFmtId="171" formatCode="mm/yy"/>
    <numFmt numFmtId="172" formatCode="_(* #,##0_);_(* \(#,##0\);_(* &quot;-&quot;??_);_(@_)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7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b/>
      <sz val="8"/>
      <color rgb="FF000000"/>
      <name val="Calibri"/>
      <family val="2"/>
    </font>
    <font>
      <sz val="9"/>
      <name val="Calibri"/>
      <family val="2"/>
    </font>
    <font>
      <b/>
      <sz val="9"/>
      <color rgb="FFFFFFFF"/>
      <name val="Calibri"/>
      <family val="2"/>
    </font>
    <font>
      <b/>
      <sz val="9"/>
      <color theme="0"/>
      <name val="Calibri"/>
      <family val="2"/>
    </font>
    <font>
      <sz val="9"/>
      <color rgb="FFFFFFFF"/>
      <name val="Calibri"/>
      <family val="2"/>
    </font>
    <font>
      <b/>
      <i/>
      <sz val="9"/>
      <color rgb="FF000000"/>
      <name val="Calibri"/>
      <family val="2"/>
    </font>
    <font>
      <sz val="9"/>
      <color rgb="FFFF0000"/>
      <name val="Calibri"/>
      <family val="2"/>
    </font>
    <font>
      <sz val="11"/>
      <color rgb="FF000000"/>
      <name val="Calibri"/>
      <family val="2"/>
    </font>
    <font>
      <b/>
      <sz val="9"/>
      <color rgb="FFFF0000"/>
      <name val="Calibri"/>
      <family val="2"/>
    </font>
    <font>
      <b/>
      <sz val="9"/>
      <name val="Calibri"/>
      <family val="2"/>
    </font>
    <font>
      <b/>
      <sz val="9"/>
      <color rgb="FFFF3333"/>
      <name val="Calibri"/>
      <family val="2"/>
    </font>
    <font>
      <i/>
      <sz val="9"/>
      <color rgb="FF000000"/>
      <name val="Calibri"/>
      <family val="2"/>
    </font>
    <font>
      <b/>
      <sz val="9"/>
      <color rgb="FF7030A0"/>
      <name val="Calibri"/>
      <family val="2"/>
    </font>
    <font>
      <sz val="9"/>
      <color rgb="FF7030A0"/>
      <name val="Calibri"/>
      <family val="2"/>
    </font>
    <font>
      <sz val="9"/>
      <color rgb="FF2E75B6"/>
      <name val="Calibri"/>
      <family val="2"/>
    </font>
    <font>
      <b/>
      <i/>
      <sz val="9"/>
      <color rgb="FF2E75B6"/>
      <name val="Calibri"/>
      <family val="2"/>
    </font>
    <font>
      <i/>
      <sz val="9"/>
      <color rgb="FF2E75B6"/>
      <name val="Calibri"/>
      <family val="2"/>
    </font>
    <font>
      <sz val="8"/>
      <color rgb="FF000000"/>
      <name val="Calibri"/>
      <family val="2"/>
    </font>
    <font>
      <b/>
      <sz val="7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4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i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i/>
      <sz val="8"/>
      <color rgb="FF000000"/>
      <name val="Calibri"/>
      <family val="2"/>
    </font>
    <font>
      <sz val="10"/>
      <color rgb="FFFFFFFF"/>
      <name val="Calibri"/>
      <family val="2"/>
    </font>
    <font>
      <b/>
      <sz val="10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FFFF"/>
      <name val="Calibri"/>
      <family val="2"/>
    </font>
    <font>
      <sz val="8"/>
      <color rgb="FFFFFFFF"/>
      <name val="Calibri"/>
      <family val="2"/>
    </font>
    <font>
      <sz val="9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B2B2B2"/>
        <bgColor rgb="FFB2B2B2"/>
      </patternFill>
    </fill>
    <fill>
      <patternFill patternType="solid">
        <fgColor rgb="FFDDDDDD"/>
        <bgColor rgb="FFDDDDDD"/>
      </patternFill>
    </fill>
    <fill>
      <patternFill patternType="solid">
        <fgColor rgb="FFF2F2F2"/>
        <bgColor rgb="FFF2F2F2"/>
      </patternFill>
    </fill>
    <fill>
      <patternFill patternType="solid">
        <fgColor rgb="FFFFF2CC"/>
        <bgColor rgb="FFFFF2CC"/>
      </patternFill>
    </fill>
    <fill>
      <patternFill patternType="solid">
        <fgColor rgb="FFFFD966"/>
        <bgColor rgb="FFFFD966"/>
      </patternFill>
    </fill>
    <fill>
      <patternFill patternType="solid">
        <fgColor rgb="FFFFFFCC"/>
        <bgColor rgb="FFFFFFCC"/>
      </patternFill>
    </fill>
    <fill>
      <patternFill patternType="solid">
        <fgColor rgb="FFEDEDED"/>
        <bgColor rgb="FFEDEDED"/>
      </patternFill>
    </fill>
    <fill>
      <patternFill patternType="solid">
        <fgColor rgb="FFDBDBDB"/>
        <bgColor rgb="FFDBDBDB"/>
      </patternFill>
    </fill>
    <fill>
      <patternFill patternType="solid">
        <fgColor theme="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Border="0" applyProtection="0"/>
    <xf numFmtId="164" fontId="6" fillId="0" borderId="0" applyBorder="0" applyProtection="0"/>
    <xf numFmtId="9" fontId="6" fillId="0" borderId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169" fontId="3" fillId="0" borderId="0" applyFont="0" applyBorder="0" applyProtection="0"/>
    <xf numFmtId="0" fontId="15" fillId="0" borderId="0" applyNumberFormat="0" applyBorder="0" applyProtection="0"/>
    <xf numFmtId="0" fontId="3" fillId="0" borderId="0"/>
  </cellStyleXfs>
  <cellXfs count="279">
    <xf numFmtId="0" fontId="0" fillId="0" borderId="0" xfId="0"/>
    <xf numFmtId="165" fontId="4" fillId="0" borderId="0" xfId="3" applyNumberFormat="1" applyFont="1" applyFill="1" applyAlignment="1" applyProtection="1">
      <alignment horizontal="center" vertical="center"/>
    </xf>
    <xf numFmtId="166" fontId="5" fillId="0" borderId="0" xfId="0" applyNumberFormat="1" applyFont="1" applyFill="1" applyAlignment="1">
      <alignment vertical="center"/>
    </xf>
    <xf numFmtId="166" fontId="5" fillId="0" borderId="0" xfId="4" applyNumberFormat="1" applyFont="1" applyFill="1" applyAlignment="1" applyProtection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168" fontId="8" fillId="0" borderId="0" xfId="3" applyNumberFormat="1" applyFont="1" applyFill="1" applyAlignment="1" applyProtection="1">
      <alignment vertical="center"/>
    </xf>
    <xf numFmtId="49" fontId="8" fillId="0" borderId="1" xfId="3" applyNumberFormat="1" applyFont="1" applyFill="1" applyBorder="1" applyAlignment="1" applyProtection="1">
      <alignment horizontal="center" vertical="center"/>
    </xf>
    <xf numFmtId="49" fontId="8" fillId="0" borderId="2" xfId="3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65" fontId="9" fillId="2" borderId="0" xfId="3" applyNumberFormat="1" applyFont="1" applyFill="1" applyAlignment="1" applyProtection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8" fontId="10" fillId="2" borderId="0" xfId="4" applyNumberFormat="1" applyFont="1" applyFill="1" applyAlignment="1" applyProtection="1">
      <alignment horizontal="center" vertical="center" wrapText="1"/>
    </xf>
    <xf numFmtId="9" fontId="10" fillId="2" borderId="0" xfId="5" applyFont="1" applyFill="1" applyAlignment="1" applyProtection="1">
      <alignment horizontal="center" vertical="center" wrapText="1"/>
    </xf>
    <xf numFmtId="168" fontId="10" fillId="2" borderId="0" xfId="0" applyNumberFormat="1" applyFont="1" applyFill="1" applyAlignment="1">
      <alignment horizontal="center" vertical="center" wrapText="1"/>
    </xf>
    <xf numFmtId="167" fontId="10" fillId="2" borderId="0" xfId="0" applyNumberFormat="1" applyFont="1" applyFill="1" applyAlignment="1">
      <alignment horizontal="center" vertical="center" wrapText="1"/>
    </xf>
    <xf numFmtId="168" fontId="10" fillId="2" borderId="0" xfId="3" applyNumberFormat="1" applyFont="1" applyFill="1" applyAlignment="1" applyProtection="1">
      <alignment horizontal="center" vertical="center" wrapText="1"/>
    </xf>
    <xf numFmtId="49" fontId="10" fillId="2" borderId="1" xfId="3" applyNumberFormat="1" applyFont="1" applyFill="1" applyBorder="1" applyAlignment="1" applyProtection="1">
      <alignment horizontal="center" vertical="center" textRotation="180" wrapText="1"/>
    </xf>
    <xf numFmtId="49" fontId="10" fillId="2" borderId="2" xfId="3" applyNumberFormat="1" applyFont="1" applyFill="1" applyBorder="1" applyAlignment="1" applyProtection="1">
      <alignment horizontal="center" vertical="center" textRotation="180" wrapText="1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168" fontId="10" fillId="2" borderId="0" xfId="4" applyNumberFormat="1" applyFont="1" applyFill="1" applyAlignment="1" applyProtection="1">
      <alignment horizontal="right" vertical="center" wrapText="1"/>
      <protection locked="0"/>
    </xf>
    <xf numFmtId="169" fontId="12" fillId="2" borderId="0" xfId="0" applyNumberFormat="1" applyFont="1" applyFill="1" applyAlignment="1">
      <alignment horizontal="center" vertical="center" wrapText="1"/>
    </xf>
    <xf numFmtId="170" fontId="10" fillId="2" borderId="0" xfId="0" applyNumberFormat="1" applyFont="1" applyFill="1" applyAlignment="1">
      <alignment horizontal="center" vertical="center" wrapText="1"/>
    </xf>
    <xf numFmtId="49" fontId="10" fillId="2" borderId="1" xfId="3" applyNumberFormat="1" applyFont="1" applyFill="1" applyBorder="1" applyAlignment="1" applyProtection="1">
      <alignment horizontal="center" vertical="center" wrapText="1"/>
    </xf>
    <xf numFmtId="49" fontId="10" fillId="2" borderId="2" xfId="3" applyNumberFormat="1" applyFont="1" applyFill="1" applyBorder="1" applyAlignment="1" applyProtection="1">
      <alignment horizontal="center" vertical="center" wrapText="1"/>
    </xf>
    <xf numFmtId="165" fontId="9" fillId="3" borderId="0" xfId="3" applyNumberFormat="1" applyFont="1" applyFill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168" fontId="5" fillId="3" borderId="0" xfId="4" applyNumberFormat="1" applyFont="1" applyFill="1" applyAlignment="1" applyProtection="1">
      <alignment horizontal="right" vertical="center" wrapText="1"/>
      <protection locked="0"/>
    </xf>
    <xf numFmtId="169" fontId="5" fillId="3" borderId="0" xfId="0" applyNumberFormat="1" applyFont="1" applyFill="1" applyAlignment="1">
      <alignment horizontal="center" vertical="center" wrapText="1"/>
    </xf>
    <xf numFmtId="170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67" fontId="5" fillId="3" borderId="0" xfId="0" applyNumberFormat="1" applyFont="1" applyFill="1" applyAlignment="1">
      <alignment horizontal="center" vertical="center" wrapText="1"/>
    </xf>
    <xf numFmtId="168" fontId="5" fillId="3" borderId="0" xfId="3" applyNumberFormat="1" applyFont="1" applyFill="1" applyAlignment="1" applyProtection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5" fontId="9" fillId="4" borderId="0" xfId="3" applyNumberFormat="1" applyFont="1" applyFill="1" applyAlignment="1" applyProtection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168" fontId="5" fillId="4" borderId="0" xfId="4" applyNumberFormat="1" applyFont="1" applyFill="1" applyAlignment="1" applyProtection="1">
      <alignment horizontal="right" vertical="center" wrapText="1"/>
    </xf>
    <xf numFmtId="169" fontId="7" fillId="4" borderId="0" xfId="0" applyNumberFormat="1" applyFont="1" applyFill="1" applyAlignment="1">
      <alignment horizontal="center" vertical="center" wrapText="1"/>
    </xf>
    <xf numFmtId="170" fontId="5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7" fontId="5" fillId="4" borderId="0" xfId="0" applyNumberFormat="1" applyFont="1" applyFill="1" applyAlignment="1">
      <alignment horizontal="center" vertical="center" wrapText="1"/>
    </xf>
    <xf numFmtId="168" fontId="5" fillId="4" borderId="0" xfId="3" applyNumberFormat="1" applyFont="1" applyFill="1" applyAlignment="1" applyProtection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165" fontId="9" fillId="5" borderId="0" xfId="3" applyNumberFormat="1" applyFont="1" applyFill="1" applyAlignment="1" applyProtection="1">
      <alignment horizontal="center" vertical="center" wrapText="1"/>
    </xf>
    <xf numFmtId="0" fontId="5" fillId="5" borderId="0" xfId="0" applyFont="1" applyFill="1" applyAlignment="1">
      <alignment horizontal="left" vertical="center" wrapText="1"/>
    </xf>
    <xf numFmtId="168" fontId="13" fillId="5" borderId="0" xfId="4" applyNumberFormat="1" applyFont="1" applyFill="1" applyAlignment="1" applyProtection="1">
      <alignment horizontal="right" vertical="center" wrapText="1"/>
      <protection locked="0"/>
    </xf>
    <xf numFmtId="169" fontId="7" fillId="5" borderId="0" xfId="0" applyNumberFormat="1" applyFont="1" applyFill="1" applyAlignment="1">
      <alignment horizontal="center" vertical="center" wrapText="1"/>
    </xf>
    <xf numFmtId="170" fontId="13" fillId="5" borderId="0" xfId="0" applyNumberFormat="1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167" fontId="13" fillId="5" borderId="0" xfId="0" applyNumberFormat="1" applyFont="1" applyFill="1" applyAlignment="1">
      <alignment horizontal="center" vertical="center" wrapText="1"/>
    </xf>
    <xf numFmtId="168" fontId="13" fillId="5" borderId="0" xfId="3" applyNumberFormat="1" applyFont="1" applyFill="1" applyAlignment="1" applyProtection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165" fontId="9" fillId="6" borderId="0" xfId="3" applyNumberFormat="1" applyFont="1" applyFill="1" applyAlignment="1" applyProtection="1">
      <alignment horizontal="center" vertical="center" wrapText="1"/>
    </xf>
    <xf numFmtId="0" fontId="5" fillId="6" borderId="0" xfId="0" applyFont="1" applyFill="1" applyAlignment="1">
      <alignment horizontal="justify" vertical="center" wrapText="1"/>
    </xf>
    <xf numFmtId="168" fontId="5" fillId="6" borderId="0" xfId="4" applyNumberFormat="1" applyFont="1" applyFill="1" applyAlignment="1" applyProtection="1">
      <alignment horizontal="right" vertical="center" wrapText="1"/>
      <protection locked="0"/>
    </xf>
    <xf numFmtId="169" fontId="7" fillId="6" borderId="0" xfId="0" applyNumberFormat="1" applyFont="1" applyFill="1" applyAlignment="1">
      <alignment horizontal="center" vertical="center" wrapText="1"/>
    </xf>
    <xf numFmtId="170" fontId="5" fillId="6" borderId="0" xfId="0" applyNumberFormat="1" applyFont="1" applyFill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167" fontId="5" fillId="6" borderId="0" xfId="0" applyNumberFormat="1" applyFont="1" applyFill="1" applyAlignment="1">
      <alignment horizontal="center" vertical="center" wrapText="1"/>
    </xf>
    <xf numFmtId="168" fontId="5" fillId="6" borderId="0" xfId="3" applyNumberFormat="1" applyFont="1" applyFill="1" applyAlignment="1" applyProtection="1">
      <alignment horizontal="center" vertical="center" wrapText="1"/>
    </xf>
    <xf numFmtId="0" fontId="5" fillId="6" borderId="0" xfId="0" applyFont="1" applyFill="1" applyAlignment="1">
      <alignment horizontal="center" vertical="center"/>
    </xf>
    <xf numFmtId="165" fontId="9" fillId="0" borderId="0" xfId="3" applyNumberFormat="1" applyFont="1" applyFill="1" applyAlignment="1" applyProtection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68" fontId="7" fillId="0" borderId="0" xfId="4" applyNumberFormat="1" applyFont="1" applyFill="1" applyAlignment="1" applyProtection="1">
      <alignment horizontal="right" vertical="center" wrapText="1"/>
      <protection locked="0"/>
    </xf>
    <xf numFmtId="169" fontId="7" fillId="0" borderId="0" xfId="0" applyNumberFormat="1" applyFont="1" applyFill="1" applyAlignment="1">
      <alignment horizontal="center" vertical="center" wrapText="1"/>
    </xf>
    <xf numFmtId="171" fontId="7" fillId="0" borderId="0" xfId="0" applyNumberFormat="1" applyFont="1" applyFill="1" applyAlignment="1">
      <alignment horizontal="center" vertical="center" wrapText="1"/>
    </xf>
    <xf numFmtId="167" fontId="7" fillId="0" borderId="0" xfId="0" applyNumberFormat="1" applyFont="1" applyFill="1" applyAlignment="1">
      <alignment horizontal="center" vertical="center" wrapText="1"/>
    </xf>
    <xf numFmtId="168" fontId="7" fillId="0" borderId="0" xfId="3" applyNumberFormat="1" applyFont="1" applyFill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left" vertical="center" wrapText="1"/>
    </xf>
    <xf numFmtId="168" fontId="7" fillId="0" borderId="0" xfId="3" applyNumberFormat="1" applyFont="1" applyFill="1" applyAlignment="1" applyProtection="1">
      <alignment horizontal="right" vertical="center" wrapText="1"/>
    </xf>
    <xf numFmtId="168" fontId="7" fillId="0" borderId="0" xfId="4" applyNumberFormat="1" applyFont="1" applyFill="1" applyAlignment="1" applyProtection="1">
      <alignment horizontal="right" vertical="center" wrapText="1"/>
    </xf>
    <xf numFmtId="168" fontId="14" fillId="0" borderId="0" xfId="4" applyNumberFormat="1" applyFont="1" applyFill="1" applyAlignment="1" applyProtection="1">
      <alignment horizontal="right" vertical="center" wrapText="1"/>
      <protection locked="0"/>
    </xf>
    <xf numFmtId="0" fontId="5" fillId="6" borderId="0" xfId="0" applyFont="1" applyFill="1" applyAlignment="1">
      <alignment horizontal="left" vertical="center" wrapText="1"/>
    </xf>
    <xf numFmtId="171" fontId="7" fillId="6" borderId="0" xfId="0" applyNumberFormat="1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167" fontId="7" fillId="6" borderId="0" xfId="0" applyNumberFormat="1" applyFont="1" applyFill="1" applyAlignment="1">
      <alignment horizontal="center" vertical="center" wrapText="1"/>
    </xf>
    <xf numFmtId="168" fontId="7" fillId="6" borderId="0" xfId="3" applyNumberFormat="1" applyFont="1" applyFill="1" applyAlignment="1" applyProtection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left" vertical="center" wrapText="1"/>
    </xf>
    <xf numFmtId="171" fontId="7" fillId="5" borderId="0" xfId="0" applyNumberFormat="1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167" fontId="7" fillId="5" borderId="0" xfId="0" applyNumberFormat="1" applyFont="1" applyFill="1" applyAlignment="1">
      <alignment horizontal="center" vertical="center" wrapText="1"/>
    </xf>
    <xf numFmtId="168" fontId="7" fillId="5" borderId="0" xfId="3" applyNumberFormat="1" applyFont="1" applyFill="1" applyAlignment="1" applyProtection="1">
      <alignment horizontal="center" vertical="center" wrapText="1"/>
    </xf>
    <xf numFmtId="0" fontId="13" fillId="5" borderId="0" xfId="0" applyFont="1" applyFill="1" applyAlignment="1">
      <alignment horizontal="center" vertical="center"/>
    </xf>
    <xf numFmtId="170" fontId="5" fillId="5" borderId="0" xfId="0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167" fontId="5" fillId="5" borderId="0" xfId="0" applyNumberFormat="1" applyFont="1" applyFill="1" applyAlignment="1">
      <alignment horizontal="center" vertical="center" wrapText="1"/>
    </xf>
    <xf numFmtId="168" fontId="5" fillId="5" borderId="0" xfId="3" applyNumberFormat="1" applyFont="1" applyFill="1" applyAlignment="1" applyProtection="1">
      <alignment horizontal="center" vertical="center" wrapText="1"/>
    </xf>
    <xf numFmtId="0" fontId="13" fillId="5" borderId="0" xfId="0" applyFont="1" applyFill="1" applyAlignment="1">
      <alignment horizontal="justify" vertical="center" wrapText="1"/>
    </xf>
    <xf numFmtId="0" fontId="7" fillId="8" borderId="0" xfId="0" applyFont="1" applyFill="1" applyAlignment="1">
      <alignment horizontal="center" vertical="center"/>
    </xf>
    <xf numFmtId="165" fontId="17" fillId="6" borderId="0" xfId="3" applyNumberFormat="1" applyFont="1" applyFill="1" applyAlignment="1" applyProtection="1">
      <alignment horizontal="center" vertical="center" wrapText="1"/>
    </xf>
    <xf numFmtId="168" fontId="18" fillId="6" borderId="0" xfId="3" applyNumberFormat="1" applyFont="1" applyFill="1" applyAlignment="1" applyProtection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169" fontId="7" fillId="4" borderId="0" xfId="4" applyNumberFormat="1" applyFont="1" applyFill="1" applyAlignment="1" applyProtection="1">
      <alignment horizontal="center" vertical="center" wrapText="1"/>
    </xf>
    <xf numFmtId="168" fontId="13" fillId="5" borderId="0" xfId="4" applyNumberFormat="1" applyFont="1" applyFill="1" applyAlignment="1" applyProtection="1">
      <alignment horizontal="right" vertical="center" wrapText="1"/>
    </xf>
    <xf numFmtId="169" fontId="7" fillId="5" borderId="0" xfId="4" applyNumberFormat="1" applyFont="1" applyFill="1" applyAlignment="1" applyProtection="1">
      <alignment horizontal="center" vertical="center" wrapText="1"/>
    </xf>
    <xf numFmtId="165" fontId="5" fillId="6" borderId="0" xfId="3" applyNumberFormat="1" applyFont="1" applyFill="1" applyAlignment="1" applyProtection="1">
      <alignment horizontal="left" vertical="center" wrapText="1"/>
    </xf>
    <xf numFmtId="9" fontId="7" fillId="6" borderId="0" xfId="6" applyNumberFormat="1" applyFont="1" applyFill="1" applyAlignment="1" applyProtection="1">
      <alignment horizontal="center" vertical="center" wrapText="1"/>
      <protection locked="0"/>
    </xf>
    <xf numFmtId="171" fontId="5" fillId="6" borderId="0" xfId="0" applyNumberFormat="1" applyFont="1" applyFill="1" applyAlignment="1">
      <alignment horizontal="center" vertical="center" wrapText="1"/>
    </xf>
    <xf numFmtId="171" fontId="7" fillId="0" borderId="0" xfId="0" applyNumberFormat="1" applyFont="1" applyFill="1" applyAlignment="1">
      <alignment horizontal="left" vertical="center" wrapText="1"/>
    </xf>
    <xf numFmtId="9" fontId="7" fillId="0" borderId="0" xfId="6" applyNumberFormat="1" applyFont="1" applyFill="1" applyAlignment="1" applyProtection="1">
      <alignment horizontal="center" vertical="center" wrapText="1"/>
      <protection locked="0"/>
    </xf>
    <xf numFmtId="171" fontId="7" fillId="0" borderId="0" xfId="0" applyNumberFormat="1" applyFont="1" applyFill="1" applyAlignment="1">
      <alignment horizontal="center" vertical="center"/>
    </xf>
    <xf numFmtId="165" fontId="17" fillId="10" borderId="0" xfId="3" applyNumberFormat="1" applyFont="1" applyFill="1" applyAlignment="1" applyProtection="1">
      <alignment horizontal="center" vertical="center" wrapText="1"/>
    </xf>
    <xf numFmtId="0" fontId="5" fillId="10" borderId="0" xfId="0" applyFont="1" applyFill="1" applyAlignment="1">
      <alignment horizontal="justify" vertical="center" wrapText="1"/>
    </xf>
    <xf numFmtId="168" fontId="5" fillId="10" borderId="0" xfId="4" applyNumberFormat="1" applyFont="1" applyFill="1" applyAlignment="1" applyProtection="1">
      <alignment horizontal="right" vertical="center" wrapText="1"/>
      <protection locked="0"/>
    </xf>
    <xf numFmtId="9" fontId="7" fillId="10" borderId="0" xfId="6" applyNumberFormat="1" applyFont="1" applyFill="1" applyAlignment="1" applyProtection="1">
      <alignment horizontal="center" vertical="center" wrapText="1"/>
      <protection locked="0"/>
    </xf>
    <xf numFmtId="171" fontId="5" fillId="10" borderId="0" xfId="0" applyNumberFormat="1" applyFont="1" applyFill="1" applyAlignment="1">
      <alignment horizontal="center" vertical="center" wrapText="1"/>
    </xf>
    <xf numFmtId="0" fontId="5" fillId="10" borderId="0" xfId="0" applyFont="1" applyFill="1" applyAlignment="1">
      <alignment horizontal="center" vertical="center" wrapText="1"/>
    </xf>
    <xf numFmtId="167" fontId="5" fillId="10" borderId="0" xfId="0" applyNumberFormat="1" applyFont="1" applyFill="1" applyAlignment="1">
      <alignment horizontal="center" vertical="center" wrapText="1"/>
    </xf>
    <xf numFmtId="168" fontId="5" fillId="10" borderId="0" xfId="3" applyNumberFormat="1" applyFont="1" applyFill="1" applyAlignment="1" applyProtection="1">
      <alignment horizontal="center" vertical="center" wrapText="1"/>
    </xf>
    <xf numFmtId="171" fontId="7" fillId="0" borderId="0" xfId="7" applyNumberFormat="1" applyFont="1" applyFill="1" applyAlignment="1" applyProtection="1">
      <alignment horizontal="center" vertical="center" wrapText="1"/>
    </xf>
    <xf numFmtId="167" fontId="7" fillId="0" borderId="0" xfId="7" applyNumberFormat="1" applyFont="1" applyFill="1" applyAlignment="1" applyProtection="1">
      <alignment horizontal="center" vertical="center" wrapText="1"/>
    </xf>
    <xf numFmtId="168" fontId="14" fillId="0" borderId="0" xfId="3" applyNumberFormat="1" applyFont="1" applyFill="1" applyAlignment="1" applyProtection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7" fillId="5" borderId="0" xfId="6" applyNumberFormat="1" applyFont="1" applyFill="1" applyAlignment="1" applyProtection="1">
      <alignment horizontal="center" vertical="center" wrapText="1"/>
      <protection locked="0"/>
    </xf>
    <xf numFmtId="171" fontId="19" fillId="5" borderId="0" xfId="0" applyNumberFormat="1" applyFont="1" applyFill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7" fontId="19" fillId="5" borderId="0" xfId="0" applyNumberFormat="1" applyFont="1" applyFill="1" applyAlignment="1">
      <alignment horizontal="center" vertical="center" wrapText="1"/>
    </xf>
    <xf numFmtId="168" fontId="19" fillId="5" borderId="0" xfId="3" applyNumberFormat="1" applyFont="1" applyFill="1" applyAlignment="1" applyProtection="1">
      <alignment horizontal="center" vertical="center" wrapText="1"/>
    </xf>
    <xf numFmtId="171" fontId="5" fillId="10" borderId="0" xfId="0" applyNumberFormat="1" applyFont="1" applyFill="1" applyAlignment="1">
      <alignment horizontal="left" vertical="center" wrapText="1"/>
    </xf>
    <xf numFmtId="0" fontId="5" fillId="10" borderId="0" xfId="0" applyFont="1" applyFill="1" applyAlignment="1">
      <alignment horizontal="center" vertical="center"/>
    </xf>
    <xf numFmtId="169" fontId="7" fillId="0" borderId="0" xfId="4" applyNumberFormat="1" applyFont="1" applyFill="1" applyAlignment="1" applyProtection="1">
      <alignment horizontal="center" vertical="center" wrapText="1"/>
      <protection locked="0"/>
    </xf>
    <xf numFmtId="169" fontId="7" fillId="10" borderId="0" xfId="4" applyNumberFormat="1" applyFont="1" applyFill="1" applyAlignment="1" applyProtection="1">
      <alignment horizontal="center" vertical="center" wrapText="1"/>
      <protection locked="0"/>
    </xf>
    <xf numFmtId="0" fontId="7" fillId="10" borderId="0" xfId="0" applyFont="1" applyFill="1" applyAlignment="1">
      <alignment horizontal="center" vertical="center"/>
    </xf>
    <xf numFmtId="171" fontId="5" fillId="10" borderId="0" xfId="0" applyNumberFormat="1" applyFont="1" applyFill="1" applyAlignment="1">
      <alignment horizontal="center" vertical="center"/>
    </xf>
    <xf numFmtId="9" fontId="21" fillId="10" borderId="0" xfId="6" applyNumberFormat="1" applyFont="1" applyFill="1" applyAlignment="1" applyProtection="1">
      <alignment horizontal="center" vertical="center" wrapText="1"/>
      <protection locked="0"/>
    </xf>
    <xf numFmtId="171" fontId="20" fillId="10" borderId="0" xfId="0" applyNumberFormat="1" applyFont="1" applyFill="1" applyAlignment="1">
      <alignment horizontal="center" vertical="center" wrapText="1"/>
    </xf>
    <xf numFmtId="0" fontId="20" fillId="10" borderId="0" xfId="0" applyFont="1" applyFill="1" applyAlignment="1">
      <alignment horizontal="center" vertical="center" wrapText="1"/>
    </xf>
    <xf numFmtId="167" fontId="20" fillId="10" borderId="0" xfId="0" applyNumberFormat="1" applyFont="1" applyFill="1" applyAlignment="1">
      <alignment horizontal="center" vertical="center" wrapText="1"/>
    </xf>
    <xf numFmtId="168" fontId="20" fillId="10" borderId="0" xfId="3" applyNumberFormat="1" applyFont="1" applyFill="1" applyAlignment="1" applyProtection="1">
      <alignment horizontal="center" vertical="center" wrapText="1"/>
    </xf>
    <xf numFmtId="171" fontId="20" fillId="10" borderId="0" xfId="0" applyNumberFormat="1" applyFont="1" applyFill="1" applyAlignment="1">
      <alignment horizontal="center" vertical="center"/>
    </xf>
    <xf numFmtId="168" fontId="7" fillId="0" borderId="0" xfId="0" applyNumberFormat="1" applyFont="1" applyFill="1" applyAlignment="1">
      <alignment horizontal="left" vertical="center" wrapText="1"/>
    </xf>
    <xf numFmtId="168" fontId="7" fillId="0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justify" vertical="center" wrapText="1"/>
    </xf>
    <xf numFmtId="9" fontId="7" fillId="3" borderId="0" xfId="6" applyNumberFormat="1" applyFont="1" applyFill="1" applyAlignment="1" applyProtection="1">
      <alignment horizontal="center" vertical="center" wrapText="1"/>
      <protection locked="0"/>
    </xf>
    <xf numFmtId="171" fontId="7" fillId="3" borderId="0" xfId="0" applyNumberFormat="1" applyFont="1" applyFill="1" applyAlignment="1">
      <alignment horizontal="center" vertical="center" wrapText="1"/>
    </xf>
    <xf numFmtId="171" fontId="7" fillId="3" borderId="0" xfId="7" applyNumberFormat="1" applyFont="1" applyFill="1" applyAlignment="1" applyProtection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7" fontId="7" fillId="3" borderId="0" xfId="7" applyNumberFormat="1" applyFont="1" applyFill="1" applyAlignment="1" applyProtection="1">
      <alignment horizontal="center" vertical="center" wrapText="1"/>
    </xf>
    <xf numFmtId="168" fontId="7" fillId="3" borderId="0" xfId="3" applyNumberFormat="1" applyFont="1" applyFill="1" applyAlignment="1" applyProtection="1">
      <alignment horizontal="center" vertical="center" wrapText="1"/>
    </xf>
    <xf numFmtId="168" fontId="5" fillId="4" borderId="0" xfId="4" applyNumberFormat="1" applyFont="1" applyFill="1" applyAlignment="1" applyProtection="1">
      <alignment horizontal="right" vertical="center" wrapText="1"/>
      <protection locked="0"/>
    </xf>
    <xf numFmtId="9" fontId="7" fillId="4" borderId="0" xfId="6" applyNumberFormat="1" applyFont="1" applyFill="1" applyAlignment="1" applyProtection="1">
      <alignment horizontal="center" vertical="center" wrapText="1"/>
      <protection locked="0"/>
    </xf>
    <xf numFmtId="171" fontId="5" fillId="4" borderId="0" xfId="0" applyNumberFormat="1" applyFont="1" applyFill="1" applyAlignment="1">
      <alignment horizontal="center" vertical="center" wrapText="1"/>
    </xf>
    <xf numFmtId="171" fontId="5" fillId="4" borderId="0" xfId="7" applyNumberFormat="1" applyFont="1" applyFill="1" applyAlignment="1" applyProtection="1">
      <alignment horizontal="center" vertical="center" wrapText="1"/>
    </xf>
    <xf numFmtId="167" fontId="5" fillId="4" borderId="0" xfId="7" applyNumberFormat="1" applyFont="1" applyFill="1" applyAlignment="1" applyProtection="1">
      <alignment horizontal="center" vertical="center" wrapText="1"/>
    </xf>
    <xf numFmtId="165" fontId="17" fillId="11" borderId="0" xfId="3" applyNumberFormat="1" applyFont="1" applyFill="1" applyAlignment="1" applyProtection="1">
      <alignment horizontal="center" vertical="center" wrapText="1"/>
    </xf>
    <xf numFmtId="0" fontId="13" fillId="11" borderId="0" xfId="0" applyFont="1" applyFill="1" applyAlignment="1">
      <alignment horizontal="left" vertical="center" wrapText="1"/>
    </xf>
    <xf numFmtId="168" fontId="13" fillId="11" borderId="0" xfId="4" applyNumberFormat="1" applyFont="1" applyFill="1" applyAlignment="1" applyProtection="1">
      <alignment horizontal="right" vertical="center" wrapText="1"/>
    </xf>
    <xf numFmtId="9" fontId="22" fillId="11" borderId="0" xfId="6" applyNumberFormat="1" applyFont="1" applyFill="1" applyAlignment="1" applyProtection="1">
      <alignment horizontal="center" vertical="center" wrapText="1"/>
      <protection locked="0"/>
    </xf>
    <xf numFmtId="171" fontId="23" fillId="11" borderId="0" xfId="0" applyNumberFormat="1" applyFont="1" applyFill="1" applyAlignment="1">
      <alignment horizontal="center" vertical="center" wrapText="1"/>
    </xf>
    <xf numFmtId="0" fontId="23" fillId="11" borderId="0" xfId="0" applyFont="1" applyFill="1" applyAlignment="1">
      <alignment horizontal="center" vertical="center" wrapText="1"/>
    </xf>
    <xf numFmtId="167" fontId="23" fillId="11" borderId="0" xfId="0" applyNumberFormat="1" applyFont="1" applyFill="1" applyAlignment="1">
      <alignment horizontal="center" vertical="center" wrapText="1"/>
    </xf>
    <xf numFmtId="168" fontId="23" fillId="11" borderId="0" xfId="3" applyNumberFormat="1" applyFont="1" applyFill="1" applyAlignment="1" applyProtection="1">
      <alignment horizontal="center" vertical="center" wrapText="1"/>
    </xf>
    <xf numFmtId="0" fontId="23" fillId="11" borderId="0" xfId="0" applyFont="1" applyFill="1" applyAlignment="1">
      <alignment horizontal="center" vertical="center"/>
    </xf>
    <xf numFmtId="168" fontId="14" fillId="0" borderId="0" xfId="4" applyNumberFormat="1" applyFont="1" applyFill="1" applyAlignment="1" applyProtection="1">
      <alignment horizontal="right" vertical="center" wrapText="1"/>
    </xf>
    <xf numFmtId="165" fontId="9" fillId="11" borderId="0" xfId="3" applyNumberFormat="1" applyFont="1" applyFill="1" applyAlignment="1" applyProtection="1">
      <alignment horizontal="center" vertical="center" wrapText="1"/>
    </xf>
    <xf numFmtId="0" fontId="13" fillId="11" borderId="0" xfId="0" applyFont="1" applyFill="1" applyAlignment="1">
      <alignment horizontal="justify" vertical="center" wrapText="1"/>
    </xf>
    <xf numFmtId="168" fontId="5" fillId="11" borderId="0" xfId="4" applyNumberFormat="1" applyFont="1" applyFill="1" applyAlignment="1" applyProtection="1">
      <alignment horizontal="right" vertical="center" wrapText="1"/>
    </xf>
    <xf numFmtId="9" fontId="7" fillId="11" borderId="0" xfId="4" applyNumberFormat="1" applyFont="1" applyFill="1" applyAlignment="1" applyProtection="1">
      <alignment horizontal="center" vertical="center" wrapText="1"/>
    </xf>
    <xf numFmtId="171" fontId="24" fillId="11" borderId="0" xfId="0" applyNumberFormat="1" applyFont="1" applyFill="1" applyAlignment="1">
      <alignment horizontal="center" vertical="center" wrapText="1"/>
    </xf>
    <xf numFmtId="0" fontId="24" fillId="11" borderId="0" xfId="0" applyFont="1" applyFill="1" applyAlignment="1">
      <alignment horizontal="center" vertical="center" wrapText="1"/>
    </xf>
    <xf numFmtId="167" fontId="24" fillId="11" borderId="0" xfId="0" applyNumberFormat="1" applyFont="1" applyFill="1" applyAlignment="1">
      <alignment horizontal="center" vertical="center" wrapText="1"/>
    </xf>
    <xf numFmtId="168" fontId="24" fillId="11" borderId="0" xfId="3" applyNumberFormat="1" applyFont="1" applyFill="1" applyAlignment="1" applyProtection="1">
      <alignment horizontal="center" vertical="center" wrapText="1"/>
    </xf>
    <xf numFmtId="0" fontId="24" fillId="11" borderId="0" xfId="0" applyFont="1" applyFill="1" applyAlignment="1">
      <alignment horizontal="center" vertical="center"/>
    </xf>
    <xf numFmtId="165" fontId="9" fillId="10" borderId="0" xfId="3" applyNumberFormat="1" applyFont="1" applyFill="1" applyAlignment="1" applyProtection="1">
      <alignment horizontal="center" vertical="center" wrapText="1"/>
    </xf>
    <xf numFmtId="168" fontId="5" fillId="10" borderId="0" xfId="4" applyNumberFormat="1" applyFont="1" applyFill="1" applyAlignment="1" applyProtection="1">
      <alignment horizontal="right" vertical="center" wrapText="1"/>
    </xf>
    <xf numFmtId="9" fontId="7" fillId="10" borderId="0" xfId="4" applyNumberFormat="1" applyFont="1" applyFill="1" applyAlignment="1" applyProtection="1">
      <alignment horizontal="center" vertical="center" wrapText="1"/>
    </xf>
    <xf numFmtId="171" fontId="24" fillId="10" borderId="0" xfId="0" applyNumberFormat="1" applyFont="1" applyFill="1" applyAlignment="1">
      <alignment horizontal="center" vertical="center" wrapText="1"/>
    </xf>
    <xf numFmtId="0" fontId="24" fillId="10" borderId="0" xfId="0" applyFont="1" applyFill="1" applyAlignment="1">
      <alignment horizontal="center" vertical="center" wrapText="1"/>
    </xf>
    <xf numFmtId="167" fontId="24" fillId="10" borderId="0" xfId="0" applyNumberFormat="1" applyFont="1" applyFill="1" applyAlignment="1">
      <alignment horizontal="center" vertical="center" wrapText="1"/>
    </xf>
    <xf numFmtId="168" fontId="24" fillId="10" borderId="0" xfId="3" applyNumberFormat="1" applyFont="1" applyFill="1" applyAlignment="1" applyProtection="1">
      <alignment horizontal="center" vertical="center" wrapText="1"/>
    </xf>
    <xf numFmtId="0" fontId="24" fillId="10" borderId="0" xfId="0" applyFont="1" applyFill="1" applyAlignment="1">
      <alignment horizontal="center" vertical="center"/>
    </xf>
    <xf numFmtId="167" fontId="5" fillId="4" borderId="0" xfId="0" applyNumberFormat="1" applyFont="1" applyFill="1" applyAlignment="1">
      <alignment horizontal="justify" vertical="top"/>
    </xf>
    <xf numFmtId="168" fontId="5" fillId="4" borderId="0" xfId="3" applyNumberFormat="1" applyFont="1" applyFill="1" applyAlignment="1" applyProtection="1">
      <alignment horizontal="center" vertical="center"/>
    </xf>
    <xf numFmtId="168" fontId="5" fillId="5" borderId="0" xfId="4" applyNumberFormat="1" applyFont="1" applyFill="1" applyAlignment="1" applyProtection="1">
      <alignment horizontal="right" vertical="center" wrapText="1"/>
      <protection locked="0"/>
    </xf>
    <xf numFmtId="169" fontId="7" fillId="3" borderId="0" xfId="0" applyNumberFormat="1" applyFont="1" applyFill="1" applyAlignment="1">
      <alignment horizontal="center" vertical="center" wrapText="1"/>
    </xf>
    <xf numFmtId="168" fontId="5" fillId="0" borderId="0" xfId="4" applyNumberFormat="1" applyFont="1" applyFill="1" applyAlignment="1" applyProtection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9" fontId="7" fillId="0" borderId="0" xfId="0" applyNumberFormat="1" applyFont="1" applyFill="1" applyAlignment="1">
      <alignment horizontal="center" vertical="center" wrapText="1"/>
    </xf>
    <xf numFmtId="171" fontId="5" fillId="0" borderId="0" xfId="0" applyNumberFormat="1" applyFont="1" applyFill="1" applyAlignment="1">
      <alignment horizontal="center" vertical="center" wrapText="1"/>
    </xf>
    <xf numFmtId="167" fontId="5" fillId="0" borderId="0" xfId="0" applyNumberFormat="1" applyFont="1" applyFill="1" applyAlignment="1">
      <alignment horizontal="center" vertical="center" wrapText="1"/>
    </xf>
    <xf numFmtId="168" fontId="5" fillId="0" borderId="0" xfId="3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4" fillId="0" borderId="0" xfId="3" applyNumberFormat="1" applyFont="1" applyFill="1" applyAlignment="1" applyProtection="1">
      <alignment horizontal="center" vertical="center" wrapText="1"/>
    </xf>
    <xf numFmtId="171" fontId="25" fillId="0" borderId="0" xfId="0" applyNumberFormat="1" applyFont="1" applyFill="1" applyAlignment="1">
      <alignment horizontal="center" vertical="center" wrapText="1"/>
    </xf>
    <xf numFmtId="171" fontId="25" fillId="0" borderId="0" xfId="8" applyNumberFormat="1" applyFont="1" applyFill="1" applyAlignment="1" applyProtection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167" fontId="7" fillId="0" borderId="0" xfId="8" applyNumberFormat="1" applyFont="1" applyFill="1" applyAlignment="1" applyProtection="1">
      <alignment horizontal="center" vertical="center" wrapText="1"/>
    </xf>
    <xf numFmtId="168" fontId="25" fillId="0" borderId="0" xfId="3" applyNumberFormat="1" applyFont="1" applyFill="1" applyAlignment="1" applyProtection="1">
      <alignment horizontal="center" vertical="center" wrapText="1"/>
    </xf>
    <xf numFmtId="49" fontId="25" fillId="0" borderId="1" xfId="3" applyNumberFormat="1" applyFont="1" applyFill="1" applyBorder="1" applyAlignment="1" applyProtection="1">
      <alignment horizontal="center" vertical="center" wrapText="1"/>
    </xf>
    <xf numFmtId="49" fontId="25" fillId="0" borderId="2" xfId="3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169" fontId="7" fillId="0" borderId="0" xfId="9" applyFont="1" applyFill="1" applyAlignment="1" applyProtection="1">
      <alignment horizontal="right" vertical="center" wrapText="1"/>
    </xf>
    <xf numFmtId="14" fontId="25" fillId="0" borderId="0" xfId="10" applyNumberFormat="1" applyFont="1" applyFill="1" applyAlignment="1" applyProtection="1">
      <alignment horizontal="center" vertical="center" wrapText="1"/>
    </xf>
    <xf numFmtId="165" fontId="26" fillId="0" borderId="0" xfId="3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9" fontId="5" fillId="0" borderId="0" xfId="6" applyNumberFormat="1" applyFont="1" applyFill="1" applyAlignment="1" applyProtection="1">
      <alignment horizontal="center" vertical="center" wrapText="1"/>
      <protection locked="0"/>
    </xf>
    <xf numFmtId="171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8" fontId="8" fillId="0" borderId="0" xfId="3" applyNumberFormat="1" applyFont="1" applyFill="1" applyAlignment="1" applyProtection="1">
      <alignment horizontal="center" vertical="center" wrapText="1"/>
    </xf>
    <xf numFmtId="49" fontId="8" fillId="0" borderId="1" xfId="3" applyNumberFormat="1" applyFont="1" applyFill="1" applyBorder="1" applyAlignment="1" applyProtection="1">
      <alignment horizontal="center" vertical="center" wrapText="1"/>
    </xf>
    <xf numFmtId="49" fontId="8" fillId="0" borderId="2" xfId="3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8" fontId="5" fillId="0" borderId="0" xfId="4" applyNumberFormat="1" applyFont="1" applyFill="1" applyAlignment="1" applyProtection="1">
      <alignment horizontal="right" vertical="center"/>
    </xf>
    <xf numFmtId="168" fontId="8" fillId="0" borderId="0" xfId="0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  <xf numFmtId="168" fontId="8" fillId="0" borderId="0" xfId="3" applyNumberFormat="1" applyFont="1" applyFill="1" applyAlignment="1" applyProtection="1">
      <alignment horizontal="center" vertical="center"/>
    </xf>
    <xf numFmtId="49" fontId="8" fillId="0" borderId="3" xfId="3" applyNumberFormat="1" applyFont="1" applyFill="1" applyBorder="1" applyAlignment="1" applyProtection="1">
      <alignment horizontal="center" vertical="center"/>
    </xf>
    <xf numFmtId="49" fontId="8" fillId="0" borderId="4" xfId="3" applyNumberFormat="1" applyFont="1" applyFill="1" applyBorder="1" applyAlignment="1" applyProtection="1">
      <alignment horizontal="center" vertical="center"/>
    </xf>
    <xf numFmtId="168" fontId="25" fillId="0" borderId="0" xfId="0" applyNumberFormat="1" applyFont="1" applyFill="1" applyAlignment="1">
      <alignment horizontal="center" vertical="center" wrapText="1"/>
    </xf>
    <xf numFmtId="49" fontId="5" fillId="0" borderId="1" xfId="3" applyNumberFormat="1" applyFont="1" applyFill="1" applyBorder="1" applyAlignment="1" applyProtection="1">
      <alignment horizontal="center" vertical="center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49" fontId="13" fillId="0" borderId="1" xfId="3" applyNumberFormat="1" applyFont="1" applyFill="1" applyBorder="1" applyAlignment="1" applyProtection="1">
      <alignment horizontal="center" vertical="center" wrapText="1"/>
    </xf>
    <xf numFmtId="49" fontId="13" fillId="0" borderId="2" xfId="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8" fontId="29" fillId="0" borderId="0" xfId="4" applyNumberFormat="1" applyFont="1" applyFill="1" applyAlignment="1" applyProtection="1">
      <alignment horizontal="right" vertical="center" wrapText="1"/>
    </xf>
    <xf numFmtId="168" fontId="29" fillId="0" borderId="0" xfId="3" applyNumberFormat="1" applyFont="1" applyFill="1" applyAlignment="1" applyProtection="1">
      <alignment horizontal="right" vertical="center" wrapText="1"/>
    </xf>
    <xf numFmtId="0" fontId="32" fillId="2" borderId="5" xfId="0" applyFont="1" applyFill="1" applyBorder="1" applyAlignment="1">
      <alignment horizontal="center" vertical="center" wrapText="1"/>
    </xf>
    <xf numFmtId="168" fontId="32" fillId="2" borderId="5" xfId="4" applyNumberFormat="1" applyFont="1" applyFill="1" applyBorder="1" applyAlignment="1" applyProtection="1">
      <alignment horizontal="center" vertical="center" wrapText="1"/>
    </xf>
    <xf numFmtId="9" fontId="32" fillId="2" borderId="5" xfId="5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justify" vertical="center" wrapText="1"/>
    </xf>
    <xf numFmtId="169" fontId="38" fillId="2" borderId="5" xfId="0" applyNumberFormat="1" applyFont="1" applyFill="1" applyBorder="1" applyAlignment="1">
      <alignment horizontal="center" vertical="center" wrapText="1"/>
    </xf>
    <xf numFmtId="9" fontId="33" fillId="0" borderId="5" xfId="2" applyFont="1" applyFill="1" applyBorder="1" applyAlignment="1">
      <alignment horizontal="center" vertical="center" wrapText="1"/>
    </xf>
    <xf numFmtId="172" fontId="33" fillId="0" borderId="5" xfId="1" applyNumberFormat="1" applyFont="1" applyFill="1" applyBorder="1" applyAlignment="1">
      <alignment horizontal="left" vertical="center" wrapText="1"/>
    </xf>
    <xf numFmtId="172" fontId="33" fillId="0" borderId="5" xfId="1" applyNumberFormat="1" applyFont="1" applyFill="1" applyBorder="1" applyAlignment="1">
      <alignment horizontal="justify" vertical="center" wrapText="1"/>
    </xf>
    <xf numFmtId="172" fontId="32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39" fillId="3" borderId="5" xfId="0" applyFont="1" applyFill="1" applyBorder="1" applyAlignment="1">
      <alignment horizontal="left" vertical="center" wrapText="1"/>
    </xf>
    <xf numFmtId="172" fontId="39" fillId="3" borderId="5" xfId="1" applyNumberFormat="1" applyFont="1" applyFill="1" applyBorder="1" applyAlignment="1" applyProtection="1">
      <alignment horizontal="right" vertical="center" wrapText="1"/>
      <protection locked="0"/>
    </xf>
    <xf numFmtId="9" fontId="39" fillId="3" borderId="5" xfId="2" applyFont="1" applyFill="1" applyBorder="1" applyAlignment="1" applyProtection="1">
      <alignment horizontal="center" vertical="center" wrapText="1"/>
      <protection locked="0"/>
    </xf>
    <xf numFmtId="0" fontId="39" fillId="3" borderId="5" xfId="0" applyFont="1" applyFill="1" applyBorder="1" applyAlignment="1">
      <alignment horizontal="justify" vertical="center" wrapText="1"/>
    </xf>
    <xf numFmtId="172" fontId="39" fillId="3" borderId="5" xfId="1" applyNumberFormat="1" applyFont="1" applyFill="1" applyBorder="1" applyAlignment="1">
      <alignment horizontal="justify" vertical="center" wrapText="1"/>
    </xf>
    <xf numFmtId="9" fontId="39" fillId="3" borderId="5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2" fillId="2" borderId="5" xfId="0" applyFont="1" applyFill="1" applyBorder="1" applyAlignment="1">
      <alignment horizontal="right" vertical="center" wrapText="1"/>
    </xf>
    <xf numFmtId="0" fontId="32" fillId="12" borderId="6" xfId="0" applyFont="1" applyFill="1" applyBorder="1" applyAlignment="1">
      <alignment horizontal="center" vertical="center" wrapText="1"/>
    </xf>
    <xf numFmtId="168" fontId="32" fillId="12" borderId="6" xfId="4" applyNumberFormat="1" applyFont="1" applyFill="1" applyBorder="1" applyAlignment="1" applyProtection="1">
      <alignment horizontal="center" vertical="center" wrapText="1"/>
    </xf>
    <xf numFmtId="168" fontId="33" fillId="13" borderId="6" xfId="4" applyNumberFormat="1" applyFont="1" applyFill="1" applyBorder="1" applyAlignment="1" applyProtection="1">
      <alignment horizontal="right" vertical="center" wrapText="1"/>
      <protection locked="0"/>
    </xf>
    <xf numFmtId="172" fontId="33" fillId="13" borderId="6" xfId="1" applyNumberFormat="1" applyFont="1" applyFill="1" applyBorder="1" applyAlignment="1">
      <alignment horizontal="left" vertical="center" wrapText="1"/>
    </xf>
    <xf numFmtId="172" fontId="34" fillId="13" borderId="6" xfId="1" applyNumberFormat="1" applyFont="1" applyFill="1" applyBorder="1" applyAlignment="1">
      <alignment horizontal="left" vertical="center" wrapText="1"/>
    </xf>
    <xf numFmtId="172" fontId="34" fillId="13" borderId="6" xfId="1" applyNumberFormat="1" applyFont="1" applyFill="1" applyBorder="1" applyAlignment="1">
      <alignment horizontal="justify" vertical="center" wrapText="1"/>
    </xf>
    <xf numFmtId="172" fontId="33" fillId="13" borderId="6" xfId="1" applyNumberFormat="1" applyFont="1" applyFill="1" applyBorder="1" applyAlignment="1">
      <alignment horizontal="justify" vertical="center" wrapText="1"/>
    </xf>
    <xf numFmtId="172" fontId="36" fillId="13" borderId="6" xfId="1" applyNumberFormat="1" applyFont="1" applyFill="1" applyBorder="1" applyAlignment="1">
      <alignment horizontal="justify" vertical="center" wrapText="1"/>
    </xf>
    <xf numFmtId="172" fontId="32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42" fillId="0" borderId="0" xfId="0" applyFont="1" applyAlignment="1">
      <alignment vertical="center"/>
    </xf>
    <xf numFmtId="9" fontId="45" fillId="12" borderId="6" xfId="5" applyFont="1" applyFill="1" applyBorder="1" applyAlignment="1" applyProtection="1">
      <alignment horizontal="center" vertical="center" wrapText="1"/>
    </xf>
    <xf numFmtId="9" fontId="8" fillId="13" borderId="6" xfId="2" applyFont="1" applyFill="1" applyBorder="1" applyAlignment="1">
      <alignment horizontal="center" vertical="center" wrapText="1"/>
    </xf>
    <xf numFmtId="9" fontId="35" fillId="13" borderId="6" xfId="2" applyFont="1" applyFill="1" applyBorder="1" applyAlignment="1">
      <alignment horizontal="center" vertical="center" wrapText="1"/>
    </xf>
    <xf numFmtId="9" fontId="37" fillId="13" borderId="6" xfId="2" applyFont="1" applyFill="1" applyBorder="1" applyAlignment="1">
      <alignment horizontal="center" vertical="center" wrapText="1"/>
    </xf>
    <xf numFmtId="9" fontId="46" fillId="12" borderId="6" xfId="2" applyFont="1" applyFill="1" applyBorder="1" applyAlignment="1">
      <alignment horizontal="center" vertical="center" wrapText="1"/>
    </xf>
    <xf numFmtId="0" fontId="44" fillId="0" borderId="0" xfId="0" applyFont="1"/>
    <xf numFmtId="0" fontId="33" fillId="13" borderId="6" xfId="0" applyFont="1" applyFill="1" applyBorder="1" applyAlignment="1">
      <alignment vertical="center" wrapText="1"/>
    </xf>
    <xf numFmtId="0" fontId="34" fillId="13" borderId="6" xfId="0" applyFont="1" applyFill="1" applyBorder="1" applyAlignment="1">
      <alignment vertical="center" wrapText="1"/>
    </xf>
    <xf numFmtId="165" fontId="36" fillId="13" borderId="6" xfId="0" applyNumberFormat="1" applyFont="1" applyFill="1" applyBorder="1" applyAlignment="1">
      <alignment vertical="center" wrapText="1"/>
    </xf>
    <xf numFmtId="168" fontId="47" fillId="0" borderId="0" xfId="4" applyNumberFormat="1" applyFont="1" applyFill="1" applyAlignment="1" applyProtection="1">
      <alignment horizontal="right" vertical="center" wrapText="1"/>
    </xf>
    <xf numFmtId="0" fontId="7" fillId="5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14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47" fillId="2" borderId="0" xfId="3" applyNumberFormat="1" applyFont="1" applyFill="1" applyAlignment="1" applyProtection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0" fillId="0" borderId="7" xfId="0" applyFont="1" applyBorder="1" applyAlignment="1">
      <alignment horizontal="center" vertical="center"/>
    </xf>
    <xf numFmtId="166" fontId="5" fillId="15" borderId="0" xfId="4" applyNumberFormat="1" applyFont="1" applyFill="1" applyAlignment="1" applyProtection="1">
      <alignment horizontal="center" vertical="center"/>
    </xf>
    <xf numFmtId="166" fontId="5" fillId="15" borderId="0" xfId="0" applyNumberFormat="1" applyFont="1" applyFill="1" applyAlignment="1">
      <alignment horizontal="center" vertical="center"/>
    </xf>
    <xf numFmtId="168" fontId="8" fillId="15" borderId="0" xfId="3" applyNumberFormat="1" applyFont="1" applyFill="1" applyAlignment="1" applyProtection="1">
      <alignment horizontal="center" vertical="center"/>
    </xf>
    <xf numFmtId="49" fontId="8" fillId="15" borderId="1" xfId="3" applyNumberFormat="1" applyFont="1" applyFill="1" applyBorder="1" applyAlignment="1" applyProtection="1">
      <alignment horizontal="center" vertical="center"/>
    </xf>
    <xf numFmtId="49" fontId="8" fillId="15" borderId="0" xfId="3" applyNumberFormat="1" applyFont="1" applyFill="1" applyBorder="1" applyAlignment="1" applyProtection="1">
      <alignment horizontal="center" vertical="center"/>
    </xf>
    <xf numFmtId="49" fontId="8" fillId="15" borderId="2" xfId="3" applyNumberFormat="1" applyFont="1" applyFill="1" applyBorder="1" applyAlignment="1" applyProtection="1">
      <alignment horizontal="center" vertical="center"/>
    </xf>
  </cellXfs>
  <cellStyles count="12">
    <cellStyle name="Comma" xfId="1" builtinId="3"/>
    <cellStyle name="Excel Built-in Comma" xfId="3"/>
    <cellStyle name="Excel Built-in Comma 1" xfId="4"/>
    <cellStyle name="Excel Built-in Percent" xfId="9"/>
    <cellStyle name="Normal" xfId="0" builtinId="0"/>
    <cellStyle name="Normal 17" xfId="7"/>
    <cellStyle name="Normal 2" xfId="11"/>
    <cellStyle name="Normal 2 2 2" xfId="6"/>
    <cellStyle name="Normal 23" xfId="8"/>
    <cellStyle name="Normal 34" xfId="10"/>
    <cellStyle name="Percent" xfId="2" builtinId="5"/>
    <cellStyle name="Porcentagem 2" xfId="5"/>
  </cellStyles>
  <dxfs count="6">
    <dxf>
      <font>
        <color theme="0" tint="-0.14996795556505021"/>
      </font>
      <fill>
        <patternFill patternType="solid">
          <fgColor theme="0" tint="-0.14996795556505021"/>
          <bgColor theme="0" tint="-0.14993743705557422"/>
        </patternFill>
      </fill>
    </dxf>
    <dxf>
      <font>
        <color theme="0" tint="-0.14996795556505021"/>
      </font>
      <fill>
        <patternFill>
          <fgColor theme="0" tint="-0.14996795556505021"/>
          <bgColor theme="0" tint="-0.14996795556505021"/>
        </patternFill>
      </fill>
    </dxf>
    <dxf>
      <font>
        <color theme="0" tint="-0.14996795556505021"/>
      </font>
      <fill>
        <patternFill patternType="solid">
          <fgColor theme="0" tint="-0.14996795556505021"/>
          <bgColor theme="0" tint="-0.14993743705557422"/>
        </patternFill>
      </fill>
    </dxf>
    <dxf>
      <font>
        <color theme="0" tint="-0.14996795556505021"/>
      </font>
      <fill>
        <patternFill>
          <fgColor theme="0" tint="-0.14996795556505021"/>
          <bgColor theme="0" tint="-0.14996795556505021"/>
        </patternFill>
      </fill>
    </dxf>
    <dxf>
      <font>
        <color theme="0" tint="-0.14996795556505021"/>
      </font>
      <fill>
        <patternFill patternType="solid">
          <fgColor theme="0" tint="-0.14996795556505021"/>
          <bgColor theme="0" tint="-0.14993743705557422"/>
        </patternFill>
      </fill>
    </dxf>
    <dxf>
      <font>
        <color theme="0" tint="-0.14996795556505021"/>
      </font>
      <fill>
        <patternFill>
          <fgColor theme="0" tint="-0.14996795556505021"/>
          <bgColor theme="0" tint="-0.14996795556505021"/>
        </patternFill>
      </fill>
    </dxf>
  </dxfs>
  <tableStyles count="0" defaultTableStyle="TableStyleMedium2" defaultPivotStyle="PivotStyleLight16"/>
  <colors>
    <mruColors>
      <color rgb="FF9D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p.IDB/AppData/Local/Microsoft/Windows/Temporary%20Internet%20Files/Content.Outlook/2CU63Z1G/PEP_VFinal%2026Ab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_Resumen"/>
      <sheetName val="Cuadro_x_linea"/>
      <sheetName val="PEP"/>
      <sheetName val="Comunicación"/>
    </sheetNames>
    <sheetDataSet>
      <sheetData sheetId="0"/>
      <sheetData sheetId="1"/>
      <sheetData sheetId="2"/>
      <sheetData sheetId="3">
        <row r="3">
          <cell r="D3">
            <v>21250000</v>
          </cell>
        </row>
        <row r="4">
          <cell r="D4">
            <v>63750000</v>
          </cell>
        </row>
        <row r="12">
          <cell r="D12">
            <v>20000000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.140625" style="241"/>
    <col min="2" max="2" width="48" style="241" customWidth="1"/>
    <col min="3" max="4" width="14.42578125" style="241" hidden="1" customWidth="1"/>
    <col min="5" max="7" width="14.42578125" style="241" customWidth="1"/>
    <col min="8" max="9" width="8.28515625" style="241" customWidth="1"/>
    <col min="10" max="16384" width="9.140625" style="241"/>
  </cols>
  <sheetData>
    <row r="1" spans="2:9" ht="65.25" customHeight="1" x14ac:dyDescent="0.25">
      <c r="B1" s="269" t="s">
        <v>179</v>
      </c>
      <c r="C1" s="269"/>
      <c r="D1" s="269"/>
      <c r="E1" s="269"/>
      <c r="F1" s="269"/>
      <c r="G1" s="269"/>
      <c r="H1" s="269"/>
      <c r="I1" s="269"/>
    </row>
    <row r="2" spans="2:9" ht="33.75" customHeight="1" x14ac:dyDescent="0.25">
      <c r="B2" s="270" t="s">
        <v>178</v>
      </c>
      <c r="C2" s="270"/>
      <c r="D2" s="270"/>
      <c r="E2" s="270"/>
      <c r="F2" s="270"/>
      <c r="G2" s="270"/>
      <c r="H2" s="270"/>
      <c r="I2" s="270"/>
    </row>
    <row r="3" spans="2:9" ht="29.25" customHeight="1" x14ac:dyDescent="0.25">
      <c r="B3" s="225" t="s">
        <v>8</v>
      </c>
      <c r="C3" s="226" t="s">
        <v>174</v>
      </c>
      <c r="D3" s="226" t="s">
        <v>175</v>
      </c>
      <c r="E3" s="226" t="s">
        <v>176</v>
      </c>
      <c r="F3" s="226" t="s">
        <v>177</v>
      </c>
      <c r="G3" s="226" t="s">
        <v>170</v>
      </c>
      <c r="H3" s="227" t="s">
        <v>14</v>
      </c>
      <c r="I3" s="227" t="s">
        <v>15</v>
      </c>
    </row>
    <row r="4" spans="2:9" s="242" customFormat="1" ht="29.25" customHeight="1" x14ac:dyDescent="0.25">
      <c r="B4" s="235" t="str">
        <f>+PEP!G7</f>
        <v>Componente 1 – Apoyo al SNIC</v>
      </c>
      <c r="C4" s="236">
        <f>+PEP!H7</f>
        <v>454476500</v>
      </c>
      <c r="D4" s="236">
        <f>+PEP!I7</f>
        <v>99984830</v>
      </c>
      <c r="E4" s="236">
        <f>+PEP!J7</f>
        <v>14202390.625</v>
      </c>
      <c r="F4" s="236">
        <f>+PEP!K7</f>
        <v>3124525.9375</v>
      </c>
      <c r="G4" s="236">
        <f>+PEP!L7</f>
        <v>17326916.5625</v>
      </c>
      <c r="H4" s="237">
        <f>+PEP!M7</f>
        <v>0.81967213114754101</v>
      </c>
      <c r="I4" s="237">
        <f>+PEP!N7</f>
        <v>0.18032786885245899</v>
      </c>
    </row>
    <row r="5" spans="2:9" ht="29.25" customHeight="1" x14ac:dyDescent="0.25">
      <c r="B5" s="228" t="str">
        <f>+PEP!G8</f>
        <v>Subcomponente 1.1 – Acciones transversales</v>
      </c>
      <c r="C5" s="232">
        <f>+PEP!H8</f>
        <v>377130500</v>
      </c>
      <c r="D5" s="232">
        <f>+PEP!I8</f>
        <v>82968710</v>
      </c>
      <c r="E5" s="232">
        <f>+PEP!J8</f>
        <v>11785328.125</v>
      </c>
      <c r="F5" s="232">
        <f>+PEP!K8</f>
        <v>2592772.1875</v>
      </c>
      <c r="G5" s="232">
        <f>+PEP!L8</f>
        <v>14378100.3125</v>
      </c>
      <c r="H5" s="231">
        <f>+PEP!M8</f>
        <v>0.81967213114754101</v>
      </c>
      <c r="I5" s="231">
        <f>+PEP!N8</f>
        <v>0.18032786885245899</v>
      </c>
    </row>
    <row r="6" spans="2:9" ht="29.25" customHeight="1" x14ac:dyDescent="0.25">
      <c r="B6" s="229" t="str">
        <f>+PEP!G83</f>
        <v>Subcomponente 1.2 – Mejora de la calidad de atención en PI.</v>
      </c>
      <c r="C6" s="233">
        <f>+PEP!H83</f>
        <v>77346000</v>
      </c>
      <c r="D6" s="233">
        <f>+PEP!I83</f>
        <v>17016120</v>
      </c>
      <c r="E6" s="233">
        <f>+PEP!J83</f>
        <v>2417062.5</v>
      </c>
      <c r="F6" s="233">
        <f>+PEP!K83</f>
        <v>531753.75</v>
      </c>
      <c r="G6" s="233">
        <f>+PEP!L83</f>
        <v>2948816.25</v>
      </c>
      <c r="H6" s="231">
        <f>+PEP!M83</f>
        <v>0.81967213114754101</v>
      </c>
      <c r="I6" s="231">
        <f>+PEP!N83</f>
        <v>0.18032786885245899</v>
      </c>
    </row>
    <row r="7" spans="2:9" s="242" customFormat="1" ht="29.25" customHeight="1" x14ac:dyDescent="0.25">
      <c r="B7" s="238" t="str">
        <f>+PEP!G144</f>
        <v>Componente 2 – Expansión y mejora de la calidad de Centros CAIF</v>
      </c>
      <c r="C7" s="239">
        <f>+PEP!H144</f>
        <v>995944000</v>
      </c>
      <c r="D7" s="239">
        <f>+PEP!I144</f>
        <v>262307680</v>
      </c>
      <c r="E7" s="239">
        <f>+PEP!J144</f>
        <v>31123250</v>
      </c>
      <c r="F7" s="239">
        <f>+PEP!K144</f>
        <v>8197115</v>
      </c>
      <c r="G7" s="239">
        <f>+PEP!L144</f>
        <v>39320365</v>
      </c>
      <c r="H7" s="240">
        <f>+PEP!M144</f>
        <v>0.79153003793326948</v>
      </c>
      <c r="I7" s="240">
        <f>+PEP!N144</f>
        <v>0.20846996206673052</v>
      </c>
    </row>
    <row r="8" spans="2:9" ht="29.25" customHeight="1" x14ac:dyDescent="0.25">
      <c r="B8" s="229" t="str">
        <f>+PEP!G145</f>
        <v>Subcomponente 2.1 Apoyo a la mejora de calidad de acciones de PI en INAU</v>
      </c>
      <c r="C8" s="233">
        <f>+PEP!H145</f>
        <v>35944000</v>
      </c>
      <c r="D8" s="233">
        <f>+PEP!I145</f>
        <v>7907680</v>
      </c>
      <c r="E8" s="233">
        <f>+PEP!J145</f>
        <v>1123250</v>
      </c>
      <c r="F8" s="233">
        <f>+PEP!K145</f>
        <v>247115</v>
      </c>
      <c r="G8" s="233">
        <f>+PEP!L145</f>
        <v>1370365</v>
      </c>
      <c r="H8" s="231">
        <f>+PEP!M145</f>
        <v>0.81967213114754101</v>
      </c>
      <c r="I8" s="231">
        <f>+PEP!N145</f>
        <v>0.18032786885245899</v>
      </c>
    </row>
    <row r="9" spans="2:9" ht="29.25" customHeight="1" x14ac:dyDescent="0.25">
      <c r="B9" s="229" t="str">
        <f>+PEP!G159</f>
        <v>Subcomponente 2.2 Apoyo a la expansión de Centros CAIF</v>
      </c>
      <c r="C9" s="233">
        <f>+PEP!H159</f>
        <v>960000000</v>
      </c>
      <c r="D9" s="233">
        <f>+PEP!I159</f>
        <v>254400000</v>
      </c>
      <c r="E9" s="233">
        <f>+PEP!J159</f>
        <v>30000000</v>
      </c>
      <c r="F9" s="233">
        <f>+PEP!K159</f>
        <v>7950000</v>
      </c>
      <c r="G9" s="233">
        <f>+PEP!L159</f>
        <v>37950000</v>
      </c>
      <c r="H9" s="231">
        <f>+PEP!M159</f>
        <v>0.79051383399209485</v>
      </c>
      <c r="I9" s="231">
        <f>+PEP!N159</f>
        <v>0.20948616600790515</v>
      </c>
    </row>
    <row r="10" spans="2:9" s="242" customFormat="1" ht="29.25" customHeight="1" x14ac:dyDescent="0.25">
      <c r="B10" s="238" t="str">
        <f>+PEP!G163</f>
        <v>Componente 3 – Administración, evaluación y auditoría</v>
      </c>
      <c r="C10" s="239">
        <f>+PEP!H163</f>
        <v>149579500</v>
      </c>
      <c r="D10" s="239">
        <f>+PEP!I163</f>
        <v>117707490</v>
      </c>
      <c r="E10" s="239">
        <f>+PEP!J163</f>
        <v>4674359.375</v>
      </c>
      <c r="F10" s="239">
        <f>+PEP!K163</f>
        <v>3678359.0625</v>
      </c>
      <c r="G10" s="239">
        <f>+PEP!L163</f>
        <v>8352718.4375</v>
      </c>
      <c r="H10" s="240">
        <f>+PEP!M163</f>
        <v>0.55962132687415878</v>
      </c>
      <c r="I10" s="240">
        <f>+PEP!N163</f>
        <v>0.44037867312584122</v>
      </c>
    </row>
    <row r="11" spans="2:9" ht="29.25" customHeight="1" x14ac:dyDescent="0.25">
      <c r="B11" s="243" t="s">
        <v>168</v>
      </c>
      <c r="C11" s="234">
        <f>+C10+C7+C4</f>
        <v>1600000000</v>
      </c>
      <c r="D11" s="234">
        <f t="shared" ref="D11:G11" si="0">+D10+D7+D4</f>
        <v>480000000</v>
      </c>
      <c r="E11" s="234">
        <f t="shared" si="0"/>
        <v>50000000</v>
      </c>
      <c r="F11" s="234">
        <f t="shared" si="0"/>
        <v>15000000</v>
      </c>
      <c r="G11" s="234">
        <f t="shared" si="0"/>
        <v>65000000</v>
      </c>
      <c r="H11" s="230">
        <f>+E11/G11</f>
        <v>0.76923076923076927</v>
      </c>
      <c r="I11" s="230">
        <f>+F11/G11</f>
        <v>0.23076923076923078</v>
      </c>
    </row>
  </sheetData>
  <mergeCells count="2">
    <mergeCell ref="B1:I1"/>
    <mergeCell ref="B2:I2"/>
  </mergeCells>
  <printOptions horizontalCentered="1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42.85546875" customWidth="1"/>
    <col min="2" max="3" width="13.140625" hidden="1" customWidth="1"/>
    <col min="4" max="6" width="11.85546875" customWidth="1"/>
    <col min="7" max="8" width="4.85546875" style="259" customWidth="1"/>
  </cols>
  <sheetData>
    <row r="1" spans="1:8" s="253" customFormat="1" ht="57" customHeight="1" x14ac:dyDescent="0.25">
      <c r="A1" s="271" t="s">
        <v>179</v>
      </c>
      <c r="B1" s="271"/>
      <c r="C1" s="271"/>
      <c r="D1" s="271"/>
      <c r="E1" s="271"/>
      <c r="F1" s="271"/>
      <c r="G1" s="271"/>
      <c r="H1" s="271"/>
    </row>
    <row r="2" spans="1:8" s="253" customFormat="1" ht="32.25" customHeight="1" x14ac:dyDescent="0.25">
      <c r="A2" s="272" t="s">
        <v>180</v>
      </c>
      <c r="B2" s="272"/>
      <c r="C2" s="272"/>
      <c r="D2" s="272"/>
      <c r="E2" s="272"/>
      <c r="F2" s="272"/>
      <c r="G2" s="272"/>
      <c r="H2" s="272"/>
    </row>
    <row r="3" spans="1:8" ht="25.5" x14ac:dyDescent="0.25">
      <c r="A3" s="244" t="s">
        <v>8</v>
      </c>
      <c r="B3" s="245" t="s">
        <v>9</v>
      </c>
      <c r="C3" s="245" t="s">
        <v>10</v>
      </c>
      <c r="D3" s="245" t="s">
        <v>11</v>
      </c>
      <c r="E3" s="245" t="s">
        <v>12</v>
      </c>
      <c r="F3" s="245" t="s">
        <v>170</v>
      </c>
      <c r="G3" s="254" t="s">
        <v>14</v>
      </c>
      <c r="H3" s="254" t="s">
        <v>15</v>
      </c>
    </row>
    <row r="4" spans="1:8" ht="25.5" customHeight="1" x14ac:dyDescent="0.25">
      <c r="A4" s="260" t="s">
        <v>36</v>
      </c>
      <c r="B4" s="246">
        <f>+PEP!H7</f>
        <v>454476500</v>
      </c>
      <c r="C4" s="246">
        <f>+PEP!I7</f>
        <v>99984830</v>
      </c>
      <c r="D4" s="246">
        <f>+PEP!J7</f>
        <v>14202390.625</v>
      </c>
      <c r="E4" s="246">
        <f>+PEP!K7</f>
        <v>3124525.9375</v>
      </c>
      <c r="F4" s="246">
        <f>+PEP!L7</f>
        <v>17326916.5625</v>
      </c>
      <c r="G4" s="255">
        <v>0.81967213114754101</v>
      </c>
      <c r="H4" s="255">
        <v>0.18032786885245899</v>
      </c>
    </row>
    <row r="5" spans="1:8" ht="25.5" customHeight="1" x14ac:dyDescent="0.25">
      <c r="A5" s="260" t="str">
        <f>+PEP!G8</f>
        <v>Subcomponente 1.1 – Acciones transversales</v>
      </c>
      <c r="B5" s="247">
        <f>+PEP!H8</f>
        <v>377130500</v>
      </c>
      <c r="C5" s="247">
        <f>+PEP!I8</f>
        <v>82968710</v>
      </c>
      <c r="D5" s="247">
        <f>+PEP!J8</f>
        <v>11785328.125</v>
      </c>
      <c r="E5" s="247">
        <f>+PEP!K8</f>
        <v>2592772.1875</v>
      </c>
      <c r="F5" s="247">
        <f>+PEP!L8</f>
        <v>14378100.3125</v>
      </c>
      <c r="G5" s="255">
        <f>+PEP!M8</f>
        <v>0.81967213114754101</v>
      </c>
      <c r="H5" s="255">
        <f>+PEP!N8</f>
        <v>0.18032786885245899</v>
      </c>
    </row>
    <row r="6" spans="1:8" ht="25.5" customHeight="1" x14ac:dyDescent="0.25">
      <c r="A6" s="261" t="str">
        <f>+PEP!G9</f>
        <v>Línea de Acción 1.1.1. - Portal de cuidados.</v>
      </c>
      <c r="B6" s="248">
        <f>+PEP!H9</f>
        <v>179382500</v>
      </c>
      <c r="C6" s="248">
        <f>+PEP!I9</f>
        <v>39464150</v>
      </c>
      <c r="D6" s="248">
        <f>+PEP!J9</f>
        <v>5605703.125</v>
      </c>
      <c r="E6" s="248">
        <f>+PEP!K9</f>
        <v>1233254.6875</v>
      </c>
      <c r="F6" s="248">
        <f>+PEP!L9</f>
        <v>6838957.8125</v>
      </c>
      <c r="G6" s="256">
        <f>+PEP!M9</f>
        <v>0.81967213114754101</v>
      </c>
      <c r="H6" s="256">
        <f>+PEP!N9</f>
        <v>0.18032786885245899</v>
      </c>
    </row>
    <row r="7" spans="1:8" ht="25.5" customHeight="1" x14ac:dyDescent="0.25">
      <c r="A7" s="261" t="str">
        <f>+PEP!G50</f>
        <v>Línea de Acción 1.1.2. -Estrategia de Comunicación del SNIC.</v>
      </c>
      <c r="B7" s="248">
        <f>+PEP!H50</f>
        <v>135785000</v>
      </c>
      <c r="C7" s="248">
        <f>+PEP!I50</f>
        <v>29872700</v>
      </c>
      <c r="D7" s="248">
        <f>+PEP!J50</f>
        <v>4243281.25</v>
      </c>
      <c r="E7" s="248">
        <f>+PEP!K50</f>
        <v>933521.875</v>
      </c>
      <c r="F7" s="248">
        <f>+PEP!L50</f>
        <v>5176803.125</v>
      </c>
      <c r="G7" s="256">
        <f>+PEP!M50</f>
        <v>0.81967213114754101</v>
      </c>
      <c r="H7" s="256">
        <f>+PEP!N50</f>
        <v>0.18032786885245899</v>
      </c>
    </row>
    <row r="8" spans="1:8" ht="25.5" customHeight="1" x14ac:dyDescent="0.25">
      <c r="A8" s="261" t="str">
        <f>+PEP!G61</f>
        <v>Línea de Acción 1.1.3. - Generación y gestión de la información y el conocimiento</v>
      </c>
      <c r="B8" s="248">
        <f>+PEP!H61</f>
        <v>39276000</v>
      </c>
      <c r="C8" s="248">
        <f>+PEP!I61</f>
        <v>8640720</v>
      </c>
      <c r="D8" s="248">
        <f>+PEP!J61</f>
        <v>1227375</v>
      </c>
      <c r="E8" s="248">
        <f>+PEP!K61</f>
        <v>270022.5</v>
      </c>
      <c r="F8" s="248">
        <f>+PEP!L61</f>
        <v>1497397.5</v>
      </c>
      <c r="G8" s="256">
        <f>+PEP!M61</f>
        <v>0.81967213114754101</v>
      </c>
      <c r="H8" s="256">
        <f>+PEP!N61</f>
        <v>0.18032786885245899</v>
      </c>
    </row>
    <row r="9" spans="1:8" ht="25.5" customHeight="1" x14ac:dyDescent="0.25">
      <c r="A9" s="261" t="str">
        <f>+PEP!G68</f>
        <v>Línea de Acción 1.1.4. -Marco Regulatorio del SNIC.</v>
      </c>
      <c r="B9" s="249">
        <f>+PEP!H68</f>
        <v>22687000</v>
      </c>
      <c r="C9" s="249">
        <f>+PEP!I68</f>
        <v>4991140</v>
      </c>
      <c r="D9" s="249">
        <f>+PEP!J68</f>
        <v>708968.75</v>
      </c>
      <c r="E9" s="249">
        <f>+PEP!K68</f>
        <v>155973.125</v>
      </c>
      <c r="F9" s="249">
        <f>+PEP!L68</f>
        <v>864941.875</v>
      </c>
      <c r="G9" s="256">
        <f>+PEP!M68</f>
        <v>0.81967213114754101</v>
      </c>
      <c r="H9" s="256">
        <f>+PEP!N68</f>
        <v>0.18032786885245899</v>
      </c>
    </row>
    <row r="10" spans="1:8" ht="25.5" customHeight="1" x14ac:dyDescent="0.25">
      <c r="A10" s="260" t="str">
        <f>+PEP!G83</f>
        <v>Subcomponente 1.2 – Mejora de la calidad de atención en PI.</v>
      </c>
      <c r="B10" s="250">
        <f>+PEP!H83</f>
        <v>77346000</v>
      </c>
      <c r="C10" s="250">
        <f>+PEP!I83</f>
        <v>17016120</v>
      </c>
      <c r="D10" s="250">
        <f>+PEP!J83</f>
        <v>2417062.5</v>
      </c>
      <c r="E10" s="250">
        <f>+PEP!K83</f>
        <v>531753.75</v>
      </c>
      <c r="F10" s="250">
        <f>+PEP!L83</f>
        <v>2948816.25</v>
      </c>
      <c r="G10" s="255">
        <f>+PEP!M83</f>
        <v>0.81967213114754101</v>
      </c>
      <c r="H10" s="255">
        <f>+PEP!N83</f>
        <v>0.18032786885245899</v>
      </c>
    </row>
    <row r="11" spans="1:8" ht="25.5" customHeight="1" x14ac:dyDescent="0.25">
      <c r="A11" s="261" t="str">
        <f>+PEP!G84</f>
        <v>Línea de Acción 1.2.1. - Mejora de la atención en PI</v>
      </c>
      <c r="B11" s="249">
        <f>+PEP!H84</f>
        <v>52822000</v>
      </c>
      <c r="C11" s="249">
        <f>+PEP!I84</f>
        <v>11620840</v>
      </c>
      <c r="D11" s="249">
        <f>+PEP!J84</f>
        <v>1650687.5</v>
      </c>
      <c r="E11" s="249">
        <f>+PEP!K84</f>
        <v>363151.25</v>
      </c>
      <c r="F11" s="249">
        <f>+PEP!L84</f>
        <v>2013838.75</v>
      </c>
      <c r="G11" s="256">
        <f>+PEP!M84</f>
        <v>0.81967213114754101</v>
      </c>
      <c r="H11" s="256">
        <f>+PEP!N84</f>
        <v>0.18032786885245899</v>
      </c>
    </row>
    <row r="12" spans="1:8" ht="25.5" customHeight="1" x14ac:dyDescent="0.25">
      <c r="A12" s="261" t="str">
        <f>+PEP!G119</f>
        <v>Línea de Acción 1.2.2. - Desarrollo de servicios innovadores de cuidado</v>
      </c>
      <c r="B12" s="249">
        <f>+PEP!H119</f>
        <v>24524000</v>
      </c>
      <c r="C12" s="249">
        <f>+PEP!I119</f>
        <v>5395280</v>
      </c>
      <c r="D12" s="249">
        <f>+PEP!J119</f>
        <v>766375</v>
      </c>
      <c r="E12" s="249">
        <f>+PEP!K119</f>
        <v>168602.5</v>
      </c>
      <c r="F12" s="249">
        <f>+PEP!L119</f>
        <v>934977.5</v>
      </c>
      <c r="G12" s="256">
        <f>+PEP!M119</f>
        <v>0.81967213114754101</v>
      </c>
      <c r="H12" s="256">
        <f>+PEP!N119</f>
        <v>0.18032786885245899</v>
      </c>
    </row>
    <row r="13" spans="1:8" ht="25.5" customHeight="1" x14ac:dyDescent="0.25">
      <c r="A13" s="260" t="str">
        <f>+PEP!G144</f>
        <v>Componente 2 – Expansión y mejora de la calidad de Centros CAIF</v>
      </c>
      <c r="B13" s="250">
        <f>+PEP!H144</f>
        <v>995944000</v>
      </c>
      <c r="C13" s="250">
        <f>+PEP!I144</f>
        <v>262307680</v>
      </c>
      <c r="D13" s="250">
        <f>+PEP!J144</f>
        <v>31123250</v>
      </c>
      <c r="E13" s="250">
        <f>+PEP!K144</f>
        <v>8197115</v>
      </c>
      <c r="F13" s="250">
        <f>+PEP!L144</f>
        <v>39320365</v>
      </c>
      <c r="G13" s="255">
        <f>+PEP!M144</f>
        <v>0.79153003793326948</v>
      </c>
      <c r="H13" s="255">
        <f>+PEP!N144</f>
        <v>0.20846996206673052</v>
      </c>
    </row>
    <row r="14" spans="1:8" ht="25.5" customHeight="1" x14ac:dyDescent="0.25">
      <c r="A14" s="260" t="str">
        <f>+PEP!G145</f>
        <v>Subcomponente 2.1 Apoyo a la mejora de calidad de acciones de PI en INAU</v>
      </c>
      <c r="B14" s="250">
        <f>+PEP!H145</f>
        <v>35944000</v>
      </c>
      <c r="C14" s="250">
        <f>+PEP!I145</f>
        <v>7907680</v>
      </c>
      <c r="D14" s="250">
        <f>+PEP!J145</f>
        <v>1123250</v>
      </c>
      <c r="E14" s="250">
        <f>+PEP!K145</f>
        <v>247115</v>
      </c>
      <c r="F14" s="250">
        <f>+PEP!L145</f>
        <v>1370365</v>
      </c>
      <c r="G14" s="255">
        <f>+PEP!M145</f>
        <v>0.81967213114754101</v>
      </c>
      <c r="H14" s="255">
        <f>+PEP!N145</f>
        <v>0.18032786885245899</v>
      </c>
    </row>
    <row r="15" spans="1:8" ht="25.5" customHeight="1" x14ac:dyDescent="0.25">
      <c r="A15" s="261" t="str">
        <f>+PEP!G146</f>
        <v>Línea de Acción 2.1.1 - Fortalecimiento del INAU en la puesta en funcionamiento de la Secretaría de PI</v>
      </c>
      <c r="B15" s="249">
        <f>+PEP!H146</f>
        <v>21560000</v>
      </c>
      <c r="C15" s="249">
        <f>+PEP!I146</f>
        <v>4743200</v>
      </c>
      <c r="D15" s="249">
        <f>+PEP!J146</f>
        <v>673750</v>
      </c>
      <c r="E15" s="249">
        <f>+PEP!K146</f>
        <v>148225</v>
      </c>
      <c r="F15" s="249">
        <f>+PEP!L146</f>
        <v>821975</v>
      </c>
      <c r="G15" s="256">
        <f>+PEP!M146</f>
        <v>0.81967213114754101</v>
      </c>
      <c r="H15" s="256">
        <f>+PEP!N146</f>
        <v>0.18032786885245899</v>
      </c>
    </row>
    <row r="16" spans="1:8" ht="25.5" customHeight="1" x14ac:dyDescent="0.25">
      <c r="A16" s="261" t="str">
        <f>+PEP!G152</f>
        <v>Línea de Acción 2.1.2 - Programa de Parentalidades Positivas</v>
      </c>
      <c r="B16" s="249">
        <f>+PEP!H152</f>
        <v>14384000</v>
      </c>
      <c r="C16" s="249">
        <f>+PEP!I152</f>
        <v>3164480</v>
      </c>
      <c r="D16" s="249">
        <f>+PEP!J152</f>
        <v>449500</v>
      </c>
      <c r="E16" s="249">
        <f>+PEP!K152</f>
        <v>98890</v>
      </c>
      <c r="F16" s="249">
        <f>+PEP!L152</f>
        <v>548390</v>
      </c>
      <c r="G16" s="256">
        <f>+PEP!M152</f>
        <v>0.81967213114754101</v>
      </c>
      <c r="H16" s="256">
        <f>+PEP!N152</f>
        <v>0.18032786885245899</v>
      </c>
    </row>
    <row r="17" spans="1:8" ht="25.5" customHeight="1" x14ac:dyDescent="0.25">
      <c r="A17" s="260" t="str">
        <f>+PEP!G159</f>
        <v>Subcomponente 2.2 Apoyo a la expansión de Centros CAIF</v>
      </c>
      <c r="B17" s="250">
        <f>+PEP!H159</f>
        <v>960000000</v>
      </c>
      <c r="C17" s="250">
        <f>+PEP!I159</f>
        <v>254400000</v>
      </c>
      <c r="D17" s="250">
        <f>+PEP!J159</f>
        <v>30000000</v>
      </c>
      <c r="E17" s="250">
        <f>+PEP!K159</f>
        <v>7950000</v>
      </c>
      <c r="F17" s="250">
        <f>+PEP!L159</f>
        <v>37950000</v>
      </c>
      <c r="G17" s="255">
        <f>+PEP!M159</f>
        <v>0.79051383399209485</v>
      </c>
      <c r="H17" s="255">
        <f>+PEP!N159</f>
        <v>0.20948616600790515</v>
      </c>
    </row>
    <row r="18" spans="1:8" ht="25.5" customHeight="1" x14ac:dyDescent="0.25">
      <c r="A18" s="261" t="str">
        <f>+PEP!G160</f>
        <v>Línea de Acción 2.2.1 Ampliación de oferta de centros CAIF</v>
      </c>
      <c r="B18" s="249">
        <f>+PEP!H160</f>
        <v>960000000</v>
      </c>
      <c r="C18" s="249">
        <f>+PEP!I160</f>
        <v>254400000</v>
      </c>
      <c r="D18" s="249">
        <f>+PEP!J160</f>
        <v>30000000</v>
      </c>
      <c r="E18" s="249">
        <f>+PEP!K160</f>
        <v>7950000</v>
      </c>
      <c r="F18" s="249">
        <f>+PEP!L160</f>
        <v>37950000</v>
      </c>
      <c r="G18" s="256">
        <f>+PEP!M160</f>
        <v>0.79051383399209485</v>
      </c>
      <c r="H18" s="256">
        <f>+PEP!N160</f>
        <v>0.20948616600790515</v>
      </c>
    </row>
    <row r="19" spans="1:8" ht="25.5" customHeight="1" x14ac:dyDescent="0.25">
      <c r="A19" s="260" t="str">
        <f>+PEP!G163</f>
        <v>Componente 3 – Administración, evaluación y auditoría</v>
      </c>
      <c r="B19" s="250">
        <f>+PEP!H163</f>
        <v>149579500</v>
      </c>
      <c r="C19" s="250">
        <f>+PEP!I163</f>
        <v>117707490</v>
      </c>
      <c r="D19" s="250">
        <f>+PEP!J163</f>
        <v>4674359.375</v>
      </c>
      <c r="E19" s="250">
        <f>+PEP!K163</f>
        <v>3678359.0625</v>
      </c>
      <c r="F19" s="250">
        <f>+PEP!L163</f>
        <v>8352718.4375</v>
      </c>
      <c r="G19" s="255">
        <f>+PEP!M163</f>
        <v>0.55962132687415878</v>
      </c>
      <c r="H19" s="255">
        <f>+PEP!N163</f>
        <v>0.44037867312584122</v>
      </c>
    </row>
    <row r="20" spans="1:8" ht="25.5" customHeight="1" x14ac:dyDescent="0.25">
      <c r="A20" s="262" t="str">
        <f>+PEP!G164</f>
        <v>Línea de Acción 3.1 Administración y Ejecución del Proyecto</v>
      </c>
      <c r="B20" s="251">
        <f>+PEP!H164</f>
        <v>149579500</v>
      </c>
      <c r="C20" s="251">
        <f>+PEP!I164</f>
        <v>117707490</v>
      </c>
      <c r="D20" s="251">
        <f>+PEP!J164</f>
        <v>4674359.375</v>
      </c>
      <c r="E20" s="251">
        <f>+PEP!K164</f>
        <v>3678359.0625</v>
      </c>
      <c r="F20" s="251">
        <f>+PEP!L164</f>
        <v>8352718.4375</v>
      </c>
      <c r="G20" s="257">
        <f>+PEP!M164</f>
        <v>0.55962132687415878</v>
      </c>
      <c r="H20" s="257">
        <f>+PEP!N164</f>
        <v>0.44037867312584122</v>
      </c>
    </row>
    <row r="21" spans="1:8" ht="25.5" customHeight="1" x14ac:dyDescent="0.25">
      <c r="A21" s="262" t="str">
        <f>+PEP!G181</f>
        <v>Línea de Acción 3.2 Evaluación y Auditoria</v>
      </c>
      <c r="B21" s="251">
        <f>+PEP!H181</f>
        <v>24000000</v>
      </c>
      <c r="C21" s="251">
        <f>+PEP!I181</f>
        <v>6880000</v>
      </c>
      <c r="D21" s="251">
        <f>+PEP!J181</f>
        <v>750000</v>
      </c>
      <c r="E21" s="251">
        <f>+PEP!K181</f>
        <v>215000</v>
      </c>
      <c r="F21" s="251">
        <f>+PEP!L181</f>
        <v>965000</v>
      </c>
      <c r="G21" s="257">
        <f>+PEP!M181</f>
        <v>0.77720207253886009</v>
      </c>
      <c r="H21" s="257">
        <f>+PEP!N181</f>
        <v>0.22279792746113991</v>
      </c>
    </row>
    <row r="22" spans="1:8" ht="25.5" customHeight="1" x14ac:dyDescent="0.25">
      <c r="A22" s="244" t="s">
        <v>168</v>
      </c>
      <c r="B22" s="252">
        <f>+B19+B13+B4</f>
        <v>1600000000</v>
      </c>
      <c r="C22" s="252">
        <f t="shared" ref="C22:F22" si="0">+C19+C13+C4</f>
        <v>480000000</v>
      </c>
      <c r="D22" s="252">
        <f t="shared" si="0"/>
        <v>50000000</v>
      </c>
      <c r="E22" s="252">
        <f t="shared" si="0"/>
        <v>15000000</v>
      </c>
      <c r="F22" s="252">
        <f t="shared" si="0"/>
        <v>65000000</v>
      </c>
      <c r="G22" s="258">
        <f>+D22/F22</f>
        <v>0.76923076923076927</v>
      </c>
      <c r="H22" s="258">
        <f>+E22/F22</f>
        <v>0.23076923076923078</v>
      </c>
    </row>
  </sheetData>
  <mergeCells count="2">
    <mergeCell ref="A1:H1"/>
    <mergeCell ref="A2:H2"/>
  </mergeCells>
  <printOptions horizontalCentered="1"/>
  <pageMargins left="0.45" right="0.4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J194"/>
  <sheetViews>
    <sheetView tabSelected="1" view="pageBreakPreview" zoomScale="96" zoomScaleNormal="90" zoomScaleSheetLayoutView="96" workbookViewId="0">
      <pane xSplit="7" ySplit="6" topLeftCell="Q157" activePane="bottomRight" state="frozen"/>
      <selection pane="topRight" activeCell="H1" sqref="H1"/>
      <selection pane="bottomLeft" activeCell="A7" sqref="A7"/>
      <selection pane="bottomRight" activeCell="Y185" sqref="Y185"/>
    </sheetView>
  </sheetViews>
  <sheetFormatPr defaultRowHeight="15" x14ac:dyDescent="0.25"/>
  <cols>
    <col min="1" max="6" width="2.28515625" hidden="1" customWidth="1"/>
    <col min="7" max="7" width="56.28515625" customWidth="1"/>
    <col min="8" max="9" width="14.140625" hidden="1" customWidth="1"/>
    <col min="10" max="11" width="14.140625" customWidth="1"/>
    <col min="12" max="12" width="11.85546875" customWidth="1"/>
    <col min="13" max="14" width="4.85546875" customWidth="1"/>
    <col min="15" max="15" width="9.140625" style="222" customWidth="1"/>
    <col min="16" max="17" width="9.140625" customWidth="1"/>
    <col min="18" max="18" width="8.28515625" customWidth="1"/>
    <col min="19" max="19" width="3" hidden="1" customWidth="1"/>
    <col min="20" max="20" width="9.140625" hidden="1" customWidth="1"/>
    <col min="21" max="25" width="10.42578125" customWidth="1"/>
    <col min="26" max="26" width="10.42578125" hidden="1" customWidth="1"/>
    <col min="27" max="36" width="3.85546875" customWidth="1"/>
  </cols>
  <sheetData>
    <row r="1" spans="1:36" ht="12" customHeight="1" x14ac:dyDescent="0.25">
      <c r="A1" s="1"/>
      <c r="B1" s="1"/>
      <c r="C1" s="1"/>
      <c r="D1" s="1"/>
      <c r="E1" s="1"/>
      <c r="F1" s="1"/>
      <c r="G1" s="210"/>
      <c r="H1" s="74">
        <v>32</v>
      </c>
      <c r="I1" s="211"/>
      <c r="J1" s="211">
        <v>32</v>
      </c>
      <c r="K1" s="211"/>
      <c r="L1" s="211"/>
      <c r="M1" s="187"/>
      <c r="N1" s="4"/>
      <c r="O1" s="209"/>
      <c r="P1" s="209"/>
      <c r="Q1" s="212"/>
      <c r="R1" s="209"/>
      <c r="S1" s="213"/>
      <c r="T1" s="214"/>
      <c r="U1" s="214"/>
      <c r="V1" s="214"/>
      <c r="W1" s="214"/>
      <c r="X1" s="214"/>
      <c r="Y1" s="214"/>
      <c r="Z1" s="214"/>
      <c r="AA1" s="215"/>
      <c r="AB1" s="216"/>
      <c r="AC1" s="215"/>
      <c r="AD1" s="216"/>
      <c r="AE1" s="215"/>
      <c r="AF1" s="216"/>
      <c r="AG1" s="215"/>
      <c r="AH1" s="216"/>
      <c r="AI1" s="215"/>
      <c r="AJ1" s="216"/>
    </row>
    <row r="2" spans="1:36" ht="12" customHeight="1" x14ac:dyDescent="0.25">
      <c r="A2" s="1"/>
      <c r="B2" s="1"/>
      <c r="C2" s="1"/>
      <c r="D2" s="1"/>
      <c r="E2" s="1"/>
      <c r="F2" s="1"/>
      <c r="G2" s="2" t="s">
        <v>0</v>
      </c>
      <c r="H2" s="3"/>
      <c r="I2" s="3"/>
      <c r="J2" s="3"/>
      <c r="K2" s="3"/>
      <c r="L2" s="3"/>
      <c r="M2" s="2"/>
      <c r="N2" s="4"/>
      <c r="O2" s="10"/>
      <c r="P2" s="5"/>
      <c r="Q2" s="5"/>
      <c r="R2" s="5"/>
      <c r="S2" s="6"/>
      <c r="T2" s="7"/>
      <c r="U2" s="7"/>
      <c r="V2" s="7"/>
      <c r="W2" s="7"/>
      <c r="X2" s="7"/>
      <c r="Y2" s="7"/>
      <c r="Z2" s="7"/>
      <c r="AA2" s="8"/>
      <c r="AB2" s="9"/>
      <c r="AC2" s="8"/>
      <c r="AD2" s="9"/>
      <c r="AE2" s="8"/>
      <c r="AF2" s="9"/>
      <c r="AG2" s="8"/>
      <c r="AH2" s="9"/>
      <c r="AI2" s="8"/>
      <c r="AJ2" s="9"/>
    </row>
    <row r="3" spans="1:36" ht="12" customHeight="1" x14ac:dyDescent="0.25">
      <c r="A3" s="1"/>
      <c r="B3" s="1"/>
      <c r="C3" s="1"/>
      <c r="D3" s="1"/>
      <c r="E3" s="1"/>
      <c r="F3" s="1"/>
      <c r="G3" s="2" t="s">
        <v>188</v>
      </c>
      <c r="H3" s="3"/>
      <c r="I3" s="3"/>
      <c r="J3" s="3"/>
      <c r="K3" s="3"/>
      <c r="L3" s="3"/>
      <c r="M3" s="2"/>
      <c r="N3" s="11"/>
      <c r="O3" s="10"/>
      <c r="P3" s="5"/>
      <c r="Q3" s="5"/>
      <c r="R3" s="5"/>
      <c r="S3" s="6"/>
      <c r="T3" s="7"/>
      <c r="U3" s="7"/>
      <c r="V3" s="7"/>
      <c r="W3" s="7"/>
      <c r="X3" s="7"/>
      <c r="Y3" s="7"/>
      <c r="Z3" s="7"/>
      <c r="AA3" s="8"/>
      <c r="AB3" s="9"/>
      <c r="AC3" s="8"/>
      <c r="AD3" s="9"/>
      <c r="AE3" s="8"/>
      <c r="AF3" s="9"/>
      <c r="AG3" s="8"/>
      <c r="AH3" s="9"/>
      <c r="AI3" s="8"/>
      <c r="AJ3" s="9"/>
    </row>
    <row r="4" spans="1:36" ht="12" customHeight="1" x14ac:dyDescent="0.25">
      <c r="A4" s="1"/>
      <c r="B4" s="1"/>
      <c r="C4" s="1"/>
      <c r="D4" s="1"/>
      <c r="E4" s="1"/>
      <c r="F4" s="1"/>
      <c r="G4" s="2" t="s">
        <v>1</v>
      </c>
      <c r="H4" s="3"/>
      <c r="I4" s="3"/>
      <c r="J4" s="273" t="s">
        <v>216</v>
      </c>
      <c r="K4" s="273"/>
      <c r="L4" s="273"/>
      <c r="M4" s="273"/>
      <c r="N4" s="273"/>
      <c r="O4" s="274" t="s">
        <v>214</v>
      </c>
      <c r="P4" s="274"/>
      <c r="Q4" s="274"/>
      <c r="R4" s="274"/>
      <c r="S4" s="274"/>
      <c r="T4" s="274"/>
      <c r="U4" s="275" t="s">
        <v>215</v>
      </c>
      <c r="V4" s="275"/>
      <c r="W4" s="275"/>
      <c r="X4" s="275"/>
      <c r="Y4" s="275"/>
      <c r="Z4" s="7" t="s">
        <v>217</v>
      </c>
      <c r="AA4" s="276" t="s">
        <v>219</v>
      </c>
      <c r="AB4" s="277"/>
      <c r="AC4" s="277"/>
      <c r="AD4" s="277"/>
      <c r="AE4" s="277"/>
      <c r="AF4" s="277"/>
      <c r="AG4" s="277"/>
      <c r="AH4" s="277"/>
      <c r="AI4" s="277"/>
      <c r="AJ4" s="278"/>
    </row>
    <row r="5" spans="1:36" ht="45" customHeight="1" x14ac:dyDescent="0.25">
      <c r="A5" s="268" t="s">
        <v>2</v>
      </c>
      <c r="B5" s="268" t="s">
        <v>3</v>
      </c>
      <c r="C5" s="268" t="s">
        <v>4</v>
      </c>
      <c r="D5" s="268" t="s">
        <v>5</v>
      </c>
      <c r="E5" s="268" t="s">
        <v>6</v>
      </c>
      <c r="F5" s="268" t="s">
        <v>7</v>
      </c>
      <c r="G5" s="13" t="s">
        <v>8</v>
      </c>
      <c r="H5" s="14" t="s">
        <v>9</v>
      </c>
      <c r="I5" s="14" t="s">
        <v>10</v>
      </c>
      <c r="J5" s="14" t="s">
        <v>11</v>
      </c>
      <c r="K5" s="14" t="s">
        <v>12</v>
      </c>
      <c r="L5" s="14" t="s">
        <v>13</v>
      </c>
      <c r="M5" s="15" t="s">
        <v>14</v>
      </c>
      <c r="N5" s="15" t="s">
        <v>15</v>
      </c>
      <c r="O5" s="21" t="s">
        <v>218</v>
      </c>
      <c r="P5" s="13" t="s">
        <v>16</v>
      </c>
      <c r="Q5" s="16" t="s">
        <v>17</v>
      </c>
      <c r="R5" s="13" t="s">
        <v>18</v>
      </c>
      <c r="S5" s="17" t="s">
        <v>19</v>
      </c>
      <c r="T5" s="18" t="s">
        <v>20</v>
      </c>
      <c r="U5" s="18" t="s">
        <v>21</v>
      </c>
      <c r="V5" s="18" t="s">
        <v>22</v>
      </c>
      <c r="W5" s="18" t="s">
        <v>23</v>
      </c>
      <c r="X5" s="18" t="s">
        <v>24</v>
      </c>
      <c r="Y5" s="18" t="s">
        <v>25</v>
      </c>
      <c r="Z5" s="18" t="s">
        <v>170</v>
      </c>
      <c r="AA5" s="19" t="s">
        <v>26</v>
      </c>
      <c r="AB5" s="20" t="s">
        <v>27</v>
      </c>
      <c r="AC5" s="19" t="s">
        <v>28</v>
      </c>
      <c r="AD5" s="20" t="s">
        <v>29</v>
      </c>
      <c r="AE5" s="19" t="s">
        <v>30</v>
      </c>
      <c r="AF5" s="20" t="s">
        <v>31</v>
      </c>
      <c r="AG5" s="19" t="s">
        <v>32</v>
      </c>
      <c r="AH5" s="20" t="s">
        <v>33</v>
      </c>
      <c r="AI5" s="19" t="s">
        <v>34</v>
      </c>
      <c r="AJ5" s="20" t="s">
        <v>35</v>
      </c>
    </row>
    <row r="6" spans="1:36" x14ac:dyDescent="0.25">
      <c r="A6" s="268"/>
      <c r="B6" s="268"/>
      <c r="C6" s="268"/>
      <c r="D6" s="268"/>
      <c r="E6" s="268"/>
      <c r="F6" s="268"/>
      <c r="G6" s="22" t="s">
        <v>170</v>
      </c>
      <c r="H6" s="23">
        <f>+H7+H144+H163</f>
        <v>1600000000</v>
      </c>
      <c r="I6" s="23">
        <f>+I7+I144+I163</f>
        <v>480000000</v>
      </c>
      <c r="J6" s="23">
        <f>+J7+J144+J163</f>
        <v>50000000</v>
      </c>
      <c r="K6" s="23">
        <f>+K7+K144+K163</f>
        <v>15000000</v>
      </c>
      <c r="L6" s="23"/>
      <c r="M6" s="24">
        <f t="shared" ref="M6" si="0">+J6/(J6+K6)</f>
        <v>0.76923076923076927</v>
      </c>
      <c r="N6" s="24">
        <f t="shared" ref="N6:N68" si="1">1-M6</f>
        <v>0.23076923076923073</v>
      </c>
      <c r="O6" s="21"/>
      <c r="P6" s="25"/>
      <c r="Q6" s="25"/>
      <c r="R6" s="13"/>
      <c r="S6" s="17"/>
      <c r="T6" s="18"/>
      <c r="U6" s="23">
        <f>+U7+U144+U163</f>
        <v>2772292.4159356728</v>
      </c>
      <c r="V6" s="23">
        <f>+V7+V144+V163</f>
        <v>4881510.0433375109</v>
      </c>
      <c r="W6" s="23">
        <f>+W7+W144+W163</f>
        <v>14971498.138575604</v>
      </c>
      <c r="X6" s="23">
        <f>+X7+X144+X163</f>
        <v>13846107.513575606</v>
      </c>
      <c r="Y6" s="23">
        <f>+Y7+Y144+Y163</f>
        <v>13528592.230105659</v>
      </c>
      <c r="Z6" s="23">
        <f>SUM(U6:Y6)</f>
        <v>50000000.341530055</v>
      </c>
      <c r="AA6" s="26"/>
      <c r="AB6" s="27"/>
      <c r="AC6" s="26"/>
      <c r="AD6" s="27"/>
      <c r="AE6" s="26"/>
      <c r="AF6" s="27"/>
      <c r="AG6" s="26"/>
      <c r="AH6" s="27"/>
      <c r="AI6" s="26"/>
      <c r="AJ6" s="27"/>
    </row>
    <row r="7" spans="1:36" x14ac:dyDescent="0.25">
      <c r="A7" s="28">
        <v>1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29" t="s">
        <v>36</v>
      </c>
      <c r="H7" s="30">
        <f>+H8+H83</f>
        <v>454476500</v>
      </c>
      <c r="I7" s="30">
        <f>+I8+I83</f>
        <v>99984830</v>
      </c>
      <c r="J7" s="30">
        <f>+J8+J83</f>
        <v>14202390.625</v>
      </c>
      <c r="K7" s="30">
        <f>+K8+K83</f>
        <v>3124525.9375</v>
      </c>
      <c r="L7" s="30">
        <f>+J7+K7</f>
        <v>17326916.5625</v>
      </c>
      <c r="M7" s="31">
        <f>+J7/(J7+K7)</f>
        <v>0.81967213114754101</v>
      </c>
      <c r="N7" s="31">
        <f t="shared" si="1"/>
        <v>0.18032786885245899</v>
      </c>
      <c r="O7" s="36"/>
      <c r="P7" s="32"/>
      <c r="Q7" s="32"/>
      <c r="R7" s="33"/>
      <c r="S7" s="34"/>
      <c r="T7" s="35"/>
      <c r="U7" s="30">
        <f>+U8+U83</f>
        <v>2033695.5409356726</v>
      </c>
      <c r="V7" s="30">
        <f>+V8+V83</f>
        <v>3757716.7397660818</v>
      </c>
      <c r="W7" s="30">
        <f>+W8+W83</f>
        <v>3386883.4064327483</v>
      </c>
      <c r="X7" s="30">
        <f>+X8+X83</f>
        <v>2799992.7814327488</v>
      </c>
      <c r="Y7" s="30">
        <f>+Y8+Y83</f>
        <v>2224102.4979628031</v>
      </c>
      <c r="Z7" s="30">
        <f t="shared" ref="Z7:Z70" si="2">SUM(U7:Y7)</f>
        <v>14202390.966530055</v>
      </c>
      <c r="AA7" s="218"/>
      <c r="AB7" s="219"/>
      <c r="AC7" s="218"/>
      <c r="AD7" s="219"/>
      <c r="AE7" s="218"/>
      <c r="AF7" s="219"/>
      <c r="AG7" s="218"/>
      <c r="AH7" s="219"/>
      <c r="AI7" s="218"/>
      <c r="AJ7" s="219"/>
    </row>
    <row r="8" spans="1:36" x14ac:dyDescent="0.25">
      <c r="A8" s="37">
        <v>1</v>
      </c>
      <c r="B8" s="37">
        <v>1</v>
      </c>
      <c r="C8" s="37">
        <v>0</v>
      </c>
      <c r="D8" s="37">
        <v>0</v>
      </c>
      <c r="E8" s="37">
        <v>0</v>
      </c>
      <c r="F8" s="37">
        <v>0</v>
      </c>
      <c r="G8" s="38" t="s">
        <v>37</v>
      </c>
      <c r="H8" s="39">
        <f>+H9+H50+H61+H68</f>
        <v>377130500</v>
      </c>
      <c r="I8" s="39">
        <f>+I9+I50+I61+I68</f>
        <v>82968710</v>
      </c>
      <c r="J8" s="39">
        <f>+J9+J50+J61+J68</f>
        <v>11785328.125</v>
      </c>
      <c r="K8" s="39">
        <f>+K9+K50+K61+K68</f>
        <v>2592772.1875</v>
      </c>
      <c r="L8" s="39">
        <f>+L9+L50+L61+L68</f>
        <v>14378100.3125</v>
      </c>
      <c r="M8" s="40">
        <f t="shared" ref="M8:M70" si="3">+J8/(J8+K8)</f>
        <v>0.81967213114754101</v>
      </c>
      <c r="N8" s="40">
        <f t="shared" si="1"/>
        <v>0.18032786885245899</v>
      </c>
      <c r="O8" s="45"/>
      <c r="P8" s="41"/>
      <c r="Q8" s="41"/>
      <c r="R8" s="42"/>
      <c r="S8" s="43"/>
      <c r="T8" s="44"/>
      <c r="U8" s="39">
        <f>+U9+U50+U61+U68</f>
        <v>1712945.5409356726</v>
      </c>
      <c r="V8" s="39">
        <f>+V9+V50+V61+V68</f>
        <v>3012904.2397660818</v>
      </c>
      <c r="W8" s="39">
        <f>+W9+W50+W61+W68</f>
        <v>2740133.4064327483</v>
      </c>
      <c r="X8" s="39">
        <f>+X9+X50+X61+X68</f>
        <v>2348242.7814327488</v>
      </c>
      <c r="Y8" s="39">
        <f>+Y9+Y50+Y61+Y68</f>
        <v>1971102.4979628031</v>
      </c>
      <c r="Z8" s="39">
        <f t="shared" si="2"/>
        <v>11785328.466530055</v>
      </c>
      <c r="AA8" s="218"/>
      <c r="AB8" s="219"/>
      <c r="AC8" s="218"/>
      <c r="AD8" s="219"/>
      <c r="AE8" s="218"/>
      <c r="AF8" s="219"/>
      <c r="AG8" s="218"/>
      <c r="AH8" s="219"/>
      <c r="AI8" s="218"/>
      <c r="AJ8" s="219"/>
    </row>
    <row r="9" spans="1:36" x14ac:dyDescent="0.25">
      <c r="A9" s="46">
        <v>1</v>
      </c>
      <c r="B9" s="46">
        <v>1</v>
      </c>
      <c r="C9" s="46">
        <v>1</v>
      </c>
      <c r="D9" s="46">
        <v>0</v>
      </c>
      <c r="E9" s="46">
        <v>0</v>
      </c>
      <c r="F9" s="46">
        <v>0</v>
      </c>
      <c r="G9" s="47" t="s">
        <v>38</v>
      </c>
      <c r="H9" s="48">
        <f>+H10+H26</f>
        <v>179382500</v>
      </c>
      <c r="I9" s="48">
        <f t="shared" ref="I9:L9" si="4">+I10+I26</f>
        <v>39464150</v>
      </c>
      <c r="J9" s="48">
        <f t="shared" si="4"/>
        <v>5605703.125</v>
      </c>
      <c r="K9" s="48">
        <f t="shared" si="4"/>
        <v>1233254.6875</v>
      </c>
      <c r="L9" s="48">
        <f t="shared" si="4"/>
        <v>6838957.8125</v>
      </c>
      <c r="M9" s="49">
        <f t="shared" si="3"/>
        <v>0.81967213114754101</v>
      </c>
      <c r="N9" s="49">
        <f t="shared" si="1"/>
        <v>0.18032786885245899</v>
      </c>
      <c r="O9" s="54"/>
      <c r="P9" s="50"/>
      <c r="Q9" s="50"/>
      <c r="R9" s="51"/>
      <c r="S9" s="52"/>
      <c r="T9" s="53"/>
      <c r="U9" s="48">
        <f>+U10+U26</f>
        <v>990263.88888888888</v>
      </c>
      <c r="V9" s="48">
        <f>+V10+V26</f>
        <v>1543652.7777777778</v>
      </c>
      <c r="W9" s="48">
        <f>+W10+W26</f>
        <v>1321256.9444444445</v>
      </c>
      <c r="X9" s="48">
        <f>+X10+X26</f>
        <v>1023928.8194444445</v>
      </c>
      <c r="Y9" s="48">
        <f>+Y10+Y26</f>
        <v>726600.6944444445</v>
      </c>
      <c r="Z9" s="48">
        <f t="shared" si="2"/>
        <v>5605703.125</v>
      </c>
      <c r="AA9" s="220"/>
      <c r="AB9" s="221"/>
      <c r="AC9" s="220"/>
      <c r="AD9" s="221"/>
      <c r="AE9" s="220"/>
      <c r="AF9" s="221"/>
      <c r="AG9" s="220"/>
      <c r="AH9" s="221"/>
      <c r="AI9" s="220"/>
      <c r="AJ9" s="221"/>
    </row>
    <row r="10" spans="1:36" x14ac:dyDescent="0.25">
      <c r="A10" s="55">
        <v>1</v>
      </c>
      <c r="B10" s="55">
        <v>1</v>
      </c>
      <c r="C10" s="55">
        <v>1</v>
      </c>
      <c r="D10" s="55">
        <v>1</v>
      </c>
      <c r="E10" s="55">
        <v>0</v>
      </c>
      <c r="F10" s="55">
        <v>0</v>
      </c>
      <c r="G10" s="56" t="s">
        <v>39</v>
      </c>
      <c r="H10" s="57">
        <f>+H11+H17+H20+H23+H24+H25</f>
        <v>105446000</v>
      </c>
      <c r="I10" s="57">
        <f t="shared" ref="I10:L10" si="5">+I11+I17+I20+I23+I24+I25</f>
        <v>23198120</v>
      </c>
      <c r="J10" s="57">
        <f t="shared" si="5"/>
        <v>3295187.5</v>
      </c>
      <c r="K10" s="57">
        <f t="shared" si="5"/>
        <v>724941.25</v>
      </c>
      <c r="L10" s="57">
        <f t="shared" si="5"/>
        <v>4020128.75</v>
      </c>
      <c r="M10" s="58">
        <f t="shared" si="3"/>
        <v>0.81967213114754101</v>
      </c>
      <c r="N10" s="58">
        <f t="shared" si="1"/>
        <v>0.18032786885245899</v>
      </c>
      <c r="O10" s="63"/>
      <c r="P10" s="59"/>
      <c r="Q10" s="59"/>
      <c r="R10" s="60"/>
      <c r="S10" s="61"/>
      <c r="T10" s="62"/>
      <c r="U10" s="57">
        <f>+U11+U17+U20+U23+U24+U25</f>
        <v>589951.38888888888</v>
      </c>
      <c r="V10" s="57">
        <f t="shared" ref="V10:Y10" si="6">+V11+V17+V20+V23+V24+V25</f>
        <v>935777.77777777775</v>
      </c>
      <c r="W10" s="57">
        <f t="shared" si="6"/>
        <v>742444.4444444445</v>
      </c>
      <c r="X10" s="57">
        <f t="shared" si="6"/>
        <v>589819.4444444445</v>
      </c>
      <c r="Y10" s="57">
        <f t="shared" si="6"/>
        <v>437194.44444444444</v>
      </c>
      <c r="Z10" s="57">
        <f t="shared" si="2"/>
        <v>3295187.5</v>
      </c>
      <c r="AA10" s="218">
        <v>1</v>
      </c>
      <c r="AB10" s="219">
        <v>1</v>
      </c>
      <c r="AC10" s="218">
        <v>1</v>
      </c>
      <c r="AD10" s="219">
        <v>1</v>
      </c>
      <c r="AE10" s="218">
        <v>1</v>
      </c>
      <c r="AF10" s="219">
        <v>1</v>
      </c>
      <c r="AG10" s="218">
        <v>1</v>
      </c>
      <c r="AH10" s="219">
        <v>1</v>
      </c>
      <c r="AI10" s="218">
        <v>1</v>
      </c>
      <c r="AJ10" s="219">
        <v>1</v>
      </c>
    </row>
    <row r="11" spans="1:36" ht="24" x14ac:dyDescent="0.25">
      <c r="A11" s="64">
        <v>1</v>
      </c>
      <c r="B11" s="64">
        <v>1</v>
      </c>
      <c r="C11" s="64">
        <v>1</v>
      </c>
      <c r="D11" s="64">
        <v>1</v>
      </c>
      <c r="E11" s="64">
        <v>1</v>
      </c>
      <c r="F11" s="64">
        <v>0</v>
      </c>
      <c r="G11" s="65" t="s">
        <v>40</v>
      </c>
      <c r="H11" s="66">
        <f>SUM(H12:H16)</f>
        <v>47361000</v>
      </c>
      <c r="I11" s="66">
        <f t="shared" ref="I11:L11" si="7">SUM(I12:I16)</f>
        <v>10419420</v>
      </c>
      <c r="J11" s="66">
        <f t="shared" si="7"/>
        <v>1480031.25</v>
      </c>
      <c r="K11" s="66">
        <f t="shared" si="7"/>
        <v>325606.875</v>
      </c>
      <c r="L11" s="66">
        <f t="shared" si="7"/>
        <v>1805638.125</v>
      </c>
      <c r="M11" s="67">
        <f t="shared" si="3"/>
        <v>0.81967213114754101</v>
      </c>
      <c r="N11" s="67">
        <f t="shared" si="1"/>
        <v>0.18032786885245899</v>
      </c>
      <c r="O11" s="71" t="s">
        <v>59</v>
      </c>
      <c r="P11" s="68">
        <v>42370</v>
      </c>
      <c r="Q11" s="68">
        <v>44166</v>
      </c>
      <c r="R11" s="4" t="s">
        <v>41</v>
      </c>
      <c r="S11" s="69"/>
      <c r="T11" s="70"/>
      <c r="U11" s="66">
        <f>SUM(U12:U16)</f>
        <v>238125</v>
      </c>
      <c r="V11" s="66">
        <f t="shared" ref="V11:Y11" si="8">SUM(V12:V16)</f>
        <v>382125</v>
      </c>
      <c r="W11" s="66">
        <f t="shared" si="8"/>
        <v>382125</v>
      </c>
      <c r="X11" s="66">
        <f t="shared" si="8"/>
        <v>286593.75</v>
      </c>
      <c r="Y11" s="66">
        <f t="shared" si="8"/>
        <v>191062.5</v>
      </c>
      <c r="Z11" s="66">
        <f t="shared" si="2"/>
        <v>1480031.25</v>
      </c>
      <c r="AA11" s="218">
        <v>1</v>
      </c>
      <c r="AB11" s="219">
        <v>1</v>
      </c>
      <c r="AC11" s="218">
        <v>1</v>
      </c>
      <c r="AD11" s="219">
        <v>1</v>
      </c>
      <c r="AE11" s="218">
        <v>1</v>
      </c>
      <c r="AF11" s="219">
        <v>1</v>
      </c>
      <c r="AG11" s="218">
        <v>1</v>
      </c>
      <c r="AH11" s="219">
        <v>1</v>
      </c>
      <c r="AI11" s="218">
        <v>1</v>
      </c>
      <c r="AJ11" s="219">
        <v>1</v>
      </c>
    </row>
    <row r="12" spans="1:36" hidden="1" x14ac:dyDescent="0.25">
      <c r="A12" s="64">
        <v>1</v>
      </c>
      <c r="B12" s="64">
        <v>1</v>
      </c>
      <c r="C12" s="64">
        <v>1</v>
      </c>
      <c r="D12" s="64">
        <v>1</v>
      </c>
      <c r="E12" s="64">
        <v>1</v>
      </c>
      <c r="F12" s="64">
        <v>1</v>
      </c>
      <c r="G12" s="72" t="s">
        <v>43</v>
      </c>
      <c r="H12" s="73">
        <f>+S12*R12*T12</f>
        <v>4896000</v>
      </c>
      <c r="I12" s="74">
        <f>+H12*0.22</f>
        <v>1077120</v>
      </c>
      <c r="J12" s="74">
        <f t="shared" ref="J12:K16" si="9">+H12/$H$1</f>
        <v>153000</v>
      </c>
      <c r="K12" s="74">
        <f t="shared" si="9"/>
        <v>33660</v>
      </c>
      <c r="L12" s="74">
        <f>+J12+K12</f>
        <v>186660</v>
      </c>
      <c r="M12" s="67">
        <f t="shared" si="3"/>
        <v>0.81967213114754101</v>
      </c>
      <c r="N12" s="67">
        <f t="shared" si="1"/>
        <v>0.18032786885245899</v>
      </c>
      <c r="O12" s="71" t="s">
        <v>42</v>
      </c>
      <c r="P12" s="68"/>
      <c r="Q12" s="68"/>
      <c r="R12" s="69">
        <f>36+12*0.75+12*0.5</f>
        <v>51</v>
      </c>
      <c r="S12" s="69">
        <v>1</v>
      </c>
      <c r="T12" s="70">
        <v>96000</v>
      </c>
      <c r="U12" s="73">
        <f t="shared" ref="U12:W14" si="10">+$T12*$S12*12/$H$1</f>
        <v>36000</v>
      </c>
      <c r="V12" s="73">
        <f t="shared" si="10"/>
        <v>36000</v>
      </c>
      <c r="W12" s="73">
        <f t="shared" si="10"/>
        <v>36000</v>
      </c>
      <c r="X12" s="73">
        <f>+$T12*$S12*12/$H$1*0.75</f>
        <v>27000</v>
      </c>
      <c r="Y12" s="73">
        <f>+$T12*$S12*12/$H$1*0.5</f>
        <v>18000</v>
      </c>
      <c r="Z12" s="73">
        <f t="shared" si="2"/>
        <v>153000</v>
      </c>
      <c r="AA12" s="218">
        <v>1</v>
      </c>
      <c r="AB12" s="219">
        <v>1</v>
      </c>
      <c r="AC12" s="218">
        <v>1</v>
      </c>
      <c r="AD12" s="219">
        <v>1</v>
      </c>
      <c r="AE12" s="218">
        <v>1</v>
      </c>
      <c r="AF12" s="219">
        <v>1</v>
      </c>
      <c r="AG12" s="218">
        <v>1</v>
      </c>
      <c r="AH12" s="219">
        <v>1</v>
      </c>
      <c r="AI12" s="218">
        <v>1</v>
      </c>
      <c r="AJ12" s="219">
        <v>1</v>
      </c>
    </row>
    <row r="13" spans="1:36" hidden="1" x14ac:dyDescent="0.25">
      <c r="A13" s="64">
        <v>1</v>
      </c>
      <c r="B13" s="64">
        <v>1</v>
      </c>
      <c r="C13" s="64">
        <v>1</v>
      </c>
      <c r="D13" s="64">
        <v>1</v>
      </c>
      <c r="E13" s="64">
        <v>1</v>
      </c>
      <c r="F13" s="64">
        <v>2</v>
      </c>
      <c r="G13" s="72" t="s">
        <v>44</v>
      </c>
      <c r="H13" s="73">
        <f>+S13*R13*T13</f>
        <v>4131000</v>
      </c>
      <c r="I13" s="74">
        <f>+H13*0.22</f>
        <v>908820</v>
      </c>
      <c r="J13" s="74">
        <f t="shared" si="9"/>
        <v>129093.75</v>
      </c>
      <c r="K13" s="74">
        <f t="shared" si="9"/>
        <v>28400.625</v>
      </c>
      <c r="L13" s="74">
        <f>+J13+K13</f>
        <v>157494.375</v>
      </c>
      <c r="M13" s="67">
        <f t="shared" si="3"/>
        <v>0.81967213114754101</v>
      </c>
      <c r="N13" s="67">
        <f t="shared" si="1"/>
        <v>0.18032786885245899</v>
      </c>
      <c r="O13" s="71" t="s">
        <v>42</v>
      </c>
      <c r="P13" s="68"/>
      <c r="Q13" s="68"/>
      <c r="R13" s="69">
        <f>36+12*0.75+12*0.5</f>
        <v>51</v>
      </c>
      <c r="S13" s="69">
        <v>1</v>
      </c>
      <c r="T13" s="70">
        <v>81000</v>
      </c>
      <c r="U13" s="73">
        <f t="shared" si="10"/>
        <v>30375</v>
      </c>
      <c r="V13" s="73">
        <f t="shared" si="10"/>
        <v>30375</v>
      </c>
      <c r="W13" s="73">
        <f t="shared" si="10"/>
        <v>30375</v>
      </c>
      <c r="X13" s="73">
        <f>+$T13*$S13*12/$H$1*0.75</f>
        <v>22781.25</v>
      </c>
      <c r="Y13" s="73">
        <f>+$T13*$S13*12/$H$1*0.5</f>
        <v>15187.5</v>
      </c>
      <c r="Z13" s="73">
        <f t="shared" si="2"/>
        <v>129093.75</v>
      </c>
      <c r="AA13" s="218">
        <v>1</v>
      </c>
      <c r="AB13" s="219">
        <v>1</v>
      </c>
      <c r="AC13" s="218">
        <v>1</v>
      </c>
      <c r="AD13" s="219">
        <v>1</v>
      </c>
      <c r="AE13" s="218">
        <v>1</v>
      </c>
      <c r="AF13" s="219">
        <v>1</v>
      </c>
      <c r="AG13" s="218">
        <v>1</v>
      </c>
      <c r="AH13" s="219">
        <v>1</v>
      </c>
      <c r="AI13" s="218">
        <v>1</v>
      </c>
      <c r="AJ13" s="219">
        <v>1</v>
      </c>
    </row>
    <row r="14" spans="1:36" hidden="1" x14ac:dyDescent="0.25">
      <c r="A14" s="64">
        <v>1</v>
      </c>
      <c r="B14" s="64">
        <v>1</v>
      </c>
      <c r="C14" s="64">
        <v>1</v>
      </c>
      <c r="D14" s="64">
        <v>1</v>
      </c>
      <c r="E14" s="64">
        <v>1</v>
      </c>
      <c r="F14" s="64">
        <v>3</v>
      </c>
      <c r="G14" s="72" t="s">
        <v>44</v>
      </c>
      <c r="H14" s="73">
        <f>+S14*R14*T14</f>
        <v>3774000</v>
      </c>
      <c r="I14" s="74">
        <f>+H14*0.22</f>
        <v>830280</v>
      </c>
      <c r="J14" s="74">
        <f t="shared" si="9"/>
        <v>117937.5</v>
      </c>
      <c r="K14" s="74">
        <f t="shared" si="9"/>
        <v>25946.25</v>
      </c>
      <c r="L14" s="74">
        <f>+J14+K14</f>
        <v>143883.75</v>
      </c>
      <c r="M14" s="67">
        <f t="shared" si="3"/>
        <v>0.81967213114754101</v>
      </c>
      <c r="N14" s="67">
        <f t="shared" si="1"/>
        <v>0.18032786885245899</v>
      </c>
      <c r="O14" s="71" t="s">
        <v>42</v>
      </c>
      <c r="P14" s="68"/>
      <c r="Q14" s="68"/>
      <c r="R14" s="69">
        <f>36+12*0.75+12*0.5</f>
        <v>51</v>
      </c>
      <c r="S14" s="69">
        <v>1</v>
      </c>
      <c r="T14" s="70">
        <v>74000</v>
      </c>
      <c r="U14" s="73">
        <f t="shared" si="10"/>
        <v>27750</v>
      </c>
      <c r="V14" s="73">
        <f t="shared" si="10"/>
        <v>27750</v>
      </c>
      <c r="W14" s="73">
        <f t="shared" si="10"/>
        <v>27750</v>
      </c>
      <c r="X14" s="73">
        <f>+$T14*$S14*12/$H$1*0.75</f>
        <v>20812.5</v>
      </c>
      <c r="Y14" s="73">
        <f>+$T14*$S14*12/$H$1*0.5</f>
        <v>13875</v>
      </c>
      <c r="Z14" s="73">
        <f t="shared" si="2"/>
        <v>117937.5</v>
      </c>
      <c r="AA14" s="218">
        <v>1</v>
      </c>
      <c r="AB14" s="219">
        <v>1</v>
      </c>
      <c r="AC14" s="218">
        <v>1</v>
      </c>
      <c r="AD14" s="219">
        <v>1</v>
      </c>
      <c r="AE14" s="218">
        <v>1</v>
      </c>
      <c r="AF14" s="219">
        <v>1</v>
      </c>
      <c r="AG14" s="218">
        <v>1</v>
      </c>
      <c r="AH14" s="219">
        <v>1</v>
      </c>
      <c r="AI14" s="218">
        <v>1</v>
      </c>
      <c r="AJ14" s="219">
        <v>1</v>
      </c>
    </row>
    <row r="15" spans="1:36" hidden="1" x14ac:dyDescent="0.25">
      <c r="A15" s="64">
        <v>1</v>
      </c>
      <c r="B15" s="64">
        <v>1</v>
      </c>
      <c r="C15" s="64">
        <v>1</v>
      </c>
      <c r="D15" s="64">
        <v>1</v>
      </c>
      <c r="E15" s="64">
        <v>1</v>
      </c>
      <c r="F15" s="64">
        <v>4</v>
      </c>
      <c r="G15" s="72" t="s">
        <v>220</v>
      </c>
      <c r="H15" s="73">
        <f>+S15*R15*T15</f>
        <v>12240000</v>
      </c>
      <c r="I15" s="74">
        <f>+H15*0.22</f>
        <v>2692800</v>
      </c>
      <c r="J15" s="74">
        <f t="shared" si="9"/>
        <v>382500</v>
      </c>
      <c r="K15" s="74">
        <f t="shared" si="9"/>
        <v>84150</v>
      </c>
      <c r="L15" s="74">
        <f>+J15+K15</f>
        <v>466650</v>
      </c>
      <c r="M15" s="67">
        <f t="shared" si="3"/>
        <v>0.81967213114754101</v>
      </c>
      <c r="N15" s="67">
        <f t="shared" si="1"/>
        <v>0.18032786885245899</v>
      </c>
      <c r="O15" s="71" t="s">
        <v>42</v>
      </c>
      <c r="P15" s="68"/>
      <c r="Q15" s="68"/>
      <c r="R15" s="69">
        <f>30+12*0.75+12*0.5</f>
        <v>45</v>
      </c>
      <c r="S15" s="69">
        <v>4</v>
      </c>
      <c r="T15" s="70">
        <v>68000</v>
      </c>
      <c r="U15" s="73">
        <f>+$T15*$S15*6/$H$1</f>
        <v>51000</v>
      </c>
      <c r="V15" s="73">
        <f>+$T15*$S15*12/$H$1</f>
        <v>102000</v>
      </c>
      <c r="W15" s="73">
        <f>+$T15*$S15*12/$H$1</f>
        <v>102000</v>
      </c>
      <c r="X15" s="73">
        <f>+$T15*$S15*12/$H$1*0.75</f>
        <v>76500</v>
      </c>
      <c r="Y15" s="73">
        <f>+$T15*$S15*12/$H$1*0.5</f>
        <v>51000</v>
      </c>
      <c r="Z15" s="73">
        <f t="shared" si="2"/>
        <v>382500</v>
      </c>
      <c r="AA15" s="218"/>
      <c r="AB15" s="219">
        <v>1</v>
      </c>
      <c r="AC15" s="218">
        <v>1</v>
      </c>
      <c r="AD15" s="219">
        <v>1</v>
      </c>
      <c r="AE15" s="218">
        <v>1</v>
      </c>
      <c r="AF15" s="219">
        <v>1</v>
      </c>
      <c r="AG15" s="218">
        <v>1</v>
      </c>
      <c r="AH15" s="219">
        <v>1</v>
      </c>
      <c r="AI15" s="218">
        <v>1</v>
      </c>
      <c r="AJ15" s="219">
        <v>1</v>
      </c>
    </row>
    <row r="16" spans="1:36" hidden="1" x14ac:dyDescent="0.25">
      <c r="A16" s="64">
        <v>1</v>
      </c>
      <c r="B16" s="64">
        <v>1</v>
      </c>
      <c r="C16" s="64">
        <v>1</v>
      </c>
      <c r="D16" s="64">
        <v>1</v>
      </c>
      <c r="E16" s="64">
        <v>1</v>
      </c>
      <c r="F16" s="64">
        <v>5</v>
      </c>
      <c r="G16" s="72" t="s">
        <v>221</v>
      </c>
      <c r="H16" s="73">
        <f>+S16*R16*T16</f>
        <v>22320000</v>
      </c>
      <c r="I16" s="74">
        <f>+H16*0.22</f>
        <v>4910400</v>
      </c>
      <c r="J16" s="74">
        <f t="shared" si="9"/>
        <v>697500</v>
      </c>
      <c r="K16" s="74">
        <f t="shared" si="9"/>
        <v>153450</v>
      </c>
      <c r="L16" s="74">
        <f>+J16+K16</f>
        <v>850950</v>
      </c>
      <c r="M16" s="67">
        <f t="shared" si="3"/>
        <v>0.81967213114754101</v>
      </c>
      <c r="N16" s="67">
        <f t="shared" si="1"/>
        <v>0.18032786885245899</v>
      </c>
      <c r="O16" s="71" t="s">
        <v>42</v>
      </c>
      <c r="P16" s="68"/>
      <c r="Q16" s="68"/>
      <c r="R16" s="69">
        <f>30+12*0.75+12*0.5</f>
        <v>45</v>
      </c>
      <c r="S16" s="69">
        <v>8</v>
      </c>
      <c r="T16" s="70">
        <v>62000</v>
      </c>
      <c r="U16" s="73">
        <f>+$T16*$S16*6/$H$1</f>
        <v>93000</v>
      </c>
      <c r="V16" s="73">
        <f>+$T16*$S16*12/$H$1</f>
        <v>186000</v>
      </c>
      <c r="W16" s="73">
        <f>+$T16*$S16*12/$H$1</f>
        <v>186000</v>
      </c>
      <c r="X16" s="73">
        <f>+$T16*$S16*12/$H$1*0.75</f>
        <v>139500</v>
      </c>
      <c r="Y16" s="73">
        <f>+$T16*$S16*12/$H$1*0.5</f>
        <v>93000</v>
      </c>
      <c r="Z16" s="73">
        <f t="shared" si="2"/>
        <v>697500</v>
      </c>
      <c r="AA16" s="218"/>
      <c r="AB16" s="219">
        <v>1</v>
      </c>
      <c r="AC16" s="218">
        <v>1</v>
      </c>
      <c r="AD16" s="219">
        <v>1</v>
      </c>
      <c r="AE16" s="218">
        <v>1</v>
      </c>
      <c r="AF16" s="219">
        <v>1</v>
      </c>
      <c r="AG16" s="218">
        <v>1</v>
      </c>
      <c r="AH16" s="219">
        <v>1</v>
      </c>
      <c r="AI16" s="218">
        <v>1</v>
      </c>
      <c r="AJ16" s="219">
        <v>1</v>
      </c>
    </row>
    <row r="17" spans="1:36" ht="24" x14ac:dyDescent="0.25">
      <c r="A17" s="64">
        <v>1</v>
      </c>
      <c r="B17" s="64">
        <v>1</v>
      </c>
      <c r="C17" s="64">
        <v>1</v>
      </c>
      <c r="D17" s="64">
        <v>1</v>
      </c>
      <c r="E17" s="64">
        <v>2</v>
      </c>
      <c r="F17" s="64">
        <v>0</v>
      </c>
      <c r="G17" s="65" t="s">
        <v>45</v>
      </c>
      <c r="H17" s="66">
        <f>SUM(H18:H19)</f>
        <v>27405000</v>
      </c>
      <c r="I17" s="66">
        <f t="shared" ref="I17:L17" si="11">SUM(I18:I19)</f>
        <v>6029100</v>
      </c>
      <c r="J17" s="66">
        <f t="shared" si="11"/>
        <v>856406.25</v>
      </c>
      <c r="K17" s="66">
        <f t="shared" si="11"/>
        <v>188409.375</v>
      </c>
      <c r="L17" s="66">
        <f t="shared" si="11"/>
        <v>1044815.625</v>
      </c>
      <c r="M17" s="67">
        <f t="shared" si="3"/>
        <v>0.81967213114754101</v>
      </c>
      <c r="N17" s="67">
        <f t="shared" si="1"/>
        <v>0.18032786885245899</v>
      </c>
      <c r="O17" s="71" t="s">
        <v>59</v>
      </c>
      <c r="P17" s="68">
        <v>42522</v>
      </c>
      <c r="Q17" s="68">
        <v>44166</v>
      </c>
      <c r="R17" s="4" t="s">
        <v>46</v>
      </c>
      <c r="S17" s="69"/>
      <c r="T17" s="70"/>
      <c r="U17" s="66">
        <f>SUM(U18:U19)</f>
        <v>114187.5</v>
      </c>
      <c r="V17" s="66">
        <f t="shared" ref="V17:Y17" si="12">SUM(V18:V19)</f>
        <v>228375</v>
      </c>
      <c r="W17" s="66">
        <f t="shared" si="12"/>
        <v>228375</v>
      </c>
      <c r="X17" s="66">
        <f t="shared" si="12"/>
        <v>171281.25</v>
      </c>
      <c r="Y17" s="66">
        <f t="shared" si="12"/>
        <v>114187.5</v>
      </c>
      <c r="Z17" s="66">
        <f t="shared" si="2"/>
        <v>856406.25</v>
      </c>
      <c r="AA17" s="218"/>
      <c r="AB17" s="219">
        <v>1</v>
      </c>
      <c r="AC17" s="218">
        <v>1</v>
      </c>
      <c r="AD17" s="219">
        <v>1</v>
      </c>
      <c r="AE17" s="218">
        <v>1</v>
      </c>
      <c r="AF17" s="219">
        <v>1</v>
      </c>
      <c r="AG17" s="218">
        <v>1</v>
      </c>
      <c r="AH17" s="219">
        <v>1</v>
      </c>
      <c r="AI17" s="218">
        <v>1</v>
      </c>
      <c r="AJ17" s="219">
        <v>1</v>
      </c>
    </row>
    <row r="18" spans="1:36" hidden="1" x14ac:dyDescent="0.25">
      <c r="A18" s="64">
        <v>1</v>
      </c>
      <c r="B18" s="64">
        <v>1</v>
      </c>
      <c r="C18" s="64">
        <v>1</v>
      </c>
      <c r="D18" s="64">
        <v>1</v>
      </c>
      <c r="E18" s="64">
        <v>2</v>
      </c>
      <c r="F18" s="64">
        <v>1</v>
      </c>
      <c r="G18" s="72" t="s">
        <v>47</v>
      </c>
      <c r="H18" s="73">
        <f>+S18*R18*T18</f>
        <v>6120000</v>
      </c>
      <c r="I18" s="74">
        <f>+H18*0.22</f>
        <v>1346400</v>
      </c>
      <c r="J18" s="74">
        <f>+H18/$H$1</f>
        <v>191250</v>
      </c>
      <c r="K18" s="74">
        <f>+I18/$H$1</f>
        <v>42075</v>
      </c>
      <c r="L18" s="74">
        <f>+J18+K18</f>
        <v>233325</v>
      </c>
      <c r="M18" s="67">
        <f t="shared" si="3"/>
        <v>0.81967213114754101</v>
      </c>
      <c r="N18" s="67">
        <f t="shared" si="1"/>
        <v>0.18032786885245899</v>
      </c>
      <c r="O18" s="71" t="s">
        <v>42</v>
      </c>
      <c r="P18" s="68"/>
      <c r="Q18" s="68"/>
      <c r="R18" s="69">
        <f>30+12*0.75+12*0.5</f>
        <v>45</v>
      </c>
      <c r="S18" s="69">
        <v>2</v>
      </c>
      <c r="T18" s="70">
        <v>68000</v>
      </c>
      <c r="U18" s="73">
        <f>+$T18*$S18*12/$H$1*0.5</f>
        <v>25500</v>
      </c>
      <c r="V18" s="73">
        <f>+$T18*$S18*12/$H$1</f>
        <v>51000</v>
      </c>
      <c r="W18" s="73">
        <f>+$T18*$S18*12/$H$1</f>
        <v>51000</v>
      </c>
      <c r="X18" s="73">
        <f>+$T18*$S18*12/$H$1*0.75</f>
        <v>38250</v>
      </c>
      <c r="Y18" s="73">
        <f>+$T18*$S18*12/$H$1*0.5</f>
        <v>25500</v>
      </c>
      <c r="Z18" s="73">
        <f t="shared" si="2"/>
        <v>191250</v>
      </c>
      <c r="AA18" s="218"/>
      <c r="AB18" s="219">
        <v>1</v>
      </c>
      <c r="AC18" s="218">
        <v>1</v>
      </c>
      <c r="AD18" s="219">
        <v>1</v>
      </c>
      <c r="AE18" s="218">
        <v>1</v>
      </c>
      <c r="AF18" s="219">
        <v>1</v>
      </c>
      <c r="AG18" s="218">
        <v>1</v>
      </c>
      <c r="AH18" s="219">
        <v>1</v>
      </c>
      <c r="AI18" s="218">
        <v>1</v>
      </c>
      <c r="AJ18" s="219">
        <v>1</v>
      </c>
    </row>
    <row r="19" spans="1:36" hidden="1" x14ac:dyDescent="0.25">
      <c r="A19" s="64">
        <v>1</v>
      </c>
      <c r="B19" s="64">
        <v>1</v>
      </c>
      <c r="C19" s="64">
        <v>1</v>
      </c>
      <c r="D19" s="64">
        <v>1</v>
      </c>
      <c r="E19" s="64">
        <v>2</v>
      </c>
      <c r="F19" s="64">
        <v>2</v>
      </c>
      <c r="G19" s="72" t="s">
        <v>48</v>
      </c>
      <c r="H19" s="73">
        <f>+S19*R19*T19</f>
        <v>21285000</v>
      </c>
      <c r="I19" s="74">
        <f>+H19*0.22</f>
        <v>4682700</v>
      </c>
      <c r="J19" s="74">
        <f>+H19/$H$1</f>
        <v>665156.25</v>
      </c>
      <c r="K19" s="74">
        <f>+I19/$H$1</f>
        <v>146334.375</v>
      </c>
      <c r="L19" s="74">
        <f>+J19+K19</f>
        <v>811490.625</v>
      </c>
      <c r="M19" s="67">
        <f t="shared" si="3"/>
        <v>0.81967213114754101</v>
      </c>
      <c r="N19" s="67">
        <f t="shared" si="1"/>
        <v>0.18032786885245899</v>
      </c>
      <c r="O19" s="71" t="s">
        <v>42</v>
      </c>
      <c r="P19" s="68"/>
      <c r="Q19" s="68"/>
      <c r="R19" s="69">
        <f>30+12*0.75+12*0.5</f>
        <v>45</v>
      </c>
      <c r="S19" s="69">
        <v>11</v>
      </c>
      <c r="T19" s="70">
        <v>43000</v>
      </c>
      <c r="U19" s="73">
        <f>+$T19*$S19*12/$H$1*0.5</f>
        <v>88687.5</v>
      </c>
      <c r="V19" s="73">
        <f>+$T19*$S19*12/$H$1</f>
        <v>177375</v>
      </c>
      <c r="W19" s="73">
        <f>+$T19*$S19*12/$H$1</f>
        <v>177375</v>
      </c>
      <c r="X19" s="73">
        <f>+$T19*$S19*12/$H$1*0.75</f>
        <v>133031.25</v>
      </c>
      <c r="Y19" s="73">
        <f>+$T19*$S19*12/$H$1*0.5</f>
        <v>88687.5</v>
      </c>
      <c r="Z19" s="73">
        <f t="shared" si="2"/>
        <v>665156.25</v>
      </c>
      <c r="AA19" s="218"/>
      <c r="AB19" s="219">
        <v>1</v>
      </c>
      <c r="AC19" s="218">
        <v>1</v>
      </c>
      <c r="AD19" s="219">
        <v>1</v>
      </c>
      <c r="AE19" s="218">
        <v>1</v>
      </c>
      <c r="AF19" s="219">
        <v>1</v>
      </c>
      <c r="AG19" s="218">
        <v>1</v>
      </c>
      <c r="AH19" s="219">
        <v>1</v>
      </c>
      <c r="AI19" s="218">
        <v>1</v>
      </c>
      <c r="AJ19" s="219">
        <v>1</v>
      </c>
    </row>
    <row r="20" spans="1:36" ht="24" x14ac:dyDescent="0.25">
      <c r="A20" s="64">
        <v>1</v>
      </c>
      <c r="B20" s="64">
        <v>1</v>
      </c>
      <c r="C20" s="64">
        <v>1</v>
      </c>
      <c r="D20" s="64">
        <v>1</v>
      </c>
      <c r="E20" s="64">
        <v>3</v>
      </c>
      <c r="F20" s="64">
        <v>0</v>
      </c>
      <c r="G20" s="65" t="s">
        <v>222</v>
      </c>
      <c r="H20" s="66">
        <f>+H21+H22</f>
        <v>1279999.9999999991</v>
      </c>
      <c r="I20" s="66">
        <f t="shared" ref="I20:L20" si="13">+I21+I22</f>
        <v>281599.99999999983</v>
      </c>
      <c r="J20" s="66">
        <f t="shared" si="13"/>
        <v>39999.999999999971</v>
      </c>
      <c r="K20" s="66">
        <f t="shared" si="13"/>
        <v>8799.9999999999945</v>
      </c>
      <c r="L20" s="66">
        <f t="shared" si="13"/>
        <v>48799.999999999964</v>
      </c>
      <c r="M20" s="67">
        <f t="shared" si="3"/>
        <v>0.81967213114754101</v>
      </c>
      <c r="N20" s="67">
        <f t="shared" si="1"/>
        <v>0.18032786885245899</v>
      </c>
      <c r="O20" s="71" t="s">
        <v>59</v>
      </c>
      <c r="P20" s="68">
        <v>42583</v>
      </c>
      <c r="Q20" s="68">
        <v>42917</v>
      </c>
      <c r="R20" s="4" t="s">
        <v>49</v>
      </c>
      <c r="S20" s="69"/>
      <c r="T20" s="70"/>
      <c r="U20" s="66">
        <f>+U21+U22</f>
        <v>16666.666666666653</v>
      </c>
      <c r="V20" s="66">
        <f t="shared" ref="V20:Y20" si="14">+V21+V22</f>
        <v>23333.333333333314</v>
      </c>
      <c r="W20" s="66">
        <f t="shared" si="14"/>
        <v>0</v>
      </c>
      <c r="X20" s="66">
        <f t="shared" si="14"/>
        <v>0</v>
      </c>
      <c r="Y20" s="66">
        <f t="shared" si="14"/>
        <v>0</v>
      </c>
      <c r="Z20" s="66">
        <f t="shared" si="2"/>
        <v>39999.999999999971</v>
      </c>
      <c r="AA20" s="218"/>
      <c r="AB20" s="219">
        <v>1</v>
      </c>
      <c r="AC20" s="218">
        <v>1</v>
      </c>
      <c r="AD20" s="219">
        <v>1</v>
      </c>
      <c r="AE20" s="218"/>
      <c r="AF20" s="219"/>
      <c r="AG20" s="218"/>
      <c r="AH20" s="219"/>
      <c r="AI20" s="218"/>
      <c r="AJ20" s="219"/>
    </row>
    <row r="21" spans="1:36" hidden="1" x14ac:dyDescent="0.25">
      <c r="A21" s="64">
        <v>1</v>
      </c>
      <c r="B21" s="64">
        <v>1</v>
      </c>
      <c r="C21" s="64">
        <v>1</v>
      </c>
      <c r="D21" s="64">
        <v>1</v>
      </c>
      <c r="E21" s="64">
        <v>3</v>
      </c>
      <c r="F21" s="64">
        <v>1</v>
      </c>
      <c r="G21" s="72" t="s">
        <v>51</v>
      </c>
      <c r="H21" s="73">
        <f>+S21*R21*T21</f>
        <v>639999.99999999953</v>
      </c>
      <c r="I21" s="74">
        <f>+H21*0.22</f>
        <v>140799.99999999991</v>
      </c>
      <c r="J21" s="74">
        <f t="shared" ref="J21:K25" si="15">+H21/$H$1</f>
        <v>19999.999999999985</v>
      </c>
      <c r="K21" s="74">
        <f t="shared" si="15"/>
        <v>4399.9999999999973</v>
      </c>
      <c r="L21" s="74">
        <f>+J21+K21</f>
        <v>24399.999999999982</v>
      </c>
      <c r="M21" s="67">
        <f t="shared" si="3"/>
        <v>0.81967213114754101</v>
      </c>
      <c r="N21" s="67">
        <f t="shared" si="1"/>
        <v>0.18032786885245899</v>
      </c>
      <c r="O21" s="266" t="s">
        <v>192</v>
      </c>
      <c r="P21" s="68"/>
      <c r="Q21" s="68"/>
      <c r="R21" s="4">
        <v>12</v>
      </c>
      <c r="S21" s="69">
        <v>1</v>
      </c>
      <c r="T21" s="70">
        <v>53333.333333333299</v>
      </c>
      <c r="U21" s="73">
        <f>+$T21*$S21*12/$H$1/12*5</f>
        <v>8333.3333333333267</v>
      </c>
      <c r="V21" s="73">
        <f>+$T21*$S21*12/$H$1/12*7</f>
        <v>11666.666666666657</v>
      </c>
      <c r="W21" s="73"/>
      <c r="X21" s="73"/>
      <c r="Y21" s="73"/>
      <c r="Z21" s="73">
        <f t="shared" si="2"/>
        <v>19999.999999999985</v>
      </c>
      <c r="AA21" s="218"/>
      <c r="AB21" s="219">
        <v>1</v>
      </c>
      <c r="AC21" s="218">
        <v>1</v>
      </c>
      <c r="AD21" s="219">
        <v>1</v>
      </c>
      <c r="AE21" s="218"/>
      <c r="AF21" s="219"/>
      <c r="AG21" s="218"/>
      <c r="AH21" s="219"/>
      <c r="AI21" s="218"/>
      <c r="AJ21" s="219"/>
    </row>
    <row r="22" spans="1:36" hidden="1" x14ac:dyDescent="0.25">
      <c r="A22" s="64">
        <v>1</v>
      </c>
      <c r="B22" s="64">
        <v>1</v>
      </c>
      <c r="C22" s="64">
        <v>1</v>
      </c>
      <c r="D22" s="64">
        <v>1</v>
      </c>
      <c r="E22" s="64">
        <v>3</v>
      </c>
      <c r="F22" s="64">
        <v>2</v>
      </c>
      <c r="G22" s="72" t="s">
        <v>52</v>
      </c>
      <c r="H22" s="73">
        <f>+S22*R22*T22</f>
        <v>639999.99999999953</v>
      </c>
      <c r="I22" s="74">
        <f>+H22*0.22</f>
        <v>140799.99999999991</v>
      </c>
      <c r="J22" s="74">
        <f t="shared" si="15"/>
        <v>19999.999999999985</v>
      </c>
      <c r="K22" s="74">
        <f t="shared" si="15"/>
        <v>4399.9999999999973</v>
      </c>
      <c r="L22" s="74">
        <f>+J22+K22</f>
        <v>24399.999999999982</v>
      </c>
      <c r="M22" s="67">
        <f t="shared" si="3"/>
        <v>0.81967213114754101</v>
      </c>
      <c r="N22" s="67">
        <f t="shared" si="1"/>
        <v>0.18032786885245899</v>
      </c>
      <c r="O22" s="266" t="s">
        <v>192</v>
      </c>
      <c r="P22" s="68"/>
      <c r="Q22" s="68"/>
      <c r="R22" s="4">
        <v>12</v>
      </c>
      <c r="S22" s="69">
        <v>1</v>
      </c>
      <c r="T22" s="70">
        <v>53333.333333333299</v>
      </c>
      <c r="U22" s="73">
        <f>+$T22*$S22*12/$H$1/12*5</f>
        <v>8333.3333333333267</v>
      </c>
      <c r="V22" s="73">
        <f>+$T22*$S22*12/$H$1/12*7</f>
        <v>11666.666666666657</v>
      </c>
      <c r="W22" s="73"/>
      <c r="X22" s="73"/>
      <c r="Y22" s="73"/>
      <c r="Z22" s="73">
        <f t="shared" si="2"/>
        <v>19999.999999999985</v>
      </c>
      <c r="AA22" s="218"/>
      <c r="AB22" s="219">
        <v>1</v>
      </c>
      <c r="AC22" s="218">
        <v>1</v>
      </c>
      <c r="AD22" s="219">
        <v>1</v>
      </c>
      <c r="AE22" s="218"/>
      <c r="AF22" s="219"/>
      <c r="AG22" s="218"/>
      <c r="AH22" s="219"/>
      <c r="AI22" s="218"/>
      <c r="AJ22" s="219"/>
    </row>
    <row r="23" spans="1:36" x14ac:dyDescent="0.25">
      <c r="A23" s="64">
        <v>1</v>
      </c>
      <c r="B23" s="64">
        <v>1</v>
      </c>
      <c r="C23" s="64">
        <v>1</v>
      </c>
      <c r="D23" s="64">
        <v>1</v>
      </c>
      <c r="E23" s="64">
        <v>4</v>
      </c>
      <c r="F23" s="64">
        <v>0</v>
      </c>
      <c r="G23" s="65" t="s">
        <v>53</v>
      </c>
      <c r="H23" s="75">
        <f>280000*H1</f>
        <v>8960000</v>
      </c>
      <c r="I23" s="74">
        <f>+H23*0.22</f>
        <v>1971200</v>
      </c>
      <c r="J23" s="74">
        <f t="shared" si="15"/>
        <v>280000</v>
      </c>
      <c r="K23" s="74">
        <f t="shared" si="15"/>
        <v>61600</v>
      </c>
      <c r="L23" s="74">
        <f>+J23+K23</f>
        <v>341600</v>
      </c>
      <c r="M23" s="67">
        <f t="shared" si="3"/>
        <v>0.81967213114754101</v>
      </c>
      <c r="N23" s="67">
        <f t="shared" si="1"/>
        <v>0.18032786885245899</v>
      </c>
      <c r="O23" s="71" t="s">
        <v>54</v>
      </c>
      <c r="P23" s="68">
        <v>42522</v>
      </c>
      <c r="Q23" s="68">
        <v>42856</v>
      </c>
      <c r="R23" s="4" t="s">
        <v>49</v>
      </c>
      <c r="S23" s="69"/>
      <c r="T23" s="70"/>
      <c r="U23" s="66">
        <f>+J23/2</f>
        <v>140000</v>
      </c>
      <c r="V23" s="66">
        <f>+J23/2</f>
        <v>140000</v>
      </c>
      <c r="W23" s="66">
        <f>280000*W1</f>
        <v>0</v>
      </c>
      <c r="X23" s="66">
        <f>280000*X1</f>
        <v>0</v>
      </c>
      <c r="Y23" s="66">
        <f>280000*Y1</f>
        <v>0</v>
      </c>
      <c r="Z23" s="66">
        <f t="shared" si="2"/>
        <v>280000</v>
      </c>
      <c r="AA23" s="218"/>
      <c r="AB23" s="219">
        <v>1</v>
      </c>
      <c r="AC23" s="218">
        <v>1</v>
      </c>
      <c r="AD23" s="219">
        <v>1</v>
      </c>
      <c r="AE23" s="218"/>
      <c r="AF23" s="219"/>
      <c r="AG23" s="218"/>
      <c r="AH23" s="219"/>
      <c r="AI23" s="218"/>
      <c r="AJ23" s="219"/>
    </row>
    <row r="24" spans="1:36" ht="24" x14ac:dyDescent="0.25">
      <c r="A24" s="64">
        <v>1</v>
      </c>
      <c r="B24" s="64">
        <v>1</v>
      </c>
      <c r="C24" s="64">
        <v>1</v>
      </c>
      <c r="D24" s="64">
        <v>1</v>
      </c>
      <c r="E24" s="64">
        <v>5</v>
      </c>
      <c r="F24" s="64">
        <v>0</v>
      </c>
      <c r="G24" s="65" t="s">
        <v>55</v>
      </c>
      <c r="H24" s="75">
        <f>960000*1.5</f>
        <v>1440000</v>
      </c>
      <c r="I24" s="74">
        <f>+H24*0.22</f>
        <v>316800</v>
      </c>
      <c r="J24" s="74">
        <f t="shared" si="15"/>
        <v>45000</v>
      </c>
      <c r="K24" s="74">
        <f t="shared" si="15"/>
        <v>9900</v>
      </c>
      <c r="L24" s="74">
        <f>+J24+K24</f>
        <v>54900</v>
      </c>
      <c r="M24" s="67">
        <f t="shared" si="3"/>
        <v>0.81967213114754101</v>
      </c>
      <c r="N24" s="67">
        <f t="shared" si="1"/>
        <v>0.18032786885245899</v>
      </c>
      <c r="O24" s="71" t="s">
        <v>6</v>
      </c>
      <c r="P24" s="68">
        <v>42522</v>
      </c>
      <c r="Q24" s="68">
        <v>43070</v>
      </c>
      <c r="R24" s="4" t="s">
        <v>56</v>
      </c>
      <c r="S24" s="69"/>
      <c r="T24" s="70"/>
      <c r="U24" s="66">
        <f>+J24/3</f>
        <v>15000</v>
      </c>
      <c r="V24" s="66">
        <f>+J24/3*2</f>
        <v>30000</v>
      </c>
      <c r="W24" s="66"/>
      <c r="X24" s="66"/>
      <c r="Y24" s="66"/>
      <c r="Z24" s="66">
        <f t="shared" si="2"/>
        <v>45000</v>
      </c>
      <c r="AA24" s="218"/>
      <c r="AB24" s="219">
        <v>1</v>
      </c>
      <c r="AC24" s="218">
        <v>1</v>
      </c>
      <c r="AD24" s="219">
        <v>1</v>
      </c>
      <c r="AE24" s="218"/>
      <c r="AF24" s="219"/>
      <c r="AG24" s="218"/>
      <c r="AH24" s="219"/>
      <c r="AI24" s="218"/>
      <c r="AJ24" s="219"/>
    </row>
    <row r="25" spans="1:36" x14ac:dyDescent="0.25">
      <c r="A25" s="64">
        <v>1</v>
      </c>
      <c r="B25" s="64">
        <v>1</v>
      </c>
      <c r="C25" s="64">
        <v>1</v>
      </c>
      <c r="D25" s="64">
        <v>1</v>
      </c>
      <c r="E25" s="64">
        <v>6</v>
      </c>
      <c r="F25" s="64">
        <v>0</v>
      </c>
      <c r="G25" s="65" t="s">
        <v>57</v>
      </c>
      <c r="H25" s="75">
        <v>19000000</v>
      </c>
      <c r="I25" s="74">
        <f>+H25*0.22</f>
        <v>4180000</v>
      </c>
      <c r="J25" s="74">
        <f t="shared" si="15"/>
        <v>593750</v>
      </c>
      <c r="K25" s="74">
        <f t="shared" si="15"/>
        <v>130625</v>
      </c>
      <c r="L25" s="74">
        <f>+J25+K25</f>
        <v>724375</v>
      </c>
      <c r="M25" s="67">
        <f t="shared" si="3"/>
        <v>0.81967213114754101</v>
      </c>
      <c r="N25" s="67">
        <f t="shared" si="1"/>
        <v>0.18032786885245899</v>
      </c>
      <c r="O25" s="71" t="s">
        <v>54</v>
      </c>
      <c r="P25" s="68">
        <v>42522</v>
      </c>
      <c r="Q25" s="68">
        <v>44166</v>
      </c>
      <c r="R25" s="4" t="s">
        <v>46</v>
      </c>
      <c r="S25" s="69"/>
      <c r="T25" s="70"/>
      <c r="U25" s="66">
        <f>+$J25/54*6</f>
        <v>65972.222222222219</v>
      </c>
      <c r="V25" s="66">
        <f>+$J25/54*12</f>
        <v>131944.44444444444</v>
      </c>
      <c r="W25" s="66">
        <f>+$J25/54*12</f>
        <v>131944.44444444444</v>
      </c>
      <c r="X25" s="66">
        <f>+$J25/54*12</f>
        <v>131944.44444444444</v>
      </c>
      <c r="Y25" s="66">
        <f>+$J25/54*12</f>
        <v>131944.44444444444</v>
      </c>
      <c r="Z25" s="66">
        <f t="shared" si="2"/>
        <v>593750</v>
      </c>
      <c r="AA25" s="218"/>
      <c r="AB25" s="219">
        <v>1</v>
      </c>
      <c r="AC25" s="218">
        <v>1</v>
      </c>
      <c r="AD25" s="219">
        <v>1</v>
      </c>
      <c r="AE25" s="218">
        <v>1</v>
      </c>
      <c r="AF25" s="219">
        <v>1</v>
      </c>
      <c r="AG25" s="218">
        <v>1</v>
      </c>
      <c r="AH25" s="219">
        <v>1</v>
      </c>
      <c r="AI25" s="218">
        <v>1</v>
      </c>
      <c r="AJ25" s="219">
        <v>1</v>
      </c>
    </row>
    <row r="26" spans="1:36" x14ac:dyDescent="0.25">
      <c r="A26" s="55">
        <v>1</v>
      </c>
      <c r="B26" s="55">
        <v>1</v>
      </c>
      <c r="C26" s="55">
        <v>1</v>
      </c>
      <c r="D26" s="55">
        <v>2</v>
      </c>
      <c r="E26" s="55">
        <v>0</v>
      </c>
      <c r="F26" s="55">
        <v>0</v>
      </c>
      <c r="G26" s="76" t="s">
        <v>58</v>
      </c>
      <c r="H26" s="57">
        <f>+H27+H34+H37+H42+H45</f>
        <v>73936500</v>
      </c>
      <c r="I26" s="57">
        <f>+I27+I34+I37+I42+I45</f>
        <v>16266030</v>
      </c>
      <c r="J26" s="57">
        <f>+J27+J34+J37+J42+J45</f>
        <v>2310515.625</v>
      </c>
      <c r="K26" s="57">
        <f>+K27+K34+K37+K42+K45</f>
        <v>508313.4375</v>
      </c>
      <c r="L26" s="57">
        <f>+L27+L34+L37+L42+L45</f>
        <v>2818829.0625</v>
      </c>
      <c r="M26" s="58">
        <f t="shared" si="3"/>
        <v>0.81967213114754101</v>
      </c>
      <c r="N26" s="58">
        <f t="shared" si="1"/>
        <v>0.18032786885245899</v>
      </c>
      <c r="O26" s="81" t="s">
        <v>208</v>
      </c>
      <c r="P26" s="77"/>
      <c r="Q26" s="77"/>
      <c r="R26" s="78"/>
      <c r="S26" s="79"/>
      <c r="T26" s="80"/>
      <c r="U26" s="57">
        <f>+U27+U34+U37+U42+U45</f>
        <v>400312.5</v>
      </c>
      <c r="V26" s="57">
        <f>+V27+V34+V37+V42+V45</f>
        <v>607875</v>
      </c>
      <c r="W26" s="57">
        <f>+W27+W34+W37+W42+W45</f>
        <v>578812.5</v>
      </c>
      <c r="X26" s="57">
        <f>+X27+X34+X37+X42+X45</f>
        <v>434109.375</v>
      </c>
      <c r="Y26" s="57">
        <f>+Y27+Y34+Y37+Y42+Y45</f>
        <v>289406.25</v>
      </c>
      <c r="Z26" s="57">
        <f t="shared" si="2"/>
        <v>2310515.625</v>
      </c>
      <c r="AA26" s="218">
        <v>1</v>
      </c>
      <c r="AB26" s="219">
        <v>1</v>
      </c>
      <c r="AC26" s="218">
        <v>1</v>
      </c>
      <c r="AD26" s="219">
        <v>1</v>
      </c>
      <c r="AE26" s="218">
        <v>1</v>
      </c>
      <c r="AF26" s="219">
        <v>1</v>
      </c>
      <c r="AG26" s="218">
        <v>1</v>
      </c>
      <c r="AH26" s="219">
        <v>1</v>
      </c>
      <c r="AI26" s="218">
        <v>1</v>
      </c>
      <c r="AJ26" s="219">
        <v>1</v>
      </c>
    </row>
    <row r="27" spans="1:36" ht="24" x14ac:dyDescent="0.25">
      <c r="A27" s="64">
        <v>1</v>
      </c>
      <c r="B27" s="64">
        <v>1</v>
      </c>
      <c r="C27" s="64">
        <v>1</v>
      </c>
      <c r="D27" s="64">
        <v>2</v>
      </c>
      <c r="E27" s="64">
        <v>1</v>
      </c>
      <c r="F27" s="64">
        <v>0</v>
      </c>
      <c r="G27" s="65" t="s">
        <v>172</v>
      </c>
      <c r="H27" s="66">
        <f>SUM(H28:H33)</f>
        <v>10174500</v>
      </c>
      <c r="I27" s="66">
        <f t="shared" ref="I27:L27" si="16">SUM(I28:I33)</f>
        <v>2238390</v>
      </c>
      <c r="J27" s="66">
        <f t="shared" si="16"/>
        <v>317953.125</v>
      </c>
      <c r="K27" s="66">
        <f t="shared" si="16"/>
        <v>69949.6875</v>
      </c>
      <c r="L27" s="66">
        <f t="shared" si="16"/>
        <v>387902.8125</v>
      </c>
      <c r="M27" s="67">
        <f t="shared" si="3"/>
        <v>0.81967213114754101</v>
      </c>
      <c r="N27" s="67">
        <f t="shared" si="1"/>
        <v>0.18032786885245899</v>
      </c>
      <c r="O27" s="71" t="s">
        <v>59</v>
      </c>
      <c r="P27" s="68">
        <v>42370</v>
      </c>
      <c r="Q27" s="68">
        <v>44166</v>
      </c>
      <c r="R27" s="4" t="s">
        <v>41</v>
      </c>
      <c r="S27" s="69"/>
      <c r="T27" s="70"/>
      <c r="U27" s="66">
        <f>SUM(U28:U33)</f>
        <v>74812.5</v>
      </c>
      <c r="V27" s="66">
        <f t="shared" ref="V27:Y27" si="17">SUM(V28:V33)</f>
        <v>74812.5</v>
      </c>
      <c r="W27" s="66">
        <f t="shared" si="17"/>
        <v>74812.5</v>
      </c>
      <c r="X27" s="66">
        <f t="shared" si="17"/>
        <v>56109.375</v>
      </c>
      <c r="Y27" s="66">
        <f t="shared" si="17"/>
        <v>37406.25</v>
      </c>
      <c r="Z27" s="66">
        <f t="shared" si="2"/>
        <v>317953.125</v>
      </c>
      <c r="AA27" s="218">
        <v>1</v>
      </c>
      <c r="AB27" s="219">
        <v>1</v>
      </c>
      <c r="AC27" s="218">
        <v>1</v>
      </c>
      <c r="AD27" s="219">
        <v>1</v>
      </c>
      <c r="AE27" s="218">
        <v>1</v>
      </c>
      <c r="AF27" s="219">
        <v>1</v>
      </c>
      <c r="AG27" s="218">
        <v>1</v>
      </c>
      <c r="AH27" s="219">
        <v>1</v>
      </c>
      <c r="AI27" s="218">
        <v>1</v>
      </c>
      <c r="AJ27" s="219">
        <v>1</v>
      </c>
    </row>
    <row r="28" spans="1:36" ht="24" hidden="1" x14ac:dyDescent="0.25">
      <c r="A28" s="64">
        <v>1</v>
      </c>
      <c r="B28" s="64">
        <v>1</v>
      </c>
      <c r="C28" s="64">
        <v>1</v>
      </c>
      <c r="D28" s="64">
        <v>2</v>
      </c>
      <c r="E28" s="64">
        <v>1</v>
      </c>
      <c r="F28" s="64">
        <v>1</v>
      </c>
      <c r="G28" s="72" t="s">
        <v>60</v>
      </c>
      <c r="H28" s="73">
        <f t="shared" ref="H28:H33" si="18">+S28*R28*T28</f>
        <v>792000</v>
      </c>
      <c r="I28" s="74">
        <f t="shared" ref="I28:I33" si="19">+H28*0.22</f>
        <v>174240</v>
      </c>
      <c r="J28" s="74">
        <f t="shared" ref="J28:K33" si="20">+H28/$H$1</f>
        <v>24750</v>
      </c>
      <c r="K28" s="74">
        <f t="shared" si="20"/>
        <v>5445</v>
      </c>
      <c r="L28" s="74">
        <f t="shared" ref="L28:L33" si="21">+J28+K28</f>
        <v>30195</v>
      </c>
      <c r="M28" s="67">
        <f t="shared" si="3"/>
        <v>0.81967213114754101</v>
      </c>
      <c r="N28" s="67">
        <f t="shared" si="1"/>
        <v>0.18032786885245899</v>
      </c>
      <c r="O28" s="71" t="s">
        <v>50</v>
      </c>
      <c r="P28" s="68"/>
      <c r="Q28" s="68"/>
      <c r="R28" s="4">
        <v>12</v>
      </c>
      <c r="S28" s="69">
        <v>1</v>
      </c>
      <c r="T28" s="70">
        <v>66000</v>
      </c>
      <c r="U28" s="73">
        <f>+J28</f>
        <v>24750</v>
      </c>
      <c r="V28" s="73">
        <v>0</v>
      </c>
      <c r="W28" s="73">
        <v>0</v>
      </c>
      <c r="X28" s="73">
        <v>0</v>
      </c>
      <c r="Y28" s="73">
        <v>0</v>
      </c>
      <c r="Z28" s="73">
        <f t="shared" si="2"/>
        <v>24750</v>
      </c>
      <c r="AA28" s="218"/>
      <c r="AB28" s="219">
        <v>1</v>
      </c>
      <c r="AC28" s="218"/>
      <c r="AD28" s="219"/>
      <c r="AE28" s="218"/>
      <c r="AF28" s="219"/>
      <c r="AG28" s="218"/>
      <c r="AH28" s="219"/>
      <c r="AI28" s="218"/>
      <c r="AJ28" s="219"/>
    </row>
    <row r="29" spans="1:36" ht="24" hidden="1" x14ac:dyDescent="0.25">
      <c r="A29" s="64">
        <v>1</v>
      </c>
      <c r="B29" s="64">
        <v>1</v>
      </c>
      <c r="C29" s="64">
        <v>1</v>
      </c>
      <c r="D29" s="64">
        <v>2</v>
      </c>
      <c r="E29" s="64">
        <v>1</v>
      </c>
      <c r="F29" s="64">
        <v>2</v>
      </c>
      <c r="G29" s="72" t="s">
        <v>61</v>
      </c>
      <c r="H29" s="73">
        <f t="shared" si="18"/>
        <v>990000</v>
      </c>
      <c r="I29" s="74">
        <f t="shared" si="19"/>
        <v>217800</v>
      </c>
      <c r="J29" s="74">
        <f t="shared" si="20"/>
        <v>30937.5</v>
      </c>
      <c r="K29" s="74">
        <f t="shared" si="20"/>
        <v>6806.25</v>
      </c>
      <c r="L29" s="74">
        <f t="shared" si="21"/>
        <v>37743.75</v>
      </c>
      <c r="M29" s="67">
        <f t="shared" si="3"/>
        <v>0.81967213114754101</v>
      </c>
      <c r="N29" s="67">
        <f t="shared" si="1"/>
        <v>0.18032786885245899</v>
      </c>
      <c r="O29" s="71" t="s">
        <v>50</v>
      </c>
      <c r="P29" s="68"/>
      <c r="Q29" s="68"/>
      <c r="R29" s="4">
        <v>12</v>
      </c>
      <c r="S29" s="69">
        <v>1</v>
      </c>
      <c r="T29" s="70">
        <v>82500</v>
      </c>
      <c r="U29" s="73">
        <f>+J29</f>
        <v>30937.5</v>
      </c>
      <c r="V29" s="73">
        <f>+AF29*AE29*AG29</f>
        <v>0</v>
      </c>
      <c r="W29" s="73">
        <f>+AG29*AF29*AH29</f>
        <v>0</v>
      </c>
      <c r="X29" s="73">
        <f>+AH29*AG29*AI29</f>
        <v>0</v>
      </c>
      <c r="Y29" s="73">
        <f>+AI29*AH29*AJ29</f>
        <v>0</v>
      </c>
      <c r="Z29" s="73">
        <f t="shared" si="2"/>
        <v>30937.5</v>
      </c>
      <c r="AA29" s="218"/>
      <c r="AB29" s="219">
        <v>1</v>
      </c>
      <c r="AC29" s="218"/>
      <c r="AD29" s="219"/>
      <c r="AE29" s="218"/>
      <c r="AF29" s="219"/>
      <c r="AG29" s="218"/>
      <c r="AH29" s="219"/>
      <c r="AI29" s="218"/>
      <c r="AJ29" s="219"/>
    </row>
    <row r="30" spans="1:36" ht="24" hidden="1" x14ac:dyDescent="0.25">
      <c r="A30" s="64">
        <v>1</v>
      </c>
      <c r="B30" s="64">
        <v>1</v>
      </c>
      <c r="C30" s="64">
        <v>1</v>
      </c>
      <c r="D30" s="64">
        <v>2</v>
      </c>
      <c r="E30" s="64">
        <v>1</v>
      </c>
      <c r="F30" s="64">
        <v>3</v>
      </c>
      <c r="G30" s="72" t="s">
        <v>223</v>
      </c>
      <c r="H30" s="73">
        <f t="shared" si="18"/>
        <v>612000</v>
      </c>
      <c r="I30" s="74">
        <f t="shared" si="19"/>
        <v>134640</v>
      </c>
      <c r="J30" s="74">
        <f t="shared" si="20"/>
        <v>19125</v>
      </c>
      <c r="K30" s="74">
        <f t="shared" si="20"/>
        <v>4207.5</v>
      </c>
      <c r="L30" s="74">
        <f t="shared" si="21"/>
        <v>23332.5</v>
      </c>
      <c r="M30" s="67">
        <f t="shared" si="3"/>
        <v>0.81967213114754101</v>
      </c>
      <c r="N30" s="67">
        <f t="shared" si="1"/>
        <v>0.18032786885245899</v>
      </c>
      <c r="O30" s="71" t="s">
        <v>62</v>
      </c>
      <c r="P30" s="68"/>
      <c r="Q30" s="68"/>
      <c r="R30" s="4">
        <v>12</v>
      </c>
      <c r="S30" s="69">
        <v>1</v>
      </c>
      <c r="T30" s="70">
        <v>51000</v>
      </c>
      <c r="U30" s="73">
        <f>+J30</f>
        <v>19125</v>
      </c>
      <c r="V30" s="73">
        <v>0</v>
      </c>
      <c r="W30" s="73">
        <v>0</v>
      </c>
      <c r="X30" s="73">
        <v>0</v>
      </c>
      <c r="Y30" s="73">
        <v>0</v>
      </c>
      <c r="Z30" s="73">
        <f t="shared" si="2"/>
        <v>19125</v>
      </c>
      <c r="AA30" s="218"/>
      <c r="AB30" s="219">
        <v>1</v>
      </c>
      <c r="AC30" s="218"/>
      <c r="AD30" s="219"/>
      <c r="AE30" s="218"/>
      <c r="AF30" s="219"/>
      <c r="AG30" s="218"/>
      <c r="AH30" s="219"/>
      <c r="AI30" s="218"/>
      <c r="AJ30" s="219"/>
    </row>
    <row r="31" spans="1:36" ht="24" hidden="1" x14ac:dyDescent="0.25">
      <c r="A31" s="64">
        <v>1</v>
      </c>
      <c r="B31" s="64">
        <v>1</v>
      </c>
      <c r="C31" s="64">
        <v>1</v>
      </c>
      <c r="D31" s="64">
        <v>2</v>
      </c>
      <c r="E31" s="64">
        <v>1</v>
      </c>
      <c r="F31" s="64">
        <v>4</v>
      </c>
      <c r="G31" s="72" t="s">
        <v>63</v>
      </c>
      <c r="H31" s="73">
        <f t="shared" si="18"/>
        <v>2574000</v>
      </c>
      <c r="I31" s="74">
        <f t="shared" si="19"/>
        <v>566280</v>
      </c>
      <c r="J31" s="74">
        <f t="shared" si="20"/>
        <v>80437.5</v>
      </c>
      <c r="K31" s="74">
        <f t="shared" si="20"/>
        <v>17696.25</v>
      </c>
      <c r="L31" s="74">
        <f t="shared" si="21"/>
        <v>98133.75</v>
      </c>
      <c r="M31" s="67">
        <f t="shared" si="3"/>
        <v>0.81967213114754101</v>
      </c>
      <c r="N31" s="67">
        <f t="shared" si="1"/>
        <v>0.18032786885245899</v>
      </c>
      <c r="O31" s="71" t="s">
        <v>42</v>
      </c>
      <c r="P31" s="68"/>
      <c r="Q31" s="68"/>
      <c r="R31" s="69">
        <f>24+12*0.75+12*0.5</f>
        <v>39</v>
      </c>
      <c r="S31" s="69">
        <v>1</v>
      </c>
      <c r="T31" s="70">
        <v>66000</v>
      </c>
      <c r="U31" s="73"/>
      <c r="V31" s="73">
        <f t="shared" ref="V31:W33" si="22">+$T31*$S31*12/$H$1</f>
        <v>24750</v>
      </c>
      <c r="W31" s="73">
        <f t="shared" si="22"/>
        <v>24750</v>
      </c>
      <c r="X31" s="73">
        <f>+$T31*$S31*12/$H$1*0.75</f>
        <v>18562.5</v>
      </c>
      <c r="Y31" s="73">
        <f>+$T31*$S31*12/$H$1*0.5</f>
        <v>12375</v>
      </c>
      <c r="Z31" s="73">
        <f t="shared" si="2"/>
        <v>80437.5</v>
      </c>
      <c r="AA31" s="218"/>
      <c r="AB31" s="219"/>
      <c r="AC31" s="218">
        <v>1</v>
      </c>
      <c r="AD31" s="219">
        <v>1</v>
      </c>
      <c r="AE31" s="218">
        <v>1</v>
      </c>
      <c r="AF31" s="219">
        <v>1</v>
      </c>
      <c r="AG31" s="218">
        <v>1</v>
      </c>
      <c r="AH31" s="219">
        <v>1</v>
      </c>
      <c r="AI31" s="218">
        <v>1</v>
      </c>
      <c r="AJ31" s="219">
        <v>1</v>
      </c>
    </row>
    <row r="32" spans="1:36" ht="24" hidden="1" x14ac:dyDescent="0.25">
      <c r="A32" s="64">
        <v>1</v>
      </c>
      <c r="B32" s="64">
        <v>1</v>
      </c>
      <c r="C32" s="64">
        <v>1</v>
      </c>
      <c r="D32" s="64">
        <v>2</v>
      </c>
      <c r="E32" s="64">
        <v>1</v>
      </c>
      <c r="F32" s="64">
        <v>5</v>
      </c>
      <c r="G32" s="72" t="s">
        <v>64</v>
      </c>
      <c r="H32" s="73">
        <f t="shared" si="18"/>
        <v>3217500</v>
      </c>
      <c r="I32" s="74">
        <f t="shared" si="19"/>
        <v>707850</v>
      </c>
      <c r="J32" s="74">
        <f t="shared" si="20"/>
        <v>100546.875</v>
      </c>
      <c r="K32" s="74">
        <f t="shared" si="20"/>
        <v>22120.3125</v>
      </c>
      <c r="L32" s="74">
        <f t="shared" si="21"/>
        <v>122667.1875</v>
      </c>
      <c r="M32" s="67">
        <f t="shared" si="3"/>
        <v>0.81967213114754101</v>
      </c>
      <c r="N32" s="67">
        <f t="shared" si="1"/>
        <v>0.18032786885245899</v>
      </c>
      <c r="O32" s="71" t="s">
        <v>42</v>
      </c>
      <c r="P32" s="68"/>
      <c r="Q32" s="68"/>
      <c r="R32" s="69">
        <f>24+12*0.75+12*0.5</f>
        <v>39</v>
      </c>
      <c r="S32" s="69">
        <v>1</v>
      </c>
      <c r="T32" s="70">
        <v>82500</v>
      </c>
      <c r="U32" s="73"/>
      <c r="V32" s="73">
        <f t="shared" si="22"/>
        <v>30937.5</v>
      </c>
      <c r="W32" s="73">
        <f t="shared" si="22"/>
        <v>30937.5</v>
      </c>
      <c r="X32" s="73">
        <f>+$T32*$S32*12/$H$1*0.75</f>
        <v>23203.125</v>
      </c>
      <c r="Y32" s="73">
        <f>+$T32*$S32*12/$H$1*0.5</f>
        <v>15468.75</v>
      </c>
      <c r="Z32" s="73">
        <f t="shared" si="2"/>
        <v>100546.875</v>
      </c>
      <c r="AA32" s="218"/>
      <c r="AB32" s="219"/>
      <c r="AC32" s="218">
        <v>1</v>
      </c>
      <c r="AD32" s="219">
        <v>1</v>
      </c>
      <c r="AE32" s="218">
        <v>1</v>
      </c>
      <c r="AF32" s="219">
        <v>1</v>
      </c>
      <c r="AG32" s="218">
        <v>1</v>
      </c>
      <c r="AH32" s="219">
        <v>1</v>
      </c>
      <c r="AI32" s="218">
        <v>1</v>
      </c>
      <c r="AJ32" s="219">
        <v>1</v>
      </c>
    </row>
    <row r="33" spans="1:36" ht="24" hidden="1" x14ac:dyDescent="0.25">
      <c r="A33" s="64">
        <v>1</v>
      </c>
      <c r="B33" s="64">
        <v>1</v>
      </c>
      <c r="C33" s="64">
        <v>1</v>
      </c>
      <c r="D33" s="64">
        <v>2</v>
      </c>
      <c r="E33" s="64">
        <v>1</v>
      </c>
      <c r="F33" s="64">
        <v>6</v>
      </c>
      <c r="G33" s="72" t="s">
        <v>65</v>
      </c>
      <c r="H33" s="73">
        <f t="shared" si="18"/>
        <v>1989000</v>
      </c>
      <c r="I33" s="74">
        <f t="shared" si="19"/>
        <v>437580</v>
      </c>
      <c r="J33" s="74">
        <f t="shared" si="20"/>
        <v>62156.25</v>
      </c>
      <c r="K33" s="74">
        <f t="shared" si="20"/>
        <v>13674.375</v>
      </c>
      <c r="L33" s="74">
        <f t="shared" si="21"/>
        <v>75830.625</v>
      </c>
      <c r="M33" s="67">
        <f t="shared" si="3"/>
        <v>0.81967213114754101</v>
      </c>
      <c r="N33" s="67">
        <f t="shared" si="1"/>
        <v>0.18032786885245899</v>
      </c>
      <c r="O33" s="71" t="s">
        <v>42</v>
      </c>
      <c r="P33" s="68"/>
      <c r="Q33" s="68"/>
      <c r="R33" s="69">
        <f>24+12*0.75+12*0.5</f>
        <v>39</v>
      </c>
      <c r="S33" s="69">
        <v>1</v>
      </c>
      <c r="T33" s="70">
        <v>51000</v>
      </c>
      <c r="U33" s="73"/>
      <c r="V33" s="73">
        <f t="shared" si="22"/>
        <v>19125</v>
      </c>
      <c r="W33" s="73">
        <f t="shared" si="22"/>
        <v>19125</v>
      </c>
      <c r="X33" s="73">
        <f>+$T33*$S33*12/$H$1*0.75</f>
        <v>14343.75</v>
      </c>
      <c r="Y33" s="73">
        <f>+$T33*$S33*12/$H$1*0.5</f>
        <v>9562.5</v>
      </c>
      <c r="Z33" s="73">
        <f t="shared" si="2"/>
        <v>62156.25</v>
      </c>
      <c r="AA33" s="218"/>
      <c r="AB33" s="219"/>
      <c r="AC33" s="218">
        <v>1</v>
      </c>
      <c r="AD33" s="219">
        <v>1</v>
      </c>
      <c r="AE33" s="218">
        <v>1</v>
      </c>
      <c r="AF33" s="219">
        <v>1</v>
      </c>
      <c r="AG33" s="218">
        <v>1</v>
      </c>
      <c r="AH33" s="219">
        <v>1</v>
      </c>
      <c r="AI33" s="218">
        <v>1</v>
      </c>
      <c r="AJ33" s="219">
        <v>1</v>
      </c>
    </row>
    <row r="34" spans="1:36" ht="24" x14ac:dyDescent="0.25">
      <c r="A34" s="64">
        <v>1</v>
      </c>
      <c r="B34" s="64">
        <v>1</v>
      </c>
      <c r="C34" s="64">
        <v>1</v>
      </c>
      <c r="D34" s="64">
        <v>2</v>
      </c>
      <c r="E34" s="64">
        <v>2</v>
      </c>
      <c r="F34" s="64">
        <v>0</v>
      </c>
      <c r="G34" s="65" t="s">
        <v>66</v>
      </c>
      <c r="H34" s="66">
        <f>SUM(H35:H36)</f>
        <v>9513000</v>
      </c>
      <c r="I34" s="66">
        <f>SUM(I35:I36)</f>
        <v>2092860</v>
      </c>
      <c r="J34" s="66">
        <f>SUM(J35:J36)</f>
        <v>297281.25</v>
      </c>
      <c r="K34" s="66">
        <f>SUM(K35:K36)</f>
        <v>65401.875</v>
      </c>
      <c r="L34" s="66">
        <f>SUM(L35:L36)</f>
        <v>362683.125</v>
      </c>
      <c r="M34" s="67">
        <f t="shared" si="3"/>
        <v>0.81967213114754101</v>
      </c>
      <c r="N34" s="67">
        <f t="shared" si="1"/>
        <v>0.18032786885245899</v>
      </c>
      <c r="O34" s="71" t="s">
        <v>59</v>
      </c>
      <c r="P34" s="68">
        <v>42522</v>
      </c>
      <c r="Q34" s="68">
        <v>44166</v>
      </c>
      <c r="R34" s="4" t="s">
        <v>46</v>
      </c>
      <c r="S34" s="69"/>
      <c r="T34" s="70"/>
      <c r="U34" s="66">
        <f>SUM(U35:U36)</f>
        <v>56062.5</v>
      </c>
      <c r="V34" s="66">
        <f>SUM(V35:V36)</f>
        <v>112125</v>
      </c>
      <c r="W34" s="66">
        <f>SUM(W35:W36)</f>
        <v>57375</v>
      </c>
      <c r="X34" s="66">
        <f>SUM(X35:X36)</f>
        <v>43031.25</v>
      </c>
      <c r="Y34" s="66">
        <f>SUM(Y35:Y36)</f>
        <v>28687.5</v>
      </c>
      <c r="Z34" s="66">
        <f t="shared" si="2"/>
        <v>297281.25</v>
      </c>
      <c r="AA34" s="218"/>
      <c r="AB34" s="219"/>
      <c r="AC34" s="218">
        <v>1</v>
      </c>
      <c r="AD34" s="219">
        <v>1</v>
      </c>
      <c r="AE34" s="218">
        <v>1</v>
      </c>
      <c r="AF34" s="219">
        <v>1</v>
      </c>
      <c r="AG34" s="218">
        <v>1</v>
      </c>
      <c r="AH34" s="219">
        <v>1</v>
      </c>
      <c r="AI34" s="218">
        <v>1</v>
      </c>
      <c r="AJ34" s="219">
        <v>1</v>
      </c>
    </row>
    <row r="35" spans="1:36" ht="36" hidden="1" x14ac:dyDescent="0.25">
      <c r="A35" s="64">
        <v>1</v>
      </c>
      <c r="B35" s="64">
        <v>1</v>
      </c>
      <c r="C35" s="64">
        <v>1</v>
      </c>
      <c r="D35" s="64">
        <v>2</v>
      </c>
      <c r="E35" s="64">
        <v>2</v>
      </c>
      <c r="F35" s="64">
        <v>1</v>
      </c>
      <c r="G35" s="72" t="s">
        <v>67</v>
      </c>
      <c r="H35" s="73">
        <f>+S35*R35*T35</f>
        <v>6885000</v>
      </c>
      <c r="I35" s="74">
        <f>+H35*0.22</f>
        <v>1514700</v>
      </c>
      <c r="J35" s="74">
        <f>+H35/$H$1</f>
        <v>215156.25</v>
      </c>
      <c r="K35" s="74">
        <f>+I35/$H$1</f>
        <v>47334.375</v>
      </c>
      <c r="L35" s="74">
        <f>+J35+K35</f>
        <v>262490.625</v>
      </c>
      <c r="M35" s="67">
        <f t="shared" si="3"/>
        <v>0.81967213114754101</v>
      </c>
      <c r="N35" s="67">
        <f t="shared" si="1"/>
        <v>0.18032786885245899</v>
      </c>
      <c r="O35" s="71" t="s">
        <v>62</v>
      </c>
      <c r="P35" s="68"/>
      <c r="Q35" s="68"/>
      <c r="R35" s="4">
        <f>18+12+(12*0.75)+(12*0.5)</f>
        <v>45</v>
      </c>
      <c r="S35" s="69">
        <v>3</v>
      </c>
      <c r="T35" s="70">
        <v>51000</v>
      </c>
      <c r="U35" s="73">
        <f>+T35*S35/$H$1*6</f>
        <v>28687.5</v>
      </c>
      <c r="V35" s="73">
        <f>+T35*S35/$H$1*12</f>
        <v>57375</v>
      </c>
      <c r="W35" s="73">
        <f>+V35</f>
        <v>57375</v>
      </c>
      <c r="X35" s="73">
        <f>+V35*0.75</f>
        <v>43031.25</v>
      </c>
      <c r="Y35" s="73">
        <f>+W35*0.5</f>
        <v>28687.5</v>
      </c>
      <c r="Z35" s="73">
        <f t="shared" si="2"/>
        <v>215156.25</v>
      </c>
      <c r="AA35" s="218"/>
      <c r="AB35" s="219">
        <v>1</v>
      </c>
      <c r="AC35" s="218">
        <v>1</v>
      </c>
      <c r="AD35" s="219">
        <v>1</v>
      </c>
      <c r="AE35" s="218">
        <v>1</v>
      </c>
      <c r="AF35" s="219">
        <v>1</v>
      </c>
      <c r="AG35" s="218">
        <v>1</v>
      </c>
      <c r="AH35" s="219">
        <v>1</v>
      </c>
      <c r="AI35" s="218">
        <v>1</v>
      </c>
      <c r="AJ35" s="219">
        <v>1</v>
      </c>
    </row>
    <row r="36" spans="1:36" ht="24" hidden="1" x14ac:dyDescent="0.25">
      <c r="A36" s="64">
        <v>1</v>
      </c>
      <c r="B36" s="64">
        <v>1</v>
      </c>
      <c r="C36" s="64">
        <v>1</v>
      </c>
      <c r="D36" s="64">
        <v>2</v>
      </c>
      <c r="E36" s="64">
        <v>2</v>
      </c>
      <c r="F36" s="64">
        <v>2</v>
      </c>
      <c r="G36" s="72" t="s">
        <v>68</v>
      </c>
      <c r="H36" s="73">
        <f>+S36*R36*T36</f>
        <v>2628000</v>
      </c>
      <c r="I36" s="74">
        <f>+H36*0.22</f>
        <v>578160</v>
      </c>
      <c r="J36" s="74">
        <f>+H36/$H$1</f>
        <v>82125</v>
      </c>
      <c r="K36" s="74">
        <f>+I36/$H$1</f>
        <v>18067.5</v>
      </c>
      <c r="L36" s="74">
        <f>+J36+K36</f>
        <v>100192.5</v>
      </c>
      <c r="M36" s="67">
        <f t="shared" si="3"/>
        <v>0.81967213114754101</v>
      </c>
      <c r="N36" s="67">
        <f t="shared" si="1"/>
        <v>0.18032786885245899</v>
      </c>
      <c r="O36" s="71" t="s">
        <v>62</v>
      </c>
      <c r="P36" s="68"/>
      <c r="Q36" s="68"/>
      <c r="R36" s="4">
        <v>18</v>
      </c>
      <c r="S36" s="69">
        <v>2</v>
      </c>
      <c r="T36" s="70">
        <v>73000</v>
      </c>
      <c r="U36" s="73">
        <f>+$J36/3</f>
        <v>27375</v>
      </c>
      <c r="V36" s="73">
        <f>+$J36/3*2</f>
        <v>54750</v>
      </c>
      <c r="W36" s="73">
        <f>+AG36*AF36*AH36</f>
        <v>0</v>
      </c>
      <c r="X36" s="73">
        <f>+AH36*AG36*AI36</f>
        <v>0</v>
      </c>
      <c r="Y36" s="73">
        <f>+AI36*AH36*AJ36</f>
        <v>0</v>
      </c>
      <c r="Z36" s="73">
        <f t="shared" si="2"/>
        <v>82125</v>
      </c>
      <c r="AA36" s="218"/>
      <c r="AB36" s="219">
        <v>1</v>
      </c>
      <c r="AC36" s="218">
        <v>1</v>
      </c>
      <c r="AD36" s="219">
        <v>1</v>
      </c>
      <c r="AE36" s="218"/>
      <c r="AF36" s="219"/>
      <c r="AG36" s="218"/>
      <c r="AH36" s="219"/>
      <c r="AI36" s="218"/>
      <c r="AJ36" s="219"/>
    </row>
    <row r="37" spans="1:36" ht="24" x14ac:dyDescent="0.25">
      <c r="A37" s="64">
        <v>1</v>
      </c>
      <c r="B37" s="64">
        <v>1</v>
      </c>
      <c r="C37" s="64">
        <v>1</v>
      </c>
      <c r="D37" s="64">
        <v>2</v>
      </c>
      <c r="E37" s="64">
        <v>3</v>
      </c>
      <c r="F37" s="64">
        <v>0</v>
      </c>
      <c r="G37" s="65" t="s">
        <v>171</v>
      </c>
      <c r="H37" s="66">
        <f>SUM(H38:H41)</f>
        <v>8562000</v>
      </c>
      <c r="I37" s="66">
        <f t="shared" ref="I37:L37" si="23">SUM(I38:I41)</f>
        <v>1883640</v>
      </c>
      <c r="J37" s="66">
        <f t="shared" si="23"/>
        <v>267562.5</v>
      </c>
      <c r="K37" s="66">
        <f t="shared" si="23"/>
        <v>58863.75</v>
      </c>
      <c r="L37" s="66">
        <f t="shared" si="23"/>
        <v>326426.25</v>
      </c>
      <c r="M37" s="67">
        <f t="shared" si="3"/>
        <v>0.81967213114754101</v>
      </c>
      <c r="N37" s="67">
        <f t="shared" si="1"/>
        <v>0.18032786885245899</v>
      </c>
      <c r="O37" s="71" t="s">
        <v>59</v>
      </c>
      <c r="P37" s="68">
        <v>42461</v>
      </c>
      <c r="Q37" s="68">
        <v>44166</v>
      </c>
      <c r="R37" s="4" t="s">
        <v>69</v>
      </c>
      <c r="S37" s="69"/>
      <c r="T37" s="70"/>
      <c r="U37" s="66">
        <f>SUM(U38:U41)</f>
        <v>54375</v>
      </c>
      <c r="V37" s="66">
        <f>SUM(V38:V41)</f>
        <v>47812.5</v>
      </c>
      <c r="W37" s="66">
        <f>SUM(W38:W41)</f>
        <v>73500</v>
      </c>
      <c r="X37" s="66">
        <f>SUM(X38:X41)</f>
        <v>55125</v>
      </c>
      <c r="Y37" s="66">
        <f>SUM(Y38:Y41)</f>
        <v>36750</v>
      </c>
      <c r="Z37" s="66">
        <f t="shared" si="2"/>
        <v>267562.5</v>
      </c>
      <c r="AA37" s="218">
        <v>1</v>
      </c>
      <c r="AB37" s="219">
        <v>1</v>
      </c>
      <c r="AC37" s="218">
        <v>1</v>
      </c>
      <c r="AD37" s="219">
        <v>1</v>
      </c>
      <c r="AE37" s="218">
        <v>1</v>
      </c>
      <c r="AF37" s="219">
        <v>1</v>
      </c>
      <c r="AG37" s="218">
        <v>1</v>
      </c>
      <c r="AH37" s="219">
        <v>1</v>
      </c>
      <c r="AI37" s="218">
        <v>1</v>
      </c>
      <c r="AJ37" s="219">
        <v>1</v>
      </c>
    </row>
    <row r="38" spans="1:36" ht="24" hidden="1" x14ac:dyDescent="0.25">
      <c r="A38" s="64">
        <v>1</v>
      </c>
      <c r="B38" s="64">
        <v>1</v>
      </c>
      <c r="C38" s="64">
        <v>1</v>
      </c>
      <c r="D38" s="64">
        <v>2</v>
      </c>
      <c r="E38" s="64">
        <v>3</v>
      </c>
      <c r="F38" s="64">
        <v>1</v>
      </c>
      <c r="G38" s="72" t="s">
        <v>70</v>
      </c>
      <c r="H38" s="73">
        <f>+S38*R38*T38</f>
        <v>1224000</v>
      </c>
      <c r="I38" s="74">
        <f>+H38*0.22</f>
        <v>269280</v>
      </c>
      <c r="J38" s="74">
        <f t="shared" ref="J38:K41" si="24">+H38/$H$1</f>
        <v>38250</v>
      </c>
      <c r="K38" s="74">
        <f t="shared" si="24"/>
        <v>8415</v>
      </c>
      <c r="L38" s="74">
        <f>+J38+K38</f>
        <v>46665</v>
      </c>
      <c r="M38" s="67">
        <f t="shared" si="3"/>
        <v>0.81967213114754101</v>
      </c>
      <c r="N38" s="67">
        <f t="shared" si="1"/>
        <v>0.18032786885245899</v>
      </c>
      <c r="O38" s="71" t="s">
        <v>42</v>
      </c>
      <c r="P38" s="68"/>
      <c r="Q38" s="68"/>
      <c r="R38" s="4">
        <v>12</v>
      </c>
      <c r="S38" s="69">
        <v>2</v>
      </c>
      <c r="T38" s="70">
        <v>51000</v>
      </c>
      <c r="U38" s="73">
        <f>+J38</f>
        <v>38250</v>
      </c>
      <c r="V38" s="73"/>
      <c r="W38" s="73"/>
      <c r="X38" s="73"/>
      <c r="Y38" s="73"/>
      <c r="Z38" s="73">
        <f t="shared" si="2"/>
        <v>38250</v>
      </c>
      <c r="AA38" s="218">
        <v>1</v>
      </c>
      <c r="AB38" s="219">
        <v>1</v>
      </c>
      <c r="AC38" s="218"/>
      <c r="AD38" s="219"/>
      <c r="AE38" s="218"/>
      <c r="AF38" s="219"/>
      <c r="AG38" s="218"/>
      <c r="AH38" s="219"/>
      <c r="AI38" s="218"/>
      <c r="AJ38" s="219"/>
    </row>
    <row r="39" spans="1:36" ht="36" hidden="1" x14ac:dyDescent="0.25">
      <c r="A39" s="64">
        <v>1</v>
      </c>
      <c r="B39" s="64">
        <v>1</v>
      </c>
      <c r="C39" s="64">
        <v>1</v>
      </c>
      <c r="D39" s="64">
        <v>2</v>
      </c>
      <c r="E39" s="64">
        <v>3</v>
      </c>
      <c r="F39" s="64">
        <v>2</v>
      </c>
      <c r="G39" s="72" t="s">
        <v>71</v>
      </c>
      <c r="H39" s="73">
        <f>+S39*R39*T39</f>
        <v>516000</v>
      </c>
      <c r="I39" s="74">
        <f>+H39*0.22</f>
        <v>113520</v>
      </c>
      <c r="J39" s="74">
        <f t="shared" si="24"/>
        <v>16125</v>
      </c>
      <c r="K39" s="74">
        <f t="shared" si="24"/>
        <v>3547.5</v>
      </c>
      <c r="L39" s="74">
        <f>+J39+K39</f>
        <v>19672.5</v>
      </c>
      <c r="M39" s="67">
        <f t="shared" si="3"/>
        <v>0.81967213114754101</v>
      </c>
      <c r="N39" s="67">
        <f t="shared" si="1"/>
        <v>0.18032786885245899</v>
      </c>
      <c r="O39" s="71" t="s">
        <v>42</v>
      </c>
      <c r="P39" s="68"/>
      <c r="Q39" s="68"/>
      <c r="R39" s="4">
        <v>12</v>
      </c>
      <c r="S39" s="69">
        <v>1</v>
      </c>
      <c r="T39" s="70">
        <v>43000</v>
      </c>
      <c r="U39" s="73">
        <f>+J39</f>
        <v>16125</v>
      </c>
      <c r="V39" s="73"/>
      <c r="W39" s="73"/>
      <c r="X39" s="73"/>
      <c r="Y39" s="73"/>
      <c r="Z39" s="73">
        <f t="shared" si="2"/>
        <v>16125</v>
      </c>
      <c r="AA39" s="218">
        <v>1</v>
      </c>
      <c r="AB39" s="219">
        <v>1</v>
      </c>
      <c r="AC39" s="218"/>
      <c r="AD39" s="219"/>
      <c r="AE39" s="218"/>
      <c r="AF39" s="219"/>
      <c r="AG39" s="218"/>
      <c r="AH39" s="219"/>
      <c r="AI39" s="218"/>
      <c r="AJ39" s="219"/>
    </row>
    <row r="40" spans="1:36" ht="24" hidden="1" x14ac:dyDescent="0.25">
      <c r="A40" s="64">
        <v>1</v>
      </c>
      <c r="B40" s="64">
        <v>1</v>
      </c>
      <c r="C40" s="64">
        <v>1</v>
      </c>
      <c r="D40" s="64">
        <v>2</v>
      </c>
      <c r="E40" s="64">
        <v>3</v>
      </c>
      <c r="F40" s="64">
        <v>3</v>
      </c>
      <c r="G40" s="72" t="s">
        <v>72</v>
      </c>
      <c r="H40" s="73">
        <f>+S40*R40*T40</f>
        <v>5661000</v>
      </c>
      <c r="I40" s="74">
        <f>+H40*0.22</f>
        <v>1245420</v>
      </c>
      <c r="J40" s="74">
        <f t="shared" si="24"/>
        <v>176906.25</v>
      </c>
      <c r="K40" s="74">
        <f t="shared" si="24"/>
        <v>38919.375</v>
      </c>
      <c r="L40" s="74">
        <f>+J40+K40</f>
        <v>215825.625</v>
      </c>
      <c r="M40" s="67">
        <f t="shared" si="3"/>
        <v>0.81967213114754101</v>
      </c>
      <c r="N40" s="67">
        <f t="shared" si="1"/>
        <v>0.18032786885245899</v>
      </c>
      <c r="O40" s="71" t="s">
        <v>42</v>
      </c>
      <c r="P40" s="68"/>
      <c r="Q40" s="68"/>
      <c r="R40" s="69">
        <f>22+12*0.75+12*0.5</f>
        <v>37</v>
      </c>
      <c r="S40" s="69">
        <v>3</v>
      </c>
      <c r="T40" s="70">
        <v>51000</v>
      </c>
      <c r="U40" s="73"/>
      <c r="V40" s="73">
        <f>+$T40*$S40*10/$H$1</f>
        <v>47812.5</v>
      </c>
      <c r="W40" s="73">
        <f>+$T40*$S40*12/$H$1</f>
        <v>57375</v>
      </c>
      <c r="X40" s="73">
        <f>+$T40*$S40*12/$H$1*0.75</f>
        <v>43031.25</v>
      </c>
      <c r="Y40" s="73">
        <f>+$T40*$S40*12/$H$1*0.5</f>
        <v>28687.5</v>
      </c>
      <c r="Z40" s="73">
        <f t="shared" si="2"/>
        <v>176906.25</v>
      </c>
      <c r="AA40" s="218">
        <v>1</v>
      </c>
      <c r="AB40" s="219">
        <v>1</v>
      </c>
      <c r="AC40" s="218">
        <v>1</v>
      </c>
      <c r="AD40" s="219">
        <v>1</v>
      </c>
      <c r="AE40" s="218">
        <v>1</v>
      </c>
      <c r="AF40" s="219">
        <v>1</v>
      </c>
      <c r="AG40" s="218">
        <v>1</v>
      </c>
      <c r="AH40" s="219">
        <v>1</v>
      </c>
      <c r="AI40" s="218">
        <v>1</v>
      </c>
      <c r="AJ40" s="219">
        <v>1</v>
      </c>
    </row>
    <row r="41" spans="1:36" ht="24" hidden="1" x14ac:dyDescent="0.25">
      <c r="A41" s="64">
        <v>1</v>
      </c>
      <c r="B41" s="64">
        <v>1</v>
      </c>
      <c r="C41" s="64">
        <v>1</v>
      </c>
      <c r="D41" s="64">
        <v>2</v>
      </c>
      <c r="E41" s="64">
        <v>3</v>
      </c>
      <c r="F41" s="64">
        <v>4</v>
      </c>
      <c r="G41" s="72" t="s">
        <v>73</v>
      </c>
      <c r="H41" s="73">
        <f>+S41*R41*T41</f>
        <v>1161000</v>
      </c>
      <c r="I41" s="74">
        <f>+H41*0.22</f>
        <v>255420</v>
      </c>
      <c r="J41" s="74">
        <f t="shared" si="24"/>
        <v>36281.25</v>
      </c>
      <c r="K41" s="74">
        <f t="shared" si="24"/>
        <v>7981.875</v>
      </c>
      <c r="L41" s="74">
        <f>+J41+K41</f>
        <v>44263.125</v>
      </c>
      <c r="M41" s="67">
        <f t="shared" si="3"/>
        <v>0.81967213114754101</v>
      </c>
      <c r="N41" s="67">
        <f t="shared" si="1"/>
        <v>0.18032786885245899</v>
      </c>
      <c r="O41" s="71" t="s">
        <v>42</v>
      </c>
      <c r="P41" s="68"/>
      <c r="Q41" s="68"/>
      <c r="R41" s="69">
        <f>12+12*0.75+12*0.5</f>
        <v>27</v>
      </c>
      <c r="S41" s="69">
        <v>1</v>
      </c>
      <c r="T41" s="70">
        <v>43000</v>
      </c>
      <c r="U41" s="73"/>
      <c r="V41" s="73"/>
      <c r="W41" s="73">
        <f>+$T41*$S41*12/$H$1</f>
        <v>16125</v>
      </c>
      <c r="X41" s="73">
        <f>+$T41*$S41*12/$H$1*0.75</f>
        <v>12093.75</v>
      </c>
      <c r="Y41" s="73">
        <f>+$T41*$S41*12/$H$1*0.5</f>
        <v>8062.5</v>
      </c>
      <c r="Z41" s="73">
        <f t="shared" si="2"/>
        <v>36281.25</v>
      </c>
      <c r="AA41" s="218"/>
      <c r="AB41" s="219"/>
      <c r="AC41" s="218"/>
      <c r="AD41" s="219"/>
      <c r="AE41" s="218">
        <v>1</v>
      </c>
      <c r="AF41" s="219">
        <v>1</v>
      </c>
      <c r="AG41" s="218">
        <v>1</v>
      </c>
      <c r="AH41" s="219">
        <v>1</v>
      </c>
      <c r="AI41" s="218">
        <v>1</v>
      </c>
      <c r="AJ41" s="219">
        <v>1</v>
      </c>
    </row>
    <row r="42" spans="1:36" ht="24" x14ac:dyDescent="0.25">
      <c r="A42" s="64">
        <v>1</v>
      </c>
      <c r="B42" s="64">
        <v>1</v>
      </c>
      <c r="C42" s="64">
        <v>1</v>
      </c>
      <c r="D42" s="64">
        <v>2</v>
      </c>
      <c r="E42" s="64">
        <v>4</v>
      </c>
      <c r="F42" s="64">
        <v>0</v>
      </c>
      <c r="G42" s="65" t="s">
        <v>173</v>
      </c>
      <c r="H42" s="66">
        <f>SUM(H43:H44)</f>
        <v>7752000</v>
      </c>
      <c r="I42" s="66">
        <f t="shared" ref="I42:L42" si="25">SUM(I43:I44)</f>
        <v>1705440</v>
      </c>
      <c r="J42" s="66">
        <f t="shared" si="25"/>
        <v>242250</v>
      </c>
      <c r="K42" s="66">
        <f t="shared" si="25"/>
        <v>53295</v>
      </c>
      <c r="L42" s="66">
        <f t="shared" si="25"/>
        <v>295545</v>
      </c>
      <c r="M42" s="67">
        <f t="shared" si="3"/>
        <v>0.81967213114754101</v>
      </c>
      <c r="N42" s="67">
        <f t="shared" si="1"/>
        <v>0.18032786885245899</v>
      </c>
      <c r="O42" s="71" t="s">
        <v>59</v>
      </c>
      <c r="P42" s="68">
        <v>42370</v>
      </c>
      <c r="Q42" s="68">
        <v>44166</v>
      </c>
      <c r="R42" s="4" t="s">
        <v>41</v>
      </c>
      <c r="S42" s="69"/>
      <c r="T42" s="70"/>
      <c r="U42" s="66">
        <f>SUM(U43:U44)</f>
        <v>57000</v>
      </c>
      <c r="V42" s="66">
        <f>SUM(V43:V44)</f>
        <v>57000</v>
      </c>
      <c r="W42" s="66">
        <f>SUM(W43:W44)</f>
        <v>57000</v>
      </c>
      <c r="X42" s="66">
        <f>SUM(X43:X44)</f>
        <v>42750</v>
      </c>
      <c r="Y42" s="66">
        <f>SUM(Y43:Y44)</f>
        <v>28500</v>
      </c>
      <c r="Z42" s="66">
        <f t="shared" si="2"/>
        <v>242250</v>
      </c>
      <c r="AA42" s="218">
        <v>1</v>
      </c>
      <c r="AB42" s="219">
        <v>1</v>
      </c>
      <c r="AC42" s="218">
        <v>1</v>
      </c>
      <c r="AD42" s="219">
        <v>1</v>
      </c>
      <c r="AE42" s="218">
        <v>1</v>
      </c>
      <c r="AF42" s="219">
        <v>1</v>
      </c>
      <c r="AG42" s="218">
        <v>1</v>
      </c>
      <c r="AH42" s="219">
        <v>1</v>
      </c>
      <c r="AI42" s="218">
        <v>1</v>
      </c>
      <c r="AJ42" s="219">
        <v>1</v>
      </c>
    </row>
    <row r="43" spans="1:36" ht="24" hidden="1" x14ac:dyDescent="0.25">
      <c r="A43" s="64">
        <v>1</v>
      </c>
      <c r="B43" s="64">
        <v>1</v>
      </c>
      <c r="C43" s="64">
        <v>1</v>
      </c>
      <c r="D43" s="64">
        <v>2</v>
      </c>
      <c r="E43" s="64">
        <v>4</v>
      </c>
      <c r="F43" s="64">
        <v>1</v>
      </c>
      <c r="G43" s="72" t="s">
        <v>74</v>
      </c>
      <c r="H43" s="73">
        <f>+S43*R43*T43</f>
        <v>4896000</v>
      </c>
      <c r="I43" s="74">
        <f>+H43*0.22</f>
        <v>1077120</v>
      </c>
      <c r="J43" s="74">
        <f>+H43/$H$1</f>
        <v>153000</v>
      </c>
      <c r="K43" s="74">
        <f>+I43/$H$1</f>
        <v>33660</v>
      </c>
      <c r="L43" s="74">
        <f>+J43+K43</f>
        <v>186660</v>
      </c>
      <c r="M43" s="67">
        <f t="shared" si="3"/>
        <v>0.81967213114754101</v>
      </c>
      <c r="N43" s="67">
        <f t="shared" si="1"/>
        <v>0.18032786885245899</v>
      </c>
      <c r="O43" s="71" t="s">
        <v>42</v>
      </c>
      <c r="P43" s="68"/>
      <c r="Q43" s="68"/>
      <c r="R43" s="69">
        <f>36+12*0.75+12*0.5</f>
        <v>51</v>
      </c>
      <c r="S43" s="69">
        <v>1</v>
      </c>
      <c r="T43" s="70">
        <v>96000</v>
      </c>
      <c r="U43" s="73">
        <f t="shared" ref="U43:W44" si="26">+$T43*$S43*12/$H$1</f>
        <v>36000</v>
      </c>
      <c r="V43" s="73">
        <f t="shared" si="26"/>
        <v>36000</v>
      </c>
      <c r="W43" s="73">
        <f t="shared" si="26"/>
        <v>36000</v>
      </c>
      <c r="X43" s="73">
        <f>+$T43*$S43*12/$H$1*0.75</f>
        <v>27000</v>
      </c>
      <c r="Y43" s="73">
        <f>+$T43*$S43*12/$H$1*0.5</f>
        <v>18000</v>
      </c>
      <c r="Z43" s="73">
        <f t="shared" si="2"/>
        <v>153000</v>
      </c>
      <c r="AA43" s="218">
        <v>1</v>
      </c>
      <c r="AB43" s="219">
        <v>1</v>
      </c>
      <c r="AC43" s="218">
        <v>1</v>
      </c>
      <c r="AD43" s="219">
        <v>1</v>
      </c>
      <c r="AE43" s="218">
        <v>1</v>
      </c>
      <c r="AF43" s="219">
        <v>1</v>
      </c>
      <c r="AG43" s="218">
        <v>1</v>
      </c>
      <c r="AH43" s="219">
        <v>1</v>
      </c>
      <c r="AI43" s="218">
        <v>1</v>
      </c>
      <c r="AJ43" s="219">
        <v>1</v>
      </c>
    </row>
    <row r="44" spans="1:36" ht="36" hidden="1" x14ac:dyDescent="0.25">
      <c r="A44" s="64">
        <v>1</v>
      </c>
      <c r="B44" s="64">
        <v>1</v>
      </c>
      <c r="C44" s="64">
        <v>1</v>
      </c>
      <c r="D44" s="64">
        <v>2</v>
      </c>
      <c r="E44" s="64">
        <v>4</v>
      </c>
      <c r="F44" s="64">
        <v>2</v>
      </c>
      <c r="G44" s="72" t="s">
        <v>75</v>
      </c>
      <c r="H44" s="73">
        <f>+S44*R44*T44</f>
        <v>2856000</v>
      </c>
      <c r="I44" s="74">
        <f>+H44*0.22</f>
        <v>628320</v>
      </c>
      <c r="J44" s="74">
        <f>+H44/$H$1</f>
        <v>89250</v>
      </c>
      <c r="K44" s="74">
        <f>+I44/$H$1</f>
        <v>19635</v>
      </c>
      <c r="L44" s="74">
        <f>+J44+K44</f>
        <v>108885</v>
      </c>
      <c r="M44" s="67">
        <f t="shared" si="3"/>
        <v>0.81967213114754101</v>
      </c>
      <c r="N44" s="67">
        <f t="shared" si="1"/>
        <v>0.18032786885245899</v>
      </c>
      <c r="O44" s="71" t="s">
        <v>42</v>
      </c>
      <c r="P44" s="68"/>
      <c r="Q44" s="68"/>
      <c r="R44" s="69">
        <f>36+12*0.75+12*0.5</f>
        <v>51</v>
      </c>
      <c r="S44" s="69">
        <v>1</v>
      </c>
      <c r="T44" s="70">
        <v>56000</v>
      </c>
      <c r="U44" s="73">
        <f t="shared" si="26"/>
        <v>21000</v>
      </c>
      <c r="V44" s="73">
        <f t="shared" si="26"/>
        <v>21000</v>
      </c>
      <c r="W44" s="73">
        <f t="shared" si="26"/>
        <v>21000</v>
      </c>
      <c r="X44" s="73">
        <f>+$T44*$S44*12/$H$1*0.75</f>
        <v>15750</v>
      </c>
      <c r="Y44" s="73">
        <f>+$T44*$S44*12/$H$1*0.5</f>
        <v>10500</v>
      </c>
      <c r="Z44" s="73">
        <f t="shared" si="2"/>
        <v>89250</v>
      </c>
      <c r="AA44" s="218">
        <v>1</v>
      </c>
      <c r="AB44" s="219">
        <v>1</v>
      </c>
      <c r="AC44" s="218">
        <v>1</v>
      </c>
      <c r="AD44" s="219">
        <v>1</v>
      </c>
      <c r="AE44" s="218">
        <v>1</v>
      </c>
      <c r="AF44" s="219">
        <v>1</v>
      </c>
      <c r="AG44" s="218">
        <v>1</v>
      </c>
      <c r="AH44" s="219">
        <v>1</v>
      </c>
      <c r="AI44" s="218">
        <v>1</v>
      </c>
      <c r="AJ44" s="219">
        <v>1</v>
      </c>
    </row>
    <row r="45" spans="1:36" ht="24" x14ac:dyDescent="0.25">
      <c r="A45" s="64">
        <v>1</v>
      </c>
      <c r="B45" s="64">
        <v>1</v>
      </c>
      <c r="C45" s="64">
        <v>1</v>
      </c>
      <c r="D45" s="64">
        <v>2</v>
      </c>
      <c r="E45" s="64">
        <v>5</v>
      </c>
      <c r="F45" s="64">
        <v>0</v>
      </c>
      <c r="G45" s="65" t="s">
        <v>224</v>
      </c>
      <c r="H45" s="66">
        <f>SUM(H46:H49)</f>
        <v>37935000</v>
      </c>
      <c r="I45" s="66">
        <f t="shared" ref="I45:L45" si="27">SUM(I46:I49)</f>
        <v>8345700</v>
      </c>
      <c r="J45" s="66">
        <f t="shared" si="27"/>
        <v>1185468.75</v>
      </c>
      <c r="K45" s="66">
        <f t="shared" si="27"/>
        <v>260803.125</v>
      </c>
      <c r="L45" s="66">
        <f t="shared" si="27"/>
        <v>1446271.875</v>
      </c>
      <c r="M45" s="67">
        <f t="shared" si="3"/>
        <v>0.81967213114754101</v>
      </c>
      <c r="N45" s="67">
        <f t="shared" si="1"/>
        <v>0.18032786885245899</v>
      </c>
      <c r="O45" s="71" t="s">
        <v>59</v>
      </c>
      <c r="P45" s="68">
        <v>42522</v>
      </c>
      <c r="Q45" s="68">
        <v>44166</v>
      </c>
      <c r="R45" s="4" t="s">
        <v>46</v>
      </c>
      <c r="S45" s="69"/>
      <c r="T45" s="70"/>
      <c r="U45" s="66">
        <f>SUM(U46:U49)</f>
        <v>158062.5</v>
      </c>
      <c r="V45" s="66">
        <f>SUM(V46:V49)</f>
        <v>316125</v>
      </c>
      <c r="W45" s="66">
        <f>SUM(W46:W49)</f>
        <v>316125</v>
      </c>
      <c r="X45" s="66">
        <f>SUM(X46:X49)</f>
        <v>237093.75</v>
      </c>
      <c r="Y45" s="66">
        <f>SUM(Y46:Y49)</f>
        <v>158062.5</v>
      </c>
      <c r="Z45" s="66">
        <f t="shared" si="2"/>
        <v>1185468.75</v>
      </c>
      <c r="AA45" s="218">
        <v>1</v>
      </c>
      <c r="AB45" s="219">
        <v>1</v>
      </c>
      <c r="AC45" s="218">
        <v>1</v>
      </c>
      <c r="AD45" s="219">
        <v>1</v>
      </c>
      <c r="AE45" s="218">
        <v>1</v>
      </c>
      <c r="AF45" s="219">
        <v>1</v>
      </c>
      <c r="AG45" s="218">
        <v>1</v>
      </c>
      <c r="AH45" s="219">
        <v>1</v>
      </c>
      <c r="AI45" s="218">
        <v>1</v>
      </c>
      <c r="AJ45" s="219">
        <v>1</v>
      </c>
    </row>
    <row r="46" spans="1:36" ht="24" hidden="1" x14ac:dyDescent="0.25">
      <c r="A46" s="64">
        <v>1</v>
      </c>
      <c r="B46" s="64">
        <v>1</v>
      </c>
      <c r="C46" s="64">
        <v>1</v>
      </c>
      <c r="D46" s="64">
        <v>2</v>
      </c>
      <c r="E46" s="64">
        <v>5</v>
      </c>
      <c r="F46" s="64">
        <v>1</v>
      </c>
      <c r="G46" s="72" t="s">
        <v>76</v>
      </c>
      <c r="H46" s="73">
        <f>+S46*R46*T46</f>
        <v>2115000</v>
      </c>
      <c r="I46" s="74">
        <f>+H46*0.22</f>
        <v>465300</v>
      </c>
      <c r="J46" s="74">
        <f t="shared" ref="J46:K49" si="28">+H46/$H$1</f>
        <v>66093.75</v>
      </c>
      <c r="K46" s="74">
        <f t="shared" si="28"/>
        <v>14540.625</v>
      </c>
      <c r="L46" s="74">
        <f>+J46+K46</f>
        <v>80634.375</v>
      </c>
      <c r="M46" s="67">
        <f t="shared" si="3"/>
        <v>0.81967213114754101</v>
      </c>
      <c r="N46" s="67">
        <f t="shared" si="1"/>
        <v>0.18032786885245899</v>
      </c>
      <c r="O46" s="71" t="s">
        <v>42</v>
      </c>
      <c r="P46" s="68"/>
      <c r="Q46" s="68"/>
      <c r="R46" s="69">
        <f>30+12*0.75+12*0.5</f>
        <v>45</v>
      </c>
      <c r="S46" s="69">
        <v>1</v>
      </c>
      <c r="T46" s="70">
        <v>47000</v>
      </c>
      <c r="U46" s="73">
        <f>+$T46*$S46*12/$H$1*0.5</f>
        <v>8812.5</v>
      </c>
      <c r="V46" s="73">
        <f t="shared" ref="V46:W49" si="29">+$T46*$S46*12/$H$1</f>
        <v>17625</v>
      </c>
      <c r="W46" s="73">
        <f t="shared" si="29"/>
        <v>17625</v>
      </c>
      <c r="X46" s="73">
        <f>+$T46*$S46*12/$H$1*0.75</f>
        <v>13218.75</v>
      </c>
      <c r="Y46" s="73">
        <f>+$T46*$S46*12/$H$1*0.5</f>
        <v>8812.5</v>
      </c>
      <c r="Z46" s="73">
        <f t="shared" si="2"/>
        <v>66093.75</v>
      </c>
      <c r="AA46" s="218"/>
      <c r="AB46" s="219">
        <v>1</v>
      </c>
      <c r="AC46" s="218">
        <v>1</v>
      </c>
      <c r="AD46" s="219">
        <v>1</v>
      </c>
      <c r="AE46" s="218">
        <v>1</v>
      </c>
      <c r="AF46" s="219">
        <v>1</v>
      </c>
      <c r="AG46" s="218">
        <v>1</v>
      </c>
      <c r="AH46" s="219">
        <v>1</v>
      </c>
      <c r="AI46" s="218">
        <v>1</v>
      </c>
      <c r="AJ46" s="219">
        <v>1</v>
      </c>
    </row>
    <row r="47" spans="1:36" hidden="1" x14ac:dyDescent="0.25">
      <c r="A47" s="64">
        <v>1</v>
      </c>
      <c r="B47" s="64">
        <v>1</v>
      </c>
      <c r="C47" s="64">
        <v>1</v>
      </c>
      <c r="D47" s="64">
        <v>2</v>
      </c>
      <c r="E47" s="64">
        <v>5</v>
      </c>
      <c r="F47" s="64">
        <v>2</v>
      </c>
      <c r="G47" s="72" t="s">
        <v>77</v>
      </c>
      <c r="H47" s="73">
        <f>+S47*R47*T47</f>
        <v>7200000</v>
      </c>
      <c r="I47" s="74">
        <f>+H47*0.22</f>
        <v>1584000</v>
      </c>
      <c r="J47" s="74">
        <f t="shared" si="28"/>
        <v>225000</v>
      </c>
      <c r="K47" s="74">
        <f t="shared" si="28"/>
        <v>49500</v>
      </c>
      <c r="L47" s="74">
        <f>+J47+K47</f>
        <v>274500</v>
      </c>
      <c r="M47" s="67">
        <f t="shared" si="3"/>
        <v>0.81967213114754101</v>
      </c>
      <c r="N47" s="67">
        <f t="shared" si="1"/>
        <v>0.18032786885245899</v>
      </c>
      <c r="O47" s="71" t="s">
        <v>42</v>
      </c>
      <c r="P47" s="68"/>
      <c r="Q47" s="68"/>
      <c r="R47" s="69">
        <f>30+12*0.75+12*0.5</f>
        <v>45</v>
      </c>
      <c r="S47" s="69">
        <v>4</v>
      </c>
      <c r="T47" s="70">
        <v>40000</v>
      </c>
      <c r="U47" s="73">
        <f>+$T47*$S47*12/$H$1*0.5</f>
        <v>30000</v>
      </c>
      <c r="V47" s="73">
        <f t="shared" si="29"/>
        <v>60000</v>
      </c>
      <c r="W47" s="73">
        <f t="shared" si="29"/>
        <v>60000</v>
      </c>
      <c r="X47" s="73">
        <f>+$T47*$S47*12/$H$1*0.75</f>
        <v>45000</v>
      </c>
      <c r="Y47" s="73">
        <f>+$T47*$S47*12/$H$1*0.5</f>
        <v>30000</v>
      </c>
      <c r="Z47" s="73">
        <f t="shared" si="2"/>
        <v>225000</v>
      </c>
      <c r="AA47" s="218"/>
      <c r="AB47" s="219">
        <v>1</v>
      </c>
      <c r="AC47" s="218">
        <v>1</v>
      </c>
      <c r="AD47" s="219">
        <v>1</v>
      </c>
      <c r="AE47" s="218">
        <v>1</v>
      </c>
      <c r="AF47" s="219">
        <v>1</v>
      </c>
      <c r="AG47" s="218">
        <v>1</v>
      </c>
      <c r="AH47" s="219">
        <v>1</v>
      </c>
      <c r="AI47" s="218">
        <v>1</v>
      </c>
      <c r="AJ47" s="219">
        <v>1</v>
      </c>
    </row>
    <row r="48" spans="1:36" ht="24" hidden="1" x14ac:dyDescent="0.25">
      <c r="A48" s="64">
        <v>1</v>
      </c>
      <c r="B48" s="64">
        <v>1</v>
      </c>
      <c r="C48" s="64">
        <v>1</v>
      </c>
      <c r="D48" s="64">
        <v>2</v>
      </c>
      <c r="E48" s="64">
        <v>5</v>
      </c>
      <c r="F48" s="64">
        <v>3</v>
      </c>
      <c r="G48" s="72" t="s">
        <v>78</v>
      </c>
      <c r="H48" s="73">
        <f>+S48*R48*T48</f>
        <v>26010000</v>
      </c>
      <c r="I48" s="74">
        <f>+H48*0.22</f>
        <v>5722200</v>
      </c>
      <c r="J48" s="74">
        <f t="shared" si="28"/>
        <v>812812.5</v>
      </c>
      <c r="K48" s="74">
        <f t="shared" si="28"/>
        <v>178818.75</v>
      </c>
      <c r="L48" s="74">
        <f>+J48+K48</f>
        <v>991631.25</v>
      </c>
      <c r="M48" s="67">
        <f t="shared" si="3"/>
        <v>0.81967213114754101</v>
      </c>
      <c r="N48" s="67">
        <f t="shared" si="1"/>
        <v>0.18032786885245899</v>
      </c>
      <c r="O48" s="71" t="s">
        <v>42</v>
      </c>
      <c r="P48" s="68"/>
      <c r="Q48" s="68"/>
      <c r="R48" s="69">
        <f>30+12*0.75+12*0.5</f>
        <v>45</v>
      </c>
      <c r="S48" s="69">
        <v>17</v>
      </c>
      <c r="T48" s="70">
        <v>34000</v>
      </c>
      <c r="U48" s="73">
        <f>+$T48*$S48*12/$H$1*0.5</f>
        <v>108375</v>
      </c>
      <c r="V48" s="73">
        <f t="shared" si="29"/>
        <v>216750</v>
      </c>
      <c r="W48" s="73">
        <f t="shared" si="29"/>
        <v>216750</v>
      </c>
      <c r="X48" s="73">
        <f>+$T48*$S48*12/$H$1*0.75</f>
        <v>162562.5</v>
      </c>
      <c r="Y48" s="73">
        <f>+$T48*$S48*12/$H$1*0.5</f>
        <v>108375</v>
      </c>
      <c r="Z48" s="73">
        <f t="shared" si="2"/>
        <v>812812.5</v>
      </c>
      <c r="AA48" s="218"/>
      <c r="AB48" s="219">
        <v>1</v>
      </c>
      <c r="AC48" s="218">
        <v>1</v>
      </c>
      <c r="AD48" s="219">
        <v>1</v>
      </c>
      <c r="AE48" s="218">
        <v>1</v>
      </c>
      <c r="AF48" s="219">
        <v>1</v>
      </c>
      <c r="AG48" s="218">
        <v>1</v>
      </c>
      <c r="AH48" s="219">
        <v>1</v>
      </c>
      <c r="AI48" s="218">
        <v>1</v>
      </c>
      <c r="AJ48" s="219">
        <v>1</v>
      </c>
    </row>
    <row r="49" spans="1:36" ht="24" hidden="1" x14ac:dyDescent="0.25">
      <c r="A49" s="64">
        <v>1</v>
      </c>
      <c r="B49" s="64">
        <v>1</v>
      </c>
      <c r="C49" s="64">
        <v>1</v>
      </c>
      <c r="D49" s="64">
        <v>2</v>
      </c>
      <c r="E49" s="64">
        <v>5</v>
      </c>
      <c r="F49" s="64">
        <v>4</v>
      </c>
      <c r="G49" s="72" t="s">
        <v>79</v>
      </c>
      <c r="H49" s="73">
        <f>+S49*R49*T49</f>
        <v>2610000</v>
      </c>
      <c r="I49" s="74">
        <f>+H49*0.22</f>
        <v>574200</v>
      </c>
      <c r="J49" s="74">
        <f t="shared" si="28"/>
        <v>81562.5</v>
      </c>
      <c r="K49" s="74">
        <f t="shared" si="28"/>
        <v>17943.75</v>
      </c>
      <c r="L49" s="74">
        <f>+J49+K49</f>
        <v>99506.25</v>
      </c>
      <c r="M49" s="67">
        <f t="shared" si="3"/>
        <v>0.81967213114754101</v>
      </c>
      <c r="N49" s="67">
        <f t="shared" si="1"/>
        <v>0.18032786885245899</v>
      </c>
      <c r="O49" s="71" t="s">
        <v>42</v>
      </c>
      <c r="P49" s="68"/>
      <c r="Q49" s="68"/>
      <c r="R49" s="69">
        <f>30+12*0.75+12*0.5</f>
        <v>45</v>
      </c>
      <c r="S49" s="69">
        <v>2</v>
      </c>
      <c r="T49" s="70">
        <v>29000</v>
      </c>
      <c r="U49" s="73">
        <f>+$T49*$S49*12/$H$1*0.5</f>
        <v>10875</v>
      </c>
      <c r="V49" s="73">
        <f t="shared" si="29"/>
        <v>21750</v>
      </c>
      <c r="W49" s="73">
        <f t="shared" si="29"/>
        <v>21750</v>
      </c>
      <c r="X49" s="73">
        <f>+$T49*$S49*12/$H$1*0.75</f>
        <v>16312.5</v>
      </c>
      <c r="Y49" s="73">
        <f>+$T49*$S49*12/$H$1*0.5</f>
        <v>10875</v>
      </c>
      <c r="Z49" s="73">
        <f t="shared" si="2"/>
        <v>81562.5</v>
      </c>
      <c r="AA49" s="218"/>
      <c r="AB49" s="219">
        <v>1</v>
      </c>
      <c r="AC49" s="218">
        <v>1</v>
      </c>
      <c r="AD49" s="219">
        <v>1</v>
      </c>
      <c r="AE49" s="218">
        <v>1</v>
      </c>
      <c r="AF49" s="219">
        <v>1</v>
      </c>
      <c r="AG49" s="218">
        <v>1</v>
      </c>
      <c r="AH49" s="219">
        <v>1</v>
      </c>
      <c r="AI49" s="218">
        <v>1</v>
      </c>
      <c r="AJ49" s="219">
        <v>1</v>
      </c>
    </row>
    <row r="50" spans="1:36" x14ac:dyDescent="0.25">
      <c r="A50" s="46">
        <v>1</v>
      </c>
      <c r="B50" s="46">
        <v>1</v>
      </c>
      <c r="C50" s="46">
        <v>2</v>
      </c>
      <c r="D50" s="46">
        <v>0</v>
      </c>
      <c r="E50" s="46">
        <v>0</v>
      </c>
      <c r="F50" s="46">
        <v>0</v>
      </c>
      <c r="G50" s="82" t="s">
        <v>80</v>
      </c>
      <c r="H50" s="48">
        <f>+H51+H56+H59</f>
        <v>135785000</v>
      </c>
      <c r="I50" s="48">
        <f t="shared" ref="I50:L50" si="30">+I51+I56+I59</f>
        <v>29872700</v>
      </c>
      <c r="J50" s="48">
        <f t="shared" si="30"/>
        <v>4243281.25</v>
      </c>
      <c r="K50" s="48">
        <f t="shared" si="30"/>
        <v>933521.875</v>
      </c>
      <c r="L50" s="48">
        <f t="shared" si="30"/>
        <v>5176803.125</v>
      </c>
      <c r="M50" s="49">
        <f t="shared" si="3"/>
        <v>0.81967213114754101</v>
      </c>
      <c r="N50" s="49">
        <f t="shared" si="1"/>
        <v>0.18032786885245899</v>
      </c>
      <c r="O50" s="264" t="s">
        <v>209</v>
      </c>
      <c r="P50" s="83"/>
      <c r="Q50" s="83"/>
      <c r="R50" s="84"/>
      <c r="S50" s="85"/>
      <c r="T50" s="86"/>
      <c r="U50" s="48">
        <f>+U51+U56+U59</f>
        <v>367701.38888888888</v>
      </c>
      <c r="V50" s="48">
        <f>+V51+V56+V59</f>
        <v>984152.77777777775</v>
      </c>
      <c r="W50" s="48">
        <f>+W51+W56+W59</f>
        <v>984152.77777777775</v>
      </c>
      <c r="X50" s="48">
        <f>+X51+X56+X59</f>
        <v>963809.02777777775</v>
      </c>
      <c r="Y50" s="48">
        <f>+Y51+Y56+Y59</f>
        <v>943465.27777777775</v>
      </c>
      <c r="Z50" s="48">
        <f t="shared" si="2"/>
        <v>4243281.25</v>
      </c>
      <c r="AA50" s="218">
        <v>1</v>
      </c>
      <c r="AB50" s="219">
        <v>1</v>
      </c>
      <c r="AC50" s="218">
        <v>1</v>
      </c>
      <c r="AD50" s="219">
        <v>1</v>
      </c>
      <c r="AE50" s="218">
        <v>1</v>
      </c>
      <c r="AF50" s="219">
        <v>1</v>
      </c>
      <c r="AG50" s="218">
        <v>1</v>
      </c>
      <c r="AH50" s="219">
        <v>1</v>
      </c>
      <c r="AI50" s="218">
        <v>1</v>
      </c>
      <c r="AJ50" s="219">
        <v>1</v>
      </c>
    </row>
    <row r="51" spans="1:36" x14ac:dyDescent="0.25">
      <c r="A51" s="55">
        <v>1</v>
      </c>
      <c r="B51" s="55">
        <v>1</v>
      </c>
      <c r="C51" s="55">
        <v>2</v>
      </c>
      <c r="D51" s="55">
        <v>1</v>
      </c>
      <c r="E51" s="55">
        <v>0</v>
      </c>
      <c r="F51" s="55">
        <v>0</v>
      </c>
      <c r="G51" s="76" t="s">
        <v>81</v>
      </c>
      <c r="H51" s="57">
        <f>+H52</f>
        <v>10785000</v>
      </c>
      <c r="I51" s="57">
        <f t="shared" ref="I51:L51" si="31">+I52</f>
        <v>2372700</v>
      </c>
      <c r="J51" s="57">
        <f t="shared" si="31"/>
        <v>337031.25</v>
      </c>
      <c r="K51" s="57">
        <f t="shared" si="31"/>
        <v>74146.875</v>
      </c>
      <c r="L51" s="57">
        <f t="shared" si="31"/>
        <v>411178.125</v>
      </c>
      <c r="M51" s="58">
        <f t="shared" si="3"/>
        <v>0.81967213114754101</v>
      </c>
      <c r="N51" s="58">
        <f t="shared" si="1"/>
        <v>0.18032786885245899</v>
      </c>
      <c r="O51" s="81" t="s">
        <v>210</v>
      </c>
      <c r="P51" s="77"/>
      <c r="Q51" s="77"/>
      <c r="R51" s="78"/>
      <c r="S51" s="79"/>
      <c r="T51" s="80"/>
      <c r="U51" s="57">
        <f>+U52</f>
        <v>72562.5</v>
      </c>
      <c r="V51" s="57">
        <f>+V52</f>
        <v>81375</v>
      </c>
      <c r="W51" s="57">
        <f>+W52</f>
        <v>81375</v>
      </c>
      <c r="X51" s="57">
        <f>+X52</f>
        <v>61031.25</v>
      </c>
      <c r="Y51" s="57">
        <f>+Y52</f>
        <v>40687.5</v>
      </c>
      <c r="Z51" s="57">
        <f t="shared" si="2"/>
        <v>337031.25</v>
      </c>
      <c r="AA51" s="218">
        <v>1</v>
      </c>
      <c r="AB51" s="219">
        <v>1</v>
      </c>
      <c r="AC51" s="218">
        <v>1</v>
      </c>
      <c r="AD51" s="219">
        <v>1</v>
      </c>
      <c r="AE51" s="218">
        <v>1</v>
      </c>
      <c r="AF51" s="219">
        <v>1</v>
      </c>
      <c r="AG51" s="218">
        <v>1</v>
      </c>
      <c r="AH51" s="219">
        <v>1</v>
      </c>
      <c r="AI51" s="218">
        <v>1</v>
      </c>
      <c r="AJ51" s="219">
        <v>1</v>
      </c>
    </row>
    <row r="52" spans="1:36" ht="24" x14ac:dyDescent="0.25">
      <c r="A52" s="64">
        <v>1</v>
      </c>
      <c r="B52" s="64">
        <v>1</v>
      </c>
      <c r="C52" s="64">
        <v>2</v>
      </c>
      <c r="D52" s="64">
        <v>1</v>
      </c>
      <c r="E52" s="64">
        <v>1</v>
      </c>
      <c r="F52" s="64">
        <v>0</v>
      </c>
      <c r="G52" s="65" t="s">
        <v>181</v>
      </c>
      <c r="H52" s="66">
        <f>SUM(H53:H55)</f>
        <v>10785000</v>
      </c>
      <c r="I52" s="66">
        <f>SUM(I53:I55)</f>
        <v>2372700</v>
      </c>
      <c r="J52" s="66">
        <f>SUM(J53:J55)</f>
        <v>337031.25</v>
      </c>
      <c r="K52" s="66">
        <f>SUM(K53:K55)</f>
        <v>74146.875</v>
      </c>
      <c r="L52" s="66">
        <f>SUM(L53:L55)</f>
        <v>411178.125</v>
      </c>
      <c r="M52" s="67">
        <f t="shared" si="3"/>
        <v>0.81967213114754101</v>
      </c>
      <c r="N52" s="67">
        <f t="shared" si="1"/>
        <v>0.18032786885245899</v>
      </c>
      <c r="O52" s="71" t="s">
        <v>59</v>
      </c>
      <c r="P52" s="68">
        <v>42370</v>
      </c>
      <c r="Q52" s="68">
        <v>44167</v>
      </c>
      <c r="R52" s="4" t="s">
        <v>41</v>
      </c>
      <c r="S52" s="69"/>
      <c r="T52" s="70"/>
      <c r="U52" s="66">
        <f>SUM(U53:U55)</f>
        <v>72562.5</v>
      </c>
      <c r="V52" s="66">
        <f>SUM(V53:V55)</f>
        <v>81375</v>
      </c>
      <c r="W52" s="66">
        <f>SUM(W53:W55)</f>
        <v>81375</v>
      </c>
      <c r="X52" s="66">
        <f>SUM(X53:X55)</f>
        <v>61031.25</v>
      </c>
      <c r="Y52" s="66">
        <f>SUM(Y53:Y55)</f>
        <v>40687.5</v>
      </c>
      <c r="Z52" s="66">
        <f t="shared" si="2"/>
        <v>337031.25</v>
      </c>
      <c r="AA52" s="218">
        <v>1</v>
      </c>
      <c r="AB52" s="219">
        <v>1</v>
      </c>
      <c r="AC52" s="218">
        <v>1</v>
      </c>
      <c r="AD52" s="219">
        <v>1</v>
      </c>
      <c r="AE52" s="218">
        <v>1</v>
      </c>
      <c r="AF52" s="219">
        <v>1</v>
      </c>
      <c r="AG52" s="218">
        <v>1</v>
      </c>
      <c r="AH52" s="219">
        <v>1</v>
      </c>
      <c r="AI52" s="218">
        <v>1</v>
      </c>
      <c r="AJ52" s="219">
        <v>1</v>
      </c>
    </row>
    <row r="53" spans="1:36" hidden="1" x14ac:dyDescent="0.25">
      <c r="A53" s="64">
        <v>1</v>
      </c>
      <c r="B53" s="64">
        <v>1</v>
      </c>
      <c r="C53" s="64">
        <v>2</v>
      </c>
      <c r="D53" s="64">
        <v>1</v>
      </c>
      <c r="E53" s="64">
        <v>1</v>
      </c>
      <c r="F53" s="64">
        <v>1</v>
      </c>
      <c r="G53" s="72" t="s">
        <v>82</v>
      </c>
      <c r="H53" s="73">
        <f>+S53*R53*T53</f>
        <v>4896000</v>
      </c>
      <c r="I53" s="74">
        <f>+H53*0.22</f>
        <v>1077120</v>
      </c>
      <c r="J53" s="74">
        <f t="shared" ref="J53:K55" si="32">+H53/$H$1</f>
        <v>153000</v>
      </c>
      <c r="K53" s="74">
        <f t="shared" si="32"/>
        <v>33660</v>
      </c>
      <c r="L53" s="74">
        <f>+J53+K53</f>
        <v>186660</v>
      </c>
      <c r="M53" s="67">
        <f t="shared" si="3"/>
        <v>0.81967213114754101</v>
      </c>
      <c r="N53" s="67">
        <f t="shared" si="1"/>
        <v>0.18032786885245899</v>
      </c>
      <c r="O53" s="71" t="s">
        <v>42</v>
      </c>
      <c r="P53" s="68"/>
      <c r="Q53" s="68"/>
      <c r="R53" s="69">
        <f>36+12*0.75+12*0.5</f>
        <v>51</v>
      </c>
      <c r="S53" s="69">
        <v>1</v>
      </c>
      <c r="T53" s="70">
        <v>96000</v>
      </c>
      <c r="U53" s="73">
        <f t="shared" ref="U53:W54" si="33">+$T53*$S53*12/$H$1</f>
        <v>36000</v>
      </c>
      <c r="V53" s="73">
        <f t="shared" si="33"/>
        <v>36000</v>
      </c>
      <c r="W53" s="73">
        <f t="shared" si="33"/>
        <v>36000</v>
      </c>
      <c r="X53" s="73">
        <f>+$T53*$S53*12/$H$1*0.75</f>
        <v>27000</v>
      </c>
      <c r="Y53" s="73">
        <f>+$T53*$S53*12/$H$1*0.5</f>
        <v>18000</v>
      </c>
      <c r="Z53" s="73">
        <f t="shared" si="2"/>
        <v>153000</v>
      </c>
      <c r="AA53" s="218">
        <v>1</v>
      </c>
      <c r="AB53" s="219">
        <v>1</v>
      </c>
      <c r="AC53" s="218">
        <v>1</v>
      </c>
      <c r="AD53" s="219">
        <v>1</v>
      </c>
      <c r="AE53" s="218">
        <v>1</v>
      </c>
      <c r="AF53" s="219">
        <v>1</v>
      </c>
      <c r="AG53" s="218">
        <v>1</v>
      </c>
      <c r="AH53" s="219">
        <v>1</v>
      </c>
      <c r="AI53" s="218">
        <v>1</v>
      </c>
      <c r="AJ53" s="219">
        <v>1</v>
      </c>
    </row>
    <row r="54" spans="1:36" hidden="1" x14ac:dyDescent="0.25">
      <c r="A54" s="64">
        <v>1</v>
      </c>
      <c r="B54" s="64">
        <v>1</v>
      </c>
      <c r="C54" s="64">
        <v>2</v>
      </c>
      <c r="D54" s="64">
        <v>1</v>
      </c>
      <c r="E54" s="64">
        <v>1</v>
      </c>
      <c r="F54" s="64">
        <v>2</v>
      </c>
      <c r="G54" s="72" t="s">
        <v>83</v>
      </c>
      <c r="H54" s="73">
        <f>+S54*R54*T54</f>
        <v>3774000</v>
      </c>
      <c r="I54" s="74">
        <f>+H54*0.22</f>
        <v>830280</v>
      </c>
      <c r="J54" s="74">
        <f t="shared" si="32"/>
        <v>117937.5</v>
      </c>
      <c r="K54" s="74">
        <f t="shared" si="32"/>
        <v>25946.25</v>
      </c>
      <c r="L54" s="74">
        <f>+J54+K54</f>
        <v>143883.75</v>
      </c>
      <c r="M54" s="67">
        <f t="shared" si="3"/>
        <v>0.81967213114754101</v>
      </c>
      <c r="N54" s="67">
        <f t="shared" si="1"/>
        <v>0.18032786885245899</v>
      </c>
      <c r="O54" s="71" t="s">
        <v>42</v>
      </c>
      <c r="P54" s="68"/>
      <c r="Q54" s="68"/>
      <c r="R54" s="69">
        <f>36+12*0.75+12*0.5</f>
        <v>51</v>
      </c>
      <c r="S54" s="69">
        <v>1</v>
      </c>
      <c r="T54" s="70">
        <v>74000</v>
      </c>
      <c r="U54" s="73">
        <f t="shared" si="33"/>
        <v>27750</v>
      </c>
      <c r="V54" s="73">
        <f t="shared" si="33"/>
        <v>27750</v>
      </c>
      <c r="W54" s="73">
        <f t="shared" si="33"/>
        <v>27750</v>
      </c>
      <c r="X54" s="73">
        <f>+$T54*$S54*12/$H$1*0.75</f>
        <v>20812.5</v>
      </c>
      <c r="Y54" s="73">
        <f>+$T54*$S54*12/$H$1*0.5</f>
        <v>13875</v>
      </c>
      <c r="Z54" s="73">
        <f t="shared" si="2"/>
        <v>117937.5</v>
      </c>
      <c r="AA54" s="218">
        <v>1</v>
      </c>
      <c r="AB54" s="219">
        <v>1</v>
      </c>
      <c r="AC54" s="218">
        <v>1</v>
      </c>
      <c r="AD54" s="219">
        <v>1</v>
      </c>
      <c r="AE54" s="218">
        <v>1</v>
      </c>
      <c r="AF54" s="219">
        <v>1</v>
      </c>
      <c r="AG54" s="218">
        <v>1</v>
      </c>
      <c r="AH54" s="219">
        <v>1</v>
      </c>
      <c r="AI54" s="218">
        <v>1</v>
      </c>
      <c r="AJ54" s="219">
        <v>1</v>
      </c>
    </row>
    <row r="55" spans="1:36" hidden="1" x14ac:dyDescent="0.25">
      <c r="A55" s="64">
        <v>1</v>
      </c>
      <c r="B55" s="64">
        <v>1</v>
      </c>
      <c r="C55" s="64">
        <v>2</v>
      </c>
      <c r="D55" s="64">
        <v>1</v>
      </c>
      <c r="E55" s="64">
        <v>1</v>
      </c>
      <c r="F55" s="64">
        <v>3</v>
      </c>
      <c r="G55" s="72" t="s">
        <v>84</v>
      </c>
      <c r="H55" s="73">
        <f>+S55*R55*T55</f>
        <v>2115000</v>
      </c>
      <c r="I55" s="74">
        <f>+H55*0.22</f>
        <v>465300</v>
      </c>
      <c r="J55" s="74">
        <f t="shared" si="32"/>
        <v>66093.75</v>
      </c>
      <c r="K55" s="74">
        <f t="shared" si="32"/>
        <v>14540.625</v>
      </c>
      <c r="L55" s="74">
        <f>+J55+K55</f>
        <v>80634.375</v>
      </c>
      <c r="M55" s="67">
        <f t="shared" si="3"/>
        <v>0.81967213114754101</v>
      </c>
      <c r="N55" s="67">
        <f t="shared" si="1"/>
        <v>0.18032786885245899</v>
      </c>
      <c r="O55" s="71" t="s">
        <v>42</v>
      </c>
      <c r="P55" s="68"/>
      <c r="Q55" s="68"/>
      <c r="R55" s="69">
        <f>30+12*0.75+12*0.5</f>
        <v>45</v>
      </c>
      <c r="S55" s="69">
        <v>1</v>
      </c>
      <c r="T55" s="70">
        <v>47000</v>
      </c>
      <c r="U55" s="73">
        <f>+$T55*$S55*12/$H$1*0.5</f>
        <v>8812.5</v>
      </c>
      <c r="V55" s="73">
        <f>+$T55*$S55*12/$H$1</f>
        <v>17625</v>
      </c>
      <c r="W55" s="73">
        <f>+$T55*$S55*12/$H$1</f>
        <v>17625</v>
      </c>
      <c r="X55" s="73">
        <f>+$T55*$S55*12/$H$1*0.75</f>
        <v>13218.75</v>
      </c>
      <c r="Y55" s="73">
        <f>+$T55*$S55*12/$H$1*0.5</f>
        <v>8812.5</v>
      </c>
      <c r="Z55" s="73">
        <f t="shared" si="2"/>
        <v>66093.75</v>
      </c>
      <c r="AA55" s="218">
        <v>1</v>
      </c>
      <c r="AB55" s="219">
        <v>1</v>
      </c>
      <c r="AC55" s="218">
        <v>1</v>
      </c>
      <c r="AD55" s="219">
        <v>1</v>
      </c>
      <c r="AE55" s="218">
        <v>1</v>
      </c>
      <c r="AF55" s="219">
        <v>1</v>
      </c>
      <c r="AG55" s="218">
        <v>1</v>
      </c>
      <c r="AH55" s="219">
        <v>1</v>
      </c>
      <c r="AI55" s="218">
        <v>1</v>
      </c>
      <c r="AJ55" s="219">
        <v>1</v>
      </c>
    </row>
    <row r="56" spans="1:36" x14ac:dyDescent="0.25">
      <c r="A56" s="55">
        <v>1</v>
      </c>
      <c r="B56" s="55">
        <v>1</v>
      </c>
      <c r="C56" s="55">
        <v>2</v>
      </c>
      <c r="D56" s="55">
        <v>2</v>
      </c>
      <c r="E56" s="55">
        <v>0</v>
      </c>
      <c r="F56" s="55">
        <v>0</v>
      </c>
      <c r="G56" s="76" t="s">
        <v>85</v>
      </c>
      <c r="H56" s="57">
        <f>+H57+H58</f>
        <v>85000000</v>
      </c>
      <c r="I56" s="57">
        <f t="shared" ref="I56:L56" si="34">+I57+I58</f>
        <v>18700000</v>
      </c>
      <c r="J56" s="57">
        <f t="shared" si="34"/>
        <v>2656250</v>
      </c>
      <c r="K56" s="57">
        <f t="shared" si="34"/>
        <v>584375</v>
      </c>
      <c r="L56" s="57">
        <f t="shared" si="34"/>
        <v>3240625</v>
      </c>
      <c r="M56" s="58">
        <f t="shared" si="3"/>
        <v>0.81967213114754101</v>
      </c>
      <c r="N56" s="58">
        <f t="shared" si="1"/>
        <v>0.18032786885245899</v>
      </c>
      <c r="O56" s="81" t="s">
        <v>211</v>
      </c>
      <c r="P56" s="77"/>
      <c r="Q56" s="77"/>
      <c r="R56" s="78"/>
      <c r="S56" s="79"/>
      <c r="T56" s="80"/>
      <c r="U56" s="57">
        <f>+U57+U58</f>
        <v>295138.88888888888</v>
      </c>
      <c r="V56" s="57">
        <f>+V57+V58</f>
        <v>590277.77777777775</v>
      </c>
      <c r="W56" s="57">
        <f>+W57+W58</f>
        <v>590277.77777777775</v>
      </c>
      <c r="X56" s="57">
        <f>+X57+X58</f>
        <v>590277.77777777775</v>
      </c>
      <c r="Y56" s="57">
        <f>+Y57+Y58</f>
        <v>590277.77777777775</v>
      </c>
      <c r="Z56" s="57">
        <f t="shared" si="2"/>
        <v>2656250</v>
      </c>
      <c r="AA56" s="218">
        <v>1</v>
      </c>
      <c r="AB56" s="219">
        <v>1</v>
      </c>
      <c r="AC56" s="218">
        <v>1</v>
      </c>
      <c r="AD56" s="219">
        <v>1</v>
      </c>
      <c r="AE56" s="218">
        <v>1</v>
      </c>
      <c r="AF56" s="219">
        <v>1</v>
      </c>
      <c r="AG56" s="218">
        <v>1</v>
      </c>
      <c r="AH56" s="219">
        <v>1</v>
      </c>
      <c r="AI56" s="218">
        <v>1</v>
      </c>
      <c r="AJ56" s="219">
        <v>1</v>
      </c>
    </row>
    <row r="57" spans="1:36" x14ac:dyDescent="0.25">
      <c r="A57" s="64">
        <v>1</v>
      </c>
      <c r="B57" s="64">
        <v>1</v>
      </c>
      <c r="C57" s="64">
        <v>2</v>
      </c>
      <c r="D57" s="64">
        <v>2</v>
      </c>
      <c r="E57" s="64">
        <v>1</v>
      </c>
      <c r="F57" s="64">
        <v>0</v>
      </c>
      <c r="G57" s="65" t="s">
        <v>86</v>
      </c>
      <c r="H57" s="75">
        <f>+[1]Comunicación!D3</f>
        <v>21250000</v>
      </c>
      <c r="I57" s="74">
        <f>+H57*0.22</f>
        <v>4675000</v>
      </c>
      <c r="J57" s="74">
        <f>+H57/$H$1</f>
        <v>664062.5</v>
      </c>
      <c r="K57" s="74">
        <f>+I57/$H$1</f>
        <v>146093.75</v>
      </c>
      <c r="L57" s="74">
        <f>+J57+K57</f>
        <v>810156.25</v>
      </c>
      <c r="M57" s="67">
        <f t="shared" si="3"/>
        <v>0.81967213114754101</v>
      </c>
      <c r="N57" s="67">
        <f t="shared" si="1"/>
        <v>0.18032786885245899</v>
      </c>
      <c r="O57" s="71" t="s">
        <v>54</v>
      </c>
      <c r="P57" s="68">
        <v>42522</v>
      </c>
      <c r="Q57" s="68">
        <v>44166</v>
      </c>
      <c r="R57" s="4" t="s">
        <v>46</v>
      </c>
      <c r="S57" s="69"/>
      <c r="T57" s="70"/>
      <c r="U57" s="66">
        <f>+$J57/54*6</f>
        <v>73784.722222222219</v>
      </c>
      <c r="V57" s="66">
        <f t="shared" ref="V57:Y58" si="35">+$J57/54*12</f>
        <v>147569.44444444444</v>
      </c>
      <c r="W57" s="66">
        <f t="shared" si="35"/>
        <v>147569.44444444444</v>
      </c>
      <c r="X57" s="66">
        <f t="shared" si="35"/>
        <v>147569.44444444444</v>
      </c>
      <c r="Y57" s="66">
        <f t="shared" si="35"/>
        <v>147569.44444444444</v>
      </c>
      <c r="Z57" s="66">
        <f t="shared" si="2"/>
        <v>664062.5</v>
      </c>
      <c r="AA57" s="218"/>
      <c r="AB57" s="219">
        <v>1</v>
      </c>
      <c r="AC57" s="218">
        <v>1</v>
      </c>
      <c r="AD57" s="219">
        <v>1</v>
      </c>
      <c r="AE57" s="218">
        <v>1</v>
      </c>
      <c r="AF57" s="219">
        <v>1</v>
      </c>
      <c r="AG57" s="218">
        <v>1</v>
      </c>
      <c r="AH57" s="219">
        <v>1</v>
      </c>
      <c r="AI57" s="218">
        <v>1</v>
      </c>
      <c r="AJ57" s="219">
        <v>1</v>
      </c>
    </row>
    <row r="58" spans="1:36" x14ac:dyDescent="0.25">
      <c r="A58" s="64">
        <v>1</v>
      </c>
      <c r="B58" s="64">
        <v>1</v>
      </c>
      <c r="C58" s="64">
        <v>2</v>
      </c>
      <c r="D58" s="64">
        <v>2</v>
      </c>
      <c r="E58" s="64">
        <v>2</v>
      </c>
      <c r="F58" s="64">
        <v>0</v>
      </c>
      <c r="G58" s="65" t="s">
        <v>225</v>
      </c>
      <c r="H58" s="75">
        <f>+[1]Comunicación!D4</f>
        <v>63750000</v>
      </c>
      <c r="I58" s="74">
        <f>+H58*0.22</f>
        <v>14025000</v>
      </c>
      <c r="J58" s="74">
        <f>+H58/$H$1</f>
        <v>1992187.5</v>
      </c>
      <c r="K58" s="74">
        <f>+I58/$H$1</f>
        <v>438281.25</v>
      </c>
      <c r="L58" s="74">
        <f>+J58+K58</f>
        <v>2430468.75</v>
      </c>
      <c r="M58" s="67">
        <f t="shared" si="3"/>
        <v>0.81967213114754101</v>
      </c>
      <c r="N58" s="67">
        <f t="shared" si="1"/>
        <v>0.18032786885245899</v>
      </c>
      <c r="O58" s="71" t="s">
        <v>54</v>
      </c>
      <c r="P58" s="68">
        <v>42523</v>
      </c>
      <c r="Q58" s="68">
        <v>44167</v>
      </c>
      <c r="R58" s="4" t="s">
        <v>46</v>
      </c>
      <c r="S58" s="69"/>
      <c r="T58" s="70"/>
      <c r="U58" s="66">
        <f>+$J58/54*6</f>
        <v>221354.16666666666</v>
      </c>
      <c r="V58" s="66">
        <f t="shared" si="35"/>
        <v>442708.33333333331</v>
      </c>
      <c r="W58" s="66">
        <f t="shared" si="35"/>
        <v>442708.33333333331</v>
      </c>
      <c r="X58" s="66">
        <f t="shared" si="35"/>
        <v>442708.33333333331</v>
      </c>
      <c r="Y58" s="66">
        <f t="shared" si="35"/>
        <v>442708.33333333331</v>
      </c>
      <c r="Z58" s="66">
        <f t="shared" si="2"/>
        <v>1992187.4999999998</v>
      </c>
      <c r="AA58" s="218"/>
      <c r="AB58" s="219">
        <v>1</v>
      </c>
      <c r="AC58" s="218">
        <v>1</v>
      </c>
      <c r="AD58" s="219">
        <v>1</v>
      </c>
      <c r="AE58" s="218">
        <v>1</v>
      </c>
      <c r="AF58" s="219">
        <v>1</v>
      </c>
      <c r="AG58" s="218">
        <v>1</v>
      </c>
      <c r="AH58" s="219">
        <v>1</v>
      </c>
      <c r="AI58" s="218">
        <v>1</v>
      </c>
      <c r="AJ58" s="219">
        <v>1</v>
      </c>
    </row>
    <row r="59" spans="1:36" x14ac:dyDescent="0.25">
      <c r="A59" s="55">
        <v>1</v>
      </c>
      <c r="B59" s="55">
        <v>1</v>
      </c>
      <c r="C59" s="55">
        <v>2</v>
      </c>
      <c r="D59" s="55">
        <v>3</v>
      </c>
      <c r="E59" s="55">
        <v>0</v>
      </c>
      <c r="F59" s="55">
        <v>0</v>
      </c>
      <c r="G59" s="76" t="s">
        <v>87</v>
      </c>
      <c r="H59" s="57">
        <f>+H60</f>
        <v>40000000</v>
      </c>
      <c r="I59" s="57">
        <f t="shared" ref="I59:L59" si="36">+I60</f>
        <v>8800000</v>
      </c>
      <c r="J59" s="57">
        <f t="shared" si="36"/>
        <v>1250000</v>
      </c>
      <c r="K59" s="57">
        <f t="shared" si="36"/>
        <v>275000</v>
      </c>
      <c r="L59" s="57">
        <f t="shared" si="36"/>
        <v>1525000</v>
      </c>
      <c r="M59" s="58">
        <f t="shared" si="3"/>
        <v>0.81967213114754101</v>
      </c>
      <c r="N59" s="58">
        <f t="shared" si="1"/>
        <v>0.18032786885245899</v>
      </c>
      <c r="O59" s="81" t="s">
        <v>210</v>
      </c>
      <c r="P59" s="77"/>
      <c r="Q59" s="77"/>
      <c r="R59" s="78"/>
      <c r="S59" s="79"/>
      <c r="T59" s="80"/>
      <c r="U59" s="57">
        <f>+U60</f>
        <v>0</v>
      </c>
      <c r="V59" s="57">
        <f>+V60</f>
        <v>312500</v>
      </c>
      <c r="W59" s="57">
        <f>+W60</f>
        <v>312500</v>
      </c>
      <c r="X59" s="57">
        <f>+X60</f>
        <v>312500</v>
      </c>
      <c r="Y59" s="57">
        <f>+Y60</f>
        <v>312500</v>
      </c>
      <c r="Z59" s="57">
        <f t="shared" si="2"/>
        <v>1250000</v>
      </c>
      <c r="AA59" s="218">
        <v>1</v>
      </c>
      <c r="AB59" s="219">
        <v>1</v>
      </c>
      <c r="AC59" s="218">
        <v>1</v>
      </c>
      <c r="AD59" s="219">
        <v>1</v>
      </c>
      <c r="AE59" s="218">
        <v>1</v>
      </c>
      <c r="AF59" s="219">
        <v>1</v>
      </c>
      <c r="AG59" s="218">
        <v>1</v>
      </c>
      <c r="AH59" s="219">
        <v>1</v>
      </c>
      <c r="AI59" s="218">
        <v>1</v>
      </c>
      <c r="AJ59" s="219">
        <v>1</v>
      </c>
    </row>
    <row r="60" spans="1:36" x14ac:dyDescent="0.25">
      <c r="A60" s="64">
        <v>1</v>
      </c>
      <c r="B60" s="64">
        <v>1</v>
      </c>
      <c r="C60" s="64">
        <v>2</v>
      </c>
      <c r="D60" s="64">
        <v>3</v>
      </c>
      <c r="E60" s="64">
        <v>1</v>
      </c>
      <c r="F60" s="64">
        <v>0</v>
      </c>
      <c r="G60" s="65" t="s">
        <v>88</v>
      </c>
      <c r="H60" s="75">
        <f>+[1]Comunicación!D12*2</f>
        <v>40000000</v>
      </c>
      <c r="I60" s="74">
        <f>+H60*0.22</f>
        <v>8800000</v>
      </c>
      <c r="J60" s="74">
        <f>+H60/$H$1</f>
        <v>1250000</v>
      </c>
      <c r="K60" s="74">
        <f>+I60/$H$1</f>
        <v>275000</v>
      </c>
      <c r="L60" s="74">
        <f>+J60+K60</f>
        <v>1525000</v>
      </c>
      <c r="M60" s="67">
        <f t="shared" si="3"/>
        <v>0.81967213114754101</v>
      </c>
      <c r="N60" s="67">
        <f t="shared" si="1"/>
        <v>0.18032786885245899</v>
      </c>
      <c r="O60" s="71" t="s">
        <v>54</v>
      </c>
      <c r="P60" s="68">
        <v>42736</v>
      </c>
      <c r="Q60" s="68">
        <v>44168</v>
      </c>
      <c r="R60" s="4" t="s">
        <v>89</v>
      </c>
      <c r="S60" s="69"/>
      <c r="T60" s="70"/>
      <c r="U60" s="66">
        <f>+[1]Comunicación!P12*2</f>
        <v>0</v>
      </c>
      <c r="V60" s="66">
        <f>+$J60/4</f>
        <v>312500</v>
      </c>
      <c r="W60" s="66">
        <f>+$J60/4</f>
        <v>312500</v>
      </c>
      <c r="X60" s="66">
        <f>+$J60/4</f>
        <v>312500</v>
      </c>
      <c r="Y60" s="66">
        <f>+$J60/4</f>
        <v>312500</v>
      </c>
      <c r="Z60" s="66">
        <f t="shared" si="2"/>
        <v>1250000</v>
      </c>
      <c r="AA60" s="218"/>
      <c r="AB60" s="219"/>
      <c r="AC60" s="218">
        <v>1</v>
      </c>
      <c r="AD60" s="219">
        <v>1</v>
      </c>
      <c r="AE60" s="218">
        <v>1</v>
      </c>
      <c r="AF60" s="219">
        <v>1</v>
      </c>
      <c r="AG60" s="218">
        <v>1</v>
      </c>
      <c r="AH60" s="219">
        <v>1</v>
      </c>
      <c r="AI60" s="218">
        <v>1</v>
      </c>
      <c r="AJ60" s="219">
        <v>1</v>
      </c>
    </row>
    <row r="61" spans="1:36" ht="24" x14ac:dyDescent="0.25">
      <c r="A61" s="46">
        <v>1</v>
      </c>
      <c r="B61" s="46">
        <v>1</v>
      </c>
      <c r="C61" s="46">
        <v>3</v>
      </c>
      <c r="D61" s="46">
        <v>0</v>
      </c>
      <c r="E61" s="46">
        <v>0</v>
      </c>
      <c r="F61" s="46">
        <v>0</v>
      </c>
      <c r="G61" s="82" t="s">
        <v>90</v>
      </c>
      <c r="H61" s="48">
        <f>+H62</f>
        <v>39276000</v>
      </c>
      <c r="I61" s="48">
        <f t="shared" ref="I61:L61" si="37">+I62</f>
        <v>8640720</v>
      </c>
      <c r="J61" s="48">
        <f t="shared" si="37"/>
        <v>1227375</v>
      </c>
      <c r="K61" s="48">
        <f t="shared" si="37"/>
        <v>270022.5</v>
      </c>
      <c r="L61" s="48">
        <f t="shared" si="37"/>
        <v>1497397.5</v>
      </c>
      <c r="M61" s="49">
        <f t="shared" si="3"/>
        <v>0.81967213114754101</v>
      </c>
      <c r="N61" s="49">
        <f t="shared" si="1"/>
        <v>0.18032786885245899</v>
      </c>
      <c r="O61" s="264" t="s">
        <v>209</v>
      </c>
      <c r="P61" s="88"/>
      <c r="Q61" s="88"/>
      <c r="R61" s="89"/>
      <c r="S61" s="90"/>
      <c r="T61" s="91"/>
      <c r="U61" s="48">
        <f>+U62</f>
        <v>211105.26315789475</v>
      </c>
      <c r="V61" s="48">
        <f>+V62</f>
        <v>268973.68421052629</v>
      </c>
      <c r="W61" s="48">
        <f>+W62</f>
        <v>268973.68421052629</v>
      </c>
      <c r="X61" s="48">
        <f>+X62</f>
        <v>249098.68421052632</v>
      </c>
      <c r="Y61" s="48">
        <f>+Y62</f>
        <v>229223.68421052632</v>
      </c>
      <c r="Z61" s="48">
        <f t="shared" si="2"/>
        <v>1227375</v>
      </c>
      <c r="AA61" s="218">
        <v>1</v>
      </c>
      <c r="AB61" s="219">
        <v>1</v>
      </c>
      <c r="AC61" s="218">
        <v>1</v>
      </c>
      <c r="AD61" s="219">
        <v>1</v>
      </c>
      <c r="AE61" s="218">
        <v>1</v>
      </c>
      <c r="AF61" s="219">
        <v>1</v>
      </c>
      <c r="AG61" s="218">
        <v>1</v>
      </c>
      <c r="AH61" s="219">
        <v>1</v>
      </c>
      <c r="AI61" s="218">
        <v>1</v>
      </c>
      <c r="AJ61" s="219">
        <v>1</v>
      </c>
    </row>
    <row r="62" spans="1:36" x14ac:dyDescent="0.25">
      <c r="A62" s="55">
        <v>1</v>
      </c>
      <c r="B62" s="55">
        <v>1</v>
      </c>
      <c r="C62" s="55">
        <v>3</v>
      </c>
      <c r="D62" s="55">
        <v>1</v>
      </c>
      <c r="E62" s="55">
        <v>0</v>
      </c>
      <c r="F62" s="55">
        <v>0</v>
      </c>
      <c r="G62" s="76" t="s">
        <v>91</v>
      </c>
      <c r="H62" s="57">
        <f>+H63+H67</f>
        <v>39276000</v>
      </c>
      <c r="I62" s="57">
        <f t="shared" ref="I62:L62" si="38">+I63+I67</f>
        <v>8640720</v>
      </c>
      <c r="J62" s="57">
        <f t="shared" si="38"/>
        <v>1227375</v>
      </c>
      <c r="K62" s="57">
        <f t="shared" si="38"/>
        <v>270022.5</v>
      </c>
      <c r="L62" s="57">
        <f t="shared" si="38"/>
        <v>1497397.5</v>
      </c>
      <c r="M62" s="58">
        <f t="shared" si="3"/>
        <v>0.81967213114754101</v>
      </c>
      <c r="N62" s="58">
        <f t="shared" si="1"/>
        <v>0.18032786885245899</v>
      </c>
      <c r="O62" s="81" t="s">
        <v>212</v>
      </c>
      <c r="P62" s="59"/>
      <c r="Q62" s="59"/>
      <c r="R62" s="60"/>
      <c r="S62" s="61"/>
      <c r="T62" s="62"/>
      <c r="U62" s="57">
        <f>+U63+U67</f>
        <v>211105.26315789475</v>
      </c>
      <c r="V62" s="57">
        <f>+V63+V67</f>
        <v>268973.68421052629</v>
      </c>
      <c r="W62" s="57">
        <f>+W63+W67</f>
        <v>268973.68421052629</v>
      </c>
      <c r="X62" s="57">
        <f>+X63+X67</f>
        <v>249098.68421052632</v>
      </c>
      <c r="Y62" s="57">
        <f>+Y63+Y67</f>
        <v>229223.68421052632</v>
      </c>
      <c r="Z62" s="57">
        <f t="shared" si="2"/>
        <v>1227375</v>
      </c>
      <c r="AA62" s="218">
        <v>1</v>
      </c>
      <c r="AB62" s="219">
        <v>1</v>
      </c>
      <c r="AC62" s="218">
        <v>1</v>
      </c>
      <c r="AD62" s="219">
        <v>1</v>
      </c>
      <c r="AE62" s="218">
        <v>1</v>
      </c>
      <c r="AF62" s="219">
        <v>1</v>
      </c>
      <c r="AG62" s="218">
        <v>1</v>
      </c>
      <c r="AH62" s="219">
        <v>1</v>
      </c>
      <c r="AI62" s="218">
        <v>1</v>
      </c>
      <c r="AJ62" s="219">
        <v>1</v>
      </c>
    </row>
    <row r="63" spans="1:36" ht="24" x14ac:dyDescent="0.25">
      <c r="A63" s="64">
        <v>1</v>
      </c>
      <c r="B63" s="64">
        <v>1</v>
      </c>
      <c r="C63" s="64">
        <v>3</v>
      </c>
      <c r="D63" s="64">
        <v>1</v>
      </c>
      <c r="E63" s="64">
        <v>1</v>
      </c>
      <c r="F63" s="64">
        <v>0</v>
      </c>
      <c r="G63" s="65" t="s">
        <v>182</v>
      </c>
      <c r="H63" s="66">
        <f>SUM(H64:H66)</f>
        <v>10476000</v>
      </c>
      <c r="I63" s="66">
        <f t="shared" ref="I63:L63" si="39">SUM(I64:I66)</f>
        <v>2304720</v>
      </c>
      <c r="J63" s="66">
        <f t="shared" si="39"/>
        <v>327375</v>
      </c>
      <c r="K63" s="66">
        <f t="shared" si="39"/>
        <v>72022.5</v>
      </c>
      <c r="L63" s="66">
        <f t="shared" si="39"/>
        <v>399397.5</v>
      </c>
      <c r="M63" s="67">
        <f t="shared" si="3"/>
        <v>0.81967213114754101</v>
      </c>
      <c r="N63" s="67">
        <f t="shared" si="1"/>
        <v>0.18032786885245899</v>
      </c>
      <c r="O63" s="71" t="s">
        <v>59</v>
      </c>
      <c r="P63" s="68">
        <v>42370</v>
      </c>
      <c r="Q63" s="68">
        <v>44166</v>
      </c>
      <c r="R63" s="4" t="s">
        <v>41</v>
      </c>
      <c r="S63" s="69"/>
      <c r="T63" s="70"/>
      <c r="U63" s="66">
        <f>SUM(U64:U66)</f>
        <v>69000</v>
      </c>
      <c r="V63" s="66">
        <f>SUM(V64:V66)</f>
        <v>79500</v>
      </c>
      <c r="W63" s="66">
        <f>SUM(W64:W66)</f>
        <v>79500</v>
      </c>
      <c r="X63" s="66">
        <f>SUM(X64:X66)</f>
        <v>59625</v>
      </c>
      <c r="Y63" s="66">
        <f>SUM(Y64:Y66)</f>
        <v>39750</v>
      </c>
      <c r="Z63" s="66">
        <f t="shared" si="2"/>
        <v>327375</v>
      </c>
      <c r="AA63" s="218">
        <v>1</v>
      </c>
      <c r="AB63" s="219">
        <v>1</v>
      </c>
      <c r="AC63" s="218">
        <v>1</v>
      </c>
      <c r="AD63" s="219">
        <v>1</v>
      </c>
      <c r="AE63" s="218">
        <v>1</v>
      </c>
      <c r="AF63" s="219">
        <v>1</v>
      </c>
      <c r="AG63" s="218">
        <v>1</v>
      </c>
      <c r="AH63" s="219">
        <v>1</v>
      </c>
      <c r="AI63" s="218">
        <v>1</v>
      </c>
      <c r="AJ63" s="219">
        <v>1</v>
      </c>
    </row>
    <row r="64" spans="1:36" ht="24" hidden="1" x14ac:dyDescent="0.25">
      <c r="A64" s="64">
        <v>1</v>
      </c>
      <c r="B64" s="64">
        <v>1</v>
      </c>
      <c r="C64" s="64">
        <v>3</v>
      </c>
      <c r="D64" s="64">
        <v>1</v>
      </c>
      <c r="E64" s="64">
        <v>1</v>
      </c>
      <c r="F64" s="64">
        <v>1</v>
      </c>
      <c r="G64" s="72" t="s">
        <v>92</v>
      </c>
      <c r="H64" s="73">
        <f>+S64*R64*T64</f>
        <v>2520000</v>
      </c>
      <c r="I64" s="74">
        <f>+H64*0.22</f>
        <v>554400</v>
      </c>
      <c r="J64" s="74">
        <f t="shared" ref="J64:K67" si="40">+H64/$H$1</f>
        <v>78750</v>
      </c>
      <c r="K64" s="74">
        <f t="shared" si="40"/>
        <v>17325</v>
      </c>
      <c r="L64" s="74">
        <f>+J64+K64</f>
        <v>96075</v>
      </c>
      <c r="M64" s="67">
        <f t="shared" si="3"/>
        <v>0.81967213114754101</v>
      </c>
      <c r="N64" s="67">
        <f t="shared" si="1"/>
        <v>0.18032786885245899</v>
      </c>
      <c r="O64" s="71" t="s">
        <v>42</v>
      </c>
      <c r="P64" s="68"/>
      <c r="Q64" s="68"/>
      <c r="R64" s="69">
        <f>30+12*0.75+12*0.5</f>
        <v>45</v>
      </c>
      <c r="S64" s="69">
        <v>1</v>
      </c>
      <c r="T64" s="70">
        <v>56000</v>
      </c>
      <c r="U64" s="73">
        <f>+$T64*$S64*12/$H$1*0.5</f>
        <v>10500</v>
      </c>
      <c r="V64" s="73">
        <f t="shared" ref="V64:W66" si="41">+$T64*$S64*12/$H$1</f>
        <v>21000</v>
      </c>
      <c r="W64" s="73">
        <f t="shared" si="41"/>
        <v>21000</v>
      </c>
      <c r="X64" s="73">
        <f>+$T64*$S64*12/$H$1*0.75</f>
        <v>15750</v>
      </c>
      <c r="Y64" s="73">
        <f>+$T64*$S64*12/$H$1*0.5</f>
        <v>10500</v>
      </c>
      <c r="Z64" s="73">
        <f t="shared" si="2"/>
        <v>78750</v>
      </c>
      <c r="AA64" s="218"/>
      <c r="AB64" s="219">
        <v>1</v>
      </c>
      <c r="AC64" s="218">
        <v>1</v>
      </c>
      <c r="AD64" s="219">
        <v>1</v>
      </c>
      <c r="AE64" s="218">
        <v>1</v>
      </c>
      <c r="AF64" s="219">
        <v>1</v>
      </c>
      <c r="AG64" s="218">
        <v>1</v>
      </c>
      <c r="AH64" s="219">
        <v>1</v>
      </c>
      <c r="AI64" s="218">
        <v>1</v>
      </c>
      <c r="AJ64" s="219">
        <v>1</v>
      </c>
    </row>
    <row r="65" spans="1:36" ht="24" hidden="1" x14ac:dyDescent="0.25">
      <c r="A65" s="64">
        <v>1</v>
      </c>
      <c r="B65" s="64">
        <v>1</v>
      </c>
      <c r="C65" s="64">
        <v>3</v>
      </c>
      <c r="D65" s="64">
        <v>1</v>
      </c>
      <c r="E65" s="64">
        <v>1</v>
      </c>
      <c r="F65" s="64">
        <v>2</v>
      </c>
      <c r="G65" s="72" t="s">
        <v>93</v>
      </c>
      <c r="H65" s="73">
        <f>+S65*R65*T65</f>
        <v>4896000</v>
      </c>
      <c r="I65" s="74">
        <f>+H65*0.22</f>
        <v>1077120</v>
      </c>
      <c r="J65" s="74">
        <f t="shared" si="40"/>
        <v>153000</v>
      </c>
      <c r="K65" s="74">
        <f t="shared" si="40"/>
        <v>33660</v>
      </c>
      <c r="L65" s="74">
        <f>+J65+K65</f>
        <v>186660</v>
      </c>
      <c r="M65" s="67">
        <f t="shared" si="3"/>
        <v>0.81967213114754101</v>
      </c>
      <c r="N65" s="67">
        <f t="shared" si="1"/>
        <v>0.18032786885245899</v>
      </c>
      <c r="O65" s="71" t="s">
        <v>42</v>
      </c>
      <c r="P65" s="68"/>
      <c r="Q65" s="68"/>
      <c r="R65" s="69">
        <f>36+12*0.75+12*0.5</f>
        <v>51</v>
      </c>
      <c r="S65" s="69">
        <v>1</v>
      </c>
      <c r="T65" s="70">
        <v>96000</v>
      </c>
      <c r="U65" s="73">
        <f>+$T65*$S65*12/$H$1</f>
        <v>36000</v>
      </c>
      <c r="V65" s="73">
        <f t="shared" si="41"/>
        <v>36000</v>
      </c>
      <c r="W65" s="73">
        <f t="shared" si="41"/>
        <v>36000</v>
      </c>
      <c r="X65" s="73">
        <f>+$T65*$S65*12/$H$1*0.75</f>
        <v>27000</v>
      </c>
      <c r="Y65" s="73">
        <f>+$T65*$S65*12/$H$1*0.5</f>
        <v>18000</v>
      </c>
      <c r="Z65" s="73">
        <f t="shared" si="2"/>
        <v>153000</v>
      </c>
      <c r="AA65" s="218">
        <v>1</v>
      </c>
      <c r="AB65" s="219">
        <v>1</v>
      </c>
      <c r="AC65" s="218">
        <v>1</v>
      </c>
      <c r="AD65" s="219">
        <v>1</v>
      </c>
      <c r="AE65" s="218">
        <v>1</v>
      </c>
      <c r="AF65" s="219">
        <v>1</v>
      </c>
      <c r="AG65" s="218">
        <v>1</v>
      </c>
      <c r="AH65" s="219">
        <v>1</v>
      </c>
      <c r="AI65" s="218">
        <v>1</v>
      </c>
      <c r="AJ65" s="219">
        <v>1</v>
      </c>
    </row>
    <row r="66" spans="1:36" ht="24" hidden="1" x14ac:dyDescent="0.25">
      <c r="A66" s="64">
        <v>1</v>
      </c>
      <c r="B66" s="64">
        <v>1</v>
      </c>
      <c r="C66" s="64">
        <v>3</v>
      </c>
      <c r="D66" s="64">
        <v>1</v>
      </c>
      <c r="E66" s="64">
        <v>1</v>
      </c>
      <c r="F66" s="64">
        <v>3</v>
      </c>
      <c r="G66" s="72" t="s">
        <v>92</v>
      </c>
      <c r="H66" s="73">
        <f>+S66*R66*T66</f>
        <v>3060000</v>
      </c>
      <c r="I66" s="74">
        <f>+H66*0.22</f>
        <v>673200</v>
      </c>
      <c r="J66" s="74">
        <f t="shared" si="40"/>
        <v>95625</v>
      </c>
      <c r="K66" s="74">
        <f t="shared" si="40"/>
        <v>21037.5</v>
      </c>
      <c r="L66" s="74">
        <f>+J66+K66</f>
        <v>116662.5</v>
      </c>
      <c r="M66" s="67">
        <f t="shared" si="3"/>
        <v>0.81967213114754101</v>
      </c>
      <c r="N66" s="67">
        <f t="shared" si="1"/>
        <v>0.18032786885245899</v>
      </c>
      <c r="O66" s="71" t="s">
        <v>42</v>
      </c>
      <c r="P66" s="68"/>
      <c r="Q66" s="68"/>
      <c r="R66" s="69">
        <f>36+12*0.75+12*0.5</f>
        <v>51</v>
      </c>
      <c r="S66" s="69">
        <v>1</v>
      </c>
      <c r="T66" s="70">
        <v>60000</v>
      </c>
      <c r="U66" s="73">
        <f>+$T66*$S66*12/$H$1</f>
        <v>22500</v>
      </c>
      <c r="V66" s="73">
        <f t="shared" si="41"/>
        <v>22500</v>
      </c>
      <c r="W66" s="73">
        <f t="shared" si="41"/>
        <v>22500</v>
      </c>
      <c r="X66" s="73">
        <f>+$T66*$S66*12/$H$1*0.75</f>
        <v>16875</v>
      </c>
      <c r="Y66" s="73">
        <f>+$T66*$S66*12/$H$1*0.5</f>
        <v>11250</v>
      </c>
      <c r="Z66" s="73">
        <f t="shared" si="2"/>
        <v>95625</v>
      </c>
      <c r="AA66" s="218">
        <v>1</v>
      </c>
      <c r="AB66" s="219">
        <v>1</v>
      </c>
      <c r="AC66" s="218">
        <v>1</v>
      </c>
      <c r="AD66" s="219">
        <v>1</v>
      </c>
      <c r="AE66" s="218">
        <v>1</v>
      </c>
      <c r="AF66" s="219">
        <v>1</v>
      </c>
      <c r="AG66" s="218">
        <v>1</v>
      </c>
      <c r="AH66" s="219">
        <v>1</v>
      </c>
      <c r="AI66" s="218">
        <v>1</v>
      </c>
      <c r="AJ66" s="219">
        <v>1</v>
      </c>
    </row>
    <row r="67" spans="1:36" x14ac:dyDescent="0.25">
      <c r="A67" s="64">
        <v>1</v>
      </c>
      <c r="B67" s="64">
        <v>1</v>
      </c>
      <c r="C67" s="64">
        <v>3</v>
      </c>
      <c r="D67" s="64">
        <v>1</v>
      </c>
      <c r="E67" s="64">
        <v>2</v>
      </c>
      <c r="F67" s="64">
        <v>0</v>
      </c>
      <c r="G67" s="65" t="s">
        <v>94</v>
      </c>
      <c r="H67" s="75">
        <f>900000*H1</f>
        <v>28800000</v>
      </c>
      <c r="I67" s="74">
        <f>+H67*0.22</f>
        <v>6336000</v>
      </c>
      <c r="J67" s="74">
        <f t="shared" si="40"/>
        <v>900000</v>
      </c>
      <c r="K67" s="74">
        <f t="shared" si="40"/>
        <v>198000</v>
      </c>
      <c r="L67" s="74">
        <f>+J67+K67</f>
        <v>1098000</v>
      </c>
      <c r="M67" s="67">
        <f t="shared" si="3"/>
        <v>0.81967213114754101</v>
      </c>
      <c r="N67" s="67">
        <f t="shared" si="1"/>
        <v>0.18032786885245899</v>
      </c>
      <c r="O67" s="71" t="s">
        <v>54</v>
      </c>
      <c r="P67" s="68">
        <v>42461</v>
      </c>
      <c r="Q67" s="68">
        <v>44166</v>
      </c>
      <c r="R67" s="4" t="s">
        <v>95</v>
      </c>
      <c r="S67" s="69"/>
      <c r="T67" s="70"/>
      <c r="U67" s="66">
        <f>+$J67/57*9</f>
        <v>142105.26315789475</v>
      </c>
      <c r="V67" s="66">
        <f>+$J67/57*12</f>
        <v>189473.68421052632</v>
      </c>
      <c r="W67" s="66">
        <f>+$J67/57*12</f>
        <v>189473.68421052632</v>
      </c>
      <c r="X67" s="66">
        <f>+$J67/57*12</f>
        <v>189473.68421052632</v>
      </c>
      <c r="Y67" s="66">
        <f>+$J67/57*12</f>
        <v>189473.68421052632</v>
      </c>
      <c r="Z67" s="66">
        <f t="shared" si="2"/>
        <v>900000</v>
      </c>
      <c r="AA67" s="218">
        <v>1</v>
      </c>
      <c r="AB67" s="219">
        <v>1</v>
      </c>
      <c r="AC67" s="218">
        <v>1</v>
      </c>
      <c r="AD67" s="219">
        <v>1</v>
      </c>
      <c r="AE67" s="218">
        <v>1</v>
      </c>
      <c r="AF67" s="219">
        <v>1</v>
      </c>
      <c r="AG67" s="218">
        <v>1</v>
      </c>
      <c r="AH67" s="219">
        <v>1</v>
      </c>
      <c r="AI67" s="218">
        <v>1</v>
      </c>
      <c r="AJ67" s="219">
        <v>1</v>
      </c>
    </row>
    <row r="68" spans="1:36" x14ac:dyDescent="0.25">
      <c r="A68" s="46">
        <v>1</v>
      </c>
      <c r="B68" s="46">
        <v>1</v>
      </c>
      <c r="C68" s="46">
        <v>4</v>
      </c>
      <c r="D68" s="46">
        <v>0</v>
      </c>
      <c r="E68" s="46">
        <v>0</v>
      </c>
      <c r="F68" s="46">
        <v>0</v>
      </c>
      <c r="G68" s="92" t="s">
        <v>96</v>
      </c>
      <c r="H68" s="48">
        <f>+H69+H76</f>
        <v>22687000</v>
      </c>
      <c r="I68" s="48">
        <f>+I69+I76</f>
        <v>4991140</v>
      </c>
      <c r="J68" s="48">
        <f>+J69+J76</f>
        <v>708968.75</v>
      </c>
      <c r="K68" s="48">
        <f>+K69+K76</f>
        <v>155973.125</v>
      </c>
      <c r="L68" s="48">
        <f>+L69+L76</f>
        <v>864941.875</v>
      </c>
      <c r="M68" s="49">
        <f t="shared" si="3"/>
        <v>0.81967213114754101</v>
      </c>
      <c r="N68" s="49">
        <f t="shared" si="1"/>
        <v>0.18032786885245899</v>
      </c>
      <c r="O68" s="264" t="s">
        <v>209</v>
      </c>
      <c r="P68" s="88"/>
      <c r="Q68" s="88"/>
      <c r="R68" s="89"/>
      <c r="S68" s="90"/>
      <c r="T68" s="91"/>
      <c r="U68" s="48">
        <f>+U69+U76</f>
        <v>143875</v>
      </c>
      <c r="V68" s="48">
        <f>+V69+V76</f>
        <v>216125</v>
      </c>
      <c r="W68" s="48">
        <f>+W69+W76</f>
        <v>165750</v>
      </c>
      <c r="X68" s="48">
        <f>+X69+X76</f>
        <v>111406.25</v>
      </c>
      <c r="Y68" s="48">
        <f>+Y69+Y76</f>
        <v>71812.841530054648</v>
      </c>
      <c r="Z68" s="48">
        <f t="shared" si="2"/>
        <v>708969.09153005469</v>
      </c>
      <c r="AA68" s="218">
        <v>1</v>
      </c>
      <c r="AB68" s="219">
        <v>1</v>
      </c>
      <c r="AC68" s="218">
        <v>1</v>
      </c>
      <c r="AD68" s="219">
        <v>1</v>
      </c>
      <c r="AE68" s="218">
        <v>1</v>
      </c>
      <c r="AF68" s="219">
        <v>1</v>
      </c>
      <c r="AG68" s="218">
        <v>1</v>
      </c>
      <c r="AH68" s="219">
        <v>1</v>
      </c>
      <c r="AI68" s="218">
        <v>1</v>
      </c>
      <c r="AJ68" s="219">
        <v>1</v>
      </c>
    </row>
    <row r="69" spans="1:36" x14ac:dyDescent="0.25">
      <c r="A69" s="55">
        <v>1</v>
      </c>
      <c r="B69" s="55">
        <v>1</v>
      </c>
      <c r="C69" s="55">
        <v>4</v>
      </c>
      <c r="D69" s="55">
        <v>1</v>
      </c>
      <c r="E69" s="55">
        <v>0</v>
      </c>
      <c r="F69" s="55">
        <v>0</v>
      </c>
      <c r="G69" s="56" t="s">
        <v>97</v>
      </c>
      <c r="H69" s="57">
        <f>+H70+H72+H73</f>
        <v>7396000</v>
      </c>
      <c r="I69" s="57">
        <f t="shared" ref="I69:L69" si="42">+I70+I72+I73</f>
        <v>1627120</v>
      </c>
      <c r="J69" s="57">
        <f t="shared" si="42"/>
        <v>231125</v>
      </c>
      <c r="K69" s="57">
        <f t="shared" si="42"/>
        <v>50847.5</v>
      </c>
      <c r="L69" s="57">
        <f t="shared" si="42"/>
        <v>281972.5</v>
      </c>
      <c r="M69" s="58">
        <f t="shared" si="3"/>
        <v>0.81967213114754101</v>
      </c>
      <c r="N69" s="58">
        <f t="shared" ref="N69:N128" si="43">1-M69</f>
        <v>0.18032786885245899</v>
      </c>
      <c r="O69" s="81" t="s">
        <v>213</v>
      </c>
      <c r="P69" s="59"/>
      <c r="Q69" s="59"/>
      <c r="R69" s="60"/>
      <c r="S69" s="61"/>
      <c r="T69" s="62"/>
      <c r="U69" s="57">
        <f>+U70+U72+U73</f>
        <v>64562.5</v>
      </c>
      <c r="V69" s="57">
        <f t="shared" ref="V69:Z69" si="44">+V70+V72+V73</f>
        <v>93500</v>
      </c>
      <c r="W69" s="57">
        <f t="shared" si="44"/>
        <v>43125</v>
      </c>
      <c r="X69" s="57">
        <f t="shared" si="44"/>
        <v>19437.5</v>
      </c>
      <c r="Y69" s="57">
        <f t="shared" si="44"/>
        <v>10500.341530054644</v>
      </c>
      <c r="Z69" s="57">
        <f t="shared" si="44"/>
        <v>231125.34153005463</v>
      </c>
      <c r="AA69" s="218">
        <v>1</v>
      </c>
      <c r="AB69" s="219">
        <v>1</v>
      </c>
      <c r="AC69" s="218">
        <v>1</v>
      </c>
      <c r="AD69" s="219">
        <v>1</v>
      </c>
      <c r="AE69" s="218">
        <v>1</v>
      </c>
      <c r="AF69" s="219">
        <v>1</v>
      </c>
      <c r="AG69" s="218">
        <v>1</v>
      </c>
      <c r="AH69" s="219">
        <v>1</v>
      </c>
      <c r="AI69" s="218">
        <v>1</v>
      </c>
      <c r="AJ69" s="219">
        <v>1</v>
      </c>
    </row>
    <row r="70" spans="1:36" x14ac:dyDescent="0.25">
      <c r="A70" s="64">
        <v>1</v>
      </c>
      <c r="B70" s="64">
        <v>1</v>
      </c>
      <c r="C70" s="64">
        <v>4</v>
      </c>
      <c r="D70" s="64">
        <v>1</v>
      </c>
      <c r="E70" s="64">
        <v>1</v>
      </c>
      <c r="F70" s="64">
        <v>0</v>
      </c>
      <c r="G70" s="65" t="s">
        <v>183</v>
      </c>
      <c r="H70" s="66">
        <f>+H71</f>
        <v>2520000</v>
      </c>
      <c r="I70" s="66">
        <f t="shared" ref="I70:L70" si="45">+I71</f>
        <v>554400</v>
      </c>
      <c r="J70" s="66">
        <f t="shared" si="45"/>
        <v>78750</v>
      </c>
      <c r="K70" s="66">
        <f t="shared" si="45"/>
        <v>17325</v>
      </c>
      <c r="L70" s="66">
        <f t="shared" si="45"/>
        <v>96075</v>
      </c>
      <c r="M70" s="67">
        <f t="shared" si="3"/>
        <v>0.81967213114754101</v>
      </c>
      <c r="N70" s="67">
        <f t="shared" si="43"/>
        <v>0.18032786885245899</v>
      </c>
      <c r="O70" s="71" t="s">
        <v>59</v>
      </c>
      <c r="P70" s="68">
        <v>42522</v>
      </c>
      <c r="Q70" s="68">
        <v>44167</v>
      </c>
      <c r="R70" s="4" t="s">
        <v>46</v>
      </c>
      <c r="S70" s="69"/>
      <c r="T70" s="70"/>
      <c r="U70" s="66">
        <f>+U71</f>
        <v>10500</v>
      </c>
      <c r="V70" s="66">
        <f>+V71</f>
        <v>21000</v>
      </c>
      <c r="W70" s="66">
        <f>+W71</f>
        <v>21000</v>
      </c>
      <c r="X70" s="66">
        <f>+X71</f>
        <v>15750</v>
      </c>
      <c r="Y70" s="66">
        <f>+Y71</f>
        <v>10500</v>
      </c>
      <c r="Z70" s="66">
        <f t="shared" si="2"/>
        <v>78750</v>
      </c>
      <c r="AA70" s="218">
        <v>1</v>
      </c>
      <c r="AB70" s="219">
        <v>1</v>
      </c>
      <c r="AC70" s="218">
        <v>1</v>
      </c>
      <c r="AD70" s="219">
        <v>1</v>
      </c>
      <c r="AE70" s="218">
        <v>1</v>
      </c>
      <c r="AF70" s="219">
        <v>1</v>
      </c>
      <c r="AG70" s="218">
        <v>1</v>
      </c>
      <c r="AH70" s="219">
        <v>1</v>
      </c>
      <c r="AI70" s="218">
        <v>1</v>
      </c>
      <c r="AJ70" s="219">
        <v>1</v>
      </c>
    </row>
    <row r="71" spans="1:36" hidden="1" x14ac:dyDescent="0.25">
      <c r="A71" s="64">
        <v>1</v>
      </c>
      <c r="B71" s="64">
        <v>1</v>
      </c>
      <c r="C71" s="64">
        <v>4</v>
      </c>
      <c r="D71" s="64">
        <v>1</v>
      </c>
      <c r="E71" s="64">
        <v>1</v>
      </c>
      <c r="F71" s="64">
        <v>1</v>
      </c>
      <c r="G71" s="72" t="s">
        <v>98</v>
      </c>
      <c r="H71" s="73">
        <f>+S71*R71*T71</f>
        <v>2520000</v>
      </c>
      <c r="I71" s="74">
        <f t="shared" ref="I71:I75" si="46">+H71*0.22</f>
        <v>554400</v>
      </c>
      <c r="J71" s="74">
        <f>+H71/$H$1</f>
        <v>78750</v>
      </c>
      <c r="K71" s="74">
        <f>+I71/$H$1</f>
        <v>17325</v>
      </c>
      <c r="L71" s="74">
        <f t="shared" ref="L71:L75" si="47">+J71+K71</f>
        <v>96075</v>
      </c>
      <c r="M71" s="67">
        <f t="shared" ref="M71:M129" si="48">+J71/(J71+K71)</f>
        <v>0.81967213114754101</v>
      </c>
      <c r="N71" s="67">
        <f t="shared" si="43"/>
        <v>0.18032786885245899</v>
      </c>
      <c r="O71" s="71" t="s">
        <v>42</v>
      </c>
      <c r="P71" s="68"/>
      <c r="Q71" s="68"/>
      <c r="R71" s="69">
        <f>30+12*0.75+12*0.5</f>
        <v>45</v>
      </c>
      <c r="S71" s="69">
        <v>1</v>
      </c>
      <c r="T71" s="70">
        <v>56000</v>
      </c>
      <c r="U71" s="73">
        <f>+$T71*$S71*12/$H$1*0.5</f>
        <v>10500</v>
      </c>
      <c r="V71" s="73">
        <f>+$T71*$S71*12/$H$1</f>
        <v>21000</v>
      </c>
      <c r="W71" s="73">
        <f>+$T71*$S71*12/$H$1</f>
        <v>21000</v>
      </c>
      <c r="X71" s="73">
        <f>+$T71*$S71*12/$H$1*0.75</f>
        <v>15750</v>
      </c>
      <c r="Y71" s="73">
        <f>+$T71*$S71*12/$H$1*0.5</f>
        <v>10500</v>
      </c>
      <c r="Z71" s="73">
        <f t="shared" ref="Z71:Z129" si="49">SUM(U71:Y71)</f>
        <v>78750</v>
      </c>
      <c r="AA71" s="218"/>
      <c r="AB71" s="219">
        <v>1</v>
      </c>
      <c r="AC71" s="218">
        <v>1</v>
      </c>
      <c r="AD71" s="219">
        <v>1</v>
      </c>
      <c r="AE71" s="218">
        <v>1</v>
      </c>
      <c r="AF71" s="219">
        <v>1</v>
      </c>
      <c r="AG71" s="218">
        <v>1</v>
      </c>
      <c r="AH71" s="219">
        <v>1</v>
      </c>
      <c r="AI71" s="218">
        <v>1</v>
      </c>
      <c r="AJ71" s="219">
        <v>1</v>
      </c>
    </row>
    <row r="72" spans="1:36" ht="24" x14ac:dyDescent="0.25">
      <c r="A72" s="64">
        <v>1</v>
      </c>
      <c r="B72" s="64">
        <v>1</v>
      </c>
      <c r="C72" s="64">
        <v>4</v>
      </c>
      <c r="D72" s="64">
        <v>1</v>
      </c>
      <c r="E72" s="64">
        <v>2</v>
      </c>
      <c r="F72" s="64">
        <v>0</v>
      </c>
      <c r="G72" s="65" t="s">
        <v>226</v>
      </c>
      <c r="H72" s="75">
        <f>80000*H1</f>
        <v>2560000</v>
      </c>
      <c r="I72" s="74">
        <f t="shared" si="46"/>
        <v>563200</v>
      </c>
      <c r="J72" s="74">
        <f>+H72/$H$1</f>
        <v>80000</v>
      </c>
      <c r="K72" s="74">
        <f>+I72/$H$1</f>
        <v>17600</v>
      </c>
      <c r="L72" s="74">
        <f t="shared" si="47"/>
        <v>97600</v>
      </c>
      <c r="M72" s="67">
        <f t="shared" si="48"/>
        <v>0.81967213114754101</v>
      </c>
      <c r="N72" s="67">
        <f t="shared" si="43"/>
        <v>0.18032786885245899</v>
      </c>
      <c r="O72" s="93" t="s">
        <v>191</v>
      </c>
      <c r="P72" s="68">
        <v>42522</v>
      </c>
      <c r="Q72" s="68">
        <v>42856</v>
      </c>
      <c r="R72" s="4" t="s">
        <v>49</v>
      </c>
      <c r="S72" s="69"/>
      <c r="T72" s="70"/>
      <c r="U72" s="66">
        <f>+$J72/2</f>
        <v>40000</v>
      </c>
      <c r="V72" s="66">
        <f>+$J72/2</f>
        <v>40000</v>
      </c>
      <c r="W72" s="66">
        <f>80000*W1</f>
        <v>0</v>
      </c>
      <c r="X72" s="66">
        <f>80000*X1</f>
        <v>0</v>
      </c>
      <c r="Y72" s="66">
        <f>80000*Y1</f>
        <v>0</v>
      </c>
      <c r="Z72" s="66">
        <f t="shared" si="49"/>
        <v>80000</v>
      </c>
      <c r="AA72" s="218"/>
      <c r="AB72" s="219">
        <v>1</v>
      </c>
      <c r="AC72" s="218">
        <v>1</v>
      </c>
      <c r="AD72" s="219"/>
      <c r="AE72" s="218"/>
      <c r="AF72" s="219"/>
      <c r="AG72" s="218"/>
      <c r="AH72" s="219"/>
      <c r="AI72" s="218"/>
      <c r="AJ72" s="219"/>
    </row>
    <row r="73" spans="1:36" ht="24" x14ac:dyDescent="0.25">
      <c r="A73" s="64">
        <v>1</v>
      </c>
      <c r="B73" s="64">
        <v>1</v>
      </c>
      <c r="C73" s="64">
        <v>4</v>
      </c>
      <c r="D73" s="64">
        <v>1</v>
      </c>
      <c r="E73" s="64">
        <v>3</v>
      </c>
      <c r="F73" s="64">
        <v>0</v>
      </c>
      <c r="G73" s="65" t="s">
        <v>184</v>
      </c>
      <c r="H73" s="66">
        <f>+H74+H75</f>
        <v>2316000</v>
      </c>
      <c r="I73" s="66">
        <f t="shared" ref="I73:L73" si="50">+I74+I75</f>
        <v>509520</v>
      </c>
      <c r="J73" s="66">
        <f t="shared" si="50"/>
        <v>72375</v>
      </c>
      <c r="K73" s="66">
        <f t="shared" si="50"/>
        <v>15922.5</v>
      </c>
      <c r="L73" s="66">
        <f t="shared" si="50"/>
        <v>88297.5</v>
      </c>
      <c r="M73" s="67">
        <f t="shared" si="48"/>
        <v>0.81967213114754101</v>
      </c>
      <c r="N73" s="67">
        <f t="shared" si="43"/>
        <v>0.18032786885245899</v>
      </c>
      <c r="O73" s="71" t="s">
        <v>59</v>
      </c>
      <c r="P73" s="68">
        <v>42522</v>
      </c>
      <c r="Q73" s="68">
        <v>42448</v>
      </c>
      <c r="R73" s="4" t="s">
        <v>100</v>
      </c>
      <c r="S73" s="69"/>
      <c r="T73" s="70"/>
      <c r="U73" s="66">
        <f t="shared" ref="U73:Z73" si="51">+U74+U75</f>
        <v>14062.5</v>
      </c>
      <c r="V73" s="66">
        <f t="shared" si="51"/>
        <v>32500</v>
      </c>
      <c r="W73" s="66">
        <f t="shared" si="51"/>
        <v>22125</v>
      </c>
      <c r="X73" s="66">
        <f t="shared" si="51"/>
        <v>3687.5</v>
      </c>
      <c r="Y73" s="66">
        <f t="shared" si="51"/>
        <v>0.34153005464480879</v>
      </c>
      <c r="Z73" s="66">
        <f t="shared" si="51"/>
        <v>72375.341530054648</v>
      </c>
      <c r="AA73" s="218"/>
      <c r="AB73" s="219">
        <v>1</v>
      </c>
      <c r="AC73" s="218">
        <v>1</v>
      </c>
      <c r="AD73" s="219"/>
      <c r="AE73" s="218"/>
      <c r="AF73" s="219"/>
      <c r="AG73" s="218"/>
      <c r="AH73" s="219"/>
      <c r="AI73" s="218"/>
      <c r="AJ73" s="219"/>
    </row>
    <row r="74" spans="1:36" ht="24" hidden="1" x14ac:dyDescent="0.25">
      <c r="A74" s="64">
        <v>1</v>
      </c>
      <c r="B74" s="64">
        <v>1</v>
      </c>
      <c r="C74" s="64">
        <v>4</v>
      </c>
      <c r="D74" s="64">
        <v>1</v>
      </c>
      <c r="E74" s="64">
        <v>3</v>
      </c>
      <c r="F74" s="64">
        <v>1</v>
      </c>
      <c r="G74" s="72" t="s">
        <v>99</v>
      </c>
      <c r="H74" s="73">
        <f>+S74*R74*T74</f>
        <v>900000</v>
      </c>
      <c r="I74" s="74">
        <f t="shared" si="46"/>
        <v>198000</v>
      </c>
      <c r="J74" s="74">
        <f>+H74/$H$1</f>
        <v>28125</v>
      </c>
      <c r="K74" s="74">
        <f>+I74/$H$1</f>
        <v>6187.5</v>
      </c>
      <c r="L74" s="74">
        <f t="shared" si="47"/>
        <v>34312.5</v>
      </c>
      <c r="M74" s="67">
        <f t="shared" si="48"/>
        <v>0.81967213114754101</v>
      </c>
      <c r="N74" s="67">
        <f t="shared" si="43"/>
        <v>0.18032786885245899</v>
      </c>
      <c r="O74" s="71" t="s">
        <v>59</v>
      </c>
      <c r="P74" s="68"/>
      <c r="Q74" s="68"/>
      <c r="R74" s="4">
        <v>12</v>
      </c>
      <c r="S74" s="69">
        <v>1</v>
      </c>
      <c r="T74" s="70">
        <v>75000</v>
      </c>
      <c r="U74" s="73">
        <f>+$J74/2</f>
        <v>14062.5</v>
      </c>
      <c r="V74" s="73">
        <f>+$J74/2</f>
        <v>14062.5</v>
      </c>
      <c r="W74" s="73">
        <f>+AG74*AF74*AH74</f>
        <v>0</v>
      </c>
      <c r="X74" s="73">
        <f>+AH74*AG74*AI74</f>
        <v>0</v>
      </c>
      <c r="Y74" s="73">
        <f>+AI74*AH74*AJ74</f>
        <v>0</v>
      </c>
      <c r="Z74" s="73">
        <f t="shared" si="49"/>
        <v>28125</v>
      </c>
      <c r="AA74" s="218"/>
      <c r="AB74" s="219">
        <v>1</v>
      </c>
      <c r="AC74" s="218">
        <v>1</v>
      </c>
      <c r="AD74" s="219"/>
      <c r="AE74" s="218"/>
      <c r="AF74" s="219"/>
      <c r="AG74" s="218"/>
      <c r="AH74" s="219"/>
      <c r="AI74" s="218"/>
      <c r="AJ74" s="219"/>
    </row>
    <row r="75" spans="1:36" ht="24" hidden="1" x14ac:dyDescent="0.25">
      <c r="A75" s="64">
        <v>1</v>
      </c>
      <c r="B75" s="64">
        <v>1</v>
      </c>
      <c r="C75" s="64">
        <v>4</v>
      </c>
      <c r="D75" s="64">
        <v>1</v>
      </c>
      <c r="E75" s="64">
        <v>4</v>
      </c>
      <c r="F75" s="64">
        <v>1</v>
      </c>
      <c r="G75" s="72" t="s">
        <v>101</v>
      </c>
      <c r="H75" s="73">
        <f>+S75*R75*T75</f>
        <v>1416000</v>
      </c>
      <c r="I75" s="74">
        <f t="shared" si="46"/>
        <v>311520</v>
      </c>
      <c r="J75" s="74">
        <f>+H75/$H$1</f>
        <v>44250</v>
      </c>
      <c r="K75" s="74">
        <f>+I75/$H$1</f>
        <v>9735</v>
      </c>
      <c r="L75" s="74">
        <f t="shared" si="47"/>
        <v>53985</v>
      </c>
      <c r="M75" s="67">
        <f t="shared" si="48"/>
        <v>0.81967213114754101</v>
      </c>
      <c r="N75" s="67">
        <f t="shared" si="43"/>
        <v>0.18032786885245899</v>
      </c>
      <c r="O75" s="71" t="s">
        <v>42</v>
      </c>
      <c r="P75" s="68"/>
      <c r="Q75" s="68"/>
      <c r="R75" s="4">
        <v>24</v>
      </c>
      <c r="S75" s="69">
        <v>1</v>
      </c>
      <c r="T75" s="70">
        <v>59000</v>
      </c>
      <c r="U75" s="73">
        <f>+AE75*AD75*AF75</f>
        <v>0</v>
      </c>
      <c r="V75" s="73">
        <f>+$J75/24*10</f>
        <v>18437.5</v>
      </c>
      <c r="W75" s="73">
        <f>+$J75/24*12</f>
        <v>22125</v>
      </c>
      <c r="X75" s="73">
        <f>+$J75/24*2</f>
        <v>3687.5</v>
      </c>
      <c r="Y75" s="73">
        <f>+M75/24*10</f>
        <v>0.34153005464480879</v>
      </c>
      <c r="Z75" s="73">
        <f t="shared" si="49"/>
        <v>44250.341530054648</v>
      </c>
      <c r="AA75" s="218"/>
      <c r="AB75" s="219">
        <v>1</v>
      </c>
      <c r="AC75" s="218">
        <v>1</v>
      </c>
      <c r="AD75" s="219"/>
      <c r="AE75" s="218"/>
      <c r="AF75" s="219"/>
      <c r="AG75" s="218"/>
      <c r="AH75" s="219"/>
      <c r="AI75" s="218"/>
      <c r="AJ75" s="219"/>
    </row>
    <row r="76" spans="1:36" x14ac:dyDescent="0.25">
      <c r="A76" s="94">
        <v>1</v>
      </c>
      <c r="B76" s="94">
        <v>1</v>
      </c>
      <c r="C76" s="94">
        <v>4</v>
      </c>
      <c r="D76" s="94">
        <v>2</v>
      </c>
      <c r="E76" s="94">
        <v>0</v>
      </c>
      <c r="F76" s="94">
        <v>0</v>
      </c>
      <c r="G76" s="56" t="s">
        <v>102</v>
      </c>
      <c r="H76" s="57">
        <f>+H77+H79</f>
        <v>15291000</v>
      </c>
      <c r="I76" s="57">
        <f t="shared" ref="I76:L76" si="52">+I77+I79</f>
        <v>3364020</v>
      </c>
      <c r="J76" s="57">
        <f t="shared" si="52"/>
        <v>477843.75</v>
      </c>
      <c r="K76" s="57">
        <f t="shared" si="52"/>
        <v>105125.625</v>
      </c>
      <c r="L76" s="57">
        <f t="shared" si="52"/>
        <v>582969.375</v>
      </c>
      <c r="M76" s="58">
        <f t="shared" si="48"/>
        <v>0.81967213114754101</v>
      </c>
      <c r="N76" s="58">
        <f t="shared" si="43"/>
        <v>0.18032786885245899</v>
      </c>
      <c r="O76" s="81" t="s">
        <v>192</v>
      </c>
      <c r="P76" s="59"/>
      <c r="Q76" s="59"/>
      <c r="R76" s="60"/>
      <c r="S76" s="61"/>
      <c r="T76" s="95"/>
      <c r="U76" s="57">
        <f>+U77+U79</f>
        <v>79312.5</v>
      </c>
      <c r="V76" s="57">
        <f>+V77+V79</f>
        <v>122625</v>
      </c>
      <c r="W76" s="57">
        <f>+W77+W79</f>
        <v>122625</v>
      </c>
      <c r="X76" s="57">
        <f>+X77+X79</f>
        <v>91968.75</v>
      </c>
      <c r="Y76" s="57">
        <f>+Y77+Y79</f>
        <v>61312.5</v>
      </c>
      <c r="Z76" s="57">
        <f t="shared" si="49"/>
        <v>477843.75</v>
      </c>
      <c r="AA76" s="218">
        <v>1</v>
      </c>
      <c r="AB76" s="219">
        <v>1</v>
      </c>
      <c r="AC76" s="218">
        <v>1</v>
      </c>
      <c r="AD76" s="219">
        <v>1</v>
      </c>
      <c r="AE76" s="218">
        <v>1</v>
      </c>
      <c r="AF76" s="219">
        <v>1</v>
      </c>
      <c r="AG76" s="218">
        <v>1</v>
      </c>
      <c r="AH76" s="219">
        <v>1</v>
      </c>
      <c r="AI76" s="218">
        <v>1</v>
      </c>
      <c r="AJ76" s="219">
        <v>1</v>
      </c>
    </row>
    <row r="77" spans="1:36" ht="24" x14ac:dyDescent="0.25">
      <c r="A77" s="64">
        <v>1</v>
      </c>
      <c r="B77" s="64">
        <v>1</v>
      </c>
      <c r="C77" s="64">
        <v>4</v>
      </c>
      <c r="D77" s="64">
        <v>2</v>
      </c>
      <c r="E77" s="64">
        <v>1</v>
      </c>
      <c r="F77" s="64">
        <v>0</v>
      </c>
      <c r="G77" s="65" t="s">
        <v>227</v>
      </c>
      <c r="H77" s="66">
        <f>+H78</f>
        <v>5040000</v>
      </c>
      <c r="I77" s="66">
        <f t="shared" ref="I77:L77" si="53">+I78</f>
        <v>1108800</v>
      </c>
      <c r="J77" s="66">
        <f t="shared" si="53"/>
        <v>157500</v>
      </c>
      <c r="K77" s="66">
        <f t="shared" si="53"/>
        <v>34650</v>
      </c>
      <c r="L77" s="66">
        <f t="shared" si="53"/>
        <v>192150</v>
      </c>
      <c r="M77" s="67">
        <f t="shared" si="48"/>
        <v>0.81967213114754101</v>
      </c>
      <c r="N77" s="67">
        <f t="shared" si="43"/>
        <v>0.18032786885245899</v>
      </c>
      <c r="O77" s="71" t="s">
        <v>59</v>
      </c>
      <c r="P77" s="68">
        <v>42522</v>
      </c>
      <c r="Q77" s="68">
        <v>44167</v>
      </c>
      <c r="R77" s="4" t="s">
        <v>46</v>
      </c>
      <c r="S77" s="69"/>
      <c r="T77" s="70"/>
      <c r="U77" s="66">
        <f>+U78</f>
        <v>21000</v>
      </c>
      <c r="V77" s="66">
        <f>+V78</f>
        <v>42000</v>
      </c>
      <c r="W77" s="66">
        <f>+W78</f>
        <v>42000</v>
      </c>
      <c r="X77" s="66">
        <f>+X78</f>
        <v>31500</v>
      </c>
      <c r="Y77" s="66">
        <f>+Y78</f>
        <v>21000</v>
      </c>
      <c r="Z77" s="66">
        <f t="shared" si="49"/>
        <v>157500</v>
      </c>
      <c r="AA77" s="218"/>
      <c r="AB77" s="219">
        <v>1</v>
      </c>
      <c r="AC77" s="218">
        <v>1</v>
      </c>
      <c r="AD77" s="219">
        <v>1</v>
      </c>
      <c r="AE77" s="218">
        <v>1</v>
      </c>
      <c r="AF77" s="219">
        <v>1</v>
      </c>
      <c r="AG77" s="218">
        <v>1</v>
      </c>
      <c r="AH77" s="219">
        <v>1</v>
      </c>
      <c r="AI77" s="218">
        <v>1</v>
      </c>
      <c r="AJ77" s="219">
        <v>1</v>
      </c>
    </row>
    <row r="78" spans="1:36" hidden="1" x14ac:dyDescent="0.25">
      <c r="A78" s="64">
        <v>1</v>
      </c>
      <c r="B78" s="64">
        <v>1</v>
      </c>
      <c r="C78" s="64">
        <v>4</v>
      </c>
      <c r="D78" s="64">
        <v>2</v>
      </c>
      <c r="E78" s="64">
        <v>1</v>
      </c>
      <c r="F78" s="64">
        <v>1</v>
      </c>
      <c r="G78" s="72" t="s">
        <v>103</v>
      </c>
      <c r="H78" s="73">
        <f>+R78*S78*T78</f>
        <v>5040000</v>
      </c>
      <c r="I78" s="74">
        <f>+H78*0.22</f>
        <v>1108800</v>
      </c>
      <c r="J78" s="74">
        <f>+H78/$H$1</f>
        <v>157500</v>
      </c>
      <c r="K78" s="74">
        <f>+I78/$H$1</f>
        <v>34650</v>
      </c>
      <c r="L78" s="74">
        <f>+J78+K78</f>
        <v>192150</v>
      </c>
      <c r="M78" s="67">
        <f t="shared" si="48"/>
        <v>0.81967213114754101</v>
      </c>
      <c r="N78" s="67">
        <f t="shared" si="43"/>
        <v>0.18032786885245899</v>
      </c>
      <c r="O78" s="71" t="s">
        <v>42</v>
      </c>
      <c r="P78" s="68"/>
      <c r="Q78" s="68"/>
      <c r="R78" s="69">
        <f>30+12*0.75+12*0.5</f>
        <v>45</v>
      </c>
      <c r="S78" s="69">
        <v>2</v>
      </c>
      <c r="T78" s="70">
        <v>56000</v>
      </c>
      <c r="U78" s="73">
        <f>+$T78*$S78*12/$H$1*0.5</f>
        <v>21000</v>
      </c>
      <c r="V78" s="73">
        <f>+$T78*$S78*12/$H$1</f>
        <v>42000</v>
      </c>
      <c r="W78" s="73">
        <f>+$T78*$S78*12/$H$1</f>
        <v>42000</v>
      </c>
      <c r="X78" s="73">
        <f>+$T78*$S78*12/$H$1*0.75</f>
        <v>31500</v>
      </c>
      <c r="Y78" s="73">
        <f>+$T78*$S78*12/$H$1*0.5</f>
        <v>21000</v>
      </c>
      <c r="Z78" s="73">
        <f t="shared" si="49"/>
        <v>157500</v>
      </c>
      <c r="AA78" s="218">
        <v>1</v>
      </c>
      <c r="AB78" s="219">
        <v>1</v>
      </c>
      <c r="AC78" s="218">
        <v>1</v>
      </c>
      <c r="AD78" s="219">
        <v>1</v>
      </c>
      <c r="AE78" s="218">
        <v>1</v>
      </c>
      <c r="AF78" s="219">
        <v>1</v>
      </c>
      <c r="AG78" s="218">
        <v>1</v>
      </c>
      <c r="AH78" s="219">
        <v>1</v>
      </c>
      <c r="AI78" s="218">
        <v>1</v>
      </c>
      <c r="AJ78" s="219">
        <v>1</v>
      </c>
    </row>
    <row r="79" spans="1:36" ht="24" x14ac:dyDescent="0.25">
      <c r="A79" s="64">
        <v>1</v>
      </c>
      <c r="B79" s="64">
        <v>1</v>
      </c>
      <c r="C79" s="64">
        <v>4</v>
      </c>
      <c r="D79" s="64">
        <v>2</v>
      </c>
      <c r="E79" s="64">
        <v>2</v>
      </c>
      <c r="F79" s="64">
        <v>0</v>
      </c>
      <c r="G79" s="65" t="s">
        <v>185</v>
      </c>
      <c r="H79" s="66">
        <f>+H80+H81+H82</f>
        <v>10251000</v>
      </c>
      <c r="I79" s="66">
        <f t="shared" ref="I79:L79" si="54">+I80+I81+I82</f>
        <v>2255220</v>
      </c>
      <c r="J79" s="66">
        <f t="shared" si="54"/>
        <v>320343.75</v>
      </c>
      <c r="K79" s="66">
        <f t="shared" si="54"/>
        <v>70475.625</v>
      </c>
      <c r="L79" s="66">
        <f t="shared" si="54"/>
        <v>390819.375</v>
      </c>
      <c r="M79" s="67">
        <f t="shared" si="48"/>
        <v>0.81967213114754101</v>
      </c>
      <c r="N79" s="67">
        <f t="shared" si="43"/>
        <v>0.18032786885245899</v>
      </c>
      <c r="O79" s="71" t="s">
        <v>59</v>
      </c>
      <c r="P79" s="68">
        <v>42370</v>
      </c>
      <c r="Q79" s="68">
        <v>44167</v>
      </c>
      <c r="R79" s="4" t="s">
        <v>41</v>
      </c>
      <c r="S79" s="69"/>
      <c r="T79" s="70"/>
      <c r="U79" s="66">
        <f>+U80+U81+U82</f>
        <v>58312.5</v>
      </c>
      <c r="V79" s="66">
        <f>+V80+V81+V82</f>
        <v>80625</v>
      </c>
      <c r="W79" s="66">
        <f>+W80+W81+W82</f>
        <v>80625</v>
      </c>
      <c r="X79" s="66">
        <f>+X80+X81+X82</f>
        <v>60468.75</v>
      </c>
      <c r="Y79" s="66">
        <f>+Y80+Y81+Y82</f>
        <v>40312.5</v>
      </c>
      <c r="Z79" s="66">
        <f t="shared" si="49"/>
        <v>320343.75</v>
      </c>
      <c r="AA79" s="218">
        <v>1</v>
      </c>
      <c r="AB79" s="219">
        <v>1</v>
      </c>
      <c r="AC79" s="218">
        <v>1</v>
      </c>
      <c r="AD79" s="219">
        <v>1</v>
      </c>
      <c r="AE79" s="218">
        <v>1</v>
      </c>
      <c r="AF79" s="219">
        <v>1</v>
      </c>
      <c r="AG79" s="218">
        <v>1</v>
      </c>
      <c r="AH79" s="219">
        <v>1</v>
      </c>
      <c r="AI79" s="218">
        <v>1</v>
      </c>
      <c r="AJ79" s="219">
        <v>1</v>
      </c>
    </row>
    <row r="80" spans="1:36" hidden="1" x14ac:dyDescent="0.25">
      <c r="A80" s="64">
        <v>1</v>
      </c>
      <c r="B80" s="64">
        <v>1</v>
      </c>
      <c r="C80" s="64">
        <v>4</v>
      </c>
      <c r="D80" s="64">
        <v>2</v>
      </c>
      <c r="E80" s="64">
        <v>1</v>
      </c>
      <c r="F80" s="64">
        <v>1</v>
      </c>
      <c r="G80" s="72" t="s">
        <v>104</v>
      </c>
      <c r="H80" s="73">
        <f>+R80*S80*T80</f>
        <v>4896000</v>
      </c>
      <c r="I80" s="74">
        <f>+H80*0.22</f>
        <v>1077120</v>
      </c>
      <c r="J80" s="74">
        <f t="shared" ref="J80:K82" si="55">+H80/$H$1</f>
        <v>153000</v>
      </c>
      <c r="K80" s="74">
        <f t="shared" si="55"/>
        <v>33660</v>
      </c>
      <c r="L80" s="74">
        <f>+J80+K80</f>
        <v>186660</v>
      </c>
      <c r="M80" s="67">
        <f t="shared" si="48"/>
        <v>0.81967213114754101</v>
      </c>
      <c r="N80" s="67">
        <f t="shared" si="43"/>
        <v>0.18032786885245899</v>
      </c>
      <c r="O80" s="71" t="s">
        <v>42</v>
      </c>
      <c r="P80" s="68"/>
      <c r="Q80" s="68"/>
      <c r="R80" s="69">
        <f>36+12*0.75+12*0.5</f>
        <v>51</v>
      </c>
      <c r="S80" s="69">
        <v>1</v>
      </c>
      <c r="T80" s="70">
        <v>96000</v>
      </c>
      <c r="U80" s="73">
        <f>+$T80*$S80*12/$H$1</f>
        <v>36000</v>
      </c>
      <c r="V80" s="73">
        <f>+$T80*$S80*12/$H$1</f>
        <v>36000</v>
      </c>
      <c r="W80" s="73">
        <f>+$T80*$S80*12/$H$1</f>
        <v>36000</v>
      </c>
      <c r="X80" s="73">
        <f>+$T80*$S80*12/$H$1*0.75</f>
        <v>27000</v>
      </c>
      <c r="Y80" s="73">
        <f>+$T80*$S80*12/$H$1*0.5</f>
        <v>18000</v>
      </c>
      <c r="Z80" s="73">
        <f t="shared" si="49"/>
        <v>153000</v>
      </c>
      <c r="AA80" s="218">
        <v>1</v>
      </c>
      <c r="AB80" s="219">
        <v>1</v>
      </c>
      <c r="AC80" s="218">
        <v>1</v>
      </c>
      <c r="AD80" s="219">
        <v>1</v>
      </c>
      <c r="AE80" s="218">
        <v>1</v>
      </c>
      <c r="AF80" s="219">
        <v>1</v>
      </c>
      <c r="AG80" s="218">
        <v>1</v>
      </c>
      <c r="AH80" s="219">
        <v>1</v>
      </c>
      <c r="AI80" s="218">
        <v>1</v>
      </c>
      <c r="AJ80" s="219">
        <v>1</v>
      </c>
    </row>
    <row r="81" spans="1:36" hidden="1" x14ac:dyDescent="0.25">
      <c r="A81" s="64">
        <v>1</v>
      </c>
      <c r="B81" s="64">
        <v>1</v>
      </c>
      <c r="C81" s="64">
        <v>4</v>
      </c>
      <c r="D81" s="64">
        <v>2</v>
      </c>
      <c r="E81" s="64">
        <v>1</v>
      </c>
      <c r="F81" s="64">
        <v>2</v>
      </c>
      <c r="G81" s="72" t="s">
        <v>105</v>
      </c>
      <c r="H81" s="73">
        <f>+R81*S81*T81</f>
        <v>3060000</v>
      </c>
      <c r="I81" s="74">
        <f>+H81*0.22</f>
        <v>673200</v>
      </c>
      <c r="J81" s="74">
        <f t="shared" si="55"/>
        <v>95625</v>
      </c>
      <c r="K81" s="74">
        <f t="shared" si="55"/>
        <v>21037.5</v>
      </c>
      <c r="L81" s="74">
        <f>+J81+K81</f>
        <v>116662.5</v>
      </c>
      <c r="M81" s="67">
        <f t="shared" si="48"/>
        <v>0.81967213114754101</v>
      </c>
      <c r="N81" s="67">
        <f t="shared" si="43"/>
        <v>0.18032786885245899</v>
      </c>
      <c r="O81" s="71" t="s">
        <v>42</v>
      </c>
      <c r="P81" s="68"/>
      <c r="Q81" s="68"/>
      <c r="R81" s="69">
        <f>30+12*0.75+12*0.5</f>
        <v>45</v>
      </c>
      <c r="S81" s="69">
        <v>1</v>
      </c>
      <c r="T81" s="70">
        <v>68000</v>
      </c>
      <c r="U81" s="73">
        <f>+$T81*$S81*12/$H$1*0.5</f>
        <v>12750</v>
      </c>
      <c r="V81" s="73">
        <f>+$T81*$S81*12/$H$1</f>
        <v>25500</v>
      </c>
      <c r="W81" s="73">
        <f>+$T81*$S81*12/$H$1</f>
        <v>25500</v>
      </c>
      <c r="X81" s="73">
        <f>+$T81*$S81*12/$H$1*0.75</f>
        <v>19125</v>
      </c>
      <c r="Y81" s="73">
        <f>+$T81*$S81*12/$H$1*0.5</f>
        <v>12750</v>
      </c>
      <c r="Z81" s="73">
        <f t="shared" si="49"/>
        <v>95625</v>
      </c>
      <c r="AA81" s="218"/>
      <c r="AB81" s="219">
        <v>1</v>
      </c>
      <c r="AC81" s="218">
        <v>1</v>
      </c>
      <c r="AD81" s="219">
        <v>1</v>
      </c>
      <c r="AE81" s="218">
        <v>1</v>
      </c>
      <c r="AF81" s="219">
        <v>1</v>
      </c>
      <c r="AG81" s="218">
        <v>1</v>
      </c>
      <c r="AH81" s="219">
        <v>1</v>
      </c>
      <c r="AI81" s="218">
        <v>1</v>
      </c>
      <c r="AJ81" s="219">
        <v>1</v>
      </c>
    </row>
    <row r="82" spans="1:36" hidden="1" x14ac:dyDescent="0.25">
      <c r="A82" s="64">
        <v>1</v>
      </c>
      <c r="B82" s="64">
        <v>1</v>
      </c>
      <c r="C82" s="64">
        <v>4</v>
      </c>
      <c r="D82" s="64">
        <v>2</v>
      </c>
      <c r="E82" s="64">
        <v>1</v>
      </c>
      <c r="F82" s="64">
        <v>3</v>
      </c>
      <c r="G82" s="72" t="s">
        <v>105</v>
      </c>
      <c r="H82" s="73">
        <f>+R82*S82*T82</f>
        <v>2295000</v>
      </c>
      <c r="I82" s="74">
        <f>+H82*0.22</f>
        <v>504900</v>
      </c>
      <c r="J82" s="74">
        <f t="shared" si="55"/>
        <v>71718.75</v>
      </c>
      <c r="K82" s="74">
        <f t="shared" si="55"/>
        <v>15778.125</v>
      </c>
      <c r="L82" s="74">
        <f>+J82+K82</f>
        <v>87496.875</v>
      </c>
      <c r="M82" s="67">
        <f t="shared" si="48"/>
        <v>0.81967213114754101</v>
      </c>
      <c r="N82" s="67">
        <f t="shared" si="43"/>
        <v>0.18032786885245899</v>
      </c>
      <c r="O82" s="71" t="s">
        <v>42</v>
      </c>
      <c r="P82" s="68"/>
      <c r="Q82" s="68"/>
      <c r="R82" s="69">
        <f>30+12*0.75+12*0.5</f>
        <v>45</v>
      </c>
      <c r="S82" s="69">
        <v>1</v>
      </c>
      <c r="T82" s="70">
        <v>51000</v>
      </c>
      <c r="U82" s="73">
        <f>+$T82*$S82*12/$H$1*0.5</f>
        <v>9562.5</v>
      </c>
      <c r="V82" s="73">
        <f>+$T82*$S82*12/$H$1</f>
        <v>19125</v>
      </c>
      <c r="W82" s="73">
        <f>+$T82*$S82*12/$H$1</f>
        <v>19125</v>
      </c>
      <c r="X82" s="73">
        <f>+$T82*$S82*12/$H$1*0.75</f>
        <v>14343.75</v>
      </c>
      <c r="Y82" s="73">
        <f>+$T82*$S82*12/$H$1*0.5</f>
        <v>9562.5</v>
      </c>
      <c r="Z82" s="73">
        <f t="shared" si="49"/>
        <v>71718.75</v>
      </c>
      <c r="AA82" s="218"/>
      <c r="AB82" s="219">
        <v>1</v>
      </c>
      <c r="AC82" s="218">
        <v>1</v>
      </c>
      <c r="AD82" s="219">
        <v>1</v>
      </c>
      <c r="AE82" s="218">
        <v>1</v>
      </c>
      <c r="AF82" s="219">
        <v>1</v>
      </c>
      <c r="AG82" s="218">
        <v>1</v>
      </c>
      <c r="AH82" s="219">
        <v>1</v>
      </c>
      <c r="AI82" s="218">
        <v>1</v>
      </c>
      <c r="AJ82" s="219">
        <v>1</v>
      </c>
    </row>
    <row r="83" spans="1:36" x14ac:dyDescent="0.25">
      <c r="A83" s="37">
        <v>1</v>
      </c>
      <c r="B83" s="37">
        <v>2</v>
      </c>
      <c r="C83" s="37">
        <v>0</v>
      </c>
      <c r="D83" s="37">
        <v>0</v>
      </c>
      <c r="E83" s="37">
        <v>0</v>
      </c>
      <c r="F83" s="37">
        <v>0</v>
      </c>
      <c r="G83" s="96" t="s">
        <v>106</v>
      </c>
      <c r="H83" s="39">
        <f>+H84+H119</f>
        <v>77346000</v>
      </c>
      <c r="I83" s="39">
        <f>+I84+I119</f>
        <v>17016120</v>
      </c>
      <c r="J83" s="39">
        <f>+J84+J119</f>
        <v>2417062.5</v>
      </c>
      <c r="K83" s="39">
        <f>+K84+K119</f>
        <v>531753.75</v>
      </c>
      <c r="L83" s="39">
        <f>+L84+L119</f>
        <v>2948816.25</v>
      </c>
      <c r="M83" s="97">
        <f t="shared" si="48"/>
        <v>0.81967213114754101</v>
      </c>
      <c r="N83" s="97">
        <f t="shared" si="43"/>
        <v>0.18032786885245899</v>
      </c>
      <c r="O83" s="265" t="s">
        <v>213</v>
      </c>
      <c r="P83" s="41"/>
      <c r="Q83" s="41"/>
      <c r="R83" s="42"/>
      <c r="S83" s="43"/>
      <c r="T83" s="44"/>
      <c r="U83" s="39">
        <f>+U84+U119</f>
        <v>320750</v>
      </c>
      <c r="V83" s="39">
        <f>+V84+V119</f>
        <v>744812.5</v>
      </c>
      <c r="W83" s="39">
        <f>+W84+W119</f>
        <v>646750</v>
      </c>
      <c r="X83" s="39">
        <f>+X84+X119</f>
        <v>451750</v>
      </c>
      <c r="Y83" s="39">
        <f>+Y84+Y119</f>
        <v>253000</v>
      </c>
      <c r="Z83" s="39">
        <f t="shared" si="49"/>
        <v>2417062.5</v>
      </c>
      <c r="AA83" s="218">
        <v>1</v>
      </c>
      <c r="AB83" s="219">
        <v>1</v>
      </c>
      <c r="AC83" s="218">
        <v>1</v>
      </c>
      <c r="AD83" s="219">
        <v>1</v>
      </c>
      <c r="AE83" s="218">
        <v>1</v>
      </c>
      <c r="AF83" s="219">
        <v>1</v>
      </c>
      <c r="AG83" s="218">
        <v>1</v>
      </c>
      <c r="AH83" s="219">
        <v>1</v>
      </c>
      <c r="AI83" s="218">
        <v>1</v>
      </c>
      <c r="AJ83" s="219">
        <v>1</v>
      </c>
    </row>
    <row r="84" spans="1:36" x14ac:dyDescent="0.25">
      <c r="A84" s="46">
        <v>1</v>
      </c>
      <c r="B84" s="46">
        <v>2</v>
      </c>
      <c r="C84" s="46">
        <v>1</v>
      </c>
      <c r="D84" s="46">
        <v>0</v>
      </c>
      <c r="E84" s="46">
        <v>0</v>
      </c>
      <c r="F84" s="46">
        <v>0</v>
      </c>
      <c r="G84" s="92" t="s">
        <v>107</v>
      </c>
      <c r="H84" s="98">
        <f>+H85+H95+H104+H114</f>
        <v>52822000</v>
      </c>
      <c r="I84" s="98">
        <f>+I85+I95+I104+I114</f>
        <v>11620840</v>
      </c>
      <c r="J84" s="98">
        <f>+J85+J95+J104+J114</f>
        <v>1650687.5</v>
      </c>
      <c r="K84" s="98">
        <f>+K85+K95+K104+K114</f>
        <v>363151.25</v>
      </c>
      <c r="L84" s="98">
        <f>+L85+L95+L104+L114</f>
        <v>2013838.75</v>
      </c>
      <c r="M84" s="99">
        <f t="shared" si="48"/>
        <v>0.81967213114754101</v>
      </c>
      <c r="N84" s="99">
        <f t="shared" si="43"/>
        <v>0.18032786885245899</v>
      </c>
      <c r="O84" s="264" t="s">
        <v>209</v>
      </c>
      <c r="P84" s="50"/>
      <c r="Q84" s="50"/>
      <c r="R84" s="51"/>
      <c r="S84" s="52"/>
      <c r="T84" s="53"/>
      <c r="U84" s="98">
        <f>+U85+U95+U104+U114</f>
        <v>227875</v>
      </c>
      <c r="V84" s="98">
        <f>+V85+V95+V104+V114</f>
        <v>576250</v>
      </c>
      <c r="W84" s="98">
        <f>+W85+W95+W104+W114</f>
        <v>433000</v>
      </c>
      <c r="X84" s="98">
        <f>+X85+X95+X104+X114</f>
        <v>282437.5</v>
      </c>
      <c r="Y84" s="98">
        <f>+Y85+Y95+Y104+Y114</f>
        <v>131125</v>
      </c>
      <c r="Z84" s="98">
        <f t="shared" si="49"/>
        <v>1650687.5</v>
      </c>
      <c r="AA84" s="218">
        <v>1</v>
      </c>
      <c r="AB84" s="219">
        <v>1</v>
      </c>
      <c r="AC84" s="218">
        <v>1</v>
      </c>
      <c r="AD84" s="219">
        <v>1</v>
      </c>
      <c r="AE84" s="218">
        <v>1</v>
      </c>
      <c r="AF84" s="219">
        <v>1</v>
      </c>
      <c r="AG84" s="218">
        <v>1</v>
      </c>
      <c r="AH84" s="219">
        <v>1</v>
      </c>
      <c r="AI84" s="218">
        <v>1</v>
      </c>
      <c r="AJ84" s="219">
        <v>1</v>
      </c>
    </row>
    <row r="85" spans="1:36" ht="24" x14ac:dyDescent="0.25">
      <c r="A85" s="94">
        <v>1</v>
      </c>
      <c r="B85" s="94">
        <v>2</v>
      </c>
      <c r="C85" s="94">
        <v>1</v>
      </c>
      <c r="D85" s="94">
        <v>1</v>
      </c>
      <c r="E85" s="94">
        <v>0</v>
      </c>
      <c r="F85" s="94">
        <v>0</v>
      </c>
      <c r="G85" s="100" t="s">
        <v>108</v>
      </c>
      <c r="H85" s="57">
        <f>+H86+H87+H90+H91+H93</f>
        <v>8740000</v>
      </c>
      <c r="I85" s="57">
        <f t="shared" ref="I85:L85" si="56">+I86+I87+I90+I91+I93</f>
        <v>1922800</v>
      </c>
      <c r="J85" s="57">
        <f t="shared" si="56"/>
        <v>273125</v>
      </c>
      <c r="K85" s="57">
        <f t="shared" si="56"/>
        <v>60087.5</v>
      </c>
      <c r="L85" s="57">
        <f t="shared" si="56"/>
        <v>333212.5</v>
      </c>
      <c r="M85" s="101">
        <f t="shared" si="48"/>
        <v>0.81967213114754101</v>
      </c>
      <c r="N85" s="101">
        <f t="shared" si="43"/>
        <v>0.18032786885245899</v>
      </c>
      <c r="O85" s="81" t="s">
        <v>192</v>
      </c>
      <c r="P85" s="102"/>
      <c r="Q85" s="102"/>
      <c r="R85" s="60"/>
      <c r="S85" s="61"/>
      <c r="T85" s="62"/>
      <c r="U85" s="57">
        <f>+U86+U87+U90+U91+U93</f>
        <v>64625</v>
      </c>
      <c r="V85" s="57">
        <f t="shared" ref="V85:Y85" si="57">+V86+V87+V90+V91+V93</f>
        <v>153500</v>
      </c>
      <c r="W85" s="57">
        <f t="shared" si="57"/>
        <v>35000</v>
      </c>
      <c r="X85" s="57">
        <f t="shared" si="57"/>
        <v>10000</v>
      </c>
      <c r="Y85" s="57">
        <f t="shared" si="57"/>
        <v>10000</v>
      </c>
      <c r="Z85" s="57">
        <f t="shared" si="49"/>
        <v>273125</v>
      </c>
      <c r="AA85" s="218">
        <v>1</v>
      </c>
      <c r="AB85" s="219">
        <v>1</v>
      </c>
      <c r="AC85" s="218">
        <v>1</v>
      </c>
      <c r="AD85" s="219">
        <v>1</v>
      </c>
      <c r="AE85" s="218">
        <v>1</v>
      </c>
      <c r="AF85" s="219">
        <v>1</v>
      </c>
      <c r="AG85" s="218">
        <v>1</v>
      </c>
      <c r="AH85" s="219">
        <v>1</v>
      </c>
      <c r="AI85" s="218">
        <v>1</v>
      </c>
      <c r="AJ85" s="219">
        <v>1</v>
      </c>
    </row>
    <row r="86" spans="1:36" x14ac:dyDescent="0.25">
      <c r="A86" s="64">
        <v>1</v>
      </c>
      <c r="B86" s="64">
        <v>2</v>
      </c>
      <c r="C86" s="64">
        <v>1</v>
      </c>
      <c r="D86" s="64">
        <v>1</v>
      </c>
      <c r="E86" s="64">
        <v>1</v>
      </c>
      <c r="F86" s="64">
        <v>0</v>
      </c>
      <c r="G86" s="103" t="s">
        <v>228</v>
      </c>
      <c r="H86" s="75">
        <f>10000*32*3</f>
        <v>960000</v>
      </c>
      <c r="I86" s="74">
        <f>+H86*0.22</f>
        <v>211200</v>
      </c>
      <c r="J86" s="74">
        <f>+H86/$H$1</f>
        <v>30000</v>
      </c>
      <c r="K86" s="74">
        <f>+I86/$H$1</f>
        <v>6600</v>
      </c>
      <c r="L86" s="74">
        <f>+J86+K86</f>
        <v>36600</v>
      </c>
      <c r="M86" s="104">
        <f t="shared" si="48"/>
        <v>0.81967213114754101</v>
      </c>
      <c r="N86" s="104">
        <f t="shared" si="43"/>
        <v>0.18032786885245899</v>
      </c>
      <c r="O86" s="105" t="s">
        <v>54</v>
      </c>
      <c r="P86" s="68">
        <v>42522</v>
      </c>
      <c r="Q86" s="68">
        <v>42614</v>
      </c>
      <c r="R86" s="68" t="s">
        <v>109</v>
      </c>
      <c r="S86" s="69"/>
      <c r="T86" s="70"/>
      <c r="U86" s="66">
        <f>+J86</f>
        <v>30000</v>
      </c>
      <c r="V86" s="66">
        <v>0</v>
      </c>
      <c r="W86" s="66">
        <v>0</v>
      </c>
      <c r="X86" s="66">
        <v>0</v>
      </c>
      <c r="Y86" s="66">
        <v>0</v>
      </c>
      <c r="Z86" s="66">
        <f t="shared" si="49"/>
        <v>30000</v>
      </c>
      <c r="AA86" s="218">
        <v>1</v>
      </c>
      <c r="AB86" s="219">
        <v>1</v>
      </c>
      <c r="AC86" s="218"/>
      <c r="AD86" s="219"/>
      <c r="AE86" s="218"/>
      <c r="AF86" s="219"/>
      <c r="AG86" s="218"/>
      <c r="AH86" s="219"/>
      <c r="AI86" s="218"/>
      <c r="AJ86" s="219"/>
    </row>
    <row r="87" spans="1:36" ht="36" x14ac:dyDescent="0.25">
      <c r="A87" s="64">
        <v>1</v>
      </c>
      <c r="B87" s="64">
        <v>2</v>
      </c>
      <c r="C87" s="64">
        <v>1</v>
      </c>
      <c r="D87" s="64">
        <v>1</v>
      </c>
      <c r="E87" s="64">
        <v>2</v>
      </c>
      <c r="F87" s="64">
        <v>0</v>
      </c>
      <c r="G87" s="65" t="s">
        <v>229</v>
      </c>
      <c r="H87" s="66">
        <f>+H88+H89</f>
        <v>3408000</v>
      </c>
      <c r="I87" s="66">
        <f t="shared" ref="I87:L87" si="58">+I88+I89</f>
        <v>749760</v>
      </c>
      <c r="J87" s="66">
        <f t="shared" si="58"/>
        <v>106500</v>
      </c>
      <c r="K87" s="66">
        <f t="shared" si="58"/>
        <v>23430</v>
      </c>
      <c r="L87" s="66">
        <f t="shared" si="58"/>
        <v>129930</v>
      </c>
      <c r="M87" s="104">
        <f t="shared" si="48"/>
        <v>0.81967213114754101</v>
      </c>
      <c r="N87" s="104">
        <f t="shared" si="43"/>
        <v>0.18032786885245899</v>
      </c>
      <c r="O87" s="105" t="s">
        <v>59</v>
      </c>
      <c r="P87" s="68">
        <v>42614</v>
      </c>
      <c r="Q87" s="68">
        <v>43070</v>
      </c>
      <c r="R87" s="68" t="s">
        <v>110</v>
      </c>
      <c r="S87" s="69"/>
      <c r="T87" s="70"/>
      <c r="U87" s="66">
        <f>+U88+U89</f>
        <v>15750</v>
      </c>
      <c r="V87" s="66">
        <f t="shared" ref="V87:Y87" si="59">+V88+V89</f>
        <v>90750</v>
      </c>
      <c r="W87" s="66">
        <f t="shared" si="59"/>
        <v>0</v>
      </c>
      <c r="X87" s="66">
        <f t="shared" si="59"/>
        <v>0</v>
      </c>
      <c r="Y87" s="66">
        <f t="shared" si="59"/>
        <v>0</v>
      </c>
      <c r="Z87" s="66">
        <f t="shared" si="49"/>
        <v>106500</v>
      </c>
      <c r="AA87" s="218">
        <v>1</v>
      </c>
      <c r="AB87" s="219">
        <v>1</v>
      </c>
      <c r="AC87" s="218">
        <v>1</v>
      </c>
      <c r="AD87" s="219">
        <v>1</v>
      </c>
      <c r="AE87" s="218"/>
      <c r="AF87" s="219"/>
      <c r="AG87" s="218"/>
      <c r="AH87" s="219"/>
      <c r="AI87" s="218"/>
      <c r="AJ87" s="219"/>
    </row>
    <row r="88" spans="1:36" hidden="1" x14ac:dyDescent="0.25">
      <c r="A88" s="64">
        <v>1</v>
      </c>
      <c r="B88" s="64">
        <v>2</v>
      </c>
      <c r="C88" s="64">
        <v>1</v>
      </c>
      <c r="D88" s="64">
        <v>1</v>
      </c>
      <c r="E88" s="64">
        <v>2</v>
      </c>
      <c r="F88" s="64">
        <v>1</v>
      </c>
      <c r="G88" s="72" t="s">
        <v>111</v>
      </c>
      <c r="H88" s="73">
        <f>+R88*S88*T88</f>
        <v>2520000</v>
      </c>
      <c r="I88" s="74">
        <f t="shared" ref="I88:I94" si="60">+H88*0.22</f>
        <v>554400</v>
      </c>
      <c r="J88" s="74">
        <f t="shared" ref="J88:K90" si="61">+H88/$H$1</f>
        <v>78750</v>
      </c>
      <c r="K88" s="74">
        <f t="shared" si="61"/>
        <v>17325</v>
      </c>
      <c r="L88" s="74">
        <f t="shared" ref="L88:L94" si="62">+J88+K88</f>
        <v>96075</v>
      </c>
      <c r="M88" s="67">
        <f t="shared" si="48"/>
        <v>0.81967213114754101</v>
      </c>
      <c r="N88" s="67">
        <f t="shared" si="43"/>
        <v>0.18032786885245899</v>
      </c>
      <c r="O88" s="71" t="s">
        <v>62</v>
      </c>
      <c r="P88" s="68"/>
      <c r="Q88" s="68"/>
      <c r="R88" s="4">
        <v>15</v>
      </c>
      <c r="S88" s="69">
        <v>3</v>
      </c>
      <c r="T88" s="70">
        <v>56000</v>
      </c>
      <c r="U88" s="73">
        <f>+$J88/15*3</f>
        <v>15750</v>
      </c>
      <c r="V88" s="73">
        <f>+$J88/15*12</f>
        <v>63000</v>
      </c>
      <c r="W88" s="73"/>
      <c r="X88" s="73"/>
      <c r="Y88" s="73"/>
      <c r="Z88" s="73">
        <f t="shared" si="49"/>
        <v>78750</v>
      </c>
      <c r="AA88" s="218">
        <v>1</v>
      </c>
      <c r="AB88" s="219">
        <v>1</v>
      </c>
      <c r="AC88" s="218">
        <v>1</v>
      </c>
      <c r="AD88" s="219">
        <v>1</v>
      </c>
      <c r="AE88" s="218"/>
      <c r="AF88" s="219"/>
      <c r="AG88" s="218"/>
      <c r="AH88" s="219"/>
      <c r="AI88" s="218"/>
      <c r="AJ88" s="219"/>
    </row>
    <row r="89" spans="1:36" hidden="1" x14ac:dyDescent="0.25">
      <c r="A89" s="64">
        <v>1</v>
      </c>
      <c r="B89" s="64">
        <v>2</v>
      </c>
      <c r="C89" s="64">
        <v>1</v>
      </c>
      <c r="D89" s="64">
        <v>1</v>
      </c>
      <c r="E89" s="64">
        <v>3</v>
      </c>
      <c r="F89" s="64">
        <v>1</v>
      </c>
      <c r="G89" s="72" t="s">
        <v>186</v>
      </c>
      <c r="H89" s="73">
        <f>+R89*S89*T89</f>
        <v>888000</v>
      </c>
      <c r="I89" s="74">
        <f t="shared" si="60"/>
        <v>195360</v>
      </c>
      <c r="J89" s="74">
        <f t="shared" si="61"/>
        <v>27750</v>
      </c>
      <c r="K89" s="74">
        <f t="shared" si="61"/>
        <v>6105</v>
      </c>
      <c r="L89" s="74">
        <f t="shared" si="62"/>
        <v>33855</v>
      </c>
      <c r="M89" s="67">
        <f t="shared" si="48"/>
        <v>0.81967213114754101</v>
      </c>
      <c r="N89" s="67">
        <f t="shared" si="43"/>
        <v>0.18032786885245899</v>
      </c>
      <c r="O89" s="71" t="s">
        <v>62</v>
      </c>
      <c r="P89" s="68"/>
      <c r="Q89" s="68"/>
      <c r="R89" s="4">
        <v>12</v>
      </c>
      <c r="S89" s="69">
        <v>1</v>
      </c>
      <c r="T89" s="70">
        <v>74000</v>
      </c>
      <c r="U89" s="73"/>
      <c r="V89" s="73">
        <f>+J89</f>
        <v>27750</v>
      </c>
      <c r="W89" s="73"/>
      <c r="X89" s="73"/>
      <c r="Y89" s="73"/>
      <c r="Z89" s="73">
        <f t="shared" si="49"/>
        <v>27750</v>
      </c>
      <c r="AA89" s="218"/>
      <c r="AB89" s="219"/>
      <c r="AC89" s="218">
        <v>1</v>
      </c>
      <c r="AD89" s="219">
        <v>1</v>
      </c>
      <c r="AE89" s="218"/>
      <c r="AF89" s="219"/>
      <c r="AG89" s="218"/>
      <c r="AH89" s="219"/>
      <c r="AI89" s="218"/>
      <c r="AJ89" s="219"/>
    </row>
    <row r="90" spans="1:36" x14ac:dyDescent="0.25">
      <c r="A90" s="64">
        <v>1</v>
      </c>
      <c r="B90" s="64">
        <v>2</v>
      </c>
      <c r="C90" s="64">
        <v>1</v>
      </c>
      <c r="D90" s="64">
        <v>1</v>
      </c>
      <c r="E90" s="64">
        <v>4</v>
      </c>
      <c r="F90" s="64">
        <v>0</v>
      </c>
      <c r="G90" s="103" t="s">
        <v>230</v>
      </c>
      <c r="H90" s="75">
        <f>32000*9*5</f>
        <v>1440000</v>
      </c>
      <c r="I90" s="74">
        <f t="shared" si="60"/>
        <v>316800</v>
      </c>
      <c r="J90" s="74">
        <f t="shared" si="61"/>
        <v>45000</v>
      </c>
      <c r="K90" s="74">
        <f t="shared" si="61"/>
        <v>9900</v>
      </c>
      <c r="L90" s="74">
        <f t="shared" si="62"/>
        <v>54900</v>
      </c>
      <c r="M90" s="104">
        <f t="shared" si="48"/>
        <v>0.81967213114754101</v>
      </c>
      <c r="N90" s="104">
        <f t="shared" si="43"/>
        <v>0.18032786885245899</v>
      </c>
      <c r="O90" s="105" t="s">
        <v>6</v>
      </c>
      <c r="P90" s="68">
        <v>42644</v>
      </c>
      <c r="Q90" s="68">
        <v>43922</v>
      </c>
      <c r="R90" s="4" t="s">
        <v>112</v>
      </c>
      <c r="S90" s="69"/>
      <c r="T90" s="70"/>
      <c r="U90" s="66">
        <f>+$J90/9</f>
        <v>5000</v>
      </c>
      <c r="V90" s="66">
        <f>+$J90/9*2</f>
        <v>10000</v>
      </c>
      <c r="W90" s="66">
        <f>+$J90/9*2</f>
        <v>10000</v>
      </c>
      <c r="X90" s="66">
        <f>+$J90/9*2</f>
        <v>10000</v>
      </c>
      <c r="Y90" s="66">
        <f>+$J90/9*2</f>
        <v>10000</v>
      </c>
      <c r="Z90" s="66">
        <f t="shared" si="49"/>
        <v>45000</v>
      </c>
      <c r="AA90" s="218">
        <v>1</v>
      </c>
      <c r="AB90" s="219">
        <v>1</v>
      </c>
      <c r="AC90" s="218">
        <v>1</v>
      </c>
      <c r="AD90" s="219">
        <v>1</v>
      </c>
      <c r="AE90" s="218">
        <v>1</v>
      </c>
      <c r="AF90" s="219">
        <v>1</v>
      </c>
      <c r="AG90" s="218">
        <v>1</v>
      </c>
      <c r="AH90" s="219">
        <v>1</v>
      </c>
      <c r="AI90" s="218">
        <v>1</v>
      </c>
      <c r="AJ90" s="219">
        <v>1</v>
      </c>
    </row>
    <row r="91" spans="1:36" ht="24" x14ac:dyDescent="0.25">
      <c r="A91" s="64">
        <v>1</v>
      </c>
      <c r="B91" s="64">
        <v>2</v>
      </c>
      <c r="C91" s="64">
        <v>1</v>
      </c>
      <c r="D91" s="64">
        <v>1</v>
      </c>
      <c r="E91" s="64">
        <v>5</v>
      </c>
      <c r="F91" s="64">
        <v>0</v>
      </c>
      <c r="G91" s="65" t="s">
        <v>231</v>
      </c>
      <c r="H91" s="66">
        <f>+H92</f>
        <v>1600000</v>
      </c>
      <c r="I91" s="66">
        <f t="shared" ref="I91:L91" si="63">+I92</f>
        <v>352000</v>
      </c>
      <c r="J91" s="66">
        <f t="shared" si="63"/>
        <v>50000</v>
      </c>
      <c r="K91" s="66">
        <f t="shared" si="63"/>
        <v>11000</v>
      </c>
      <c r="L91" s="66">
        <f t="shared" si="63"/>
        <v>61000</v>
      </c>
      <c r="M91" s="104">
        <f t="shared" si="48"/>
        <v>0.81967213114754101</v>
      </c>
      <c r="N91" s="104">
        <f t="shared" si="43"/>
        <v>0.18032786885245899</v>
      </c>
      <c r="O91" s="105" t="s">
        <v>123</v>
      </c>
      <c r="P91" s="68">
        <v>42795</v>
      </c>
      <c r="Q91" s="68">
        <v>43344</v>
      </c>
      <c r="R91" s="4" t="s">
        <v>56</v>
      </c>
      <c r="S91" s="69"/>
      <c r="T91" s="70"/>
      <c r="U91" s="66"/>
      <c r="V91" s="66">
        <f>+V92</f>
        <v>25000</v>
      </c>
      <c r="W91" s="66">
        <f>+W92</f>
        <v>25000</v>
      </c>
      <c r="X91" s="66"/>
      <c r="Y91" s="66"/>
      <c r="Z91" s="66">
        <f t="shared" si="49"/>
        <v>50000</v>
      </c>
      <c r="AA91" s="218"/>
      <c r="AB91" s="219"/>
      <c r="AC91" s="218">
        <v>1</v>
      </c>
      <c r="AD91" s="219">
        <v>1</v>
      </c>
      <c r="AE91" s="218">
        <v>1</v>
      </c>
      <c r="AF91" s="219">
        <v>1</v>
      </c>
      <c r="AG91" s="218"/>
      <c r="AH91" s="219"/>
      <c r="AI91" s="218"/>
      <c r="AJ91" s="219"/>
    </row>
    <row r="92" spans="1:36" ht="24" hidden="1" x14ac:dyDescent="0.25">
      <c r="A92" s="64">
        <v>1</v>
      </c>
      <c r="B92" s="64">
        <v>2</v>
      </c>
      <c r="C92" s="64">
        <v>1</v>
      </c>
      <c r="D92" s="64">
        <v>1</v>
      </c>
      <c r="E92" s="64">
        <v>5</v>
      </c>
      <c r="F92" s="64">
        <v>1</v>
      </c>
      <c r="G92" s="72" t="s">
        <v>113</v>
      </c>
      <c r="H92" s="73">
        <f>+R92*S92*T92</f>
        <v>1600000</v>
      </c>
      <c r="I92" s="74">
        <f t="shared" si="60"/>
        <v>352000</v>
      </c>
      <c r="J92" s="74">
        <f>+H92/$H$1</f>
        <v>50000</v>
      </c>
      <c r="K92" s="74">
        <f>+I92/$H$1</f>
        <v>11000</v>
      </c>
      <c r="L92" s="74">
        <f t="shared" si="62"/>
        <v>61000</v>
      </c>
      <c r="M92" s="67">
        <f t="shared" si="48"/>
        <v>0.81967213114754101</v>
      </c>
      <c r="N92" s="67">
        <f t="shared" si="43"/>
        <v>0.18032786885245899</v>
      </c>
      <c r="O92" s="71" t="s">
        <v>123</v>
      </c>
      <c r="P92" s="68"/>
      <c r="Q92" s="68"/>
      <c r="R92" s="4">
        <v>18</v>
      </c>
      <c r="S92" s="69">
        <v>1</v>
      </c>
      <c r="T92" s="70">
        <f>1600000/R92</f>
        <v>88888.888888888891</v>
      </c>
      <c r="U92" s="73"/>
      <c r="V92" s="73">
        <f>+$J92/2</f>
        <v>25000</v>
      </c>
      <c r="W92" s="73">
        <f>+$J92/2</f>
        <v>25000</v>
      </c>
      <c r="X92" s="73"/>
      <c r="Y92" s="73"/>
      <c r="Z92" s="73">
        <f t="shared" si="49"/>
        <v>50000</v>
      </c>
      <c r="AA92" s="218"/>
      <c r="AB92" s="219"/>
      <c r="AC92" s="218">
        <v>1</v>
      </c>
      <c r="AD92" s="219">
        <v>1</v>
      </c>
      <c r="AE92" s="218">
        <v>1</v>
      </c>
      <c r="AF92" s="219">
        <v>1</v>
      </c>
      <c r="AG92" s="218"/>
      <c r="AH92" s="219"/>
      <c r="AI92" s="218"/>
      <c r="AJ92" s="219"/>
    </row>
    <row r="93" spans="1:36" x14ac:dyDescent="0.25">
      <c r="A93" s="64">
        <v>1</v>
      </c>
      <c r="B93" s="64">
        <v>2</v>
      </c>
      <c r="C93" s="64">
        <v>1</v>
      </c>
      <c r="D93" s="64">
        <v>1</v>
      </c>
      <c r="E93" s="64">
        <v>6</v>
      </c>
      <c r="F93" s="64">
        <v>0</v>
      </c>
      <c r="G93" s="65" t="s">
        <v>187</v>
      </c>
      <c r="H93" s="66">
        <f>+H94</f>
        <v>1332000</v>
      </c>
      <c r="I93" s="66">
        <f t="shared" ref="I93:L93" si="64">+I94</f>
        <v>293040</v>
      </c>
      <c r="J93" s="66">
        <f t="shared" si="64"/>
        <v>41625</v>
      </c>
      <c r="K93" s="66">
        <f t="shared" si="64"/>
        <v>9157.5</v>
      </c>
      <c r="L93" s="66">
        <f t="shared" si="64"/>
        <v>50782.5</v>
      </c>
      <c r="M93" s="104">
        <f t="shared" si="48"/>
        <v>0.81967213114754101</v>
      </c>
      <c r="N93" s="104">
        <f t="shared" si="43"/>
        <v>0.18032786885245899</v>
      </c>
      <c r="O93" s="4" t="s">
        <v>59</v>
      </c>
      <c r="P93" s="68">
        <v>42522</v>
      </c>
      <c r="Q93" s="68">
        <v>43070</v>
      </c>
      <c r="R93" s="4" t="s">
        <v>56</v>
      </c>
      <c r="S93" s="69"/>
      <c r="T93" s="70"/>
      <c r="U93" s="66">
        <f>+U94</f>
        <v>13875</v>
      </c>
      <c r="V93" s="66">
        <f>+V94</f>
        <v>27750</v>
      </c>
      <c r="W93" s="66"/>
      <c r="X93" s="66"/>
      <c r="Y93" s="66"/>
      <c r="Z93" s="66">
        <f t="shared" si="49"/>
        <v>41625</v>
      </c>
      <c r="AA93" s="218">
        <v>1</v>
      </c>
      <c r="AB93" s="219">
        <v>1</v>
      </c>
      <c r="AC93" s="218">
        <v>1</v>
      </c>
      <c r="AD93" s="219">
        <v>1</v>
      </c>
      <c r="AE93" s="218"/>
      <c r="AF93" s="219"/>
      <c r="AG93" s="218"/>
      <c r="AH93" s="219"/>
      <c r="AI93" s="218"/>
      <c r="AJ93" s="219"/>
    </row>
    <row r="94" spans="1:36" ht="24" hidden="1" x14ac:dyDescent="0.25">
      <c r="A94" s="64">
        <v>1</v>
      </c>
      <c r="B94" s="64">
        <v>2</v>
      </c>
      <c r="C94" s="64">
        <v>1</v>
      </c>
      <c r="D94" s="64">
        <v>1</v>
      </c>
      <c r="E94" s="64">
        <v>6</v>
      </c>
      <c r="F94" s="64">
        <v>1</v>
      </c>
      <c r="G94" s="72" t="s">
        <v>114</v>
      </c>
      <c r="H94" s="73">
        <f>+R94*S94*T94</f>
        <v>1332000</v>
      </c>
      <c r="I94" s="74">
        <f t="shared" si="60"/>
        <v>293040</v>
      </c>
      <c r="J94" s="74">
        <f>+H94/$H$1</f>
        <v>41625</v>
      </c>
      <c r="K94" s="74">
        <f>+I94/$H$1</f>
        <v>9157.5</v>
      </c>
      <c r="L94" s="74">
        <f t="shared" si="62"/>
        <v>50782.5</v>
      </c>
      <c r="M94" s="67">
        <f t="shared" si="48"/>
        <v>0.81967213114754101</v>
      </c>
      <c r="N94" s="67">
        <f t="shared" si="43"/>
        <v>0.18032786885245899</v>
      </c>
      <c r="O94" s="71" t="s">
        <v>62</v>
      </c>
      <c r="P94" s="68"/>
      <c r="Q94" s="68"/>
      <c r="R94" s="4">
        <v>18</v>
      </c>
      <c r="S94" s="69">
        <v>1</v>
      </c>
      <c r="T94" s="70">
        <v>74000</v>
      </c>
      <c r="U94" s="73">
        <f>+J94/3</f>
        <v>13875</v>
      </c>
      <c r="V94" s="73">
        <f>+J94/3*2</f>
        <v>27750</v>
      </c>
      <c r="W94" s="73"/>
      <c r="X94" s="73"/>
      <c r="Y94" s="73"/>
      <c r="Z94" s="73">
        <f t="shared" si="49"/>
        <v>41625</v>
      </c>
      <c r="AA94" s="218">
        <v>1</v>
      </c>
      <c r="AB94" s="219">
        <v>1</v>
      </c>
      <c r="AC94" s="218">
        <v>1</v>
      </c>
      <c r="AD94" s="219">
        <v>1</v>
      </c>
      <c r="AE94" s="218"/>
      <c r="AF94" s="219"/>
      <c r="AG94" s="218"/>
      <c r="AH94" s="219"/>
      <c r="AI94" s="218"/>
      <c r="AJ94" s="219"/>
    </row>
    <row r="95" spans="1:36" ht="24" x14ac:dyDescent="0.25">
      <c r="A95" s="94">
        <v>1</v>
      </c>
      <c r="B95" s="94">
        <v>2</v>
      </c>
      <c r="C95" s="94">
        <v>1</v>
      </c>
      <c r="D95" s="94">
        <v>2</v>
      </c>
      <c r="E95" s="94">
        <v>0</v>
      </c>
      <c r="F95" s="94">
        <v>0</v>
      </c>
      <c r="G95" s="56" t="s">
        <v>194</v>
      </c>
      <c r="H95" s="57">
        <f>+H96+H98+H101</f>
        <v>15384000</v>
      </c>
      <c r="I95" s="57">
        <f>+I96+I98+I101</f>
        <v>3384480</v>
      </c>
      <c r="J95" s="57">
        <f>+J96+J98+J101</f>
        <v>480750</v>
      </c>
      <c r="K95" s="57">
        <f>+K96+K98+K101</f>
        <v>105765</v>
      </c>
      <c r="L95" s="57">
        <f>+L96+L98+L101</f>
        <v>586515</v>
      </c>
      <c r="M95" s="101">
        <f t="shared" si="48"/>
        <v>0.81967213114754101</v>
      </c>
      <c r="N95" s="101">
        <f t="shared" si="43"/>
        <v>0.18032786885245899</v>
      </c>
      <c r="O95" s="81" t="s">
        <v>192</v>
      </c>
      <c r="P95" s="102"/>
      <c r="Q95" s="102"/>
      <c r="R95" s="60"/>
      <c r="S95" s="61"/>
      <c r="T95" s="62"/>
      <c r="U95" s="57">
        <f>+U96+U98+U101</f>
        <v>44000</v>
      </c>
      <c r="V95" s="57">
        <f>+V96+V98+V101</f>
        <v>113500</v>
      </c>
      <c r="W95" s="57">
        <f>+W96+W98+W101</f>
        <v>153750</v>
      </c>
      <c r="X95" s="57">
        <f>+X96+X98+X101</f>
        <v>138000</v>
      </c>
      <c r="Y95" s="57">
        <f>+Y96+Y98+Y101</f>
        <v>31500</v>
      </c>
      <c r="Z95" s="57">
        <f t="shared" si="49"/>
        <v>480750</v>
      </c>
      <c r="AA95" s="218">
        <v>1</v>
      </c>
      <c r="AB95" s="219">
        <v>1</v>
      </c>
      <c r="AC95" s="218">
        <v>1</v>
      </c>
      <c r="AD95" s="219">
        <v>1</v>
      </c>
      <c r="AE95" s="218">
        <v>1</v>
      </c>
      <c r="AF95" s="219">
        <v>1</v>
      </c>
      <c r="AG95" s="218">
        <v>1</v>
      </c>
      <c r="AH95" s="219">
        <v>1</v>
      </c>
      <c r="AI95" s="218">
        <v>1</v>
      </c>
      <c r="AJ95" s="219">
        <v>1</v>
      </c>
    </row>
    <row r="96" spans="1:36" ht="24" x14ac:dyDescent="0.25">
      <c r="A96" s="64">
        <v>1</v>
      </c>
      <c r="B96" s="64">
        <v>2</v>
      </c>
      <c r="C96" s="64">
        <v>1</v>
      </c>
      <c r="D96" s="64">
        <v>2</v>
      </c>
      <c r="E96" s="64">
        <v>1</v>
      </c>
      <c r="F96" s="64">
        <v>0</v>
      </c>
      <c r="G96" s="65" t="s">
        <v>232</v>
      </c>
      <c r="H96" s="74">
        <f>+H97</f>
        <v>960000</v>
      </c>
      <c r="I96" s="74">
        <f t="shared" ref="I96:L96" si="65">+I97</f>
        <v>211200</v>
      </c>
      <c r="J96" s="74">
        <f t="shared" si="65"/>
        <v>30000</v>
      </c>
      <c r="K96" s="74">
        <f t="shared" si="65"/>
        <v>6600</v>
      </c>
      <c r="L96" s="74">
        <f t="shared" si="65"/>
        <v>36600</v>
      </c>
      <c r="M96" s="104">
        <f t="shared" si="48"/>
        <v>0.81967213114754101</v>
      </c>
      <c r="N96" s="104">
        <f t="shared" si="43"/>
        <v>0.18032786885245899</v>
      </c>
      <c r="O96" s="71" t="s">
        <v>59</v>
      </c>
      <c r="P96" s="68">
        <v>42522</v>
      </c>
      <c r="Q96" s="68">
        <v>42705</v>
      </c>
      <c r="R96" s="4" t="s">
        <v>115</v>
      </c>
      <c r="S96" s="69"/>
      <c r="T96" s="70"/>
      <c r="U96" s="74">
        <f>+U97</f>
        <v>30000</v>
      </c>
      <c r="V96" s="74"/>
      <c r="W96" s="74"/>
      <c r="X96" s="74"/>
      <c r="Y96" s="74"/>
      <c r="Z96" s="74">
        <f t="shared" si="49"/>
        <v>30000</v>
      </c>
      <c r="AA96" s="218">
        <v>1</v>
      </c>
      <c r="AB96" s="219">
        <v>1</v>
      </c>
      <c r="AC96" s="218"/>
      <c r="AD96" s="219"/>
      <c r="AE96" s="218"/>
      <c r="AF96" s="219"/>
      <c r="AG96" s="218"/>
      <c r="AH96" s="219"/>
      <c r="AI96" s="218"/>
      <c r="AJ96" s="219"/>
    </row>
    <row r="97" spans="1:36" hidden="1" x14ac:dyDescent="0.25">
      <c r="A97" s="64">
        <v>1</v>
      </c>
      <c r="B97" s="64">
        <v>2</v>
      </c>
      <c r="C97" s="64">
        <v>1</v>
      </c>
      <c r="D97" s="64">
        <v>2</v>
      </c>
      <c r="E97" s="64">
        <v>1</v>
      </c>
      <c r="F97" s="64">
        <v>1</v>
      </c>
      <c r="G97" s="72" t="s">
        <v>233</v>
      </c>
      <c r="H97" s="73">
        <f>+R97*S97*T97</f>
        <v>960000</v>
      </c>
      <c r="I97" s="74">
        <f>+H97*0.22</f>
        <v>211200</v>
      </c>
      <c r="J97" s="74">
        <f>+H97/$H$1</f>
        <v>30000</v>
      </c>
      <c r="K97" s="74">
        <f>+I97/$H$1</f>
        <v>6600</v>
      </c>
      <c r="L97" s="74">
        <f>+J97+K97</f>
        <v>36600</v>
      </c>
      <c r="M97" s="67">
        <f t="shared" si="48"/>
        <v>0.81967213114754101</v>
      </c>
      <c r="N97" s="67">
        <f t="shared" si="43"/>
        <v>0.18032786885245899</v>
      </c>
      <c r="O97" s="266" t="s">
        <v>189</v>
      </c>
      <c r="P97" s="68"/>
      <c r="Q97" s="68"/>
      <c r="R97" s="4">
        <v>6</v>
      </c>
      <c r="S97" s="69">
        <v>1</v>
      </c>
      <c r="T97" s="70">
        <f>960000/R97</f>
        <v>160000</v>
      </c>
      <c r="U97" s="73">
        <f>+J97</f>
        <v>30000</v>
      </c>
      <c r="V97" s="73"/>
      <c r="W97" s="73"/>
      <c r="X97" s="73"/>
      <c r="Y97" s="73"/>
      <c r="Z97" s="73">
        <f t="shared" si="49"/>
        <v>30000</v>
      </c>
      <c r="AA97" s="218">
        <v>1</v>
      </c>
      <c r="AB97" s="219">
        <v>1</v>
      </c>
      <c r="AC97" s="218"/>
      <c r="AD97" s="219"/>
      <c r="AE97" s="218"/>
      <c r="AF97" s="219"/>
      <c r="AG97" s="218"/>
      <c r="AH97" s="219"/>
      <c r="AI97" s="218"/>
      <c r="AJ97" s="219"/>
    </row>
    <row r="98" spans="1:36" ht="24" x14ac:dyDescent="0.25">
      <c r="A98" s="64">
        <v>1</v>
      </c>
      <c r="B98" s="64">
        <v>2</v>
      </c>
      <c r="C98" s="64">
        <v>1</v>
      </c>
      <c r="D98" s="64">
        <v>2</v>
      </c>
      <c r="E98" s="64">
        <v>2</v>
      </c>
      <c r="F98" s="64">
        <v>0</v>
      </c>
      <c r="G98" s="65" t="s">
        <v>193</v>
      </c>
      <c r="H98" s="74">
        <f>+H100+H99</f>
        <v>6384000</v>
      </c>
      <c r="I98" s="74">
        <f t="shared" ref="I98:L98" si="66">+I100+I99</f>
        <v>1404480</v>
      </c>
      <c r="J98" s="74">
        <f t="shared" si="66"/>
        <v>199500</v>
      </c>
      <c r="K98" s="74">
        <f t="shared" si="66"/>
        <v>43890</v>
      </c>
      <c r="L98" s="74">
        <f t="shared" si="66"/>
        <v>243390</v>
      </c>
      <c r="M98" s="104">
        <f t="shared" si="48"/>
        <v>0.81967213114754101</v>
      </c>
      <c r="N98" s="104">
        <f t="shared" si="43"/>
        <v>0.18032786885245899</v>
      </c>
      <c r="O98" s="71" t="s">
        <v>59</v>
      </c>
      <c r="P98" s="68">
        <v>42614</v>
      </c>
      <c r="Q98" s="68">
        <v>44166</v>
      </c>
      <c r="R98" s="4" t="s">
        <v>116</v>
      </c>
      <c r="S98" s="69"/>
      <c r="T98" s="70"/>
      <c r="U98" s="74">
        <f>+U100+U99</f>
        <v>14000</v>
      </c>
      <c r="V98" s="74">
        <f>+V100+V99</f>
        <v>43750</v>
      </c>
      <c r="W98" s="74">
        <f>+W100+W99</f>
        <v>63000</v>
      </c>
      <c r="X98" s="74">
        <f>+X100+X99</f>
        <v>47250</v>
      </c>
      <c r="Y98" s="74">
        <f>+Y100+Y99</f>
        <v>31500</v>
      </c>
      <c r="Z98" s="74">
        <f t="shared" si="49"/>
        <v>199500</v>
      </c>
      <c r="AA98" s="218">
        <v>1</v>
      </c>
      <c r="AB98" s="219">
        <v>1</v>
      </c>
      <c r="AC98" s="218">
        <v>1</v>
      </c>
      <c r="AD98" s="219">
        <v>1</v>
      </c>
      <c r="AE98" s="218">
        <v>1</v>
      </c>
      <c r="AF98" s="219">
        <v>1</v>
      </c>
      <c r="AG98" s="218">
        <v>1</v>
      </c>
      <c r="AH98" s="219">
        <v>1</v>
      </c>
      <c r="AI98" s="218">
        <v>1</v>
      </c>
      <c r="AJ98" s="219">
        <v>1</v>
      </c>
    </row>
    <row r="99" spans="1:36" ht="24" hidden="1" x14ac:dyDescent="0.25">
      <c r="A99" s="64">
        <v>1</v>
      </c>
      <c r="B99" s="64">
        <v>2</v>
      </c>
      <c r="C99" s="64">
        <v>1</v>
      </c>
      <c r="D99" s="64">
        <v>2</v>
      </c>
      <c r="E99" s="64">
        <v>1</v>
      </c>
      <c r="F99" s="64">
        <v>1</v>
      </c>
      <c r="G99" s="72" t="s">
        <v>117</v>
      </c>
      <c r="H99" s="73">
        <f>+R99*S99*T99</f>
        <v>1344000</v>
      </c>
      <c r="I99" s="74">
        <f>+H99*0.22</f>
        <v>295680</v>
      </c>
      <c r="J99" s="74">
        <f>+H99/$H$1</f>
        <v>42000</v>
      </c>
      <c r="K99" s="74">
        <f>+I99/$H$1</f>
        <v>9240</v>
      </c>
      <c r="L99" s="74">
        <f>+J99+K99</f>
        <v>51240</v>
      </c>
      <c r="M99" s="67">
        <f t="shared" si="48"/>
        <v>0.81967213114754101</v>
      </c>
      <c r="N99" s="67">
        <f t="shared" si="43"/>
        <v>0.18032786885245899</v>
      </c>
      <c r="O99" s="71" t="s">
        <v>62</v>
      </c>
      <c r="P99" s="68"/>
      <c r="Q99" s="68"/>
      <c r="R99" s="4">
        <v>12</v>
      </c>
      <c r="S99" s="69">
        <v>2</v>
      </c>
      <c r="T99" s="70">
        <v>56000</v>
      </c>
      <c r="U99" s="73">
        <f>+$J99/12*4</f>
        <v>14000</v>
      </c>
      <c r="V99" s="73">
        <f>+$J99/12*8</f>
        <v>28000</v>
      </c>
      <c r="W99" s="73"/>
      <c r="X99" s="73"/>
      <c r="Y99" s="73"/>
      <c r="Z99" s="73">
        <f t="shared" si="49"/>
        <v>42000</v>
      </c>
      <c r="AA99" s="218">
        <v>1</v>
      </c>
      <c r="AB99" s="219">
        <v>1</v>
      </c>
      <c r="AC99" s="218">
        <v>1</v>
      </c>
      <c r="AD99" s="219">
        <v>1</v>
      </c>
      <c r="AE99" s="218"/>
      <c r="AF99" s="219"/>
      <c r="AG99" s="218"/>
      <c r="AH99" s="219"/>
      <c r="AI99" s="218"/>
      <c r="AJ99" s="219"/>
    </row>
    <row r="100" spans="1:36" ht="24" hidden="1" x14ac:dyDescent="0.25">
      <c r="A100" s="64">
        <v>1</v>
      </c>
      <c r="B100" s="64">
        <v>2</v>
      </c>
      <c r="C100" s="64">
        <v>1</v>
      </c>
      <c r="D100" s="64">
        <v>2</v>
      </c>
      <c r="E100" s="64">
        <v>1</v>
      </c>
      <c r="F100" s="64">
        <v>2</v>
      </c>
      <c r="G100" s="72" t="s">
        <v>234</v>
      </c>
      <c r="H100" s="73">
        <f>+R100*S100*T100</f>
        <v>5040000</v>
      </c>
      <c r="I100" s="74">
        <f>+H100*0.22</f>
        <v>1108800</v>
      </c>
      <c r="J100" s="74">
        <f>+H100/$H$1</f>
        <v>157500</v>
      </c>
      <c r="K100" s="74">
        <f>+I100/$H$1</f>
        <v>34650</v>
      </c>
      <c r="L100" s="74">
        <f>+J100+K100</f>
        <v>192150</v>
      </c>
      <c r="M100" s="67">
        <f t="shared" si="48"/>
        <v>0.81967213114754101</v>
      </c>
      <c r="N100" s="67">
        <f t="shared" si="43"/>
        <v>0.18032786885245899</v>
      </c>
      <c r="O100" s="71" t="s">
        <v>42</v>
      </c>
      <c r="P100" s="68"/>
      <c r="Q100" s="68"/>
      <c r="R100" s="69">
        <f>15+12*0.75+12*0.5</f>
        <v>30</v>
      </c>
      <c r="S100" s="69">
        <v>3</v>
      </c>
      <c r="T100" s="70">
        <v>56000</v>
      </c>
      <c r="U100" s="73"/>
      <c r="V100" s="73">
        <f>+$T100*$S100*3/$H$1</f>
        <v>15750</v>
      </c>
      <c r="W100" s="73">
        <f>+$T100*$S100*12/$H$1</f>
        <v>63000</v>
      </c>
      <c r="X100" s="73">
        <f>+$T100*$S100*12/$H$1*0.75</f>
        <v>47250</v>
      </c>
      <c r="Y100" s="73">
        <f>+$T100*$S100*12/$H$1*0.5</f>
        <v>31500</v>
      </c>
      <c r="Z100" s="73">
        <f t="shared" si="49"/>
        <v>157500</v>
      </c>
      <c r="AA100" s="218"/>
      <c r="AB100" s="219"/>
      <c r="AC100" s="218">
        <v>1</v>
      </c>
      <c r="AD100" s="219">
        <v>1</v>
      </c>
      <c r="AE100" s="218">
        <v>1</v>
      </c>
      <c r="AF100" s="219">
        <v>1</v>
      </c>
      <c r="AG100" s="218">
        <v>1</v>
      </c>
      <c r="AH100" s="219">
        <v>1</v>
      </c>
      <c r="AI100" s="218">
        <v>1</v>
      </c>
      <c r="AJ100" s="219">
        <v>1</v>
      </c>
    </row>
    <row r="101" spans="1:36" ht="24" x14ac:dyDescent="0.25">
      <c r="A101" s="64">
        <v>1</v>
      </c>
      <c r="B101" s="64">
        <v>2</v>
      </c>
      <c r="C101" s="64">
        <v>1</v>
      </c>
      <c r="D101" s="64">
        <v>2</v>
      </c>
      <c r="E101" s="64">
        <v>3</v>
      </c>
      <c r="F101" s="64">
        <v>0</v>
      </c>
      <c r="G101" s="65" t="s">
        <v>193</v>
      </c>
      <c r="H101" s="223">
        <f>SUM(H102:H103)</f>
        <v>8040000</v>
      </c>
      <c r="I101" s="223">
        <f>SUM(I102:I103)</f>
        <v>1768800</v>
      </c>
      <c r="J101" s="223">
        <f>SUM(J102:J103)</f>
        <v>251250</v>
      </c>
      <c r="K101" s="74">
        <f>SUM(K102:K103)</f>
        <v>55275</v>
      </c>
      <c r="L101" s="74">
        <f>SUM(L102:L103)</f>
        <v>306525</v>
      </c>
      <c r="M101" s="104">
        <f t="shared" si="48"/>
        <v>0.81967213114754101</v>
      </c>
      <c r="N101" s="104">
        <f t="shared" si="43"/>
        <v>0.18032786885245899</v>
      </c>
      <c r="O101" s="71" t="s">
        <v>59</v>
      </c>
      <c r="P101" s="68">
        <v>42736</v>
      </c>
      <c r="Q101" s="68">
        <v>43800</v>
      </c>
      <c r="R101" s="4" t="s">
        <v>118</v>
      </c>
      <c r="S101" s="69"/>
      <c r="T101" s="70"/>
      <c r="U101" s="74">
        <f t="shared" ref="U101:Z101" si="67">SUM(U102:U103)</f>
        <v>0</v>
      </c>
      <c r="V101" s="74">
        <f t="shared" si="67"/>
        <v>69750</v>
      </c>
      <c r="W101" s="74">
        <f t="shared" si="67"/>
        <v>90750</v>
      </c>
      <c r="X101" s="74">
        <f t="shared" si="67"/>
        <v>90750</v>
      </c>
      <c r="Y101" s="74">
        <f t="shared" si="67"/>
        <v>0</v>
      </c>
      <c r="Z101" s="74">
        <f t="shared" si="67"/>
        <v>251250</v>
      </c>
      <c r="AA101" s="218"/>
      <c r="AB101" s="219"/>
      <c r="AC101" s="218">
        <v>1</v>
      </c>
      <c r="AD101" s="219">
        <v>1</v>
      </c>
      <c r="AE101" s="218">
        <v>1</v>
      </c>
      <c r="AF101" s="219">
        <v>1</v>
      </c>
      <c r="AG101" s="218">
        <v>1</v>
      </c>
      <c r="AH101" s="219">
        <v>1</v>
      </c>
      <c r="AI101" s="218"/>
      <c r="AJ101" s="219"/>
    </row>
    <row r="102" spans="1:36" ht="24" hidden="1" x14ac:dyDescent="0.25">
      <c r="A102" s="64">
        <v>1</v>
      </c>
      <c r="B102" s="64">
        <v>2</v>
      </c>
      <c r="C102" s="64">
        <v>1</v>
      </c>
      <c r="D102" s="64">
        <v>2</v>
      </c>
      <c r="E102" s="64">
        <v>3</v>
      </c>
      <c r="F102" s="64">
        <v>1</v>
      </c>
      <c r="G102" s="72" t="s">
        <v>119</v>
      </c>
      <c r="H102" s="73">
        <f>+R102*S102*T102</f>
        <v>2664000</v>
      </c>
      <c r="I102" s="74">
        <f>+H102*0.22</f>
        <v>586080</v>
      </c>
      <c r="J102" s="74">
        <f>+H102/$H$1</f>
        <v>83250</v>
      </c>
      <c r="K102" s="74">
        <f>+I102/$H$1</f>
        <v>18315</v>
      </c>
      <c r="L102" s="74">
        <f>+J102+K102</f>
        <v>101565</v>
      </c>
      <c r="M102" s="67">
        <f t="shared" si="48"/>
        <v>0.81967213114754101</v>
      </c>
      <c r="N102" s="67">
        <f t="shared" si="43"/>
        <v>0.18032786885245899</v>
      </c>
      <c r="O102" s="266" t="s">
        <v>192</v>
      </c>
      <c r="P102" s="68"/>
      <c r="Q102" s="68"/>
      <c r="R102" s="4">
        <v>36</v>
      </c>
      <c r="S102" s="69">
        <v>1</v>
      </c>
      <c r="T102" s="70">
        <v>74000</v>
      </c>
      <c r="U102" s="73"/>
      <c r="V102" s="73">
        <f>$T102*$S102*12/$H$1</f>
        <v>27750</v>
      </c>
      <c r="W102" s="73">
        <f>$T102*$S102*12/$H$1</f>
        <v>27750</v>
      </c>
      <c r="X102" s="73">
        <f>$T102*$S102*12/$H$1</f>
        <v>27750</v>
      </c>
      <c r="Y102" s="73"/>
      <c r="Z102" s="73">
        <f t="shared" si="49"/>
        <v>83250</v>
      </c>
      <c r="AA102" s="218"/>
      <c r="AB102" s="219"/>
      <c r="AC102" s="218">
        <v>1</v>
      </c>
      <c r="AD102" s="219">
        <v>1</v>
      </c>
      <c r="AE102" s="218"/>
      <c r="AF102" s="219"/>
      <c r="AG102" s="218"/>
      <c r="AH102" s="219"/>
      <c r="AI102" s="218"/>
      <c r="AJ102" s="219"/>
    </row>
    <row r="103" spans="1:36" ht="24" hidden="1" x14ac:dyDescent="0.25">
      <c r="A103" s="64">
        <v>1</v>
      </c>
      <c r="B103" s="64">
        <v>2</v>
      </c>
      <c r="C103" s="64">
        <v>1</v>
      </c>
      <c r="D103" s="64">
        <v>2</v>
      </c>
      <c r="E103" s="64">
        <v>3</v>
      </c>
      <c r="F103" s="64">
        <v>2</v>
      </c>
      <c r="G103" s="72" t="s">
        <v>235</v>
      </c>
      <c r="H103" s="73">
        <f>(12*2*T103)+(24*3*T103)</f>
        <v>5376000</v>
      </c>
      <c r="I103" s="74">
        <f>+H103*0.22</f>
        <v>1182720</v>
      </c>
      <c r="J103" s="74">
        <f>+H103/$H$1</f>
        <v>168000</v>
      </c>
      <c r="K103" s="74">
        <f>+I103/$H$1</f>
        <v>36960</v>
      </c>
      <c r="L103" s="74">
        <f>+J103+K103</f>
        <v>204960</v>
      </c>
      <c r="M103" s="67">
        <f t="shared" si="48"/>
        <v>0.81967213114754101</v>
      </c>
      <c r="N103" s="67">
        <f t="shared" si="43"/>
        <v>0.18032786885245899</v>
      </c>
      <c r="O103" s="71" t="s">
        <v>50</v>
      </c>
      <c r="P103" s="68"/>
      <c r="Q103" s="68"/>
      <c r="R103" s="4">
        <v>36</v>
      </c>
      <c r="S103" s="69">
        <v>3</v>
      </c>
      <c r="T103" s="70">
        <v>56000</v>
      </c>
      <c r="U103" s="73"/>
      <c r="V103" s="73">
        <f>+$T103*12/$H$1*2</f>
        <v>42000</v>
      </c>
      <c r="W103" s="73">
        <f>+$T103*12/$H$1*3</f>
        <v>63000</v>
      </c>
      <c r="X103" s="73">
        <f>+$T103*12/$H$1*3</f>
        <v>63000</v>
      </c>
      <c r="Y103" s="73"/>
      <c r="Z103" s="73">
        <f t="shared" si="49"/>
        <v>168000</v>
      </c>
      <c r="AA103" s="218"/>
      <c r="AB103" s="219"/>
      <c r="AC103" s="218">
        <v>1</v>
      </c>
      <c r="AD103" s="219">
        <v>1</v>
      </c>
      <c r="AE103" s="218"/>
      <c r="AF103" s="219"/>
      <c r="AG103" s="218"/>
      <c r="AH103" s="219"/>
      <c r="AI103" s="218"/>
      <c r="AJ103" s="219"/>
    </row>
    <row r="104" spans="1:36" x14ac:dyDescent="0.25">
      <c r="A104" s="106">
        <v>1</v>
      </c>
      <c r="B104" s="106">
        <v>2</v>
      </c>
      <c r="C104" s="106">
        <v>1</v>
      </c>
      <c r="D104" s="106">
        <v>3</v>
      </c>
      <c r="E104" s="106">
        <v>0</v>
      </c>
      <c r="F104" s="106">
        <v>0</v>
      </c>
      <c r="G104" s="107" t="s">
        <v>236</v>
      </c>
      <c r="H104" s="108">
        <f>+H105+H108+H110+H112+H113</f>
        <v>24698000</v>
      </c>
      <c r="I104" s="108">
        <f t="shared" ref="I104:L104" si="68">+I105+I108+I110+I112+I113</f>
        <v>5433560</v>
      </c>
      <c r="J104" s="108">
        <f t="shared" si="68"/>
        <v>771812.5</v>
      </c>
      <c r="K104" s="108">
        <f t="shared" si="68"/>
        <v>169798.75</v>
      </c>
      <c r="L104" s="108">
        <f t="shared" si="68"/>
        <v>941611.25</v>
      </c>
      <c r="M104" s="109">
        <f t="shared" si="48"/>
        <v>0.81967213114754101</v>
      </c>
      <c r="N104" s="109">
        <f t="shared" si="43"/>
        <v>0.18032786885245899</v>
      </c>
      <c r="O104" s="128" t="s">
        <v>192</v>
      </c>
      <c r="P104" s="110"/>
      <c r="Q104" s="110"/>
      <c r="R104" s="111"/>
      <c r="S104" s="112"/>
      <c r="T104" s="113"/>
      <c r="U104" s="108">
        <f>+U105+U108+U110+U112+U113</f>
        <v>94250</v>
      </c>
      <c r="V104" s="108">
        <f>+V105+V108+V110+V112+V113</f>
        <v>241750</v>
      </c>
      <c r="W104" s="108">
        <f>+W105+W108+W110+W112+W113</f>
        <v>211750</v>
      </c>
      <c r="X104" s="108">
        <f>+X105+X108+X110+X112+X113</f>
        <v>134437.5</v>
      </c>
      <c r="Y104" s="108">
        <f>+Y105+Y108+Y110+Y112+Y113</f>
        <v>89625</v>
      </c>
      <c r="Z104" s="108">
        <f t="shared" si="49"/>
        <v>771812.5</v>
      </c>
      <c r="AA104" s="218">
        <v>1</v>
      </c>
      <c r="AB104" s="219">
        <v>1</v>
      </c>
      <c r="AC104" s="218">
        <v>1</v>
      </c>
      <c r="AD104" s="219">
        <v>1</v>
      </c>
      <c r="AE104" s="218">
        <v>1</v>
      </c>
      <c r="AF104" s="219">
        <v>1</v>
      </c>
      <c r="AG104" s="218">
        <v>1</v>
      </c>
      <c r="AH104" s="219">
        <v>1</v>
      </c>
      <c r="AI104" s="218">
        <v>1</v>
      </c>
      <c r="AJ104" s="219">
        <v>1</v>
      </c>
    </row>
    <row r="105" spans="1:36" ht="24" x14ac:dyDescent="0.25">
      <c r="A105" s="64">
        <v>1</v>
      </c>
      <c r="B105" s="64">
        <v>2</v>
      </c>
      <c r="C105" s="64">
        <v>1</v>
      </c>
      <c r="D105" s="64">
        <v>3</v>
      </c>
      <c r="E105" s="64">
        <v>1</v>
      </c>
      <c r="F105" s="64">
        <v>0</v>
      </c>
      <c r="G105" s="65" t="s">
        <v>195</v>
      </c>
      <c r="H105" s="66">
        <f>SUM(H106:H107)</f>
        <v>10098000</v>
      </c>
      <c r="I105" s="66">
        <f t="shared" ref="I105:L105" si="69">SUM(I106:I107)</f>
        <v>2221560</v>
      </c>
      <c r="J105" s="66">
        <f t="shared" si="69"/>
        <v>315562.5</v>
      </c>
      <c r="K105" s="66">
        <f t="shared" si="69"/>
        <v>69423.75</v>
      </c>
      <c r="L105" s="66">
        <f t="shared" si="69"/>
        <v>384986.25</v>
      </c>
      <c r="M105" s="104">
        <f t="shared" si="48"/>
        <v>0.81967213114754101</v>
      </c>
      <c r="N105" s="104">
        <f t="shared" si="43"/>
        <v>0.18032786885245899</v>
      </c>
      <c r="O105" s="71" t="s">
        <v>59</v>
      </c>
      <c r="P105" s="68">
        <v>42370</v>
      </c>
      <c r="Q105" s="68">
        <v>44167</v>
      </c>
      <c r="R105" s="4" t="s">
        <v>41</v>
      </c>
      <c r="S105" s="69"/>
      <c r="T105" s="70"/>
      <c r="U105" s="66">
        <f>SUM(U106:U107)</f>
        <v>74250</v>
      </c>
      <c r="V105" s="66">
        <f>SUM(V106:V107)</f>
        <v>74250</v>
      </c>
      <c r="W105" s="66">
        <f>SUM(W106:W107)</f>
        <v>74250</v>
      </c>
      <c r="X105" s="66">
        <f>SUM(X106:X107)</f>
        <v>55687.5</v>
      </c>
      <c r="Y105" s="66">
        <f>SUM(Y106:Y107)</f>
        <v>37125</v>
      </c>
      <c r="Z105" s="66">
        <f t="shared" si="49"/>
        <v>315562.5</v>
      </c>
      <c r="AA105" s="218">
        <v>1</v>
      </c>
      <c r="AB105" s="219">
        <v>1</v>
      </c>
      <c r="AC105" s="218">
        <v>1</v>
      </c>
      <c r="AD105" s="219">
        <v>1</v>
      </c>
      <c r="AE105" s="218">
        <v>1</v>
      </c>
      <c r="AF105" s="219">
        <v>1</v>
      </c>
      <c r="AG105" s="218">
        <v>1</v>
      </c>
      <c r="AH105" s="219">
        <v>1</v>
      </c>
      <c r="AI105" s="218">
        <v>1</v>
      </c>
      <c r="AJ105" s="219">
        <v>1</v>
      </c>
    </row>
    <row r="106" spans="1:36" ht="24" hidden="1" x14ac:dyDescent="0.25">
      <c r="A106" s="64">
        <v>1</v>
      </c>
      <c r="B106" s="64">
        <v>2</v>
      </c>
      <c r="C106" s="64">
        <v>1</v>
      </c>
      <c r="D106" s="64">
        <v>3</v>
      </c>
      <c r="E106" s="64">
        <v>1</v>
      </c>
      <c r="F106" s="64">
        <v>1</v>
      </c>
      <c r="G106" s="72" t="s">
        <v>237</v>
      </c>
      <c r="H106" s="73">
        <f>+S106*R106*T106</f>
        <v>4896000</v>
      </c>
      <c r="I106" s="74">
        <f>+H106*0.22</f>
        <v>1077120</v>
      </c>
      <c r="J106" s="74">
        <f>+H106/$H$1</f>
        <v>153000</v>
      </c>
      <c r="K106" s="74">
        <f>+I106/$H$1</f>
        <v>33660</v>
      </c>
      <c r="L106" s="74">
        <f>+J106+K106</f>
        <v>186660</v>
      </c>
      <c r="M106" s="67">
        <f t="shared" si="48"/>
        <v>0.81967213114754101</v>
      </c>
      <c r="N106" s="67">
        <f t="shared" si="43"/>
        <v>0.18032786885245899</v>
      </c>
      <c r="O106" s="71" t="s">
        <v>42</v>
      </c>
      <c r="P106" s="68"/>
      <c r="Q106" s="68"/>
      <c r="R106" s="69">
        <f>36+12*0.75+12*0.5</f>
        <v>51</v>
      </c>
      <c r="S106" s="69">
        <v>1</v>
      </c>
      <c r="T106" s="70">
        <v>96000</v>
      </c>
      <c r="U106" s="73">
        <f t="shared" ref="U106:W107" si="70">+$T106*$S106*12/$H$1</f>
        <v>36000</v>
      </c>
      <c r="V106" s="73">
        <f t="shared" si="70"/>
        <v>36000</v>
      </c>
      <c r="W106" s="73">
        <f t="shared" si="70"/>
        <v>36000</v>
      </c>
      <c r="X106" s="73">
        <f>+$T106*$S106*12/$H$1*0.75</f>
        <v>27000</v>
      </c>
      <c r="Y106" s="73">
        <f>+$T106*$S106*12/$H$1*0.5</f>
        <v>18000</v>
      </c>
      <c r="Z106" s="73">
        <f t="shared" si="49"/>
        <v>153000</v>
      </c>
      <c r="AA106" s="218">
        <v>1</v>
      </c>
      <c r="AB106" s="219">
        <v>1</v>
      </c>
      <c r="AC106" s="218">
        <v>1</v>
      </c>
      <c r="AD106" s="219">
        <v>1</v>
      </c>
      <c r="AE106" s="218">
        <v>1</v>
      </c>
      <c r="AF106" s="219">
        <v>1</v>
      </c>
      <c r="AG106" s="218">
        <v>1</v>
      </c>
      <c r="AH106" s="219">
        <v>1</v>
      </c>
      <c r="AI106" s="218">
        <v>1</v>
      </c>
      <c r="AJ106" s="219">
        <v>1</v>
      </c>
    </row>
    <row r="107" spans="1:36" hidden="1" x14ac:dyDescent="0.25">
      <c r="A107" s="64">
        <v>1</v>
      </c>
      <c r="B107" s="64">
        <v>2</v>
      </c>
      <c r="C107" s="64">
        <v>1</v>
      </c>
      <c r="D107" s="64">
        <v>3</v>
      </c>
      <c r="E107" s="64">
        <v>1</v>
      </c>
      <c r="F107" s="64">
        <v>2</v>
      </c>
      <c r="G107" s="72" t="s">
        <v>120</v>
      </c>
      <c r="H107" s="73">
        <f>+S107*R107*T107</f>
        <v>5202000</v>
      </c>
      <c r="I107" s="74">
        <f>+H107*0.22</f>
        <v>1144440</v>
      </c>
      <c r="J107" s="74">
        <f>+H107/$H$1</f>
        <v>162562.5</v>
      </c>
      <c r="K107" s="74">
        <f>+I107/$H$1</f>
        <v>35763.75</v>
      </c>
      <c r="L107" s="74">
        <f>+J107+K107</f>
        <v>198326.25</v>
      </c>
      <c r="M107" s="67">
        <f t="shared" si="48"/>
        <v>0.81967213114754101</v>
      </c>
      <c r="N107" s="67">
        <f t="shared" si="43"/>
        <v>0.18032786885245899</v>
      </c>
      <c r="O107" s="71" t="s">
        <v>42</v>
      </c>
      <c r="P107" s="68"/>
      <c r="Q107" s="68"/>
      <c r="R107" s="69">
        <f>36+12*0.75+12*0.5</f>
        <v>51</v>
      </c>
      <c r="S107" s="69">
        <v>2</v>
      </c>
      <c r="T107" s="70">
        <v>51000</v>
      </c>
      <c r="U107" s="73">
        <f t="shared" si="70"/>
        <v>38250</v>
      </c>
      <c r="V107" s="73">
        <f t="shared" si="70"/>
        <v>38250</v>
      </c>
      <c r="W107" s="73">
        <f t="shared" si="70"/>
        <v>38250</v>
      </c>
      <c r="X107" s="73">
        <f>+$T107*$S107*12/$H$1*0.75</f>
        <v>28687.5</v>
      </c>
      <c r="Y107" s="73">
        <f>+$T107*$S107*12/$H$1*0.5</f>
        <v>19125</v>
      </c>
      <c r="Z107" s="73">
        <f t="shared" si="49"/>
        <v>162562.5</v>
      </c>
      <c r="AA107" s="218">
        <v>1</v>
      </c>
      <c r="AB107" s="219">
        <v>1</v>
      </c>
      <c r="AC107" s="218">
        <v>1</v>
      </c>
      <c r="AD107" s="219">
        <v>1</v>
      </c>
      <c r="AE107" s="218">
        <v>1</v>
      </c>
      <c r="AF107" s="219">
        <v>1</v>
      </c>
      <c r="AG107" s="218">
        <v>1</v>
      </c>
      <c r="AH107" s="219">
        <v>1</v>
      </c>
      <c r="AI107" s="218">
        <v>1</v>
      </c>
      <c r="AJ107" s="219">
        <v>1</v>
      </c>
    </row>
    <row r="108" spans="1:36" ht="24" x14ac:dyDescent="0.25">
      <c r="A108" s="64">
        <v>1</v>
      </c>
      <c r="B108" s="64">
        <v>2</v>
      </c>
      <c r="C108" s="64">
        <v>1</v>
      </c>
      <c r="D108" s="64">
        <v>3</v>
      </c>
      <c r="E108" s="64">
        <v>2</v>
      </c>
      <c r="F108" s="64">
        <v>0</v>
      </c>
      <c r="G108" s="65" t="s">
        <v>121</v>
      </c>
      <c r="H108" s="66">
        <f>+H109</f>
        <v>1280000</v>
      </c>
      <c r="I108" s="66">
        <f t="shared" ref="I108:L108" si="71">+I109</f>
        <v>281600</v>
      </c>
      <c r="J108" s="66">
        <f t="shared" si="71"/>
        <v>40000</v>
      </c>
      <c r="K108" s="66">
        <f t="shared" si="71"/>
        <v>8800</v>
      </c>
      <c r="L108" s="66">
        <f t="shared" si="71"/>
        <v>48800</v>
      </c>
      <c r="M108" s="104">
        <f t="shared" si="48"/>
        <v>0.81967213114754101</v>
      </c>
      <c r="N108" s="104">
        <f t="shared" si="43"/>
        <v>0.18032786885245899</v>
      </c>
      <c r="O108" s="71" t="s">
        <v>123</v>
      </c>
      <c r="P108" s="68">
        <v>42614</v>
      </c>
      <c r="Q108" s="114">
        <v>42795</v>
      </c>
      <c r="R108" s="4" t="s">
        <v>115</v>
      </c>
      <c r="S108" s="115"/>
      <c r="T108" s="70"/>
      <c r="U108" s="66">
        <f>+U109</f>
        <v>20000</v>
      </c>
      <c r="V108" s="66">
        <f>+V109</f>
        <v>20000</v>
      </c>
      <c r="W108" s="66"/>
      <c r="X108" s="66"/>
      <c r="Y108" s="66"/>
      <c r="Z108" s="66">
        <f t="shared" si="49"/>
        <v>40000</v>
      </c>
      <c r="AA108" s="218">
        <v>1</v>
      </c>
      <c r="AB108" s="219">
        <v>1</v>
      </c>
      <c r="AC108" s="218">
        <v>1</v>
      </c>
      <c r="AD108" s="219">
        <v>1</v>
      </c>
      <c r="AE108" s="218"/>
      <c r="AF108" s="219"/>
      <c r="AG108" s="218"/>
      <c r="AH108" s="219"/>
      <c r="AI108" s="218"/>
      <c r="AJ108" s="219"/>
    </row>
    <row r="109" spans="1:36" ht="48" hidden="1" x14ac:dyDescent="0.25">
      <c r="A109" s="64">
        <v>1</v>
      </c>
      <c r="B109" s="64">
        <v>2</v>
      </c>
      <c r="C109" s="64">
        <v>1</v>
      </c>
      <c r="D109" s="64">
        <v>3</v>
      </c>
      <c r="E109" s="64">
        <v>2</v>
      </c>
      <c r="F109" s="64">
        <v>1</v>
      </c>
      <c r="G109" s="72" t="s">
        <v>122</v>
      </c>
      <c r="H109" s="73">
        <f>+S109*R109*T109</f>
        <v>1280000</v>
      </c>
      <c r="I109" s="74">
        <f>+H109*0.22</f>
        <v>281600</v>
      </c>
      <c r="J109" s="74">
        <f>+H109/$H$1</f>
        <v>40000</v>
      </c>
      <c r="K109" s="74">
        <f>+I109/$H$1</f>
        <v>8800</v>
      </c>
      <c r="L109" s="74">
        <f>+J109+K109</f>
        <v>48800</v>
      </c>
      <c r="M109" s="67">
        <f t="shared" si="48"/>
        <v>0.81967213114754101</v>
      </c>
      <c r="N109" s="67">
        <f t="shared" si="43"/>
        <v>0.18032786885245899</v>
      </c>
      <c r="O109" s="71" t="s">
        <v>123</v>
      </c>
      <c r="P109" s="68"/>
      <c r="Q109" s="114"/>
      <c r="R109" s="4">
        <v>1</v>
      </c>
      <c r="S109" s="115">
        <v>1</v>
      </c>
      <c r="T109" s="70">
        <v>1280000</v>
      </c>
      <c r="U109" s="73">
        <f>+J109/2</f>
        <v>20000</v>
      </c>
      <c r="V109" s="73">
        <f>+J109/2</f>
        <v>20000</v>
      </c>
      <c r="W109" s="73"/>
      <c r="X109" s="73"/>
      <c r="Y109" s="73"/>
      <c r="Z109" s="73">
        <f t="shared" si="49"/>
        <v>40000</v>
      </c>
      <c r="AA109" s="218">
        <v>1</v>
      </c>
      <c r="AB109" s="219">
        <v>1</v>
      </c>
      <c r="AC109" s="218">
        <v>1</v>
      </c>
      <c r="AD109" s="219">
        <v>1</v>
      </c>
      <c r="AE109" s="218"/>
      <c r="AF109" s="219"/>
      <c r="AG109" s="218"/>
      <c r="AH109" s="219"/>
      <c r="AI109" s="218"/>
      <c r="AJ109" s="219"/>
    </row>
    <row r="110" spans="1:36" ht="24" x14ac:dyDescent="0.25">
      <c r="A110" s="64">
        <v>1</v>
      </c>
      <c r="B110" s="64">
        <v>2</v>
      </c>
      <c r="C110" s="64">
        <v>1</v>
      </c>
      <c r="D110" s="64">
        <v>3</v>
      </c>
      <c r="E110" s="64">
        <v>3</v>
      </c>
      <c r="F110" s="64">
        <v>0</v>
      </c>
      <c r="G110" s="65" t="s">
        <v>238</v>
      </c>
      <c r="H110" s="66">
        <f>+H111</f>
        <v>10920000</v>
      </c>
      <c r="I110" s="66">
        <f t="shared" ref="I110:L110" si="72">+I111</f>
        <v>2402400</v>
      </c>
      <c r="J110" s="66">
        <f t="shared" si="72"/>
        <v>341250</v>
      </c>
      <c r="K110" s="66">
        <f t="shared" si="72"/>
        <v>75075</v>
      </c>
      <c r="L110" s="66">
        <f t="shared" si="72"/>
        <v>416325</v>
      </c>
      <c r="M110" s="104">
        <f t="shared" si="48"/>
        <v>0.81967213114754101</v>
      </c>
      <c r="N110" s="104">
        <f t="shared" si="43"/>
        <v>0.18032786885245899</v>
      </c>
      <c r="O110" s="71" t="s">
        <v>59</v>
      </c>
      <c r="P110" s="68">
        <v>42736</v>
      </c>
      <c r="Q110" s="68">
        <v>44166</v>
      </c>
      <c r="R110" s="4" t="s">
        <v>89</v>
      </c>
      <c r="S110" s="69"/>
      <c r="T110" s="70"/>
      <c r="U110" s="66"/>
      <c r="V110" s="66">
        <f>+V111</f>
        <v>105000</v>
      </c>
      <c r="W110" s="66">
        <f>+W111</f>
        <v>105000</v>
      </c>
      <c r="X110" s="66">
        <f>+X111</f>
        <v>78750</v>
      </c>
      <c r="Y110" s="66">
        <f>+Y111</f>
        <v>52500</v>
      </c>
      <c r="Z110" s="66">
        <f t="shared" si="49"/>
        <v>341250</v>
      </c>
      <c r="AA110" s="218"/>
      <c r="AB110" s="219"/>
      <c r="AC110" s="218">
        <v>1</v>
      </c>
      <c r="AD110" s="219">
        <v>1</v>
      </c>
      <c r="AE110" s="218">
        <v>1</v>
      </c>
      <c r="AF110" s="219">
        <v>1</v>
      </c>
      <c r="AG110" s="218">
        <v>1</v>
      </c>
      <c r="AH110" s="219">
        <v>1</v>
      </c>
      <c r="AI110" s="218">
        <v>1</v>
      </c>
      <c r="AJ110" s="219">
        <v>1</v>
      </c>
    </row>
    <row r="111" spans="1:36" ht="24" hidden="1" x14ac:dyDescent="0.25">
      <c r="A111" s="64">
        <v>1</v>
      </c>
      <c r="B111" s="64">
        <v>2</v>
      </c>
      <c r="C111" s="64">
        <v>1</v>
      </c>
      <c r="D111" s="64">
        <v>3</v>
      </c>
      <c r="E111" s="64">
        <v>3</v>
      </c>
      <c r="F111" s="64">
        <v>1</v>
      </c>
      <c r="G111" s="72" t="s">
        <v>239</v>
      </c>
      <c r="H111" s="73">
        <f>+S111*R111*T111</f>
        <v>10920000</v>
      </c>
      <c r="I111" s="74">
        <f>+H111*0.22</f>
        <v>2402400</v>
      </c>
      <c r="J111" s="74">
        <f t="shared" ref="J111:K113" si="73">+H111/$H$1</f>
        <v>341250</v>
      </c>
      <c r="K111" s="74">
        <f t="shared" si="73"/>
        <v>75075</v>
      </c>
      <c r="L111" s="74">
        <f>+J111+K111</f>
        <v>416325</v>
      </c>
      <c r="M111" s="67">
        <f t="shared" si="48"/>
        <v>0.81967213114754101</v>
      </c>
      <c r="N111" s="67">
        <f t="shared" si="43"/>
        <v>0.18032786885245899</v>
      </c>
      <c r="O111" s="71" t="s">
        <v>42</v>
      </c>
      <c r="P111" s="68"/>
      <c r="Q111" s="68"/>
      <c r="R111" s="69">
        <f>24+12*0.75+12*0.5</f>
        <v>39</v>
      </c>
      <c r="S111" s="69">
        <v>5</v>
      </c>
      <c r="T111" s="70">
        <v>56000</v>
      </c>
      <c r="U111" s="73"/>
      <c r="V111" s="73">
        <f>+$T111*$S111*12/$H$1</f>
        <v>105000</v>
      </c>
      <c r="W111" s="73">
        <f>+$T111*$S111*12/$H$1</f>
        <v>105000</v>
      </c>
      <c r="X111" s="73">
        <f>+$T111*$S111*12/$H$1*0.75</f>
        <v>78750</v>
      </c>
      <c r="Y111" s="73">
        <f>+$T111*$S111*12/$H$1*0.5</f>
        <v>52500</v>
      </c>
      <c r="Z111" s="73">
        <f t="shared" si="49"/>
        <v>341250</v>
      </c>
      <c r="AA111" s="218"/>
      <c r="AB111" s="219"/>
      <c r="AC111" s="218">
        <v>1</v>
      </c>
      <c r="AD111" s="219">
        <v>1</v>
      </c>
      <c r="AE111" s="218">
        <v>1</v>
      </c>
      <c r="AF111" s="219">
        <v>1</v>
      </c>
      <c r="AG111" s="218">
        <v>1</v>
      </c>
      <c r="AH111" s="219">
        <v>1</v>
      </c>
      <c r="AI111" s="218">
        <v>1</v>
      </c>
      <c r="AJ111" s="219">
        <v>1</v>
      </c>
    </row>
    <row r="112" spans="1:36" ht="36" x14ac:dyDescent="0.25">
      <c r="A112" s="64">
        <v>1</v>
      </c>
      <c r="B112" s="64">
        <v>2</v>
      </c>
      <c r="C112" s="64">
        <v>1</v>
      </c>
      <c r="D112" s="64">
        <v>3</v>
      </c>
      <c r="E112" s="64">
        <v>4</v>
      </c>
      <c r="F112" s="64">
        <v>0</v>
      </c>
      <c r="G112" s="65" t="s">
        <v>124</v>
      </c>
      <c r="H112" s="75">
        <f>64000*5*3</f>
        <v>960000</v>
      </c>
      <c r="I112" s="74">
        <f>+H112*0.22</f>
        <v>211200</v>
      </c>
      <c r="J112" s="74">
        <f t="shared" si="73"/>
        <v>30000</v>
      </c>
      <c r="K112" s="74">
        <f t="shared" si="73"/>
        <v>6600</v>
      </c>
      <c r="L112" s="74">
        <f>+J112+K112</f>
        <v>36600</v>
      </c>
      <c r="M112" s="104">
        <f t="shared" si="48"/>
        <v>0.81967213114754101</v>
      </c>
      <c r="N112" s="104">
        <f t="shared" si="43"/>
        <v>0.18032786885245899</v>
      </c>
      <c r="O112" s="71" t="s">
        <v>6</v>
      </c>
      <c r="P112" s="68">
        <v>42736</v>
      </c>
      <c r="Q112" s="68">
        <v>43252</v>
      </c>
      <c r="R112" s="4" t="s">
        <v>56</v>
      </c>
      <c r="S112" s="69"/>
      <c r="T112" s="70"/>
      <c r="U112" s="66"/>
      <c r="V112" s="66">
        <f>+J112/3*2</f>
        <v>20000</v>
      </c>
      <c r="W112" s="66">
        <f>+J112/3</f>
        <v>10000</v>
      </c>
      <c r="X112" s="66">
        <v>0</v>
      </c>
      <c r="Y112" s="66">
        <v>0</v>
      </c>
      <c r="Z112" s="66">
        <f t="shared" si="49"/>
        <v>30000</v>
      </c>
      <c r="AA112" s="218"/>
      <c r="AB112" s="219"/>
      <c r="AC112" s="218">
        <v>1</v>
      </c>
      <c r="AD112" s="219">
        <v>1</v>
      </c>
      <c r="AE112" s="218">
        <v>1</v>
      </c>
      <c r="AF112" s="219">
        <v>1</v>
      </c>
      <c r="AG112" s="218"/>
      <c r="AH112" s="219"/>
      <c r="AI112" s="218"/>
      <c r="AJ112" s="219"/>
    </row>
    <row r="113" spans="1:36" ht="24" x14ac:dyDescent="0.25">
      <c r="A113" s="64">
        <v>1</v>
      </c>
      <c r="B113" s="64">
        <v>2</v>
      </c>
      <c r="C113" s="64">
        <v>1</v>
      </c>
      <c r="D113" s="64">
        <v>3</v>
      </c>
      <c r="E113" s="64">
        <v>5</v>
      </c>
      <c r="F113" s="64">
        <v>0</v>
      </c>
      <c r="G113" s="65" t="s">
        <v>125</v>
      </c>
      <c r="H113" s="75">
        <f>96000*5*3</f>
        <v>1440000</v>
      </c>
      <c r="I113" s="74">
        <f>+H113*0.22</f>
        <v>316800</v>
      </c>
      <c r="J113" s="74">
        <f t="shared" si="73"/>
        <v>45000</v>
      </c>
      <c r="K113" s="74">
        <f t="shared" si="73"/>
        <v>9900</v>
      </c>
      <c r="L113" s="74">
        <f>+J113+K113</f>
        <v>54900</v>
      </c>
      <c r="M113" s="104">
        <f t="shared" si="48"/>
        <v>0.81967213114754101</v>
      </c>
      <c r="N113" s="104">
        <f t="shared" si="43"/>
        <v>0.18032786885245899</v>
      </c>
      <c r="O113" s="71" t="s">
        <v>6</v>
      </c>
      <c r="P113" s="68">
        <v>42795</v>
      </c>
      <c r="Q113" s="68">
        <v>43344</v>
      </c>
      <c r="R113" s="4" t="s">
        <v>56</v>
      </c>
      <c r="S113" s="69"/>
      <c r="T113" s="70"/>
      <c r="U113" s="66"/>
      <c r="V113" s="66">
        <f>+J113/2</f>
        <v>22500</v>
      </c>
      <c r="W113" s="66">
        <f>+J113/2</f>
        <v>22500</v>
      </c>
      <c r="X113" s="66">
        <v>0</v>
      </c>
      <c r="Y113" s="66">
        <v>0</v>
      </c>
      <c r="Z113" s="66">
        <f t="shared" si="49"/>
        <v>45000</v>
      </c>
      <c r="AA113" s="218"/>
      <c r="AB113" s="219"/>
      <c r="AC113" s="218">
        <v>1</v>
      </c>
      <c r="AD113" s="219">
        <v>1</v>
      </c>
      <c r="AE113" s="218">
        <v>1</v>
      </c>
      <c r="AF113" s="219">
        <v>1</v>
      </c>
      <c r="AG113" s="218"/>
      <c r="AH113" s="219"/>
      <c r="AI113" s="218"/>
      <c r="AJ113" s="219"/>
    </row>
    <row r="114" spans="1:36" ht="24" x14ac:dyDescent="0.25">
      <c r="A114" s="106">
        <v>1</v>
      </c>
      <c r="B114" s="106">
        <v>2</v>
      </c>
      <c r="C114" s="106">
        <v>1</v>
      </c>
      <c r="D114" s="106">
        <v>4</v>
      </c>
      <c r="E114" s="106">
        <v>0</v>
      </c>
      <c r="F114" s="106">
        <v>0</v>
      </c>
      <c r="G114" s="107" t="s">
        <v>126</v>
      </c>
      <c r="H114" s="108">
        <f>+H115+H117+H118</f>
        <v>4000000</v>
      </c>
      <c r="I114" s="108">
        <f t="shared" ref="I114:L114" si="74">+I115+I117+I118</f>
        <v>880000</v>
      </c>
      <c r="J114" s="108">
        <f t="shared" si="74"/>
        <v>125000</v>
      </c>
      <c r="K114" s="108">
        <f t="shared" si="74"/>
        <v>27500</v>
      </c>
      <c r="L114" s="108">
        <f t="shared" si="74"/>
        <v>152500</v>
      </c>
      <c r="M114" s="109">
        <f t="shared" si="48"/>
        <v>0.81967213114754101</v>
      </c>
      <c r="N114" s="109">
        <f t="shared" si="43"/>
        <v>0.18032786885245899</v>
      </c>
      <c r="O114" s="128" t="s">
        <v>240</v>
      </c>
      <c r="P114" s="110"/>
      <c r="Q114" s="110"/>
      <c r="R114" s="111"/>
      <c r="S114" s="112"/>
      <c r="T114" s="113"/>
      <c r="U114" s="108">
        <f>+U118+U116+U117</f>
        <v>25000</v>
      </c>
      <c r="V114" s="108">
        <f>+V118+V116+V117</f>
        <v>67500</v>
      </c>
      <c r="W114" s="108">
        <f>+W118+W116+W117</f>
        <v>32500</v>
      </c>
      <c r="X114" s="108">
        <f t="shared" ref="X114:Y114" si="75">+X118+X116+X117</f>
        <v>0</v>
      </c>
      <c r="Y114" s="108">
        <f t="shared" si="75"/>
        <v>0</v>
      </c>
      <c r="Z114" s="108">
        <f t="shared" si="49"/>
        <v>125000</v>
      </c>
      <c r="AA114" s="218">
        <v>1</v>
      </c>
      <c r="AB114" s="219">
        <v>1</v>
      </c>
      <c r="AC114" s="218">
        <v>1</v>
      </c>
      <c r="AD114" s="219">
        <v>1</v>
      </c>
      <c r="AE114" s="218">
        <v>1</v>
      </c>
      <c r="AF114" s="219">
        <v>1</v>
      </c>
      <c r="AG114" s="218">
        <v>1</v>
      </c>
      <c r="AH114" s="219">
        <v>1</v>
      </c>
      <c r="AI114" s="218">
        <v>1</v>
      </c>
      <c r="AJ114" s="219">
        <v>1</v>
      </c>
    </row>
    <row r="115" spans="1:36" x14ac:dyDescent="0.25">
      <c r="A115" s="64">
        <v>1</v>
      </c>
      <c r="B115" s="64">
        <v>2</v>
      </c>
      <c r="C115" s="64">
        <v>1</v>
      </c>
      <c r="D115" s="64">
        <v>4</v>
      </c>
      <c r="E115" s="64">
        <v>1</v>
      </c>
      <c r="F115" s="64">
        <v>0</v>
      </c>
      <c r="G115" s="65" t="s">
        <v>196</v>
      </c>
      <c r="H115" s="75">
        <f>+H116</f>
        <v>1600000</v>
      </c>
      <c r="I115" s="66">
        <f t="shared" ref="I115:L115" si="76">+I116</f>
        <v>352000</v>
      </c>
      <c r="J115" s="66">
        <f t="shared" si="76"/>
        <v>50000</v>
      </c>
      <c r="K115" s="66">
        <f t="shared" si="76"/>
        <v>11000</v>
      </c>
      <c r="L115" s="66">
        <f t="shared" si="76"/>
        <v>61000</v>
      </c>
      <c r="M115" s="104">
        <f t="shared" si="48"/>
        <v>0.81967213114754101</v>
      </c>
      <c r="N115" s="104">
        <f t="shared" si="43"/>
        <v>0.18032786885245899</v>
      </c>
      <c r="O115" s="71" t="s">
        <v>59</v>
      </c>
      <c r="P115" s="68">
        <v>42614</v>
      </c>
      <c r="Q115" s="114">
        <v>42795</v>
      </c>
      <c r="R115" s="4" t="s">
        <v>115</v>
      </c>
      <c r="S115" s="115"/>
      <c r="T115" s="70"/>
      <c r="U115" s="66">
        <f>+U116</f>
        <v>25000</v>
      </c>
      <c r="V115" s="66">
        <f>+V116</f>
        <v>25000</v>
      </c>
      <c r="W115" s="66"/>
      <c r="X115" s="66"/>
      <c r="Y115" s="66"/>
      <c r="Z115" s="66">
        <f t="shared" si="49"/>
        <v>50000</v>
      </c>
      <c r="AA115" s="218">
        <v>1</v>
      </c>
      <c r="AB115" s="219">
        <v>1</v>
      </c>
      <c r="AC115" s="218">
        <v>1</v>
      </c>
      <c r="AD115" s="219">
        <v>1</v>
      </c>
      <c r="AE115" s="218"/>
      <c r="AF115" s="219"/>
      <c r="AG115" s="218"/>
      <c r="AH115" s="219"/>
      <c r="AI115" s="218"/>
      <c r="AJ115" s="219"/>
    </row>
    <row r="116" spans="1:36" ht="36" hidden="1" x14ac:dyDescent="0.25">
      <c r="A116" s="64">
        <v>1</v>
      </c>
      <c r="B116" s="64">
        <v>2</v>
      </c>
      <c r="C116" s="64">
        <v>1</v>
      </c>
      <c r="D116" s="64">
        <v>4</v>
      </c>
      <c r="E116" s="64">
        <v>1</v>
      </c>
      <c r="F116" s="64">
        <v>1</v>
      </c>
      <c r="G116" s="72" t="s">
        <v>127</v>
      </c>
      <c r="H116" s="73">
        <f>+S116*R116*T116</f>
        <v>1600000</v>
      </c>
      <c r="I116" s="74">
        <f>+H116*0.22</f>
        <v>352000</v>
      </c>
      <c r="J116" s="74">
        <f t="shared" ref="J116:K118" si="77">+H116/$H$1</f>
        <v>50000</v>
      </c>
      <c r="K116" s="74">
        <f t="shared" si="77"/>
        <v>11000</v>
      </c>
      <c r="L116" s="74">
        <f>+J116+K116</f>
        <v>61000</v>
      </c>
      <c r="M116" s="67">
        <f t="shared" si="48"/>
        <v>0.81967213114754101</v>
      </c>
      <c r="N116" s="67">
        <f t="shared" si="43"/>
        <v>0.18032786885245899</v>
      </c>
      <c r="O116" s="117" t="s">
        <v>62</v>
      </c>
      <c r="P116" s="68"/>
      <c r="Q116" s="114"/>
      <c r="R116" s="4">
        <v>1</v>
      </c>
      <c r="S116" s="115">
        <v>1</v>
      </c>
      <c r="T116" s="116">
        <f>32*50000</f>
        <v>1600000</v>
      </c>
      <c r="U116" s="73">
        <f>+$J116/2</f>
        <v>25000</v>
      </c>
      <c r="V116" s="73">
        <f>+$J116/2</f>
        <v>25000</v>
      </c>
      <c r="W116" s="73"/>
      <c r="X116" s="73"/>
      <c r="Y116" s="73"/>
      <c r="Z116" s="73">
        <f t="shared" si="49"/>
        <v>50000</v>
      </c>
      <c r="AA116" s="218">
        <v>1</v>
      </c>
      <c r="AB116" s="219">
        <v>1</v>
      </c>
      <c r="AC116" s="218">
        <v>1</v>
      </c>
      <c r="AD116" s="219">
        <v>1</v>
      </c>
      <c r="AE116" s="218"/>
      <c r="AF116" s="219"/>
      <c r="AG116" s="218"/>
      <c r="AH116" s="219"/>
      <c r="AI116" s="218"/>
      <c r="AJ116" s="219"/>
    </row>
    <row r="117" spans="1:36" ht="24" x14ac:dyDescent="0.25">
      <c r="A117" s="64">
        <v>1</v>
      </c>
      <c r="B117" s="64">
        <v>2</v>
      </c>
      <c r="C117" s="64">
        <v>1</v>
      </c>
      <c r="D117" s="64">
        <v>4</v>
      </c>
      <c r="E117" s="64">
        <v>2</v>
      </c>
      <c r="F117" s="64">
        <v>0</v>
      </c>
      <c r="G117" s="65" t="s">
        <v>197</v>
      </c>
      <c r="H117" s="75">
        <f>64000*5*3</f>
        <v>960000</v>
      </c>
      <c r="I117" s="74">
        <f>+H117*0.22</f>
        <v>211200</v>
      </c>
      <c r="J117" s="74">
        <f t="shared" si="77"/>
        <v>30000</v>
      </c>
      <c r="K117" s="74">
        <f t="shared" si="77"/>
        <v>6600</v>
      </c>
      <c r="L117" s="74">
        <f>+J117+K117</f>
        <v>36600</v>
      </c>
      <c r="M117" s="104">
        <f t="shared" si="48"/>
        <v>0.81967213114754101</v>
      </c>
      <c r="N117" s="104">
        <f t="shared" si="43"/>
        <v>0.18032786885245899</v>
      </c>
      <c r="O117" s="118" t="s">
        <v>6</v>
      </c>
      <c r="P117" s="68">
        <v>42736</v>
      </c>
      <c r="Q117" s="68">
        <v>43252</v>
      </c>
      <c r="R117" s="4" t="s">
        <v>56</v>
      </c>
      <c r="S117" s="69"/>
      <c r="T117" s="70"/>
      <c r="U117" s="66">
        <v>0</v>
      </c>
      <c r="V117" s="66">
        <f>+J117/3*2</f>
        <v>20000</v>
      </c>
      <c r="W117" s="66">
        <f>+J117/3</f>
        <v>10000</v>
      </c>
      <c r="X117" s="66">
        <v>0</v>
      </c>
      <c r="Y117" s="66">
        <v>0</v>
      </c>
      <c r="Z117" s="66">
        <f t="shared" si="49"/>
        <v>30000</v>
      </c>
      <c r="AA117" s="218"/>
      <c r="AB117" s="219"/>
      <c r="AC117" s="218">
        <v>1</v>
      </c>
      <c r="AD117" s="219">
        <v>1</v>
      </c>
      <c r="AE117" s="218">
        <v>1</v>
      </c>
      <c r="AF117" s="219">
        <v>1</v>
      </c>
      <c r="AG117" s="218"/>
      <c r="AH117" s="219"/>
      <c r="AI117" s="218"/>
      <c r="AJ117" s="219"/>
    </row>
    <row r="118" spans="1:36" ht="24" x14ac:dyDescent="0.25">
      <c r="A118" s="64">
        <v>1</v>
      </c>
      <c r="B118" s="64">
        <v>2</v>
      </c>
      <c r="C118" s="64">
        <v>1</v>
      </c>
      <c r="D118" s="64">
        <v>4</v>
      </c>
      <c r="E118" s="64">
        <v>3</v>
      </c>
      <c r="F118" s="64">
        <v>0</v>
      </c>
      <c r="G118" s="65" t="s">
        <v>128</v>
      </c>
      <c r="H118" s="75">
        <f>96000*5*3</f>
        <v>1440000</v>
      </c>
      <c r="I118" s="74">
        <f>+H118*0.22</f>
        <v>316800</v>
      </c>
      <c r="J118" s="74">
        <f t="shared" si="77"/>
        <v>45000</v>
      </c>
      <c r="K118" s="74">
        <f t="shared" si="77"/>
        <v>9900</v>
      </c>
      <c r="L118" s="74">
        <f>+J118+K118</f>
        <v>54900</v>
      </c>
      <c r="M118" s="104">
        <f t="shared" si="48"/>
        <v>0.81967213114754101</v>
      </c>
      <c r="N118" s="104">
        <f t="shared" si="43"/>
        <v>0.18032786885245899</v>
      </c>
      <c r="O118" s="267" t="s">
        <v>6</v>
      </c>
      <c r="P118" s="68">
        <v>42795</v>
      </c>
      <c r="Q118" s="68">
        <v>43344</v>
      </c>
      <c r="R118" s="4" t="s">
        <v>56</v>
      </c>
      <c r="S118" s="69"/>
      <c r="T118" s="70"/>
      <c r="U118" s="66">
        <v>0</v>
      </c>
      <c r="V118" s="66">
        <f>+J118/2</f>
        <v>22500</v>
      </c>
      <c r="W118" s="66">
        <f>+J118/2</f>
        <v>22500</v>
      </c>
      <c r="X118" s="66">
        <v>0</v>
      </c>
      <c r="Y118" s="66">
        <v>0</v>
      </c>
      <c r="Z118" s="66">
        <f t="shared" si="49"/>
        <v>45000</v>
      </c>
      <c r="AA118" s="218"/>
      <c r="AB118" s="219"/>
      <c r="AC118" s="218">
        <v>1</v>
      </c>
      <c r="AD118" s="219">
        <v>1</v>
      </c>
      <c r="AE118" s="218">
        <v>1</v>
      </c>
      <c r="AF118" s="219">
        <v>1</v>
      </c>
      <c r="AG118" s="218"/>
      <c r="AH118" s="219"/>
      <c r="AI118" s="218"/>
      <c r="AJ118" s="219"/>
    </row>
    <row r="119" spans="1:36" x14ac:dyDescent="0.25">
      <c r="A119" s="46">
        <v>1</v>
      </c>
      <c r="B119" s="46">
        <v>2</v>
      </c>
      <c r="C119" s="46">
        <v>2</v>
      </c>
      <c r="D119" s="46">
        <v>0</v>
      </c>
      <c r="E119" s="46">
        <v>0</v>
      </c>
      <c r="F119" s="46"/>
      <c r="G119" s="92" t="s">
        <v>129</v>
      </c>
      <c r="H119" s="48">
        <f>+H120+H122+H125+H130+H138</f>
        <v>24524000</v>
      </c>
      <c r="I119" s="48">
        <f>+I120+I122+I125+I130+I138</f>
        <v>5395280</v>
      </c>
      <c r="J119" s="48">
        <f>+J120+J122+J125+J130+J138</f>
        <v>766375</v>
      </c>
      <c r="K119" s="48">
        <f>+K120+K122+K125+K130+K138</f>
        <v>168602.5</v>
      </c>
      <c r="L119" s="48">
        <f>+L120+L122+L125+L130+L138</f>
        <v>934977.5</v>
      </c>
      <c r="M119" s="119">
        <f t="shared" si="48"/>
        <v>0.81967213114754101</v>
      </c>
      <c r="N119" s="119">
        <f t="shared" si="43"/>
        <v>0.18032786885245899</v>
      </c>
      <c r="O119" s="264" t="s">
        <v>209</v>
      </c>
      <c r="P119" s="120"/>
      <c r="Q119" s="120"/>
      <c r="R119" s="121"/>
      <c r="S119" s="122"/>
      <c r="T119" s="123"/>
      <c r="U119" s="48">
        <f>+U120+U122+U125+U130+U138</f>
        <v>92875</v>
      </c>
      <c r="V119" s="48">
        <f>+V120+V122+V125+V130+V138</f>
        <v>168562.5</v>
      </c>
      <c r="W119" s="48">
        <f>+W120+W122+W125+W130+W138</f>
        <v>213750</v>
      </c>
      <c r="X119" s="48">
        <f>+X120+X122+X125+X130+X138</f>
        <v>169312.5</v>
      </c>
      <c r="Y119" s="48">
        <f>+Y120+Y122+Y125+Y130+Y138</f>
        <v>121875</v>
      </c>
      <c r="Z119" s="48">
        <f t="shared" si="49"/>
        <v>766375</v>
      </c>
      <c r="AA119" s="218">
        <v>1</v>
      </c>
      <c r="AB119" s="219">
        <v>1</v>
      </c>
      <c r="AC119" s="218">
        <v>1</v>
      </c>
      <c r="AD119" s="219">
        <v>1</v>
      </c>
      <c r="AE119" s="218">
        <v>1</v>
      </c>
      <c r="AF119" s="219">
        <v>1</v>
      </c>
      <c r="AG119" s="218">
        <v>1</v>
      </c>
      <c r="AH119" s="219">
        <v>1</v>
      </c>
      <c r="AI119" s="218">
        <v>1</v>
      </c>
      <c r="AJ119" s="219">
        <v>1</v>
      </c>
    </row>
    <row r="120" spans="1:36" x14ac:dyDescent="0.25">
      <c r="A120" s="106">
        <v>1</v>
      </c>
      <c r="B120" s="106">
        <v>2</v>
      </c>
      <c r="C120" s="106">
        <v>2</v>
      </c>
      <c r="D120" s="106">
        <v>1</v>
      </c>
      <c r="E120" s="106">
        <v>0</v>
      </c>
      <c r="F120" s="106">
        <v>0</v>
      </c>
      <c r="G120" s="124" t="s">
        <v>130</v>
      </c>
      <c r="H120" s="108">
        <f>+H121</f>
        <v>3840000</v>
      </c>
      <c r="I120" s="108">
        <f t="shared" ref="I120:L120" si="78">+I121</f>
        <v>844800</v>
      </c>
      <c r="J120" s="108">
        <f t="shared" si="78"/>
        <v>120000</v>
      </c>
      <c r="K120" s="108">
        <f t="shared" si="78"/>
        <v>26400</v>
      </c>
      <c r="L120" s="108">
        <f t="shared" si="78"/>
        <v>146400</v>
      </c>
      <c r="M120" s="109">
        <f t="shared" si="48"/>
        <v>0.81967213114754101</v>
      </c>
      <c r="N120" s="109">
        <f t="shared" si="43"/>
        <v>0.18032786885245899</v>
      </c>
      <c r="O120" s="128" t="s">
        <v>240</v>
      </c>
      <c r="P120" s="110"/>
      <c r="Q120" s="110"/>
      <c r="R120" s="111"/>
      <c r="S120" s="112"/>
      <c r="T120" s="113"/>
      <c r="U120" s="108">
        <f>+U121</f>
        <v>0</v>
      </c>
      <c r="V120" s="108">
        <f>+V121</f>
        <v>30000</v>
      </c>
      <c r="W120" s="108">
        <f>+W121</f>
        <v>30000</v>
      </c>
      <c r="X120" s="108">
        <f>+X121</f>
        <v>30000</v>
      </c>
      <c r="Y120" s="108">
        <f>+Y121</f>
        <v>30000</v>
      </c>
      <c r="Z120" s="108">
        <f t="shared" si="49"/>
        <v>120000</v>
      </c>
      <c r="AA120" s="218"/>
      <c r="AB120" s="219"/>
      <c r="AC120" s="218">
        <v>1</v>
      </c>
      <c r="AD120" s="219">
        <v>1</v>
      </c>
      <c r="AE120" s="218">
        <v>1</v>
      </c>
      <c r="AF120" s="219">
        <v>1</v>
      </c>
      <c r="AG120" s="218">
        <v>1</v>
      </c>
      <c r="AH120" s="219">
        <v>1</v>
      </c>
      <c r="AI120" s="218">
        <v>1</v>
      </c>
      <c r="AJ120" s="219">
        <v>1</v>
      </c>
    </row>
    <row r="121" spans="1:36" x14ac:dyDescent="0.25">
      <c r="A121" s="64">
        <v>1</v>
      </c>
      <c r="B121" s="64">
        <v>2</v>
      </c>
      <c r="C121" s="64">
        <v>2</v>
      </c>
      <c r="D121" s="64">
        <v>1</v>
      </c>
      <c r="E121" s="64">
        <v>1</v>
      </c>
      <c r="F121" s="64">
        <v>0</v>
      </c>
      <c r="G121" s="65" t="s">
        <v>198</v>
      </c>
      <c r="H121" s="66">
        <f>40*96000</f>
        <v>3840000</v>
      </c>
      <c r="I121" s="74">
        <f>+H121*0.22</f>
        <v>844800</v>
      </c>
      <c r="J121" s="74">
        <f>+H121/$H$1</f>
        <v>120000</v>
      </c>
      <c r="K121" s="74">
        <f>+I121/$H$1</f>
        <v>26400</v>
      </c>
      <c r="L121" s="74">
        <f>+J121+K121</f>
        <v>146400</v>
      </c>
      <c r="M121" s="126">
        <f t="shared" si="48"/>
        <v>0.81967213114754101</v>
      </c>
      <c r="N121" s="126">
        <f t="shared" si="43"/>
        <v>0.18032786885245899</v>
      </c>
      <c r="O121" s="71" t="s">
        <v>54</v>
      </c>
      <c r="P121" s="68">
        <v>42795</v>
      </c>
      <c r="Q121" s="68">
        <v>44166</v>
      </c>
      <c r="R121" s="4" t="s">
        <v>131</v>
      </c>
      <c r="S121" s="69"/>
      <c r="T121" s="70"/>
      <c r="U121" s="66">
        <v>0</v>
      </c>
      <c r="V121" s="66">
        <f>+$J121/4</f>
        <v>30000</v>
      </c>
      <c r="W121" s="66">
        <f>+$J121/4</f>
        <v>30000</v>
      </c>
      <c r="X121" s="66">
        <f>+$J121/4</f>
        <v>30000</v>
      </c>
      <c r="Y121" s="66">
        <f>+$J121/4</f>
        <v>30000</v>
      </c>
      <c r="Z121" s="66">
        <f t="shared" si="49"/>
        <v>120000</v>
      </c>
      <c r="AA121" s="218"/>
      <c r="AB121" s="219"/>
      <c r="AC121" s="218">
        <v>1</v>
      </c>
      <c r="AD121" s="219">
        <v>1</v>
      </c>
      <c r="AE121" s="218">
        <v>1</v>
      </c>
      <c r="AF121" s="219">
        <v>1</v>
      </c>
      <c r="AG121" s="218">
        <v>1</v>
      </c>
      <c r="AH121" s="219">
        <v>1</v>
      </c>
      <c r="AI121" s="218">
        <v>1</v>
      </c>
      <c r="AJ121" s="219">
        <v>1</v>
      </c>
    </row>
    <row r="122" spans="1:36" x14ac:dyDescent="0.25">
      <c r="A122" s="106">
        <v>1</v>
      </c>
      <c r="B122" s="106">
        <v>2</v>
      </c>
      <c r="C122" s="106">
        <v>2</v>
      </c>
      <c r="D122" s="106">
        <v>2</v>
      </c>
      <c r="E122" s="106">
        <v>0</v>
      </c>
      <c r="F122" s="106">
        <v>0</v>
      </c>
      <c r="G122" s="124" t="s">
        <v>241</v>
      </c>
      <c r="H122" s="108">
        <f>+H124</f>
        <v>2184000</v>
      </c>
      <c r="I122" s="108">
        <f t="shared" ref="I122:L122" si="79">+I124</f>
        <v>480480</v>
      </c>
      <c r="J122" s="108">
        <f t="shared" si="79"/>
        <v>68250</v>
      </c>
      <c r="K122" s="108">
        <f t="shared" si="79"/>
        <v>15015</v>
      </c>
      <c r="L122" s="108">
        <f t="shared" si="79"/>
        <v>83265</v>
      </c>
      <c r="M122" s="127">
        <f t="shared" si="48"/>
        <v>0.81967213114754101</v>
      </c>
      <c r="N122" s="127">
        <f t="shared" si="43"/>
        <v>0.18032786885245899</v>
      </c>
      <c r="O122" s="128" t="s">
        <v>207</v>
      </c>
      <c r="P122" s="110"/>
      <c r="Q122" s="110"/>
      <c r="R122" s="111"/>
      <c r="S122" s="112"/>
      <c r="T122" s="113"/>
      <c r="U122" s="108">
        <f>+U124</f>
        <v>0</v>
      </c>
      <c r="V122" s="108">
        <f>+V124</f>
        <v>21000</v>
      </c>
      <c r="W122" s="108">
        <f>+W124</f>
        <v>21000</v>
      </c>
      <c r="X122" s="108">
        <f>+X124</f>
        <v>15750</v>
      </c>
      <c r="Y122" s="108">
        <f>+Y124</f>
        <v>10500</v>
      </c>
      <c r="Z122" s="108">
        <f t="shared" si="49"/>
        <v>68250</v>
      </c>
      <c r="AA122" s="218"/>
      <c r="AB122" s="219"/>
      <c r="AC122" s="218">
        <v>1</v>
      </c>
      <c r="AD122" s="219">
        <v>1</v>
      </c>
      <c r="AE122" s="218">
        <v>1</v>
      </c>
      <c r="AF122" s="219">
        <v>1</v>
      </c>
      <c r="AG122" s="218">
        <v>1</v>
      </c>
      <c r="AH122" s="219">
        <v>1</v>
      </c>
      <c r="AI122" s="218">
        <v>1</v>
      </c>
      <c r="AJ122" s="219">
        <v>1</v>
      </c>
    </row>
    <row r="123" spans="1:36" ht="24" x14ac:dyDescent="0.25">
      <c r="A123" s="64">
        <v>1</v>
      </c>
      <c r="B123" s="64">
        <v>2</v>
      </c>
      <c r="C123" s="64">
        <v>2</v>
      </c>
      <c r="D123" s="64">
        <v>2</v>
      </c>
      <c r="E123" s="64">
        <v>1</v>
      </c>
      <c r="F123" s="64">
        <v>0</v>
      </c>
      <c r="G123" s="65" t="s">
        <v>242</v>
      </c>
      <c r="H123" s="66">
        <f>+H124</f>
        <v>2184000</v>
      </c>
      <c r="I123" s="66">
        <f t="shared" ref="I123:L123" si="80">+I124</f>
        <v>480480</v>
      </c>
      <c r="J123" s="66">
        <f t="shared" si="80"/>
        <v>68250</v>
      </c>
      <c r="K123" s="66">
        <f t="shared" si="80"/>
        <v>15015</v>
      </c>
      <c r="L123" s="66">
        <f t="shared" si="80"/>
        <v>83265</v>
      </c>
      <c r="M123" s="104">
        <f t="shared" si="48"/>
        <v>0.81967213114754101</v>
      </c>
      <c r="N123" s="104">
        <f t="shared" si="43"/>
        <v>0.18032786885245899</v>
      </c>
      <c r="O123" s="71" t="s">
        <v>59</v>
      </c>
      <c r="P123" s="68">
        <v>42736</v>
      </c>
      <c r="Q123" s="68">
        <v>43466</v>
      </c>
      <c r="R123" s="4" t="s">
        <v>89</v>
      </c>
      <c r="S123" s="69"/>
      <c r="T123" s="70"/>
      <c r="U123" s="66">
        <f>+U124</f>
        <v>0</v>
      </c>
      <c r="V123" s="66">
        <f>+V124</f>
        <v>21000</v>
      </c>
      <c r="W123" s="66">
        <f>+W124</f>
        <v>21000</v>
      </c>
      <c r="X123" s="66">
        <f>+X124</f>
        <v>15750</v>
      </c>
      <c r="Y123" s="66">
        <f>+Y124</f>
        <v>10500</v>
      </c>
      <c r="Z123" s="66">
        <f t="shared" si="49"/>
        <v>68250</v>
      </c>
      <c r="AA123" s="218"/>
      <c r="AB123" s="219"/>
      <c r="AC123" s="218">
        <v>1</v>
      </c>
      <c r="AD123" s="219">
        <v>1</v>
      </c>
      <c r="AE123" s="218">
        <v>1</v>
      </c>
      <c r="AF123" s="219">
        <v>1</v>
      </c>
      <c r="AG123" s="218">
        <v>1</v>
      </c>
      <c r="AH123" s="219">
        <v>1</v>
      </c>
      <c r="AI123" s="218">
        <v>1</v>
      </c>
      <c r="AJ123" s="219">
        <v>1</v>
      </c>
    </row>
    <row r="124" spans="1:36" ht="24" hidden="1" x14ac:dyDescent="0.25">
      <c r="A124" s="64">
        <v>1</v>
      </c>
      <c r="B124" s="64">
        <v>2</v>
      </c>
      <c r="C124" s="64">
        <v>2</v>
      </c>
      <c r="D124" s="64">
        <v>2</v>
      </c>
      <c r="E124" s="64">
        <v>1</v>
      </c>
      <c r="F124" s="64">
        <v>1</v>
      </c>
      <c r="G124" s="72" t="s">
        <v>243</v>
      </c>
      <c r="H124" s="73">
        <f>+S124*R124*T124</f>
        <v>2184000</v>
      </c>
      <c r="I124" s="74">
        <f>+H124*0.22</f>
        <v>480480</v>
      </c>
      <c r="J124" s="74">
        <f>+H124/$H$1</f>
        <v>68250</v>
      </c>
      <c r="K124" s="74">
        <f>+I124/$H$1</f>
        <v>15015</v>
      </c>
      <c r="L124" s="74">
        <f>+J124+K124</f>
        <v>83265</v>
      </c>
      <c r="M124" s="67">
        <f t="shared" si="48"/>
        <v>0.81967213114754101</v>
      </c>
      <c r="N124" s="67">
        <f t="shared" si="43"/>
        <v>0.18032786885245899</v>
      </c>
      <c r="O124" s="71" t="s">
        <v>42</v>
      </c>
      <c r="P124" s="68"/>
      <c r="Q124" s="114"/>
      <c r="R124" s="69">
        <f>24+12*0.75+12*0.5</f>
        <v>39</v>
      </c>
      <c r="S124" s="115">
        <v>1</v>
      </c>
      <c r="T124" s="70">
        <v>56000</v>
      </c>
      <c r="U124" s="73">
        <v>0</v>
      </c>
      <c r="V124" s="73">
        <f>+$T124*$S124*12/$H$1</f>
        <v>21000</v>
      </c>
      <c r="W124" s="73">
        <f>+$T124*$S124*12/$H$1</f>
        <v>21000</v>
      </c>
      <c r="X124" s="73">
        <f>+$T124*$S124*12/$H$1*0.75</f>
        <v>15750</v>
      </c>
      <c r="Y124" s="73">
        <f>+$T124*$S124*12/$H$1*0.5</f>
        <v>10500</v>
      </c>
      <c r="Z124" s="73">
        <f t="shared" si="49"/>
        <v>68250</v>
      </c>
      <c r="AA124" s="218"/>
      <c r="AB124" s="219"/>
      <c r="AC124" s="218">
        <v>1</v>
      </c>
      <c r="AD124" s="219">
        <v>1</v>
      </c>
      <c r="AE124" s="218">
        <v>1</v>
      </c>
      <c r="AF124" s="219">
        <v>1</v>
      </c>
      <c r="AG124" s="218">
        <v>1</v>
      </c>
      <c r="AH124" s="219">
        <v>1</v>
      </c>
      <c r="AI124" s="218">
        <v>1</v>
      </c>
      <c r="AJ124" s="219">
        <v>1</v>
      </c>
    </row>
    <row r="125" spans="1:36" x14ac:dyDescent="0.25">
      <c r="A125" s="106">
        <v>1</v>
      </c>
      <c r="B125" s="106">
        <v>2</v>
      </c>
      <c r="C125" s="106">
        <v>2</v>
      </c>
      <c r="D125" s="106">
        <v>3</v>
      </c>
      <c r="E125" s="106">
        <v>0</v>
      </c>
      <c r="F125" s="106">
        <v>0</v>
      </c>
      <c r="G125" s="124" t="s">
        <v>132</v>
      </c>
      <c r="H125" s="108">
        <f>+H126</f>
        <v>9297000</v>
      </c>
      <c r="I125" s="108">
        <f t="shared" ref="I125:L125" si="81">+I126</f>
        <v>2045340</v>
      </c>
      <c r="J125" s="108">
        <f t="shared" si="81"/>
        <v>290531.25</v>
      </c>
      <c r="K125" s="108">
        <f t="shared" si="81"/>
        <v>63916.875</v>
      </c>
      <c r="L125" s="108">
        <f t="shared" si="81"/>
        <v>354448.125</v>
      </c>
      <c r="M125" s="109">
        <f t="shared" si="48"/>
        <v>0.81967213114754101</v>
      </c>
      <c r="N125" s="109">
        <f t="shared" si="43"/>
        <v>0.18032786885245899</v>
      </c>
      <c r="O125" s="129" t="s">
        <v>207</v>
      </c>
      <c r="P125" s="110"/>
      <c r="Q125" s="110"/>
      <c r="R125" s="111"/>
      <c r="S125" s="112"/>
      <c r="T125" s="113"/>
      <c r="U125" s="108">
        <f t="shared" ref="U125" si="82">+U126</f>
        <v>19125</v>
      </c>
      <c r="V125" s="108">
        <f t="shared" ref="V125" si="83">+V126</f>
        <v>47812.5</v>
      </c>
      <c r="W125" s="108">
        <f t="shared" ref="W125" si="84">+W126</f>
        <v>99375</v>
      </c>
      <c r="X125" s="108">
        <f t="shared" ref="X125" si="85">+X126</f>
        <v>74531.25</v>
      </c>
      <c r="Y125" s="108">
        <f t="shared" ref="Y125" si="86">+Y126</f>
        <v>49687.5</v>
      </c>
      <c r="Z125" s="108">
        <f t="shared" ref="Z125" si="87">+Z126</f>
        <v>290531.25</v>
      </c>
      <c r="AA125" s="218">
        <v>1</v>
      </c>
      <c r="AB125" s="219">
        <v>1</v>
      </c>
      <c r="AC125" s="218">
        <v>1</v>
      </c>
      <c r="AD125" s="219">
        <v>1</v>
      </c>
      <c r="AE125" s="218">
        <v>1</v>
      </c>
      <c r="AF125" s="219">
        <v>1</v>
      </c>
      <c r="AG125" s="218">
        <v>1</v>
      </c>
      <c r="AH125" s="219">
        <v>1</v>
      </c>
      <c r="AI125" s="218">
        <v>1</v>
      </c>
      <c r="AJ125" s="219">
        <v>1</v>
      </c>
    </row>
    <row r="126" spans="1:36" ht="24" x14ac:dyDescent="0.25">
      <c r="A126" s="64">
        <v>1</v>
      </c>
      <c r="B126" s="64">
        <v>2</v>
      </c>
      <c r="C126" s="64">
        <v>2</v>
      </c>
      <c r="D126" s="64">
        <v>3</v>
      </c>
      <c r="E126" s="64">
        <v>1</v>
      </c>
      <c r="F126" s="64">
        <v>0</v>
      </c>
      <c r="G126" s="65" t="s">
        <v>199</v>
      </c>
      <c r="H126" s="66">
        <f>+H128+H127+H129</f>
        <v>9297000</v>
      </c>
      <c r="I126" s="66">
        <f t="shared" ref="I126:L126" si="88">+I128+I127+I129</f>
        <v>2045340</v>
      </c>
      <c r="J126" s="66">
        <f t="shared" si="88"/>
        <v>290531.25</v>
      </c>
      <c r="K126" s="66">
        <f t="shared" si="88"/>
        <v>63916.875</v>
      </c>
      <c r="L126" s="66">
        <f t="shared" si="88"/>
        <v>354448.125</v>
      </c>
      <c r="M126" s="104">
        <f t="shared" si="48"/>
        <v>0.81967213114754101</v>
      </c>
      <c r="N126" s="104">
        <f t="shared" si="43"/>
        <v>0.18032786885245899</v>
      </c>
      <c r="O126" s="71" t="s">
        <v>59</v>
      </c>
      <c r="P126" s="68">
        <v>42522</v>
      </c>
      <c r="Q126" s="68">
        <v>44166</v>
      </c>
      <c r="R126" s="4" t="s">
        <v>46</v>
      </c>
      <c r="S126" s="69"/>
      <c r="T126" s="70"/>
      <c r="U126" s="66">
        <f>+U128+U127+U129</f>
        <v>19125</v>
      </c>
      <c r="V126" s="66">
        <f t="shared" ref="V126:Y126" si="89">+V128+V127+V129</f>
        <v>47812.5</v>
      </c>
      <c r="W126" s="66">
        <f t="shared" si="89"/>
        <v>99375</v>
      </c>
      <c r="X126" s="66">
        <f t="shared" si="89"/>
        <v>74531.25</v>
      </c>
      <c r="Y126" s="66">
        <f t="shared" si="89"/>
        <v>49687.5</v>
      </c>
      <c r="Z126" s="66">
        <f t="shared" si="49"/>
        <v>290531.25</v>
      </c>
      <c r="AA126" s="218">
        <v>1</v>
      </c>
      <c r="AB126" s="219">
        <v>1</v>
      </c>
      <c r="AC126" s="218">
        <v>1</v>
      </c>
      <c r="AD126" s="219">
        <v>1</v>
      </c>
      <c r="AE126" s="218">
        <v>1</v>
      </c>
      <c r="AF126" s="219">
        <v>1</v>
      </c>
      <c r="AG126" s="218">
        <v>1</v>
      </c>
      <c r="AH126" s="219">
        <v>1</v>
      </c>
      <c r="AI126" s="218">
        <v>1</v>
      </c>
      <c r="AJ126" s="219">
        <v>1</v>
      </c>
    </row>
    <row r="127" spans="1:36" ht="24" hidden="1" customHeight="1" x14ac:dyDescent="0.25">
      <c r="A127" s="64">
        <v>1</v>
      </c>
      <c r="B127" s="64">
        <v>2</v>
      </c>
      <c r="C127" s="64">
        <v>2</v>
      </c>
      <c r="D127" s="64">
        <v>3</v>
      </c>
      <c r="E127" s="64">
        <v>1</v>
      </c>
      <c r="F127" s="64">
        <v>1</v>
      </c>
      <c r="G127" s="72" t="s">
        <v>133</v>
      </c>
      <c r="H127" s="73">
        <f>+S127*R127*T127</f>
        <v>1224000</v>
      </c>
      <c r="I127" s="74">
        <f>+H127*0.22</f>
        <v>269280</v>
      </c>
      <c r="J127" s="74">
        <f t="shared" ref="J127:K129" si="90">+H127/$H$1</f>
        <v>38250</v>
      </c>
      <c r="K127" s="74">
        <f t="shared" si="90"/>
        <v>8415</v>
      </c>
      <c r="L127" s="74">
        <f>+J127+K127</f>
        <v>46665</v>
      </c>
      <c r="M127" s="67">
        <f t="shared" si="48"/>
        <v>0.81967213114754101</v>
      </c>
      <c r="N127" s="67">
        <f t="shared" si="43"/>
        <v>0.18032786885245899</v>
      </c>
      <c r="O127" s="105" t="s">
        <v>42</v>
      </c>
      <c r="P127" s="68"/>
      <c r="Q127" s="68"/>
      <c r="R127" s="4">
        <v>12</v>
      </c>
      <c r="S127" s="69">
        <v>2</v>
      </c>
      <c r="T127" s="70">
        <v>51000</v>
      </c>
      <c r="U127" s="73">
        <f>+$T127*$S127*6/$H$1</f>
        <v>19125</v>
      </c>
      <c r="V127" s="73">
        <f>+$T127*$S127*6/$H$1</f>
        <v>19125</v>
      </c>
      <c r="W127" s="73">
        <v>0</v>
      </c>
      <c r="X127" s="73">
        <v>0</v>
      </c>
      <c r="Y127" s="73">
        <v>0</v>
      </c>
      <c r="Z127" s="73">
        <f t="shared" si="49"/>
        <v>38250</v>
      </c>
      <c r="AA127" s="218">
        <v>1</v>
      </c>
      <c r="AB127" s="219">
        <v>1</v>
      </c>
      <c r="AC127" s="218">
        <v>1</v>
      </c>
      <c r="AD127" s="219">
        <v>1</v>
      </c>
      <c r="AE127" s="218"/>
      <c r="AF127" s="219"/>
      <c r="AG127" s="218"/>
      <c r="AH127" s="219"/>
      <c r="AI127" s="218"/>
      <c r="AJ127" s="219"/>
    </row>
    <row r="128" spans="1:36" ht="24" hidden="1" customHeight="1" x14ac:dyDescent="0.25">
      <c r="A128" s="64">
        <v>1</v>
      </c>
      <c r="B128" s="64">
        <v>2</v>
      </c>
      <c r="C128" s="64">
        <v>2</v>
      </c>
      <c r="D128" s="64">
        <v>3</v>
      </c>
      <c r="E128" s="64">
        <v>1</v>
      </c>
      <c r="F128" s="64">
        <v>2</v>
      </c>
      <c r="G128" s="72" t="s">
        <v>134</v>
      </c>
      <c r="H128" s="73">
        <f>+S128*R128*T128</f>
        <v>5049000</v>
      </c>
      <c r="I128" s="74">
        <f>+H128*0.22</f>
        <v>1110780</v>
      </c>
      <c r="J128" s="74">
        <f t="shared" si="90"/>
        <v>157781.25</v>
      </c>
      <c r="K128" s="74">
        <f t="shared" si="90"/>
        <v>34711.875</v>
      </c>
      <c r="L128" s="74">
        <f>+J128+K128</f>
        <v>192493.125</v>
      </c>
      <c r="M128" s="67">
        <f t="shared" si="48"/>
        <v>0.81967213114754101</v>
      </c>
      <c r="N128" s="67">
        <f t="shared" si="43"/>
        <v>0.18032786885245899</v>
      </c>
      <c r="O128" s="105" t="s">
        <v>42</v>
      </c>
      <c r="P128" s="68"/>
      <c r="Q128" s="68"/>
      <c r="R128" s="69">
        <f>18+12*0.75+12*0.5</f>
        <v>33</v>
      </c>
      <c r="S128" s="69">
        <v>3</v>
      </c>
      <c r="T128" s="70">
        <v>51000</v>
      </c>
      <c r="U128" s="73">
        <v>0</v>
      </c>
      <c r="V128" s="73">
        <f>+$T128*$S128*6/$H$1</f>
        <v>28687.5</v>
      </c>
      <c r="W128" s="73">
        <f>+$T128*$S128*12/$H$1</f>
        <v>57375</v>
      </c>
      <c r="X128" s="73">
        <f>+$T128*$S128*12/$H$1*0.75</f>
        <v>43031.25</v>
      </c>
      <c r="Y128" s="73">
        <f>+$T128*$S128*12/$H$1*0.5</f>
        <v>28687.5</v>
      </c>
      <c r="Z128" s="73">
        <f t="shared" si="49"/>
        <v>157781.25</v>
      </c>
      <c r="AA128" s="218"/>
      <c r="AB128" s="219"/>
      <c r="AC128" s="218">
        <v>1</v>
      </c>
      <c r="AD128" s="219">
        <v>1</v>
      </c>
      <c r="AE128" s="218">
        <v>1</v>
      </c>
      <c r="AF128" s="219">
        <v>1</v>
      </c>
      <c r="AG128" s="218">
        <v>1</v>
      </c>
      <c r="AH128" s="219">
        <v>1</v>
      </c>
      <c r="AI128" s="218">
        <v>1</v>
      </c>
      <c r="AJ128" s="219">
        <v>1</v>
      </c>
    </row>
    <row r="129" spans="1:36" hidden="1" x14ac:dyDescent="0.25">
      <c r="A129" s="64">
        <v>1</v>
      </c>
      <c r="B129" s="64">
        <v>2</v>
      </c>
      <c r="C129" s="64">
        <v>2</v>
      </c>
      <c r="D129" s="64">
        <v>3</v>
      </c>
      <c r="E129" s="64">
        <v>2</v>
      </c>
      <c r="F129" s="64">
        <v>1</v>
      </c>
      <c r="G129" s="72"/>
      <c r="H129" s="73">
        <f>+S129*R129*T129</f>
        <v>3024000</v>
      </c>
      <c r="I129" s="74">
        <f>+H129*0.22</f>
        <v>665280</v>
      </c>
      <c r="J129" s="74">
        <f t="shared" si="90"/>
        <v>94500</v>
      </c>
      <c r="K129" s="74">
        <f t="shared" si="90"/>
        <v>20790</v>
      </c>
      <c r="L129" s="74">
        <f>+J129+K129</f>
        <v>115290</v>
      </c>
      <c r="M129" s="67">
        <f t="shared" si="48"/>
        <v>0.81967213114754101</v>
      </c>
      <c r="N129" s="67">
        <f t="shared" ref="N129:N183" si="91">1-M129</f>
        <v>0.18032786885245899</v>
      </c>
      <c r="O129" s="105" t="s">
        <v>42</v>
      </c>
      <c r="P129" s="68"/>
      <c r="Q129" s="68"/>
      <c r="R129" s="69">
        <f>12+12*0.75+12*0.5</f>
        <v>27</v>
      </c>
      <c r="S129" s="69">
        <v>2</v>
      </c>
      <c r="T129" s="70">
        <v>56000</v>
      </c>
      <c r="U129" s="73">
        <v>0</v>
      </c>
      <c r="V129" s="73">
        <v>0</v>
      </c>
      <c r="W129" s="73">
        <f>+$T129*$S129*12/$H$1</f>
        <v>42000</v>
      </c>
      <c r="X129" s="73">
        <f>+$T129*$S129*12/$H$1*0.75</f>
        <v>31500</v>
      </c>
      <c r="Y129" s="73">
        <f>+$T129*$S129*12/$H$1*0.5</f>
        <v>21000</v>
      </c>
      <c r="Z129" s="73">
        <f t="shared" si="49"/>
        <v>94500</v>
      </c>
      <c r="AA129" s="218"/>
      <c r="AB129" s="219"/>
      <c r="AC129" s="218"/>
      <c r="AD129" s="219"/>
      <c r="AE129" s="218">
        <v>1</v>
      </c>
      <c r="AF129" s="219">
        <v>1</v>
      </c>
      <c r="AG129" s="218">
        <v>1</v>
      </c>
      <c r="AH129" s="219">
        <v>1</v>
      </c>
      <c r="AI129" s="218">
        <v>1</v>
      </c>
      <c r="AJ129" s="219">
        <v>1</v>
      </c>
    </row>
    <row r="130" spans="1:36" x14ac:dyDescent="0.25">
      <c r="A130" s="106">
        <v>1</v>
      </c>
      <c r="B130" s="106">
        <v>2</v>
      </c>
      <c r="C130" s="106">
        <v>2</v>
      </c>
      <c r="D130" s="106">
        <v>4</v>
      </c>
      <c r="E130" s="106">
        <v>0</v>
      </c>
      <c r="F130" s="106">
        <v>0</v>
      </c>
      <c r="G130" s="124" t="s">
        <v>135</v>
      </c>
      <c r="H130" s="108">
        <f>+H131+H132+H134+H137</f>
        <v>6158000</v>
      </c>
      <c r="I130" s="108">
        <f t="shared" ref="I130:L130" si="92">+I131+I132+I134+I137</f>
        <v>1354760</v>
      </c>
      <c r="J130" s="108">
        <f t="shared" si="92"/>
        <v>192437.5</v>
      </c>
      <c r="K130" s="108">
        <f t="shared" si="92"/>
        <v>42336.25</v>
      </c>
      <c r="L130" s="108">
        <f t="shared" si="92"/>
        <v>234773.75</v>
      </c>
      <c r="M130" s="109">
        <f t="shared" ref="M130:M183" si="93">+J130/(J130+K130)</f>
        <v>0.81967213114754101</v>
      </c>
      <c r="N130" s="130">
        <f t="shared" si="91"/>
        <v>0.18032786885245899</v>
      </c>
      <c r="O130" s="135"/>
      <c r="P130" s="131"/>
      <c r="Q130" s="131"/>
      <c r="R130" s="132"/>
      <c r="S130" s="133"/>
      <c r="T130" s="134"/>
      <c r="U130" s="108">
        <f>+U131+U132+U134+U137</f>
        <v>59875</v>
      </c>
      <c r="V130" s="108">
        <f>+V131+V132+V134+V137</f>
        <v>31500</v>
      </c>
      <c r="W130" s="108">
        <f>+W131+W132+W134+W137</f>
        <v>44250</v>
      </c>
      <c r="X130" s="108">
        <f>+X131+X132+X134+X137</f>
        <v>34687.5</v>
      </c>
      <c r="Y130" s="108">
        <f>+Y131+Y132+Y134+Y137</f>
        <v>22125</v>
      </c>
      <c r="Z130" s="108">
        <f t="shared" ref="Z130:Z184" si="94">SUM(U130:Y130)</f>
        <v>192437.5</v>
      </c>
      <c r="AA130" s="218">
        <v>1</v>
      </c>
      <c r="AB130" s="219">
        <v>1</v>
      </c>
      <c r="AC130" s="218">
        <v>1</v>
      </c>
      <c r="AD130" s="219">
        <v>1</v>
      </c>
      <c r="AE130" s="218">
        <v>1</v>
      </c>
      <c r="AF130" s="219">
        <v>1</v>
      </c>
      <c r="AG130" s="218">
        <v>1</v>
      </c>
      <c r="AH130" s="219">
        <v>1</v>
      </c>
      <c r="AI130" s="218">
        <v>1</v>
      </c>
      <c r="AJ130" s="219">
        <v>1</v>
      </c>
    </row>
    <row r="131" spans="1:36" ht="24" x14ac:dyDescent="0.25">
      <c r="A131" s="64">
        <v>1</v>
      </c>
      <c r="B131" s="64">
        <v>2</v>
      </c>
      <c r="C131" s="64">
        <v>2</v>
      </c>
      <c r="D131" s="64">
        <v>4</v>
      </c>
      <c r="E131" s="64">
        <v>1</v>
      </c>
      <c r="F131" s="64">
        <v>0</v>
      </c>
      <c r="G131" s="136" t="s">
        <v>244</v>
      </c>
      <c r="H131" s="75">
        <f>64*20000</f>
        <v>1280000</v>
      </c>
      <c r="I131" s="74">
        <f>+H131*0.22</f>
        <v>281600</v>
      </c>
      <c r="J131" s="74">
        <f>+H131/$H$1</f>
        <v>40000</v>
      </c>
      <c r="K131" s="74">
        <f>+I131/$H$1</f>
        <v>8800</v>
      </c>
      <c r="L131" s="74">
        <f>+J131+K131</f>
        <v>48800</v>
      </c>
      <c r="M131" s="104">
        <f t="shared" si="93"/>
        <v>0.81967213114754101</v>
      </c>
      <c r="N131" s="104">
        <f t="shared" si="91"/>
        <v>0.18032786885245899</v>
      </c>
      <c r="O131" s="137" t="s">
        <v>123</v>
      </c>
      <c r="P131" s="68">
        <v>42522</v>
      </c>
      <c r="Q131" s="68">
        <v>42704</v>
      </c>
      <c r="R131" s="4" t="s">
        <v>136</v>
      </c>
      <c r="S131" s="69"/>
      <c r="T131" s="70"/>
      <c r="U131" s="66">
        <f>+J131</f>
        <v>40000</v>
      </c>
      <c r="V131" s="66">
        <v>0</v>
      </c>
      <c r="W131" s="66">
        <v>0</v>
      </c>
      <c r="X131" s="66">
        <v>0</v>
      </c>
      <c r="Y131" s="66">
        <v>0</v>
      </c>
      <c r="Z131" s="66">
        <f t="shared" si="94"/>
        <v>40000</v>
      </c>
      <c r="AA131" s="218">
        <v>1</v>
      </c>
      <c r="AB131" s="219">
        <v>1</v>
      </c>
      <c r="AC131" s="218"/>
      <c r="AD131" s="219"/>
      <c r="AE131" s="218"/>
      <c r="AF131" s="219"/>
      <c r="AG131" s="218"/>
      <c r="AH131" s="219"/>
      <c r="AI131" s="218"/>
      <c r="AJ131" s="219"/>
    </row>
    <row r="132" spans="1:36" ht="24" x14ac:dyDescent="0.25">
      <c r="A132" s="64">
        <v>1</v>
      </c>
      <c r="B132" s="64">
        <v>2</v>
      </c>
      <c r="C132" s="64">
        <v>2</v>
      </c>
      <c r="D132" s="64">
        <v>4</v>
      </c>
      <c r="E132" s="64">
        <v>2</v>
      </c>
      <c r="F132" s="64">
        <v>0</v>
      </c>
      <c r="G132" s="65" t="s">
        <v>200</v>
      </c>
      <c r="H132" s="74">
        <f>+H133</f>
        <v>336000</v>
      </c>
      <c r="I132" s="74">
        <f t="shared" ref="I132:L132" si="95">+I133</f>
        <v>73920</v>
      </c>
      <c r="J132" s="74">
        <f t="shared" si="95"/>
        <v>10500</v>
      </c>
      <c r="K132" s="74">
        <f t="shared" si="95"/>
        <v>2310</v>
      </c>
      <c r="L132" s="74">
        <f t="shared" si="95"/>
        <v>12810</v>
      </c>
      <c r="M132" s="104">
        <f t="shared" si="93"/>
        <v>0.81967213114754101</v>
      </c>
      <c r="N132" s="104">
        <f t="shared" si="91"/>
        <v>0.18032786885245899</v>
      </c>
      <c r="O132" s="71" t="s">
        <v>59</v>
      </c>
      <c r="P132" s="68">
        <v>42522</v>
      </c>
      <c r="Q132" s="68">
        <v>42705</v>
      </c>
      <c r="R132" s="4" t="s">
        <v>115</v>
      </c>
      <c r="S132" s="69"/>
      <c r="T132" s="70"/>
      <c r="U132" s="74">
        <f>+U133</f>
        <v>10500</v>
      </c>
      <c r="V132" s="74">
        <f>+V133</f>
        <v>0</v>
      </c>
      <c r="W132" s="74">
        <f>+W133</f>
        <v>0</v>
      </c>
      <c r="X132" s="74">
        <f>+X133</f>
        <v>0</v>
      </c>
      <c r="Y132" s="74">
        <f>+Y133</f>
        <v>0</v>
      </c>
      <c r="Z132" s="74">
        <f t="shared" si="94"/>
        <v>10500</v>
      </c>
      <c r="AA132" s="218">
        <v>1</v>
      </c>
      <c r="AB132" s="219">
        <v>1</v>
      </c>
      <c r="AC132" s="218"/>
      <c r="AD132" s="219"/>
      <c r="AE132" s="218"/>
      <c r="AF132" s="219"/>
      <c r="AG132" s="218"/>
      <c r="AH132" s="219"/>
      <c r="AI132" s="218"/>
      <c r="AJ132" s="219"/>
    </row>
    <row r="133" spans="1:36" ht="24" hidden="1" customHeight="1" x14ac:dyDescent="0.25">
      <c r="A133" s="64">
        <v>1</v>
      </c>
      <c r="B133" s="64">
        <v>2</v>
      </c>
      <c r="C133" s="64">
        <v>2</v>
      </c>
      <c r="D133" s="64">
        <v>4</v>
      </c>
      <c r="E133" s="64">
        <v>2</v>
      </c>
      <c r="F133" s="64">
        <v>1</v>
      </c>
      <c r="G133" s="72" t="s">
        <v>137</v>
      </c>
      <c r="H133" s="73">
        <f>+S133*R133*T133</f>
        <v>336000</v>
      </c>
      <c r="I133" s="74">
        <f>+H133*0.22</f>
        <v>73920</v>
      </c>
      <c r="J133" s="74">
        <f>+H133/$H$1</f>
        <v>10500</v>
      </c>
      <c r="K133" s="74">
        <f>+I133/$H$1</f>
        <v>2310</v>
      </c>
      <c r="L133" s="74">
        <f>+J133+K133</f>
        <v>12810</v>
      </c>
      <c r="M133" s="67">
        <f t="shared" si="93"/>
        <v>0.81967213114754101</v>
      </c>
      <c r="N133" s="67">
        <f t="shared" si="91"/>
        <v>0.18032786885245899</v>
      </c>
      <c r="O133" s="71" t="s">
        <v>50</v>
      </c>
      <c r="P133" s="68"/>
      <c r="Q133" s="68"/>
      <c r="R133" s="4">
        <v>6</v>
      </c>
      <c r="S133" s="69">
        <v>1</v>
      </c>
      <c r="T133" s="70">
        <v>56000</v>
      </c>
      <c r="U133" s="73">
        <f>+$T133*$S133*6/$H$1</f>
        <v>10500</v>
      </c>
      <c r="V133" s="73">
        <v>0</v>
      </c>
      <c r="W133" s="73">
        <v>0</v>
      </c>
      <c r="X133" s="73">
        <v>0</v>
      </c>
      <c r="Y133" s="73">
        <v>0</v>
      </c>
      <c r="Z133" s="73">
        <f t="shared" si="94"/>
        <v>10500</v>
      </c>
      <c r="AA133" s="218">
        <v>1</v>
      </c>
      <c r="AB133" s="219">
        <v>1</v>
      </c>
      <c r="AC133" s="218"/>
      <c r="AD133" s="219"/>
      <c r="AE133" s="218"/>
      <c r="AF133" s="219"/>
      <c r="AG133" s="218"/>
      <c r="AH133" s="219"/>
      <c r="AI133" s="218"/>
      <c r="AJ133" s="219"/>
    </row>
    <row r="134" spans="1:36" ht="15" customHeight="1" x14ac:dyDescent="0.25">
      <c r="A134" s="64">
        <v>1</v>
      </c>
      <c r="B134" s="64">
        <v>2</v>
      </c>
      <c r="C134" s="64">
        <v>2</v>
      </c>
      <c r="D134" s="64">
        <v>4</v>
      </c>
      <c r="E134" s="64">
        <v>3</v>
      </c>
      <c r="F134" s="64">
        <v>0</v>
      </c>
      <c r="G134" s="65" t="s">
        <v>245</v>
      </c>
      <c r="H134" s="66">
        <f>+H136+H135</f>
        <v>3774000</v>
      </c>
      <c r="I134" s="66">
        <f t="shared" ref="I134:L134" si="96">+I136+I135</f>
        <v>830280</v>
      </c>
      <c r="J134" s="66">
        <f t="shared" si="96"/>
        <v>117937.5</v>
      </c>
      <c r="K134" s="66">
        <f t="shared" si="96"/>
        <v>25946.25</v>
      </c>
      <c r="L134" s="66">
        <f t="shared" si="96"/>
        <v>143883.75</v>
      </c>
      <c r="M134" s="104">
        <f t="shared" si="93"/>
        <v>0.81967213114754101</v>
      </c>
      <c r="N134" s="104">
        <f t="shared" si="91"/>
        <v>0.18032786885245899</v>
      </c>
      <c r="O134" s="71" t="s">
        <v>59</v>
      </c>
      <c r="P134" s="68">
        <v>42614</v>
      </c>
      <c r="Q134" s="68">
        <v>44166</v>
      </c>
      <c r="R134" s="4" t="s">
        <v>138</v>
      </c>
      <c r="S134" s="69"/>
      <c r="T134" s="70"/>
      <c r="U134" s="66">
        <f>+U135+U136</f>
        <v>6375</v>
      </c>
      <c r="V134" s="66">
        <f>+V135+V136</f>
        <v>25500</v>
      </c>
      <c r="W134" s="66">
        <f>+W135+W136</f>
        <v>38250</v>
      </c>
      <c r="X134" s="66">
        <f>+X135+X136</f>
        <v>28687.5</v>
      </c>
      <c r="Y134" s="66">
        <f>+Y135+Y136</f>
        <v>19125</v>
      </c>
      <c r="Z134" s="66">
        <f t="shared" si="94"/>
        <v>117937.5</v>
      </c>
      <c r="AA134" s="218">
        <v>1</v>
      </c>
      <c r="AB134" s="219">
        <v>1</v>
      </c>
      <c r="AC134" s="218">
        <v>1</v>
      </c>
      <c r="AD134" s="219">
        <v>1</v>
      </c>
      <c r="AE134" s="218">
        <v>1</v>
      </c>
      <c r="AF134" s="219">
        <v>1</v>
      </c>
      <c r="AG134" s="218">
        <v>1</v>
      </c>
      <c r="AH134" s="219">
        <v>1</v>
      </c>
      <c r="AI134" s="218">
        <v>1</v>
      </c>
      <c r="AJ134" s="219">
        <v>1</v>
      </c>
    </row>
    <row r="135" spans="1:36" ht="24" hidden="1" customHeight="1" x14ac:dyDescent="0.25">
      <c r="A135" s="64">
        <v>1</v>
      </c>
      <c r="B135" s="64">
        <v>2</v>
      </c>
      <c r="C135" s="64">
        <v>2</v>
      </c>
      <c r="D135" s="64">
        <v>4</v>
      </c>
      <c r="E135" s="64">
        <v>3</v>
      </c>
      <c r="F135" s="64">
        <v>1</v>
      </c>
      <c r="G135" s="72" t="s">
        <v>139</v>
      </c>
      <c r="H135" s="73">
        <f>+S135*R135*T135</f>
        <v>612000</v>
      </c>
      <c r="I135" s="74">
        <f>+H135*0.22</f>
        <v>134640</v>
      </c>
      <c r="J135" s="74">
        <f t="shared" ref="J135:K137" si="97">+H135/$H$1</f>
        <v>19125</v>
      </c>
      <c r="K135" s="74">
        <f t="shared" si="97"/>
        <v>4207.5</v>
      </c>
      <c r="L135" s="74">
        <f>+J135+K135</f>
        <v>23332.5</v>
      </c>
      <c r="M135" s="67">
        <f t="shared" si="93"/>
        <v>0.81967213114754101</v>
      </c>
      <c r="N135" s="67">
        <f t="shared" si="91"/>
        <v>0.18032786885245899</v>
      </c>
      <c r="O135" s="71" t="s">
        <v>201</v>
      </c>
      <c r="P135" s="68"/>
      <c r="Q135" s="68"/>
      <c r="R135" s="4">
        <v>12</v>
      </c>
      <c r="S135" s="69">
        <v>1</v>
      </c>
      <c r="T135" s="70">
        <v>51000</v>
      </c>
      <c r="U135" s="73">
        <f>+$T135*$S135*4/$H$1</f>
        <v>6375</v>
      </c>
      <c r="V135" s="73">
        <f>+$T135*$S135*8/$H$1</f>
        <v>12750</v>
      </c>
      <c r="W135" s="73">
        <v>0</v>
      </c>
      <c r="X135" s="73">
        <v>0</v>
      </c>
      <c r="Y135" s="73">
        <v>0</v>
      </c>
      <c r="Z135" s="73">
        <f t="shared" si="94"/>
        <v>19125</v>
      </c>
      <c r="AA135" s="218">
        <v>1</v>
      </c>
      <c r="AB135" s="219">
        <v>1</v>
      </c>
      <c r="AC135" s="218">
        <v>1</v>
      </c>
      <c r="AD135" s="219">
        <v>1</v>
      </c>
      <c r="AE135" s="218"/>
      <c r="AF135" s="219"/>
      <c r="AG135" s="218"/>
      <c r="AH135" s="219"/>
      <c r="AI135" s="218"/>
      <c r="AJ135" s="219"/>
    </row>
    <row r="136" spans="1:36" ht="24" hidden="1" customHeight="1" x14ac:dyDescent="0.25">
      <c r="A136" s="64">
        <v>1</v>
      </c>
      <c r="B136" s="64">
        <v>2</v>
      </c>
      <c r="C136" s="64">
        <v>2</v>
      </c>
      <c r="D136" s="64">
        <v>4</v>
      </c>
      <c r="E136" s="64">
        <v>3</v>
      </c>
      <c r="F136" s="64">
        <v>2</v>
      </c>
      <c r="G136" s="72" t="s">
        <v>140</v>
      </c>
      <c r="H136" s="73">
        <f>+S136*R136*T136</f>
        <v>3162000</v>
      </c>
      <c r="I136" s="74">
        <f>+H136*0.22</f>
        <v>695640</v>
      </c>
      <c r="J136" s="74">
        <f t="shared" si="97"/>
        <v>98812.5</v>
      </c>
      <c r="K136" s="74">
        <f t="shared" si="97"/>
        <v>21738.75</v>
      </c>
      <c r="L136" s="74">
        <f>+J136+K136</f>
        <v>120551.25</v>
      </c>
      <c r="M136" s="67">
        <f t="shared" si="93"/>
        <v>0.81967213114754101</v>
      </c>
      <c r="N136" s="67">
        <f t="shared" si="91"/>
        <v>0.18032786885245899</v>
      </c>
      <c r="O136" s="71" t="s">
        <v>201</v>
      </c>
      <c r="P136" s="68"/>
      <c r="Q136" s="68"/>
      <c r="R136" s="69">
        <f>16+12*0.75+12*0.5</f>
        <v>31</v>
      </c>
      <c r="S136" s="69">
        <v>2</v>
      </c>
      <c r="T136" s="70">
        <v>51000</v>
      </c>
      <c r="U136" s="73">
        <v>0</v>
      </c>
      <c r="V136" s="73">
        <f>+$T136*$S136*4/$H$1</f>
        <v>12750</v>
      </c>
      <c r="W136" s="73">
        <f>+$T136*$S136*12/$H$1</f>
        <v>38250</v>
      </c>
      <c r="X136" s="73">
        <f>+$T136*$S136*12/$H$1*0.75</f>
        <v>28687.5</v>
      </c>
      <c r="Y136" s="73">
        <f>+$T136*$S136*12/$H$1*0.5</f>
        <v>19125</v>
      </c>
      <c r="Z136" s="73">
        <f t="shared" si="94"/>
        <v>98812.5</v>
      </c>
      <c r="AA136" s="218"/>
      <c r="AB136" s="219">
        <v>1</v>
      </c>
      <c r="AC136" s="218">
        <v>1</v>
      </c>
      <c r="AD136" s="219">
        <v>1</v>
      </c>
      <c r="AE136" s="218">
        <v>1</v>
      </c>
      <c r="AF136" s="219">
        <v>1</v>
      </c>
      <c r="AG136" s="218">
        <v>1</v>
      </c>
      <c r="AH136" s="219">
        <v>1</v>
      </c>
      <c r="AI136" s="218">
        <v>1</v>
      </c>
      <c r="AJ136" s="219">
        <v>1</v>
      </c>
    </row>
    <row r="137" spans="1:36" ht="24" x14ac:dyDescent="0.25">
      <c r="A137" s="64">
        <v>1</v>
      </c>
      <c r="B137" s="64">
        <v>2</v>
      </c>
      <c r="C137" s="64">
        <v>2</v>
      </c>
      <c r="D137" s="64">
        <v>4</v>
      </c>
      <c r="E137" s="64">
        <v>4</v>
      </c>
      <c r="F137" s="64">
        <v>0</v>
      </c>
      <c r="G137" s="65" t="s">
        <v>141</v>
      </c>
      <c r="H137" s="75">
        <f>2*4*96000</f>
        <v>768000</v>
      </c>
      <c r="I137" s="74">
        <f>+H137*0.22</f>
        <v>168960</v>
      </c>
      <c r="J137" s="74">
        <f t="shared" si="97"/>
        <v>24000</v>
      </c>
      <c r="K137" s="74">
        <f t="shared" si="97"/>
        <v>5280</v>
      </c>
      <c r="L137" s="74">
        <f>+J137+K137</f>
        <v>29280</v>
      </c>
      <c r="M137" s="104">
        <f t="shared" si="93"/>
        <v>0.81967213114754101</v>
      </c>
      <c r="N137" s="104">
        <f t="shared" si="91"/>
        <v>0.18032786885245899</v>
      </c>
      <c r="O137" s="71" t="s">
        <v>6</v>
      </c>
      <c r="P137" s="68">
        <v>42615</v>
      </c>
      <c r="Q137" s="68">
        <v>44075</v>
      </c>
      <c r="R137" s="4" t="s">
        <v>89</v>
      </c>
      <c r="S137" s="69"/>
      <c r="T137" s="70"/>
      <c r="U137" s="66">
        <f>+$J137/8</f>
        <v>3000</v>
      </c>
      <c r="V137" s="66">
        <f>+$J137/8*2</f>
        <v>6000</v>
      </c>
      <c r="W137" s="66">
        <f>+$J137/8*2</f>
        <v>6000</v>
      </c>
      <c r="X137" s="66">
        <f>+$J137/8*2</f>
        <v>6000</v>
      </c>
      <c r="Y137" s="66">
        <f>+$J137/8</f>
        <v>3000</v>
      </c>
      <c r="Z137" s="66">
        <f t="shared" si="94"/>
        <v>24000</v>
      </c>
      <c r="AA137" s="218">
        <v>1</v>
      </c>
      <c r="AB137" s="219">
        <v>1</v>
      </c>
      <c r="AC137" s="218">
        <v>1</v>
      </c>
      <c r="AD137" s="219">
        <v>1</v>
      </c>
      <c r="AE137" s="218">
        <v>1</v>
      </c>
      <c r="AF137" s="219">
        <v>1</v>
      </c>
      <c r="AG137" s="218">
        <v>1</v>
      </c>
      <c r="AH137" s="219">
        <v>1</v>
      </c>
      <c r="AI137" s="218">
        <v>1</v>
      </c>
      <c r="AJ137" s="219">
        <v>1</v>
      </c>
    </row>
    <row r="138" spans="1:36" x14ac:dyDescent="0.25">
      <c r="A138" s="106">
        <v>1</v>
      </c>
      <c r="B138" s="106">
        <v>2</v>
      </c>
      <c r="C138" s="106">
        <v>2</v>
      </c>
      <c r="D138" s="106">
        <v>5</v>
      </c>
      <c r="E138" s="106">
        <v>0</v>
      </c>
      <c r="F138" s="106">
        <v>0</v>
      </c>
      <c r="G138" s="124" t="s">
        <v>142</v>
      </c>
      <c r="H138" s="108">
        <f>+H139+H141</f>
        <v>3045000</v>
      </c>
      <c r="I138" s="108">
        <f t="shared" ref="I138:L138" si="98">+I139+I141</f>
        <v>669900</v>
      </c>
      <c r="J138" s="108">
        <f t="shared" si="98"/>
        <v>95156.25</v>
      </c>
      <c r="K138" s="108">
        <f t="shared" si="98"/>
        <v>20934.375</v>
      </c>
      <c r="L138" s="108">
        <f t="shared" si="98"/>
        <v>116090.625</v>
      </c>
      <c r="M138" s="130">
        <f t="shared" si="93"/>
        <v>0.81967213114754101</v>
      </c>
      <c r="N138" s="130">
        <f t="shared" si="91"/>
        <v>0.18032786885245899</v>
      </c>
      <c r="O138" s="125"/>
      <c r="P138" s="131"/>
      <c r="Q138" s="131"/>
      <c r="R138" s="132"/>
      <c r="S138" s="133"/>
      <c r="T138" s="134"/>
      <c r="U138" s="108">
        <f>+U139+U141</f>
        <v>13875</v>
      </c>
      <c r="V138" s="108">
        <f>+V139+V141</f>
        <v>38250</v>
      </c>
      <c r="W138" s="108">
        <f>+W139+W141</f>
        <v>19125</v>
      </c>
      <c r="X138" s="108">
        <f>+X139+X141</f>
        <v>14343.75</v>
      </c>
      <c r="Y138" s="108">
        <f>+Y139+Y141</f>
        <v>9562.5</v>
      </c>
      <c r="Z138" s="108">
        <f t="shared" si="94"/>
        <v>95156.25</v>
      </c>
      <c r="AA138" s="218">
        <v>1</v>
      </c>
      <c r="AB138" s="219">
        <v>1</v>
      </c>
      <c r="AC138" s="218">
        <v>1</v>
      </c>
      <c r="AD138" s="219">
        <v>1</v>
      </c>
      <c r="AE138" s="218">
        <v>1</v>
      </c>
      <c r="AF138" s="219">
        <v>1</v>
      </c>
      <c r="AG138" s="218">
        <v>1</v>
      </c>
      <c r="AH138" s="219">
        <v>1</v>
      </c>
      <c r="AI138" s="218">
        <v>1</v>
      </c>
      <c r="AJ138" s="219">
        <v>1</v>
      </c>
    </row>
    <row r="139" spans="1:36" x14ac:dyDescent="0.25">
      <c r="A139" s="64">
        <v>1</v>
      </c>
      <c r="B139" s="64">
        <v>2</v>
      </c>
      <c r="C139" s="64">
        <v>2</v>
      </c>
      <c r="D139" s="64">
        <v>5</v>
      </c>
      <c r="E139" s="64">
        <v>1</v>
      </c>
      <c r="F139" s="64">
        <v>0</v>
      </c>
      <c r="G139" s="65" t="s">
        <v>202</v>
      </c>
      <c r="H139" s="74">
        <f>+H140</f>
        <v>444000</v>
      </c>
      <c r="I139" s="74">
        <f t="shared" ref="I139:L139" si="99">+I140</f>
        <v>97680</v>
      </c>
      <c r="J139" s="74">
        <f t="shared" si="99"/>
        <v>13875</v>
      </c>
      <c r="K139" s="74">
        <f t="shared" si="99"/>
        <v>3052.5</v>
      </c>
      <c r="L139" s="74">
        <f t="shared" si="99"/>
        <v>16927.5</v>
      </c>
      <c r="M139" s="104">
        <f t="shared" si="93"/>
        <v>0.81967213114754101</v>
      </c>
      <c r="N139" s="104">
        <f t="shared" si="91"/>
        <v>0.18032786885245899</v>
      </c>
      <c r="O139" s="71" t="s">
        <v>59</v>
      </c>
      <c r="P139" s="68">
        <v>42522</v>
      </c>
      <c r="Q139" s="68">
        <v>42705</v>
      </c>
      <c r="R139" s="4" t="s">
        <v>115</v>
      </c>
      <c r="S139" s="69"/>
      <c r="T139" s="70"/>
      <c r="U139" s="74">
        <f>+U140</f>
        <v>13875</v>
      </c>
      <c r="V139" s="74">
        <f>+V140</f>
        <v>0</v>
      </c>
      <c r="W139" s="74">
        <f>+W140</f>
        <v>0</v>
      </c>
      <c r="X139" s="74">
        <f>+X140</f>
        <v>0</v>
      </c>
      <c r="Y139" s="74">
        <f>+Y140</f>
        <v>0</v>
      </c>
      <c r="Z139" s="74">
        <f t="shared" si="94"/>
        <v>13875</v>
      </c>
      <c r="AA139" s="218">
        <v>1</v>
      </c>
      <c r="AB139" s="219">
        <v>1</v>
      </c>
      <c r="AC139" s="218"/>
      <c r="AD139" s="219"/>
      <c r="AE139" s="218"/>
      <c r="AF139" s="219"/>
      <c r="AG139" s="218"/>
      <c r="AH139" s="219"/>
      <c r="AI139" s="218"/>
      <c r="AJ139" s="219"/>
    </row>
    <row r="140" spans="1:36" ht="15" hidden="1" customHeight="1" x14ac:dyDescent="0.25">
      <c r="A140" s="64">
        <v>1</v>
      </c>
      <c r="B140" s="64">
        <v>2</v>
      </c>
      <c r="C140" s="64">
        <v>2</v>
      </c>
      <c r="D140" s="64">
        <v>5</v>
      </c>
      <c r="E140" s="64">
        <v>1</v>
      </c>
      <c r="F140" s="64">
        <v>1</v>
      </c>
      <c r="G140" s="72" t="s">
        <v>143</v>
      </c>
      <c r="H140" s="73">
        <f>+S140*R140*T140</f>
        <v>444000</v>
      </c>
      <c r="I140" s="74">
        <f>+H140*0.22</f>
        <v>97680</v>
      </c>
      <c r="J140" s="74">
        <f>+H140/$H$1</f>
        <v>13875</v>
      </c>
      <c r="K140" s="74">
        <f>+I140/$H$1</f>
        <v>3052.5</v>
      </c>
      <c r="L140" s="74">
        <f>+J140+K140</f>
        <v>16927.5</v>
      </c>
      <c r="M140" s="67">
        <f t="shared" si="93"/>
        <v>0.81967213114754101</v>
      </c>
      <c r="N140" s="67">
        <f t="shared" si="91"/>
        <v>0.18032786885245899</v>
      </c>
      <c r="O140" s="71" t="s">
        <v>50</v>
      </c>
      <c r="P140" s="68"/>
      <c r="Q140" s="68"/>
      <c r="R140" s="4">
        <v>6</v>
      </c>
      <c r="S140" s="69">
        <v>1</v>
      </c>
      <c r="T140" s="70">
        <v>74000</v>
      </c>
      <c r="U140" s="73">
        <f>+$T140*$S140*6/$H$1</f>
        <v>13875</v>
      </c>
      <c r="V140" s="73">
        <v>0</v>
      </c>
      <c r="W140" s="73">
        <v>0</v>
      </c>
      <c r="X140" s="73">
        <v>0</v>
      </c>
      <c r="Y140" s="73">
        <v>0</v>
      </c>
      <c r="Z140" s="73">
        <f t="shared" si="94"/>
        <v>13875</v>
      </c>
      <c r="AA140" s="218">
        <v>1</v>
      </c>
      <c r="AB140" s="219">
        <v>1</v>
      </c>
      <c r="AC140" s="218"/>
      <c r="AD140" s="219"/>
      <c r="AE140" s="218"/>
      <c r="AF140" s="219"/>
      <c r="AG140" s="218"/>
      <c r="AH140" s="219"/>
      <c r="AI140" s="218"/>
      <c r="AJ140" s="219"/>
    </row>
    <row r="141" spans="1:36" ht="24" x14ac:dyDescent="0.25">
      <c r="A141" s="64">
        <v>1</v>
      </c>
      <c r="B141" s="64">
        <v>2</v>
      </c>
      <c r="C141" s="64">
        <v>2</v>
      </c>
      <c r="D141" s="64">
        <v>5</v>
      </c>
      <c r="E141" s="64">
        <v>2</v>
      </c>
      <c r="F141" s="64">
        <v>0</v>
      </c>
      <c r="G141" s="65" t="s">
        <v>203</v>
      </c>
      <c r="H141" s="66">
        <f>+H142+H143</f>
        <v>2601000</v>
      </c>
      <c r="I141" s="66">
        <f>+I142+I143</f>
        <v>572220</v>
      </c>
      <c r="J141" s="66">
        <f>+J142+J143</f>
        <v>81281.25</v>
      </c>
      <c r="K141" s="66">
        <f t="shared" ref="K141:L141" si="100">+K142+K143</f>
        <v>17881.875</v>
      </c>
      <c r="L141" s="66">
        <f t="shared" si="100"/>
        <v>99163.125</v>
      </c>
      <c r="M141" s="104">
        <f t="shared" si="93"/>
        <v>0.81967213114754101</v>
      </c>
      <c r="N141" s="104">
        <f t="shared" si="91"/>
        <v>0.18032786885245899</v>
      </c>
      <c r="O141" s="71" t="s">
        <v>59</v>
      </c>
      <c r="P141" s="68">
        <v>42736</v>
      </c>
      <c r="Q141" s="68">
        <v>44166</v>
      </c>
      <c r="R141" s="4" t="s">
        <v>89</v>
      </c>
      <c r="S141" s="69"/>
      <c r="T141" s="70"/>
      <c r="U141" s="66"/>
      <c r="V141" s="66">
        <f>+V142+V143</f>
        <v>38250</v>
      </c>
      <c r="W141" s="66">
        <f t="shared" ref="W141:Z141" si="101">+W142+W143</f>
        <v>19125</v>
      </c>
      <c r="X141" s="66">
        <f t="shared" si="101"/>
        <v>14343.75</v>
      </c>
      <c r="Y141" s="66">
        <f t="shared" si="101"/>
        <v>9562.5</v>
      </c>
      <c r="Z141" s="66">
        <f t="shared" si="101"/>
        <v>81281.25</v>
      </c>
      <c r="AA141" s="218"/>
      <c r="AB141" s="219"/>
      <c r="AC141" s="218">
        <v>1</v>
      </c>
      <c r="AD141" s="219">
        <v>1</v>
      </c>
      <c r="AE141" s="218">
        <v>1</v>
      </c>
      <c r="AF141" s="219">
        <v>1</v>
      </c>
      <c r="AG141" s="218">
        <v>1</v>
      </c>
      <c r="AH141" s="219">
        <v>1</v>
      </c>
      <c r="AI141" s="218">
        <v>1</v>
      </c>
      <c r="AJ141" s="219">
        <v>1</v>
      </c>
    </row>
    <row r="142" spans="1:36" ht="24" hidden="1" x14ac:dyDescent="0.25">
      <c r="A142" s="64">
        <v>1</v>
      </c>
      <c r="B142" s="64">
        <v>2</v>
      </c>
      <c r="C142" s="64">
        <v>2</v>
      </c>
      <c r="D142" s="64">
        <v>5</v>
      </c>
      <c r="E142" s="64">
        <v>2</v>
      </c>
      <c r="F142" s="64">
        <v>1</v>
      </c>
      <c r="G142" s="72" t="s">
        <v>144</v>
      </c>
      <c r="H142" s="73">
        <f>+S142*R142*T142</f>
        <v>612000</v>
      </c>
      <c r="I142" s="74">
        <f>+H142*0.22</f>
        <v>134640</v>
      </c>
      <c r="J142" s="74">
        <f>+H142/$H$1</f>
        <v>19125</v>
      </c>
      <c r="K142" s="74">
        <f>+I142/$H$1</f>
        <v>4207.5</v>
      </c>
      <c r="L142" s="74">
        <f>+J142+K142</f>
        <v>23332.5</v>
      </c>
      <c r="M142" s="67">
        <f t="shared" si="93"/>
        <v>0.81967213114754101</v>
      </c>
      <c r="N142" s="67">
        <f t="shared" si="91"/>
        <v>0.18032786885245899</v>
      </c>
      <c r="O142" s="71" t="s">
        <v>42</v>
      </c>
      <c r="P142" s="68"/>
      <c r="Q142" s="68"/>
      <c r="R142" s="4">
        <v>12</v>
      </c>
      <c r="S142" s="69">
        <v>1</v>
      </c>
      <c r="T142" s="70">
        <v>51000</v>
      </c>
      <c r="U142" s="73"/>
      <c r="V142" s="73">
        <f>+J142</f>
        <v>19125</v>
      </c>
      <c r="W142" s="73"/>
      <c r="X142" s="73"/>
      <c r="Y142" s="73"/>
      <c r="Z142" s="73">
        <f t="shared" si="94"/>
        <v>19125</v>
      </c>
      <c r="AA142" s="218"/>
      <c r="AB142" s="219"/>
      <c r="AC142" s="218">
        <v>1</v>
      </c>
      <c r="AD142" s="219">
        <v>1</v>
      </c>
      <c r="AE142" s="218"/>
      <c r="AF142" s="219"/>
      <c r="AG142" s="218"/>
      <c r="AH142" s="219"/>
      <c r="AI142" s="218"/>
      <c r="AJ142" s="219"/>
    </row>
    <row r="143" spans="1:36" hidden="1" x14ac:dyDescent="0.25">
      <c r="A143" s="64">
        <v>1</v>
      </c>
      <c r="B143" s="64">
        <v>2</v>
      </c>
      <c r="C143" s="64">
        <v>2</v>
      </c>
      <c r="D143" s="64">
        <v>5</v>
      </c>
      <c r="E143" s="64">
        <v>2</v>
      </c>
      <c r="F143" s="64">
        <v>2</v>
      </c>
      <c r="G143" s="72"/>
      <c r="H143" s="224">
        <f>+S143*R143*T143</f>
        <v>1989000</v>
      </c>
      <c r="I143" s="74">
        <f>+H143*0.22</f>
        <v>437580</v>
      </c>
      <c r="J143" s="74">
        <f>+H143/$H$1</f>
        <v>62156.25</v>
      </c>
      <c r="K143" s="74">
        <f>+I143/$H$1</f>
        <v>13674.375</v>
      </c>
      <c r="L143" s="74">
        <f>+J143+K143</f>
        <v>75830.625</v>
      </c>
      <c r="M143" s="67">
        <f t="shared" si="93"/>
        <v>0.81967213114754101</v>
      </c>
      <c r="N143" s="67">
        <f t="shared" si="91"/>
        <v>0.18032786885245899</v>
      </c>
      <c r="O143" s="71" t="s">
        <v>42</v>
      </c>
      <c r="P143" s="68"/>
      <c r="Q143" s="68"/>
      <c r="R143" s="69">
        <f>24+(12*0.75)+(12*0.5)</f>
        <v>39</v>
      </c>
      <c r="S143" s="69">
        <v>1</v>
      </c>
      <c r="T143" s="70">
        <v>51000</v>
      </c>
      <c r="U143" s="73"/>
      <c r="V143" s="73">
        <f>+$T143*$S143*12/$H$1</f>
        <v>19125</v>
      </c>
      <c r="W143" s="73">
        <f>+$T143*$S143*12/$H$1</f>
        <v>19125</v>
      </c>
      <c r="X143" s="73">
        <f>+$T143*$S143*12/$H$1*0.75</f>
        <v>14343.75</v>
      </c>
      <c r="Y143" s="73">
        <f>+$T143*$S143*12/$H$1*0.5</f>
        <v>9562.5</v>
      </c>
      <c r="Z143" s="73">
        <f t="shared" si="94"/>
        <v>62156.25</v>
      </c>
      <c r="AA143" s="218"/>
      <c r="AB143" s="219"/>
      <c r="AC143" s="218">
        <v>1</v>
      </c>
      <c r="AD143" s="219">
        <v>1</v>
      </c>
      <c r="AE143" s="218">
        <v>1</v>
      </c>
      <c r="AF143" s="219">
        <v>1</v>
      </c>
      <c r="AG143" s="218">
        <v>1</v>
      </c>
      <c r="AH143" s="219">
        <v>1</v>
      </c>
      <c r="AI143" s="218">
        <v>1</v>
      </c>
      <c r="AJ143" s="219">
        <v>1</v>
      </c>
    </row>
    <row r="144" spans="1:36" x14ac:dyDescent="0.25">
      <c r="A144" s="28">
        <v>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138" t="s">
        <v>145</v>
      </c>
      <c r="H144" s="30">
        <f>+H145+H159</f>
        <v>995944000</v>
      </c>
      <c r="I144" s="30">
        <f>+I145+I159</f>
        <v>262307680</v>
      </c>
      <c r="J144" s="30">
        <f>+J145+J159</f>
        <v>31123250</v>
      </c>
      <c r="K144" s="30">
        <f>+K145+K159</f>
        <v>8197115</v>
      </c>
      <c r="L144" s="30">
        <f>+L145+L159</f>
        <v>39320365</v>
      </c>
      <c r="M144" s="139">
        <f t="shared" si="93"/>
        <v>0.79153003793326948</v>
      </c>
      <c r="N144" s="139">
        <f t="shared" si="91"/>
        <v>0.20846996206673052</v>
      </c>
      <c r="O144" s="36"/>
      <c r="P144" s="140"/>
      <c r="Q144" s="141"/>
      <c r="R144" s="142"/>
      <c r="S144" s="143"/>
      <c r="T144" s="144"/>
      <c r="U144" s="30">
        <f>+U145+U159</f>
        <v>76500</v>
      </c>
      <c r="V144" s="30">
        <f>+V145+V159</f>
        <v>265196.42857142858</v>
      </c>
      <c r="W144" s="30">
        <f>+W145+W159</f>
        <v>10351017.857142856</v>
      </c>
      <c r="X144" s="30">
        <f>+X145+X159</f>
        <v>10244892.857142856</v>
      </c>
      <c r="Y144" s="30">
        <f>+Y145+Y159</f>
        <v>10185642.857142856</v>
      </c>
      <c r="Z144" s="30">
        <f t="shared" si="94"/>
        <v>31123250</v>
      </c>
      <c r="AA144" s="218">
        <v>1</v>
      </c>
      <c r="AB144" s="219">
        <v>1</v>
      </c>
      <c r="AC144" s="218">
        <v>1</v>
      </c>
      <c r="AD144" s="219">
        <v>1</v>
      </c>
      <c r="AE144" s="218">
        <v>1</v>
      </c>
      <c r="AF144" s="219">
        <v>1</v>
      </c>
      <c r="AG144" s="218">
        <v>1</v>
      </c>
      <c r="AH144" s="219">
        <v>1</v>
      </c>
      <c r="AI144" s="218">
        <v>1</v>
      </c>
      <c r="AJ144" s="219">
        <v>1</v>
      </c>
    </row>
    <row r="145" spans="1:36" ht="20.25" customHeight="1" x14ac:dyDescent="0.25">
      <c r="A145" s="37">
        <v>2</v>
      </c>
      <c r="B145" s="37">
        <v>1</v>
      </c>
      <c r="C145" s="37">
        <v>0</v>
      </c>
      <c r="D145" s="37">
        <v>0</v>
      </c>
      <c r="E145" s="37">
        <v>0</v>
      </c>
      <c r="F145" s="37">
        <v>0</v>
      </c>
      <c r="G145" s="96" t="s">
        <v>146</v>
      </c>
      <c r="H145" s="145">
        <f>+H146+H152</f>
        <v>35944000</v>
      </c>
      <c r="I145" s="145">
        <f t="shared" ref="I145:L145" si="102">+I146+I152</f>
        <v>7907680</v>
      </c>
      <c r="J145" s="145">
        <f t="shared" si="102"/>
        <v>1123250</v>
      </c>
      <c r="K145" s="145">
        <f t="shared" si="102"/>
        <v>247115</v>
      </c>
      <c r="L145" s="145">
        <f t="shared" si="102"/>
        <v>1370365</v>
      </c>
      <c r="M145" s="146">
        <f t="shared" si="93"/>
        <v>0.81967213114754101</v>
      </c>
      <c r="N145" s="146">
        <f t="shared" si="91"/>
        <v>0.18032786885245899</v>
      </c>
      <c r="O145" s="45"/>
      <c r="P145" s="147"/>
      <c r="Q145" s="148"/>
      <c r="R145" s="42"/>
      <c r="S145" s="149"/>
      <c r="T145" s="44"/>
      <c r="U145" s="145">
        <f>+U146+U152</f>
        <v>76500</v>
      </c>
      <c r="V145" s="145">
        <f>+V146+V152</f>
        <v>265196.42857142858</v>
      </c>
      <c r="W145" s="145">
        <f>+W146+W152</f>
        <v>351017.85714285716</v>
      </c>
      <c r="X145" s="145">
        <f>+X146+X152</f>
        <v>244892.85714285716</v>
      </c>
      <c r="Y145" s="145">
        <f>+Y146+Y152</f>
        <v>185642.85714285716</v>
      </c>
      <c r="Z145" s="145">
        <f t="shared" si="94"/>
        <v>1123250</v>
      </c>
      <c r="AA145" s="218">
        <v>1</v>
      </c>
      <c r="AB145" s="219">
        <v>1</v>
      </c>
      <c r="AC145" s="218">
        <v>1</v>
      </c>
      <c r="AD145" s="219">
        <v>1</v>
      </c>
      <c r="AE145" s="218">
        <v>1</v>
      </c>
      <c r="AF145" s="219">
        <v>1</v>
      </c>
      <c r="AG145" s="218">
        <v>1</v>
      </c>
      <c r="AH145" s="219">
        <v>1</v>
      </c>
      <c r="AI145" s="218">
        <v>1</v>
      </c>
      <c r="AJ145" s="219">
        <v>1</v>
      </c>
    </row>
    <row r="146" spans="1:36" ht="24" x14ac:dyDescent="0.25">
      <c r="A146" s="150">
        <v>2</v>
      </c>
      <c r="B146" s="150">
        <v>1</v>
      </c>
      <c r="C146" s="150">
        <v>1</v>
      </c>
      <c r="D146" s="150">
        <v>0</v>
      </c>
      <c r="E146" s="150">
        <v>0</v>
      </c>
      <c r="F146" s="150">
        <v>0</v>
      </c>
      <c r="G146" s="151" t="s">
        <v>246</v>
      </c>
      <c r="H146" s="152">
        <f>+H147</f>
        <v>21560000</v>
      </c>
      <c r="I146" s="152">
        <f t="shared" ref="I146:L146" si="103">+I147</f>
        <v>4743200</v>
      </c>
      <c r="J146" s="152">
        <f t="shared" si="103"/>
        <v>673750</v>
      </c>
      <c r="K146" s="152">
        <f t="shared" si="103"/>
        <v>148225</v>
      </c>
      <c r="L146" s="152">
        <f t="shared" si="103"/>
        <v>821975</v>
      </c>
      <c r="M146" s="153">
        <f t="shared" si="93"/>
        <v>0.81967213114754101</v>
      </c>
      <c r="N146" s="153">
        <f t="shared" si="91"/>
        <v>0.18032786885245899</v>
      </c>
      <c r="O146" s="158"/>
      <c r="P146" s="154"/>
      <c r="Q146" s="154"/>
      <c r="R146" s="155"/>
      <c r="S146" s="156"/>
      <c r="T146" s="157"/>
      <c r="U146" s="152">
        <f>+U147</f>
        <v>76500</v>
      </c>
      <c r="V146" s="152">
        <f>+V147</f>
        <v>167285.71428571429</v>
      </c>
      <c r="W146" s="152">
        <f>+W147</f>
        <v>181571.42857142858</v>
      </c>
      <c r="X146" s="152">
        <f>+X147</f>
        <v>143321.42857142858</v>
      </c>
      <c r="Y146" s="152">
        <f>+Y147</f>
        <v>105071.42857142858</v>
      </c>
      <c r="Z146" s="152">
        <f t="shared" si="94"/>
        <v>673750</v>
      </c>
      <c r="AA146" s="218">
        <v>1</v>
      </c>
      <c r="AB146" s="219">
        <v>1</v>
      </c>
      <c r="AC146" s="218">
        <v>1</v>
      </c>
      <c r="AD146" s="219">
        <v>1</v>
      </c>
      <c r="AE146" s="218">
        <v>1</v>
      </c>
      <c r="AF146" s="219">
        <v>1</v>
      </c>
      <c r="AG146" s="218">
        <v>1</v>
      </c>
      <c r="AH146" s="219">
        <v>1</v>
      </c>
      <c r="AI146" s="218">
        <v>1</v>
      </c>
      <c r="AJ146" s="219">
        <v>1</v>
      </c>
    </row>
    <row r="147" spans="1:36" x14ac:dyDescent="0.25">
      <c r="A147" s="55">
        <v>2</v>
      </c>
      <c r="B147" s="55">
        <v>1</v>
      </c>
      <c r="C147" s="55">
        <v>1</v>
      </c>
      <c r="D147" s="55">
        <v>1</v>
      </c>
      <c r="E147" s="55">
        <v>0</v>
      </c>
      <c r="F147" s="55">
        <v>0</v>
      </c>
      <c r="G147" s="76" t="s">
        <v>147</v>
      </c>
      <c r="H147" s="57">
        <f>+H148+H151</f>
        <v>21560000</v>
      </c>
      <c r="I147" s="57">
        <f t="shared" ref="I147:L147" si="104">+I148+I151</f>
        <v>4743200</v>
      </c>
      <c r="J147" s="57">
        <f>+J148+J151</f>
        <v>673750</v>
      </c>
      <c r="K147" s="57">
        <f t="shared" si="104"/>
        <v>148225</v>
      </c>
      <c r="L147" s="57">
        <f t="shared" si="104"/>
        <v>821975</v>
      </c>
      <c r="M147" s="101">
        <f t="shared" si="93"/>
        <v>0.81967213114754101</v>
      </c>
      <c r="N147" s="101">
        <f t="shared" si="91"/>
        <v>0.18032786885245899</v>
      </c>
      <c r="O147" s="63"/>
      <c r="P147" s="77"/>
      <c r="Q147" s="77"/>
      <c r="R147" s="78"/>
      <c r="S147" s="79"/>
      <c r="T147" s="80"/>
      <c r="U147" s="57">
        <f>+U148+U151</f>
        <v>76500</v>
      </c>
      <c r="V147" s="57">
        <f t="shared" ref="V147:Y147" si="105">+V148+V151</f>
        <v>167285.71428571429</v>
      </c>
      <c r="W147" s="57">
        <f t="shared" si="105"/>
        <v>181571.42857142858</v>
      </c>
      <c r="X147" s="57">
        <f t="shared" si="105"/>
        <v>143321.42857142858</v>
      </c>
      <c r="Y147" s="57">
        <f t="shared" si="105"/>
        <v>105071.42857142858</v>
      </c>
      <c r="Z147" s="57">
        <f t="shared" si="94"/>
        <v>673750</v>
      </c>
      <c r="AA147" s="218">
        <v>1</v>
      </c>
      <c r="AB147" s="219">
        <v>1</v>
      </c>
      <c r="AC147" s="218">
        <v>1</v>
      </c>
      <c r="AD147" s="219">
        <v>1</v>
      </c>
      <c r="AE147" s="218">
        <v>1</v>
      </c>
      <c r="AF147" s="219">
        <v>1</v>
      </c>
      <c r="AG147" s="218">
        <v>1</v>
      </c>
      <c r="AH147" s="219">
        <v>1</v>
      </c>
      <c r="AI147" s="218">
        <v>1</v>
      </c>
      <c r="AJ147" s="219">
        <v>1</v>
      </c>
    </row>
    <row r="148" spans="1:36" x14ac:dyDescent="0.25">
      <c r="A148" s="64">
        <v>2</v>
      </c>
      <c r="B148" s="64">
        <v>1</v>
      </c>
      <c r="C148" s="64">
        <v>1</v>
      </c>
      <c r="D148" s="64">
        <v>1</v>
      </c>
      <c r="E148" s="64">
        <v>1</v>
      </c>
      <c r="F148" s="64">
        <v>0</v>
      </c>
      <c r="G148" s="65" t="s">
        <v>204</v>
      </c>
      <c r="H148" s="74">
        <f>+H149+H150</f>
        <v>18360000</v>
      </c>
      <c r="I148" s="74">
        <f t="shared" ref="I148:L148" si="106">+I149+I150</f>
        <v>4039200</v>
      </c>
      <c r="J148" s="74">
        <f>+J149+J150</f>
        <v>573750</v>
      </c>
      <c r="K148" s="74">
        <f t="shared" si="106"/>
        <v>126225</v>
      </c>
      <c r="L148" s="74">
        <f t="shared" si="106"/>
        <v>699975</v>
      </c>
      <c r="M148" s="67">
        <f t="shared" si="93"/>
        <v>0.81967213114754101</v>
      </c>
      <c r="N148" s="104">
        <f t="shared" si="91"/>
        <v>0.18032786885245899</v>
      </c>
      <c r="O148" s="71" t="s">
        <v>59</v>
      </c>
      <c r="P148" s="68">
        <v>42522</v>
      </c>
      <c r="Q148" s="68">
        <v>44166</v>
      </c>
      <c r="R148" s="4" t="s">
        <v>46</v>
      </c>
      <c r="S148" s="69"/>
      <c r="T148" s="70"/>
      <c r="U148" s="74">
        <f>+U149+U150</f>
        <v>76500</v>
      </c>
      <c r="V148" s="74">
        <f t="shared" ref="V148:Y148" si="107">+V149+V150</f>
        <v>153000</v>
      </c>
      <c r="W148" s="74">
        <f t="shared" si="107"/>
        <v>153000</v>
      </c>
      <c r="X148" s="74">
        <f t="shared" si="107"/>
        <v>114750</v>
      </c>
      <c r="Y148" s="74">
        <f t="shared" si="107"/>
        <v>76500</v>
      </c>
      <c r="Z148" s="73">
        <f t="shared" si="94"/>
        <v>573750</v>
      </c>
      <c r="AA148" s="218">
        <v>1</v>
      </c>
      <c r="AB148" s="219">
        <v>1</v>
      </c>
      <c r="AC148" s="218">
        <v>1</v>
      </c>
      <c r="AD148" s="219">
        <v>1</v>
      </c>
      <c r="AE148" s="218">
        <v>1</v>
      </c>
      <c r="AF148" s="219">
        <v>1</v>
      </c>
      <c r="AG148" s="218">
        <v>1</v>
      </c>
      <c r="AH148" s="219">
        <v>1</v>
      </c>
      <c r="AI148" s="218">
        <v>1</v>
      </c>
      <c r="AJ148" s="219">
        <v>1</v>
      </c>
    </row>
    <row r="149" spans="1:36" ht="24" hidden="1" x14ac:dyDescent="0.25">
      <c r="A149" s="64">
        <v>2</v>
      </c>
      <c r="B149" s="64">
        <v>1</v>
      </c>
      <c r="C149" s="64">
        <v>1</v>
      </c>
      <c r="D149" s="64">
        <v>1</v>
      </c>
      <c r="E149" s="64">
        <v>1</v>
      </c>
      <c r="F149" s="64">
        <v>1</v>
      </c>
      <c r="G149" s="72" t="s">
        <v>148</v>
      </c>
      <c r="H149" s="73">
        <f>+S149*R149*T149</f>
        <v>13320000</v>
      </c>
      <c r="I149" s="74">
        <f>+H149*0.22</f>
        <v>2930400</v>
      </c>
      <c r="J149" s="74">
        <f t="shared" ref="J149:K151" si="108">+H149/$H$1</f>
        <v>416250</v>
      </c>
      <c r="K149" s="74">
        <f t="shared" si="108"/>
        <v>91575</v>
      </c>
      <c r="L149" s="74">
        <f>+J149+K149</f>
        <v>507825</v>
      </c>
      <c r="M149" s="67">
        <f t="shared" si="93"/>
        <v>0.81967213114754101</v>
      </c>
      <c r="N149" s="67">
        <f t="shared" si="91"/>
        <v>0.18032786885245899</v>
      </c>
      <c r="O149" s="71" t="s">
        <v>42</v>
      </c>
      <c r="P149" s="68"/>
      <c r="Q149" s="68"/>
      <c r="R149" s="69">
        <f>30+12*0.75+12*0.5</f>
        <v>45</v>
      </c>
      <c r="S149" s="69">
        <v>4</v>
      </c>
      <c r="T149" s="70">
        <v>74000</v>
      </c>
      <c r="U149" s="73">
        <f>+$T149*$S149*12/$H$1*0.5</f>
        <v>55500</v>
      </c>
      <c r="V149" s="73">
        <f>+$T149*$S149*12/$H$1</f>
        <v>111000</v>
      </c>
      <c r="W149" s="73">
        <f>+$T149*$S149*12/$H$1</f>
        <v>111000</v>
      </c>
      <c r="X149" s="73">
        <f>+$T149*$S149*12/$H$1*0.75</f>
        <v>83250</v>
      </c>
      <c r="Y149" s="73">
        <f>+$T149*$S149*12/$H$1*0.5</f>
        <v>55500</v>
      </c>
      <c r="Z149" s="73">
        <f t="shared" si="94"/>
        <v>416250</v>
      </c>
      <c r="AA149" s="218">
        <v>1</v>
      </c>
      <c r="AB149" s="219">
        <v>1</v>
      </c>
      <c r="AC149" s="218">
        <v>1</v>
      </c>
      <c r="AD149" s="219">
        <v>1</v>
      </c>
      <c r="AE149" s="218">
        <v>1</v>
      </c>
      <c r="AF149" s="219">
        <v>1</v>
      </c>
      <c r="AG149" s="218">
        <v>1</v>
      </c>
      <c r="AH149" s="219">
        <v>1</v>
      </c>
      <c r="AI149" s="218">
        <v>1</v>
      </c>
      <c r="AJ149" s="219">
        <v>1</v>
      </c>
    </row>
    <row r="150" spans="1:36" ht="24" hidden="1" x14ac:dyDescent="0.25">
      <c r="A150" s="64">
        <v>2</v>
      </c>
      <c r="B150" s="64">
        <v>1</v>
      </c>
      <c r="C150" s="64">
        <v>1</v>
      </c>
      <c r="D150" s="64">
        <v>1</v>
      </c>
      <c r="E150" s="64">
        <v>1</v>
      </c>
      <c r="F150" s="64">
        <v>2</v>
      </c>
      <c r="G150" s="72" t="s">
        <v>149</v>
      </c>
      <c r="H150" s="73">
        <f>+S150*R150*T150</f>
        <v>5040000</v>
      </c>
      <c r="I150" s="74">
        <f>+H150*0.22</f>
        <v>1108800</v>
      </c>
      <c r="J150" s="74">
        <f t="shared" si="108"/>
        <v>157500</v>
      </c>
      <c r="K150" s="74">
        <f t="shared" si="108"/>
        <v>34650</v>
      </c>
      <c r="L150" s="74">
        <f>+J150+K150</f>
        <v>192150</v>
      </c>
      <c r="M150" s="67">
        <f t="shared" si="93"/>
        <v>0.81967213114754101</v>
      </c>
      <c r="N150" s="67">
        <f t="shared" si="91"/>
        <v>0.18032786885245899</v>
      </c>
      <c r="O150" s="71" t="s">
        <v>42</v>
      </c>
      <c r="P150" s="68"/>
      <c r="Q150" s="68"/>
      <c r="R150" s="69">
        <f>30+12*0.75+12*0.5</f>
        <v>45</v>
      </c>
      <c r="S150" s="69">
        <v>2</v>
      </c>
      <c r="T150" s="70">
        <v>56000</v>
      </c>
      <c r="U150" s="73">
        <f>+$T150*$S150*12/$H$1*0.5</f>
        <v>21000</v>
      </c>
      <c r="V150" s="73">
        <f>+$T150*$S150*12/$H$1</f>
        <v>42000</v>
      </c>
      <c r="W150" s="73">
        <f>+$T150*$S150*12/$H$1</f>
        <v>42000</v>
      </c>
      <c r="X150" s="73">
        <f>+$T150*$S150*12/$H$1*0.75</f>
        <v>31500</v>
      </c>
      <c r="Y150" s="73">
        <f>+$T150*$S150*12/$H$1*0.5</f>
        <v>21000</v>
      </c>
      <c r="Z150" s="73">
        <f t="shared" si="94"/>
        <v>157500</v>
      </c>
      <c r="AA150" s="218">
        <v>1</v>
      </c>
      <c r="AB150" s="219">
        <v>1</v>
      </c>
      <c r="AC150" s="218">
        <v>1</v>
      </c>
      <c r="AD150" s="219">
        <v>1</v>
      </c>
      <c r="AE150" s="218">
        <v>1</v>
      </c>
      <c r="AF150" s="219">
        <v>1</v>
      </c>
      <c r="AG150" s="218">
        <v>1</v>
      </c>
      <c r="AH150" s="219">
        <v>1</v>
      </c>
      <c r="AI150" s="218">
        <v>1</v>
      </c>
      <c r="AJ150" s="219">
        <v>1</v>
      </c>
    </row>
    <row r="151" spans="1:36" ht="36" x14ac:dyDescent="0.25">
      <c r="A151" s="64">
        <v>2</v>
      </c>
      <c r="B151" s="64">
        <v>1</v>
      </c>
      <c r="C151" s="64">
        <v>1</v>
      </c>
      <c r="D151" s="64">
        <v>1</v>
      </c>
      <c r="E151" s="64">
        <v>3</v>
      </c>
      <c r="F151" s="64">
        <v>0</v>
      </c>
      <c r="G151" s="65" t="s">
        <v>247</v>
      </c>
      <c r="H151" s="159">
        <f>100000*32</f>
        <v>3200000</v>
      </c>
      <c r="I151" s="74">
        <f>+H151*0.22</f>
        <v>704000</v>
      </c>
      <c r="J151" s="74">
        <f t="shared" si="108"/>
        <v>100000</v>
      </c>
      <c r="K151" s="74">
        <f t="shared" si="108"/>
        <v>22000</v>
      </c>
      <c r="L151" s="74">
        <f>+J151+K151</f>
        <v>122000</v>
      </c>
      <c r="M151" s="104">
        <f t="shared" si="93"/>
        <v>0.81967213114754101</v>
      </c>
      <c r="N151" s="104">
        <f t="shared" si="91"/>
        <v>0.18032786885245899</v>
      </c>
      <c r="O151" s="71" t="s">
        <v>6</v>
      </c>
      <c r="P151" s="68">
        <v>42887</v>
      </c>
      <c r="Q151" s="68">
        <v>44166</v>
      </c>
      <c r="R151" s="4" t="s">
        <v>89</v>
      </c>
      <c r="S151" s="69"/>
      <c r="T151" s="70"/>
      <c r="U151" s="74">
        <v>0</v>
      </c>
      <c r="V151" s="74">
        <f>+J151/7</f>
        <v>14285.714285714286</v>
      </c>
      <c r="W151" s="74">
        <f>+$J151/7*2</f>
        <v>28571.428571428572</v>
      </c>
      <c r="X151" s="74">
        <f>+$J151/7*2</f>
        <v>28571.428571428572</v>
      </c>
      <c r="Y151" s="74">
        <f>+$J151/7*2</f>
        <v>28571.428571428572</v>
      </c>
      <c r="Z151" s="74">
        <f t="shared" si="94"/>
        <v>100000</v>
      </c>
      <c r="AA151" s="218"/>
      <c r="AB151" s="219"/>
      <c r="AC151" s="218">
        <v>1</v>
      </c>
      <c r="AD151" s="219">
        <v>1</v>
      </c>
      <c r="AE151" s="218">
        <v>1</v>
      </c>
      <c r="AF151" s="219">
        <v>1</v>
      </c>
      <c r="AG151" s="218">
        <v>1</v>
      </c>
      <c r="AH151" s="219">
        <v>1</v>
      </c>
      <c r="AI151" s="218">
        <v>1</v>
      </c>
      <c r="AJ151" s="219">
        <v>1</v>
      </c>
    </row>
    <row r="152" spans="1:36" x14ac:dyDescent="0.25">
      <c r="A152" s="160">
        <v>2</v>
      </c>
      <c r="B152" s="160">
        <v>1</v>
      </c>
      <c r="C152" s="160">
        <v>2</v>
      </c>
      <c r="D152" s="160">
        <v>0</v>
      </c>
      <c r="E152" s="160">
        <v>0</v>
      </c>
      <c r="F152" s="160">
        <v>0</v>
      </c>
      <c r="G152" s="161" t="s">
        <v>248</v>
      </c>
      <c r="H152" s="162">
        <f>+H153</f>
        <v>14384000</v>
      </c>
      <c r="I152" s="162">
        <f t="shared" ref="I152:L152" si="109">+I153</f>
        <v>3164480</v>
      </c>
      <c r="J152" s="162">
        <f t="shared" si="109"/>
        <v>449500</v>
      </c>
      <c r="K152" s="162">
        <f t="shared" si="109"/>
        <v>98890</v>
      </c>
      <c r="L152" s="162">
        <f t="shared" si="109"/>
        <v>548390</v>
      </c>
      <c r="M152" s="163">
        <f t="shared" si="93"/>
        <v>0.81967213114754101</v>
      </c>
      <c r="N152" s="163">
        <f t="shared" si="91"/>
        <v>0.18032786885245899</v>
      </c>
      <c r="O152" s="168"/>
      <c r="P152" s="164"/>
      <c r="Q152" s="164"/>
      <c r="R152" s="165"/>
      <c r="S152" s="166"/>
      <c r="T152" s="167"/>
      <c r="U152" s="162">
        <f>+U153</f>
        <v>0</v>
      </c>
      <c r="V152" s="162">
        <f>+V153</f>
        <v>97910.71428571429</v>
      </c>
      <c r="W152" s="162">
        <f>+W153</f>
        <v>169446.42857142858</v>
      </c>
      <c r="X152" s="162">
        <f>+X153</f>
        <v>101571.42857142858</v>
      </c>
      <c r="Y152" s="162">
        <f>+Y153</f>
        <v>80571.42857142858</v>
      </c>
      <c r="Z152" s="162">
        <f t="shared" si="94"/>
        <v>449500</v>
      </c>
      <c r="AA152" s="218">
        <v>1</v>
      </c>
      <c r="AB152" s="219">
        <v>1</v>
      </c>
      <c r="AC152" s="218">
        <v>1</v>
      </c>
      <c r="AD152" s="219">
        <v>1</v>
      </c>
      <c r="AE152" s="218">
        <v>1</v>
      </c>
      <c r="AF152" s="219">
        <v>1</v>
      </c>
      <c r="AG152" s="218">
        <v>1</v>
      </c>
      <c r="AH152" s="219">
        <v>1</v>
      </c>
      <c r="AI152" s="218">
        <v>1</v>
      </c>
      <c r="AJ152" s="219">
        <v>1</v>
      </c>
    </row>
    <row r="153" spans="1:36" x14ac:dyDescent="0.25">
      <c r="A153" s="169">
        <v>2</v>
      </c>
      <c r="B153" s="169">
        <v>1</v>
      </c>
      <c r="C153" s="169">
        <v>2</v>
      </c>
      <c r="D153" s="169">
        <v>1</v>
      </c>
      <c r="E153" s="169">
        <v>0</v>
      </c>
      <c r="F153" s="169">
        <v>0</v>
      </c>
      <c r="G153" s="107" t="s">
        <v>150</v>
      </c>
      <c r="H153" s="170">
        <f>+H154+H157+H158</f>
        <v>14384000</v>
      </c>
      <c r="I153" s="170">
        <f>+I154+I157+I158</f>
        <v>3164480</v>
      </c>
      <c r="J153" s="170">
        <f>+J154+J157+J158</f>
        <v>449500</v>
      </c>
      <c r="K153" s="170">
        <f>+K154+K157+K158</f>
        <v>98890</v>
      </c>
      <c r="L153" s="170">
        <f>+L154+L157+L158</f>
        <v>548390</v>
      </c>
      <c r="M153" s="171">
        <f t="shared" si="93"/>
        <v>0.81967213114754101</v>
      </c>
      <c r="N153" s="171">
        <f t="shared" si="91"/>
        <v>0.18032786885245899</v>
      </c>
      <c r="O153" s="176"/>
      <c r="P153" s="172"/>
      <c r="Q153" s="172"/>
      <c r="R153" s="173"/>
      <c r="S153" s="174"/>
      <c r="T153" s="175"/>
      <c r="U153" s="170">
        <f>+U154+U157+U158</f>
        <v>0</v>
      </c>
      <c r="V153" s="170">
        <f>+V154+V157+V158</f>
        <v>97910.71428571429</v>
      </c>
      <c r="W153" s="170">
        <f>+W154+W157+W158</f>
        <v>169446.42857142858</v>
      </c>
      <c r="X153" s="170">
        <f>+X154+X157+X158</f>
        <v>101571.42857142858</v>
      </c>
      <c r="Y153" s="170">
        <f>+Y154+Y157+Y158</f>
        <v>80571.42857142858</v>
      </c>
      <c r="Z153" s="170">
        <f t="shared" si="94"/>
        <v>449500</v>
      </c>
      <c r="AA153" s="218">
        <v>1</v>
      </c>
      <c r="AB153" s="219">
        <v>1</v>
      </c>
      <c r="AC153" s="218">
        <v>1</v>
      </c>
      <c r="AD153" s="219">
        <v>1</v>
      </c>
      <c r="AE153" s="218">
        <v>1</v>
      </c>
      <c r="AF153" s="219">
        <v>1</v>
      </c>
      <c r="AG153" s="218">
        <v>1</v>
      </c>
      <c r="AH153" s="219">
        <v>1</v>
      </c>
      <c r="AI153" s="218">
        <v>1</v>
      </c>
      <c r="AJ153" s="219">
        <v>1</v>
      </c>
    </row>
    <row r="154" spans="1:36" ht="24" x14ac:dyDescent="0.25">
      <c r="A154" s="64">
        <v>2</v>
      </c>
      <c r="B154" s="64">
        <v>1</v>
      </c>
      <c r="C154" s="64">
        <v>2</v>
      </c>
      <c r="D154" s="64">
        <v>1</v>
      </c>
      <c r="E154" s="64">
        <v>1</v>
      </c>
      <c r="F154" s="64">
        <v>0</v>
      </c>
      <c r="G154" s="65" t="s">
        <v>205</v>
      </c>
      <c r="H154" s="74">
        <f>+H156+H155</f>
        <v>8064000</v>
      </c>
      <c r="I154" s="74">
        <f t="shared" ref="I154:L154" si="110">+I156+I155</f>
        <v>1774080</v>
      </c>
      <c r="J154" s="74">
        <f t="shared" si="110"/>
        <v>252000</v>
      </c>
      <c r="K154" s="74">
        <f t="shared" si="110"/>
        <v>55440</v>
      </c>
      <c r="L154" s="74">
        <f t="shared" si="110"/>
        <v>307440</v>
      </c>
      <c r="M154" s="104">
        <f t="shared" si="93"/>
        <v>0.81967213114754101</v>
      </c>
      <c r="N154" s="104">
        <f t="shared" si="91"/>
        <v>0.18032786885245899</v>
      </c>
      <c r="O154" s="71" t="s">
        <v>59</v>
      </c>
      <c r="P154" s="68">
        <v>42736</v>
      </c>
      <c r="Q154" s="68">
        <v>43831</v>
      </c>
      <c r="R154" s="4" t="s">
        <v>89</v>
      </c>
      <c r="S154" s="69"/>
      <c r="T154" s="70"/>
      <c r="U154" s="74">
        <f>+U156+U155</f>
        <v>0</v>
      </c>
      <c r="V154" s="74">
        <f>+V156+V155</f>
        <v>63000</v>
      </c>
      <c r="W154" s="74">
        <f>+W156+W155</f>
        <v>84000</v>
      </c>
      <c r="X154" s="74">
        <f>+X156+X155</f>
        <v>63000</v>
      </c>
      <c r="Y154" s="74">
        <f>+Y156+Y155</f>
        <v>42000</v>
      </c>
      <c r="Z154" s="74">
        <f t="shared" si="94"/>
        <v>252000</v>
      </c>
      <c r="AA154" s="218"/>
      <c r="AB154" s="219"/>
      <c r="AC154" s="218">
        <v>1</v>
      </c>
      <c r="AD154" s="219">
        <v>1</v>
      </c>
      <c r="AE154" s="218">
        <v>1</v>
      </c>
      <c r="AF154" s="219">
        <v>1</v>
      </c>
      <c r="AG154" s="218">
        <v>1</v>
      </c>
      <c r="AH154" s="219">
        <v>1</v>
      </c>
      <c r="AI154" s="218">
        <v>1</v>
      </c>
      <c r="AJ154" s="219">
        <v>1</v>
      </c>
    </row>
    <row r="155" spans="1:36" ht="24" hidden="1" customHeight="1" x14ac:dyDescent="0.25">
      <c r="A155" s="64">
        <v>2</v>
      </c>
      <c r="B155" s="64">
        <v>1</v>
      </c>
      <c r="C155" s="64">
        <v>2</v>
      </c>
      <c r="D155" s="64">
        <v>1</v>
      </c>
      <c r="E155" s="64">
        <v>1</v>
      </c>
      <c r="F155" s="64">
        <v>1</v>
      </c>
      <c r="G155" s="72" t="s">
        <v>151</v>
      </c>
      <c r="H155" s="73">
        <f>+S155*R155*T155</f>
        <v>2016000</v>
      </c>
      <c r="I155" s="74">
        <f>+H155*0.22</f>
        <v>443520</v>
      </c>
      <c r="J155" s="74">
        <f t="shared" ref="J155:K158" si="111">+H155/$H$1</f>
        <v>63000</v>
      </c>
      <c r="K155" s="74">
        <f t="shared" si="111"/>
        <v>13860</v>
      </c>
      <c r="L155" s="74">
        <f>+J155+K155</f>
        <v>76860</v>
      </c>
      <c r="M155" s="67">
        <f t="shared" si="93"/>
        <v>0.81967213114754101</v>
      </c>
      <c r="N155" s="67">
        <f t="shared" si="91"/>
        <v>0.18032786885245899</v>
      </c>
      <c r="O155" s="71" t="s">
        <v>192</v>
      </c>
      <c r="P155" s="68"/>
      <c r="Q155" s="68"/>
      <c r="R155" s="4">
        <v>12</v>
      </c>
      <c r="S155" s="69">
        <v>3</v>
      </c>
      <c r="T155" s="70">
        <v>56000</v>
      </c>
      <c r="U155" s="73">
        <v>0</v>
      </c>
      <c r="V155" s="73">
        <f>+J155</f>
        <v>63000</v>
      </c>
      <c r="W155" s="73">
        <v>0</v>
      </c>
      <c r="X155" s="73">
        <v>0</v>
      </c>
      <c r="Y155" s="73">
        <v>0</v>
      </c>
      <c r="Z155" s="73">
        <f t="shared" si="94"/>
        <v>63000</v>
      </c>
      <c r="AA155" s="218"/>
      <c r="AB155" s="219"/>
      <c r="AC155" s="218">
        <v>1</v>
      </c>
      <c r="AD155" s="219">
        <v>1</v>
      </c>
      <c r="AE155" s="218"/>
      <c r="AF155" s="219"/>
      <c r="AG155" s="218"/>
      <c r="AH155" s="219"/>
      <c r="AI155" s="218"/>
      <c r="AJ155" s="219"/>
    </row>
    <row r="156" spans="1:36" ht="15" hidden="1" customHeight="1" x14ac:dyDescent="0.25">
      <c r="A156" s="64">
        <v>2</v>
      </c>
      <c r="B156" s="64">
        <v>1</v>
      </c>
      <c r="C156" s="64">
        <v>2</v>
      </c>
      <c r="D156" s="64">
        <v>1</v>
      </c>
      <c r="E156" s="64">
        <v>1</v>
      </c>
      <c r="F156" s="64">
        <v>2</v>
      </c>
      <c r="G156" s="72"/>
      <c r="H156" s="73">
        <f>+S156*R156*T156</f>
        <v>6048000</v>
      </c>
      <c r="I156" s="74">
        <f>+H156*0.22</f>
        <v>1330560</v>
      </c>
      <c r="J156" s="74">
        <f t="shared" si="111"/>
        <v>189000</v>
      </c>
      <c r="K156" s="74">
        <f t="shared" si="111"/>
        <v>41580</v>
      </c>
      <c r="L156" s="74">
        <f>+J156+K156</f>
        <v>230580</v>
      </c>
      <c r="M156" s="67">
        <f t="shared" si="93"/>
        <v>0.81967213114754101</v>
      </c>
      <c r="N156" s="67">
        <f t="shared" si="91"/>
        <v>0.18032786885245899</v>
      </c>
      <c r="O156" s="71" t="s">
        <v>42</v>
      </c>
      <c r="P156" s="68"/>
      <c r="Q156" s="68"/>
      <c r="R156" s="69">
        <f>12+12*0.75+12*0.5</f>
        <v>27</v>
      </c>
      <c r="S156" s="69">
        <v>4</v>
      </c>
      <c r="T156" s="70">
        <v>56000</v>
      </c>
      <c r="U156" s="73">
        <v>0</v>
      </c>
      <c r="V156" s="73">
        <v>0</v>
      </c>
      <c r="W156" s="73">
        <f>+$T156*$S156*12/$H$1</f>
        <v>84000</v>
      </c>
      <c r="X156" s="73">
        <f>+$T156*$S156*12/$H$1*0.75</f>
        <v>63000</v>
      </c>
      <c r="Y156" s="73">
        <f>+$T156*$S156*12/$H$1*0.5</f>
        <v>42000</v>
      </c>
      <c r="Z156" s="73">
        <f t="shared" si="94"/>
        <v>189000</v>
      </c>
      <c r="AA156" s="218"/>
      <c r="AB156" s="219"/>
      <c r="AC156" s="218"/>
      <c r="AD156" s="219"/>
      <c r="AE156" s="218">
        <v>1</v>
      </c>
      <c r="AF156" s="219">
        <v>1</v>
      </c>
      <c r="AG156" s="218">
        <v>1</v>
      </c>
      <c r="AH156" s="219">
        <v>1</v>
      </c>
      <c r="AI156" s="218">
        <v>1</v>
      </c>
      <c r="AJ156" s="219">
        <v>1</v>
      </c>
    </row>
    <row r="157" spans="1:36" ht="24" x14ac:dyDescent="0.25">
      <c r="A157" s="64">
        <v>2</v>
      </c>
      <c r="B157" s="64">
        <v>1</v>
      </c>
      <c r="C157" s="64">
        <v>2</v>
      </c>
      <c r="D157" s="64">
        <v>1</v>
      </c>
      <c r="E157" s="64">
        <v>2</v>
      </c>
      <c r="F157" s="64">
        <v>0</v>
      </c>
      <c r="G157" s="103" t="s">
        <v>251</v>
      </c>
      <c r="H157" s="159">
        <f>96000*5*3*3</f>
        <v>4320000</v>
      </c>
      <c r="I157" s="74">
        <f>+H157*0.22</f>
        <v>950400</v>
      </c>
      <c r="J157" s="74">
        <f t="shared" si="111"/>
        <v>135000</v>
      </c>
      <c r="K157" s="74">
        <f t="shared" si="111"/>
        <v>29700</v>
      </c>
      <c r="L157" s="74">
        <f>+J157+K157</f>
        <v>164700</v>
      </c>
      <c r="M157" s="104">
        <f t="shared" si="93"/>
        <v>0.81967213114754101</v>
      </c>
      <c r="N157" s="104">
        <f t="shared" si="91"/>
        <v>0.18032786885245899</v>
      </c>
      <c r="O157" s="105" t="s">
        <v>6</v>
      </c>
      <c r="P157" s="68">
        <v>43009</v>
      </c>
      <c r="Q157" s="68">
        <v>43831</v>
      </c>
      <c r="R157" s="4" t="s">
        <v>56</v>
      </c>
      <c r="S157" s="69"/>
      <c r="T157" s="70"/>
      <c r="U157" s="74">
        <v>0</v>
      </c>
      <c r="V157" s="74">
        <f>+$J157/7</f>
        <v>19285.714285714286</v>
      </c>
      <c r="W157" s="74">
        <f>+$J157/7*2</f>
        <v>38571.428571428572</v>
      </c>
      <c r="X157" s="74">
        <f>+$J157/7*2</f>
        <v>38571.428571428572</v>
      </c>
      <c r="Y157" s="74">
        <f>+$J157/7*2</f>
        <v>38571.428571428572</v>
      </c>
      <c r="Z157" s="74">
        <f t="shared" si="94"/>
        <v>135000</v>
      </c>
      <c r="AA157" s="218"/>
      <c r="AB157" s="219"/>
      <c r="AC157" s="218">
        <v>1</v>
      </c>
      <c r="AD157" s="219">
        <v>1</v>
      </c>
      <c r="AE157" s="218">
        <v>1</v>
      </c>
      <c r="AF157" s="219">
        <v>1</v>
      </c>
      <c r="AG157" s="218">
        <v>1</v>
      </c>
      <c r="AH157" s="219">
        <v>1</v>
      </c>
      <c r="AI157" s="218">
        <v>1</v>
      </c>
      <c r="AJ157" s="219">
        <v>1</v>
      </c>
    </row>
    <row r="158" spans="1:36" ht="24" x14ac:dyDescent="0.25">
      <c r="A158" s="64">
        <v>2</v>
      </c>
      <c r="B158" s="64">
        <v>1</v>
      </c>
      <c r="C158" s="64">
        <v>2</v>
      </c>
      <c r="D158" s="64">
        <v>1</v>
      </c>
      <c r="E158" s="64">
        <v>3</v>
      </c>
      <c r="F158" s="64">
        <v>0</v>
      </c>
      <c r="G158" s="65" t="s">
        <v>190</v>
      </c>
      <c r="H158" s="159">
        <v>2000000</v>
      </c>
      <c r="I158" s="74">
        <f>+H158*0.22</f>
        <v>440000</v>
      </c>
      <c r="J158" s="74">
        <f t="shared" si="111"/>
        <v>62500</v>
      </c>
      <c r="K158" s="74">
        <f t="shared" si="111"/>
        <v>13750</v>
      </c>
      <c r="L158" s="74">
        <f>+J158+K158</f>
        <v>76250</v>
      </c>
      <c r="M158" s="104">
        <f t="shared" si="93"/>
        <v>0.81967213114754101</v>
      </c>
      <c r="N158" s="104">
        <f t="shared" si="91"/>
        <v>0.18032786885245899</v>
      </c>
      <c r="O158" s="71" t="s">
        <v>54</v>
      </c>
      <c r="P158" s="68">
        <v>43009</v>
      </c>
      <c r="Q158" s="68">
        <v>43374</v>
      </c>
      <c r="R158" s="4" t="s">
        <v>49</v>
      </c>
      <c r="S158" s="69"/>
      <c r="T158" s="70"/>
      <c r="U158" s="74">
        <v>0</v>
      </c>
      <c r="V158" s="74">
        <f>+$J158/12*3</f>
        <v>15625</v>
      </c>
      <c r="W158" s="74">
        <f>+$J158/12*9</f>
        <v>46875</v>
      </c>
      <c r="X158" s="74">
        <v>0</v>
      </c>
      <c r="Y158" s="74">
        <v>0</v>
      </c>
      <c r="Z158" s="74">
        <f t="shared" si="94"/>
        <v>62500</v>
      </c>
      <c r="AA158" s="218"/>
      <c r="AB158" s="219"/>
      <c r="AC158" s="218">
        <v>1</v>
      </c>
      <c r="AD158" s="219">
        <v>1</v>
      </c>
      <c r="AE158" s="218">
        <v>1</v>
      </c>
      <c r="AF158" s="219">
        <v>1</v>
      </c>
      <c r="AG158" s="218"/>
      <c r="AH158" s="219"/>
      <c r="AI158" s="218"/>
      <c r="AJ158" s="219"/>
    </row>
    <row r="159" spans="1:36" x14ac:dyDescent="0.25">
      <c r="A159" s="37">
        <v>2</v>
      </c>
      <c r="B159" s="37">
        <v>2</v>
      </c>
      <c r="C159" s="37">
        <v>0</v>
      </c>
      <c r="D159" s="37">
        <v>0</v>
      </c>
      <c r="E159" s="37">
        <v>0</v>
      </c>
      <c r="F159" s="37">
        <v>0</v>
      </c>
      <c r="G159" s="96" t="s">
        <v>152</v>
      </c>
      <c r="H159" s="145">
        <f>+H160</f>
        <v>960000000</v>
      </c>
      <c r="I159" s="145">
        <f t="shared" ref="I159:L159" si="112">+I160</f>
        <v>254400000</v>
      </c>
      <c r="J159" s="145">
        <f t="shared" si="112"/>
        <v>30000000</v>
      </c>
      <c r="K159" s="145">
        <f t="shared" si="112"/>
        <v>7950000</v>
      </c>
      <c r="L159" s="145">
        <f t="shared" si="112"/>
        <v>37950000</v>
      </c>
      <c r="M159" s="146">
        <f t="shared" si="93"/>
        <v>0.79051383399209485</v>
      </c>
      <c r="N159" s="146">
        <f t="shared" si="91"/>
        <v>0.20948616600790515</v>
      </c>
      <c r="O159" s="147"/>
      <c r="P159" s="147"/>
      <c r="Q159" s="148"/>
      <c r="R159" s="42"/>
      <c r="S159" s="177"/>
      <c r="T159" s="178"/>
      <c r="U159" s="145">
        <f t="shared" ref="U159:Y161" si="113">+U160</f>
        <v>0</v>
      </c>
      <c r="V159" s="145">
        <f t="shared" si="113"/>
        <v>0</v>
      </c>
      <c r="W159" s="145">
        <f t="shared" si="113"/>
        <v>10000000</v>
      </c>
      <c r="X159" s="145">
        <f t="shared" si="113"/>
        <v>10000000</v>
      </c>
      <c r="Y159" s="145">
        <f t="shared" si="113"/>
        <v>10000000</v>
      </c>
      <c r="Z159" s="145">
        <f t="shared" si="94"/>
        <v>30000000</v>
      </c>
      <c r="AA159" s="218"/>
      <c r="AB159" s="219"/>
      <c r="AC159" s="218"/>
      <c r="AD159" s="219"/>
      <c r="AE159" s="218">
        <v>1</v>
      </c>
      <c r="AF159" s="219">
        <v>1</v>
      </c>
      <c r="AG159" s="218">
        <v>1</v>
      </c>
      <c r="AH159" s="219">
        <v>1</v>
      </c>
      <c r="AI159" s="218">
        <v>1</v>
      </c>
      <c r="AJ159" s="219">
        <v>1</v>
      </c>
    </row>
    <row r="160" spans="1:36" x14ac:dyDescent="0.25">
      <c r="A160" s="46">
        <v>2</v>
      </c>
      <c r="B160" s="46">
        <v>2</v>
      </c>
      <c r="C160" s="46">
        <v>1</v>
      </c>
      <c r="D160" s="46">
        <v>0</v>
      </c>
      <c r="E160" s="46">
        <v>0</v>
      </c>
      <c r="F160" s="46">
        <v>0</v>
      </c>
      <c r="G160" s="92" t="s">
        <v>252</v>
      </c>
      <c r="H160" s="179">
        <f t="shared" ref="H160:L161" si="114">+H161</f>
        <v>960000000</v>
      </c>
      <c r="I160" s="179">
        <f t="shared" si="114"/>
        <v>254400000</v>
      </c>
      <c r="J160" s="179">
        <f t="shared" si="114"/>
        <v>30000000</v>
      </c>
      <c r="K160" s="179">
        <f t="shared" si="114"/>
        <v>7950000</v>
      </c>
      <c r="L160" s="179">
        <f t="shared" si="114"/>
        <v>37950000</v>
      </c>
      <c r="M160" s="119">
        <f t="shared" si="93"/>
        <v>0.79051383399209485</v>
      </c>
      <c r="N160" s="119">
        <f t="shared" si="91"/>
        <v>0.20948616600790515</v>
      </c>
      <c r="O160" s="87"/>
      <c r="P160" s="120"/>
      <c r="Q160" s="120"/>
      <c r="R160" s="121"/>
      <c r="S160" s="122"/>
      <c r="T160" s="123"/>
      <c r="U160" s="179">
        <f t="shared" si="113"/>
        <v>0</v>
      </c>
      <c r="V160" s="179">
        <f t="shared" si="113"/>
        <v>0</v>
      </c>
      <c r="W160" s="179">
        <f t="shared" si="113"/>
        <v>10000000</v>
      </c>
      <c r="X160" s="179">
        <f t="shared" si="113"/>
        <v>10000000</v>
      </c>
      <c r="Y160" s="179">
        <f t="shared" si="113"/>
        <v>10000000</v>
      </c>
      <c r="Z160" s="179">
        <f t="shared" si="94"/>
        <v>30000000</v>
      </c>
      <c r="AA160" s="218"/>
      <c r="AB160" s="219"/>
      <c r="AC160" s="218"/>
      <c r="AD160" s="219"/>
      <c r="AE160" s="218">
        <v>1</v>
      </c>
      <c r="AF160" s="219">
        <v>1</v>
      </c>
      <c r="AG160" s="218">
        <v>1</v>
      </c>
      <c r="AH160" s="219">
        <v>1</v>
      </c>
      <c r="AI160" s="218">
        <v>1</v>
      </c>
      <c r="AJ160" s="219">
        <v>1</v>
      </c>
    </row>
    <row r="161" spans="1:36" x14ac:dyDescent="0.25">
      <c r="A161" s="55">
        <v>2</v>
      </c>
      <c r="B161" s="55">
        <v>2</v>
      </c>
      <c r="C161" s="55">
        <v>1</v>
      </c>
      <c r="D161" s="55">
        <v>1</v>
      </c>
      <c r="E161" s="55">
        <v>0</v>
      </c>
      <c r="F161" s="55">
        <v>0</v>
      </c>
      <c r="G161" s="56" t="s">
        <v>249</v>
      </c>
      <c r="H161" s="57">
        <f t="shared" si="114"/>
        <v>960000000</v>
      </c>
      <c r="I161" s="57">
        <f t="shared" si="114"/>
        <v>254400000</v>
      </c>
      <c r="J161" s="57">
        <f t="shared" si="114"/>
        <v>30000000</v>
      </c>
      <c r="K161" s="57">
        <f t="shared" si="114"/>
        <v>7950000</v>
      </c>
      <c r="L161" s="57">
        <f t="shared" si="114"/>
        <v>37950000</v>
      </c>
      <c r="M161" s="101">
        <f t="shared" si="93"/>
        <v>0.79051383399209485</v>
      </c>
      <c r="N161" s="101">
        <f t="shared" si="91"/>
        <v>0.20948616600790515</v>
      </c>
      <c r="O161" s="63"/>
      <c r="P161" s="77"/>
      <c r="Q161" s="77"/>
      <c r="R161" s="78"/>
      <c r="S161" s="79"/>
      <c r="T161" s="80"/>
      <c r="U161" s="57">
        <f t="shared" si="113"/>
        <v>0</v>
      </c>
      <c r="V161" s="57">
        <f t="shared" si="113"/>
        <v>0</v>
      </c>
      <c r="W161" s="57">
        <f t="shared" si="113"/>
        <v>10000000</v>
      </c>
      <c r="X161" s="57">
        <f t="shared" si="113"/>
        <v>10000000</v>
      </c>
      <c r="Y161" s="57">
        <f t="shared" si="113"/>
        <v>10000000</v>
      </c>
      <c r="Z161" s="57">
        <f t="shared" si="94"/>
        <v>30000000</v>
      </c>
      <c r="AA161" s="218"/>
      <c r="AB161" s="219"/>
      <c r="AC161" s="218"/>
      <c r="AD161" s="219"/>
      <c r="AE161" s="218">
        <v>1</v>
      </c>
      <c r="AF161" s="219">
        <v>1</v>
      </c>
      <c r="AG161" s="218">
        <v>1</v>
      </c>
      <c r="AH161" s="219">
        <v>1</v>
      </c>
      <c r="AI161" s="218">
        <v>1</v>
      </c>
      <c r="AJ161" s="219">
        <v>1</v>
      </c>
    </row>
    <row r="162" spans="1:36" x14ac:dyDescent="0.25">
      <c r="A162" s="64">
        <v>2</v>
      </c>
      <c r="B162" s="64">
        <v>2</v>
      </c>
      <c r="C162" s="64">
        <v>1</v>
      </c>
      <c r="D162" s="64">
        <v>1</v>
      </c>
      <c r="E162" s="64">
        <v>1</v>
      </c>
      <c r="F162" s="64">
        <v>0</v>
      </c>
      <c r="G162" s="65" t="s">
        <v>153</v>
      </c>
      <c r="H162" s="159">
        <f>19200000*50</f>
        <v>960000000</v>
      </c>
      <c r="I162" s="74">
        <f>+H162*0.22+0.045*H162</f>
        <v>254400000</v>
      </c>
      <c r="J162" s="74">
        <f>+H162/$H$1</f>
        <v>30000000</v>
      </c>
      <c r="K162" s="74">
        <f>+I162/$H$1</f>
        <v>7950000</v>
      </c>
      <c r="L162" s="74">
        <f>+J162+K162</f>
        <v>37950000</v>
      </c>
      <c r="M162" s="104">
        <f t="shared" si="93"/>
        <v>0.79051383399209485</v>
      </c>
      <c r="N162" s="104">
        <f t="shared" si="91"/>
        <v>0.20948616600790515</v>
      </c>
      <c r="O162" s="71" t="s">
        <v>206</v>
      </c>
      <c r="P162" s="68">
        <v>42736</v>
      </c>
      <c r="Q162" s="68">
        <v>43831</v>
      </c>
      <c r="R162" s="4" t="s">
        <v>89</v>
      </c>
      <c r="S162" s="69"/>
      <c r="T162" s="70"/>
      <c r="U162" s="74">
        <v>0</v>
      </c>
      <c r="V162" s="74">
        <v>0</v>
      </c>
      <c r="W162" s="74">
        <f>+$J162/3</f>
        <v>10000000</v>
      </c>
      <c r="X162" s="74">
        <f>+$J162/3</f>
        <v>10000000</v>
      </c>
      <c r="Y162" s="74">
        <f>+$J162/3</f>
        <v>10000000</v>
      </c>
      <c r="Z162" s="74">
        <f t="shared" si="94"/>
        <v>30000000</v>
      </c>
      <c r="AA162" s="218"/>
      <c r="AB162" s="219"/>
      <c r="AC162" s="218"/>
      <c r="AD162" s="219"/>
      <c r="AE162" s="218">
        <v>1</v>
      </c>
      <c r="AF162" s="219">
        <v>1</v>
      </c>
      <c r="AG162" s="218">
        <v>1</v>
      </c>
      <c r="AH162" s="219">
        <v>1</v>
      </c>
      <c r="AI162" s="218">
        <v>1</v>
      </c>
      <c r="AJ162" s="219">
        <v>1</v>
      </c>
    </row>
    <row r="163" spans="1:36" x14ac:dyDescent="0.25">
      <c r="A163" s="28">
        <v>3</v>
      </c>
      <c r="B163" s="28">
        <v>0</v>
      </c>
      <c r="C163" s="28">
        <v>0</v>
      </c>
      <c r="D163" s="28">
        <v>0</v>
      </c>
      <c r="E163" s="28">
        <v>0</v>
      </c>
      <c r="F163" s="28"/>
      <c r="G163" s="138" t="s">
        <v>154</v>
      </c>
      <c r="H163" s="30">
        <f>+H164</f>
        <v>149579500</v>
      </c>
      <c r="I163" s="30">
        <f>+I164</f>
        <v>117707490</v>
      </c>
      <c r="J163" s="30">
        <f>+J164</f>
        <v>4674359.375</v>
      </c>
      <c r="K163" s="30">
        <f>+K164</f>
        <v>3678359.0625</v>
      </c>
      <c r="L163" s="30">
        <f>+L164</f>
        <v>8352718.4375</v>
      </c>
      <c r="M163" s="180">
        <f t="shared" si="93"/>
        <v>0.55962132687415878</v>
      </c>
      <c r="N163" s="180">
        <f t="shared" si="91"/>
        <v>0.44037867312584122</v>
      </c>
      <c r="O163" s="36"/>
      <c r="P163" s="32"/>
      <c r="Q163" s="32"/>
      <c r="R163" s="33"/>
      <c r="S163" s="34"/>
      <c r="T163" s="35"/>
      <c r="U163" s="30">
        <f>+U164</f>
        <v>662096.875</v>
      </c>
      <c r="V163" s="30">
        <f>+V164</f>
        <v>858596.875</v>
      </c>
      <c r="W163" s="30">
        <f>+W164</f>
        <v>1233596.875</v>
      </c>
      <c r="X163" s="30">
        <f>+X164</f>
        <v>801221.875</v>
      </c>
      <c r="Y163" s="30">
        <f>+Y164</f>
        <v>1118846.875</v>
      </c>
      <c r="Z163" s="30">
        <f t="shared" si="94"/>
        <v>4674359.375</v>
      </c>
      <c r="AA163" s="218">
        <v>1</v>
      </c>
      <c r="AB163" s="219">
        <v>1</v>
      </c>
      <c r="AC163" s="218">
        <v>1</v>
      </c>
      <c r="AD163" s="219">
        <v>1</v>
      </c>
      <c r="AE163" s="218">
        <v>1</v>
      </c>
      <c r="AF163" s="219">
        <v>1</v>
      </c>
      <c r="AG163" s="218">
        <v>1</v>
      </c>
      <c r="AH163" s="219">
        <v>1</v>
      </c>
      <c r="AI163" s="218">
        <v>1</v>
      </c>
      <c r="AJ163" s="219">
        <v>1</v>
      </c>
    </row>
    <row r="164" spans="1:36" x14ac:dyDescent="0.25">
      <c r="A164" s="46">
        <v>3</v>
      </c>
      <c r="B164" s="46">
        <v>0</v>
      </c>
      <c r="C164" s="46">
        <v>1</v>
      </c>
      <c r="D164" s="46">
        <v>0</v>
      </c>
      <c r="E164" s="46">
        <v>0</v>
      </c>
      <c r="F164" s="46">
        <v>0</v>
      </c>
      <c r="G164" s="92" t="s">
        <v>253</v>
      </c>
      <c r="H164" s="179">
        <f>+H165+H170+H179+H180+H181</f>
        <v>149579500</v>
      </c>
      <c r="I164" s="179">
        <f>+I165+I170+I179+I180+I181</f>
        <v>117707490</v>
      </c>
      <c r="J164" s="179">
        <f>+J165+J170+J179+J180+J181</f>
        <v>4674359.375</v>
      </c>
      <c r="K164" s="179">
        <f>+K165+K170+K179+K180+K181</f>
        <v>3678359.0625</v>
      </c>
      <c r="L164" s="179">
        <f>+L165+L170+L179+L180+L181</f>
        <v>8352718.4375</v>
      </c>
      <c r="M164" s="119">
        <f t="shared" si="93"/>
        <v>0.55962132687415878</v>
      </c>
      <c r="N164" s="119">
        <f t="shared" si="91"/>
        <v>0.44037867312584122</v>
      </c>
      <c r="O164" s="87"/>
      <c r="P164" s="120"/>
      <c r="Q164" s="120"/>
      <c r="R164" s="121"/>
      <c r="S164" s="122"/>
      <c r="T164" s="123"/>
      <c r="U164" s="179">
        <f>+U165+U170+U179+U180+U181</f>
        <v>662096.875</v>
      </c>
      <c r="V164" s="179">
        <f>+V165+V170+V179+V180+V181</f>
        <v>858596.875</v>
      </c>
      <c r="W164" s="179">
        <f>+W165+W170+W179+W180+W181</f>
        <v>1233596.875</v>
      </c>
      <c r="X164" s="179">
        <f>+X165+X170+X179+X180+X181</f>
        <v>801221.875</v>
      </c>
      <c r="Y164" s="179">
        <f>+Y165+Y170+Y179+Y180+Y181</f>
        <v>1118846.875</v>
      </c>
      <c r="Z164" s="179">
        <f t="shared" si="94"/>
        <v>4674359.375</v>
      </c>
      <c r="AA164" s="218">
        <v>1</v>
      </c>
      <c r="AB164" s="219">
        <v>1</v>
      </c>
      <c r="AC164" s="218">
        <v>1</v>
      </c>
      <c r="AD164" s="219">
        <v>1</v>
      </c>
      <c r="AE164" s="218">
        <v>1</v>
      </c>
      <c r="AF164" s="219">
        <v>1</v>
      </c>
      <c r="AG164" s="218">
        <v>1</v>
      </c>
      <c r="AH164" s="219">
        <v>1</v>
      </c>
      <c r="AI164" s="218">
        <v>1</v>
      </c>
      <c r="AJ164" s="219">
        <v>1</v>
      </c>
    </row>
    <row r="165" spans="1:36" x14ac:dyDescent="0.25">
      <c r="A165" s="64">
        <v>3</v>
      </c>
      <c r="B165" s="64">
        <v>0</v>
      </c>
      <c r="C165" s="64">
        <v>1</v>
      </c>
      <c r="D165" s="64">
        <v>1</v>
      </c>
      <c r="E165" s="64">
        <v>0</v>
      </c>
      <c r="F165" s="64">
        <v>0</v>
      </c>
      <c r="G165" s="182" t="s">
        <v>155</v>
      </c>
      <c r="H165" s="181">
        <f>SUM(H166:H169)</f>
        <v>40824000</v>
      </c>
      <c r="I165" s="181">
        <f>SUM(I166:I169)</f>
        <v>8981280</v>
      </c>
      <c r="J165" s="181">
        <f>SUM(J166:J169)</f>
        <v>1275750</v>
      </c>
      <c r="K165" s="181">
        <f>SUM(K166:K169)</f>
        <v>280665</v>
      </c>
      <c r="L165" s="181">
        <f>SUM(L166:L169)</f>
        <v>1556415</v>
      </c>
      <c r="M165" s="183">
        <f t="shared" si="93"/>
        <v>0.81967213114754101</v>
      </c>
      <c r="N165" s="183">
        <f t="shared" si="91"/>
        <v>0.18032786885245899</v>
      </c>
      <c r="O165" s="187" t="s">
        <v>59</v>
      </c>
      <c r="P165" s="184">
        <v>42522</v>
      </c>
      <c r="Q165" s="184">
        <v>44166</v>
      </c>
      <c r="R165" s="11" t="s">
        <v>46</v>
      </c>
      <c r="S165" s="185"/>
      <c r="T165" s="186"/>
      <c r="U165" s="181">
        <f>SUM(U166:U169)</f>
        <v>189750</v>
      </c>
      <c r="V165" s="181">
        <f>SUM(V166:V169)</f>
        <v>271500</v>
      </c>
      <c r="W165" s="181">
        <f>SUM(W166:W169)</f>
        <v>271500</v>
      </c>
      <c r="X165" s="181">
        <f>SUM(X166:X169)</f>
        <v>271500</v>
      </c>
      <c r="Y165" s="181">
        <f>SUM(Y166:Y169)</f>
        <v>271500</v>
      </c>
      <c r="Z165" s="181">
        <f t="shared" si="94"/>
        <v>1275750</v>
      </c>
      <c r="AA165" s="218">
        <v>1</v>
      </c>
      <c r="AB165" s="219">
        <v>1</v>
      </c>
      <c r="AC165" s="218">
        <v>1</v>
      </c>
      <c r="AD165" s="219">
        <v>1</v>
      </c>
      <c r="AE165" s="218">
        <v>1</v>
      </c>
      <c r="AF165" s="219">
        <v>1</v>
      </c>
      <c r="AG165" s="218">
        <v>1</v>
      </c>
      <c r="AH165" s="219">
        <v>1</v>
      </c>
      <c r="AI165" s="218">
        <v>1</v>
      </c>
      <c r="AJ165" s="219">
        <v>1</v>
      </c>
    </row>
    <row r="166" spans="1:36" hidden="1" x14ac:dyDescent="0.25">
      <c r="A166" s="64">
        <v>3</v>
      </c>
      <c r="B166" s="64">
        <v>0</v>
      </c>
      <c r="C166" s="64">
        <v>1</v>
      </c>
      <c r="D166" s="64">
        <v>1</v>
      </c>
      <c r="E166" s="64">
        <v>0</v>
      </c>
      <c r="F166" s="64">
        <v>1</v>
      </c>
      <c r="G166" s="72" t="s">
        <v>156</v>
      </c>
      <c r="H166" s="73">
        <f>+S166*R166*T166</f>
        <v>17280000</v>
      </c>
      <c r="I166" s="74">
        <f t="shared" ref="I166:I179" si="115">+H166*0.22</f>
        <v>3801600</v>
      </c>
      <c r="J166" s="74">
        <f t="shared" ref="J166:J180" si="116">+H166/$H$1</f>
        <v>540000</v>
      </c>
      <c r="K166" s="74">
        <f t="shared" ref="K166:K180" si="117">+I166/$H$1</f>
        <v>118800</v>
      </c>
      <c r="L166" s="74">
        <f t="shared" ref="L166:L180" si="118">+J166+K166</f>
        <v>658800</v>
      </c>
      <c r="M166" s="67">
        <f t="shared" si="93"/>
        <v>0.81967213114754101</v>
      </c>
      <c r="N166" s="67">
        <f t="shared" si="91"/>
        <v>0.18032786885245899</v>
      </c>
      <c r="O166" s="71" t="s">
        <v>42</v>
      </c>
      <c r="P166" s="68"/>
      <c r="Q166" s="68"/>
      <c r="R166" s="4">
        <v>60</v>
      </c>
      <c r="S166" s="69">
        <v>3</v>
      </c>
      <c r="T166" s="70">
        <v>96000</v>
      </c>
      <c r="U166" s="73">
        <f>+$T166*$S166*12/$H$1</f>
        <v>108000</v>
      </c>
      <c r="V166" s="73">
        <f>+$T166*$S166*12/$H$1</f>
        <v>108000</v>
      </c>
      <c r="W166" s="73">
        <f>+$T166*$S166*12/$H$1</f>
        <v>108000</v>
      </c>
      <c r="X166" s="73">
        <f>+$T166*$S166*12/$H$1</f>
        <v>108000</v>
      </c>
      <c r="Y166" s="73">
        <f>+$T166*$S166*12/$H$1</f>
        <v>108000</v>
      </c>
      <c r="Z166" s="73">
        <f t="shared" si="94"/>
        <v>540000</v>
      </c>
      <c r="AA166" s="218">
        <v>1</v>
      </c>
      <c r="AB166" s="219">
        <v>1</v>
      </c>
      <c r="AC166" s="218">
        <v>1</v>
      </c>
      <c r="AD166" s="219">
        <v>1</v>
      </c>
      <c r="AE166" s="218">
        <v>1</v>
      </c>
      <c r="AF166" s="219">
        <v>1</v>
      </c>
      <c r="AG166" s="218">
        <v>1</v>
      </c>
      <c r="AH166" s="219">
        <v>1</v>
      </c>
      <c r="AI166" s="218">
        <v>1</v>
      </c>
      <c r="AJ166" s="219">
        <v>1</v>
      </c>
    </row>
    <row r="167" spans="1:36" hidden="1" x14ac:dyDescent="0.25">
      <c r="A167" s="64">
        <v>3</v>
      </c>
      <c r="B167" s="64">
        <v>0</v>
      </c>
      <c r="C167" s="64">
        <v>1</v>
      </c>
      <c r="D167" s="64">
        <v>1</v>
      </c>
      <c r="E167" s="64">
        <v>0</v>
      </c>
      <c r="F167" s="64">
        <v>2</v>
      </c>
      <c r="G167" s="72" t="s">
        <v>157</v>
      </c>
      <c r="H167" s="73">
        <f>+S167*R167*T167</f>
        <v>7992000</v>
      </c>
      <c r="I167" s="74">
        <f t="shared" si="115"/>
        <v>1758240</v>
      </c>
      <c r="J167" s="74">
        <f t="shared" si="116"/>
        <v>249750</v>
      </c>
      <c r="K167" s="74">
        <f t="shared" si="117"/>
        <v>54945</v>
      </c>
      <c r="L167" s="74">
        <f t="shared" si="118"/>
        <v>304695</v>
      </c>
      <c r="M167" s="67">
        <f t="shared" si="93"/>
        <v>0.81967213114754101</v>
      </c>
      <c r="N167" s="67">
        <f t="shared" si="91"/>
        <v>0.18032786885245899</v>
      </c>
      <c r="O167" s="71" t="s">
        <v>42</v>
      </c>
      <c r="P167" s="68"/>
      <c r="Q167" s="68"/>
      <c r="R167" s="4">
        <v>54</v>
      </c>
      <c r="S167" s="69">
        <v>2</v>
      </c>
      <c r="T167" s="70">
        <v>74000</v>
      </c>
      <c r="U167" s="73">
        <f>+$T167*$S167*6/$H$1</f>
        <v>27750</v>
      </c>
      <c r="V167" s="73">
        <f t="shared" ref="V167:Y169" si="119">+$T167*$S167*12/$H$1</f>
        <v>55500</v>
      </c>
      <c r="W167" s="73">
        <f t="shared" si="119"/>
        <v>55500</v>
      </c>
      <c r="X167" s="73">
        <f t="shared" si="119"/>
        <v>55500</v>
      </c>
      <c r="Y167" s="73">
        <f t="shared" si="119"/>
        <v>55500</v>
      </c>
      <c r="Z167" s="73">
        <f t="shared" si="94"/>
        <v>249750</v>
      </c>
      <c r="AA167" s="218">
        <v>1</v>
      </c>
      <c r="AB167" s="219">
        <v>1</v>
      </c>
      <c r="AC167" s="218">
        <v>1</v>
      </c>
      <c r="AD167" s="219">
        <v>1</v>
      </c>
      <c r="AE167" s="218">
        <v>1</v>
      </c>
      <c r="AF167" s="219">
        <v>1</v>
      </c>
      <c r="AG167" s="218">
        <v>1</v>
      </c>
      <c r="AH167" s="219">
        <v>1</v>
      </c>
      <c r="AI167" s="218">
        <v>1</v>
      </c>
      <c r="AJ167" s="219">
        <v>1</v>
      </c>
    </row>
    <row r="168" spans="1:36" hidden="1" x14ac:dyDescent="0.25">
      <c r="A168" s="64">
        <v>3</v>
      </c>
      <c r="B168" s="64">
        <v>0</v>
      </c>
      <c r="C168" s="64">
        <v>1</v>
      </c>
      <c r="D168" s="64">
        <v>1</v>
      </c>
      <c r="E168" s="64">
        <v>0</v>
      </c>
      <c r="F168" s="64">
        <v>3</v>
      </c>
      <c r="G168" s="72" t="s">
        <v>158</v>
      </c>
      <c r="H168" s="73">
        <f>+S168*R168*T168</f>
        <v>5184000</v>
      </c>
      <c r="I168" s="74">
        <f t="shared" si="115"/>
        <v>1140480</v>
      </c>
      <c r="J168" s="74">
        <f t="shared" si="116"/>
        <v>162000</v>
      </c>
      <c r="K168" s="74">
        <f t="shared" si="117"/>
        <v>35640</v>
      </c>
      <c r="L168" s="74">
        <f t="shared" si="118"/>
        <v>197640</v>
      </c>
      <c r="M168" s="67">
        <f t="shared" si="93"/>
        <v>0.81967213114754101</v>
      </c>
      <c r="N168" s="67">
        <f t="shared" si="91"/>
        <v>0.18032786885245899</v>
      </c>
      <c r="O168" s="71" t="s">
        <v>42</v>
      </c>
      <c r="P168" s="68"/>
      <c r="Q168" s="68"/>
      <c r="R168" s="4">
        <v>54</v>
      </c>
      <c r="S168" s="69">
        <v>1</v>
      </c>
      <c r="T168" s="70">
        <v>96000</v>
      </c>
      <c r="U168" s="73">
        <f>+$T168*$S168*6/$H$1</f>
        <v>18000</v>
      </c>
      <c r="V168" s="73">
        <f t="shared" si="119"/>
        <v>36000</v>
      </c>
      <c r="W168" s="73">
        <f t="shared" si="119"/>
        <v>36000</v>
      </c>
      <c r="X168" s="73">
        <f t="shared" si="119"/>
        <v>36000</v>
      </c>
      <c r="Y168" s="73">
        <f t="shared" si="119"/>
        <v>36000</v>
      </c>
      <c r="Z168" s="73">
        <f t="shared" si="94"/>
        <v>162000</v>
      </c>
      <c r="AA168" s="218">
        <v>1</v>
      </c>
      <c r="AB168" s="219">
        <v>1</v>
      </c>
      <c r="AC168" s="218">
        <v>1</v>
      </c>
      <c r="AD168" s="219">
        <v>1</v>
      </c>
      <c r="AE168" s="218">
        <v>1</v>
      </c>
      <c r="AF168" s="219">
        <v>1</v>
      </c>
      <c r="AG168" s="218">
        <v>1</v>
      </c>
      <c r="AH168" s="219">
        <v>1</v>
      </c>
      <c r="AI168" s="218">
        <v>1</v>
      </c>
      <c r="AJ168" s="219">
        <v>1</v>
      </c>
    </row>
    <row r="169" spans="1:36" hidden="1" x14ac:dyDescent="0.25">
      <c r="A169" s="64">
        <v>3</v>
      </c>
      <c r="B169" s="64">
        <v>0</v>
      </c>
      <c r="C169" s="64">
        <v>1</v>
      </c>
      <c r="D169" s="64">
        <v>1</v>
      </c>
      <c r="E169" s="64">
        <v>0</v>
      </c>
      <c r="F169" s="64">
        <v>4</v>
      </c>
      <c r="G169" s="72" t="s">
        <v>159</v>
      </c>
      <c r="H169" s="73">
        <f>+S169*R169*T169</f>
        <v>10368000</v>
      </c>
      <c r="I169" s="74">
        <f t="shared" si="115"/>
        <v>2280960</v>
      </c>
      <c r="J169" s="74">
        <f t="shared" si="116"/>
        <v>324000</v>
      </c>
      <c r="K169" s="74">
        <f t="shared" si="117"/>
        <v>71280</v>
      </c>
      <c r="L169" s="74">
        <f t="shared" si="118"/>
        <v>395280</v>
      </c>
      <c r="M169" s="67">
        <f t="shared" si="93"/>
        <v>0.81967213114754101</v>
      </c>
      <c r="N169" s="67">
        <f t="shared" si="91"/>
        <v>0.18032786885245899</v>
      </c>
      <c r="O169" s="71" t="s">
        <v>42</v>
      </c>
      <c r="P169" s="68"/>
      <c r="Q169" s="68"/>
      <c r="R169" s="4">
        <v>54</v>
      </c>
      <c r="S169" s="69">
        <v>2</v>
      </c>
      <c r="T169" s="70">
        <v>96000</v>
      </c>
      <c r="U169" s="73">
        <f>+$T169*$S169*6/$H$1</f>
        <v>36000</v>
      </c>
      <c r="V169" s="73">
        <f t="shared" si="119"/>
        <v>72000</v>
      </c>
      <c r="W169" s="73">
        <f t="shared" si="119"/>
        <v>72000</v>
      </c>
      <c r="X169" s="73">
        <f t="shared" si="119"/>
        <v>72000</v>
      </c>
      <c r="Y169" s="73">
        <f t="shared" si="119"/>
        <v>72000</v>
      </c>
      <c r="Z169" s="73">
        <f t="shared" si="94"/>
        <v>324000</v>
      </c>
      <c r="AA169" s="218">
        <v>1</v>
      </c>
      <c r="AB169" s="219">
        <v>1</v>
      </c>
      <c r="AC169" s="218">
        <v>1</v>
      </c>
      <c r="AD169" s="219">
        <v>1</v>
      </c>
      <c r="AE169" s="218">
        <v>1</v>
      </c>
      <c r="AF169" s="219">
        <v>1</v>
      </c>
      <c r="AG169" s="218">
        <v>1</v>
      </c>
      <c r="AH169" s="219">
        <v>1</v>
      </c>
      <c r="AI169" s="218">
        <v>1</v>
      </c>
      <c r="AJ169" s="219">
        <v>1</v>
      </c>
    </row>
    <row r="170" spans="1:36" x14ac:dyDescent="0.25">
      <c r="A170" s="64">
        <v>3</v>
      </c>
      <c r="B170" s="64">
        <v>0</v>
      </c>
      <c r="C170" s="64">
        <v>1</v>
      </c>
      <c r="D170" s="64">
        <v>2</v>
      </c>
      <c r="E170" s="64">
        <v>0</v>
      </c>
      <c r="F170" s="64">
        <v>0</v>
      </c>
      <c r="G170" s="182" t="s">
        <v>160</v>
      </c>
      <c r="H170" s="181">
        <f>+SUM(H171:H178)</f>
        <v>27540000</v>
      </c>
      <c r="I170" s="181">
        <f t="shared" si="115"/>
        <v>6058800</v>
      </c>
      <c r="J170" s="181">
        <f t="shared" si="116"/>
        <v>860625</v>
      </c>
      <c r="K170" s="181">
        <f t="shared" si="117"/>
        <v>189337.5</v>
      </c>
      <c r="L170" s="181">
        <f t="shared" si="118"/>
        <v>1049962.5</v>
      </c>
      <c r="M170" s="126">
        <f t="shared" si="93"/>
        <v>0.81967213114754101</v>
      </c>
      <c r="N170" s="126">
        <f t="shared" si="91"/>
        <v>0.18032786885245899</v>
      </c>
      <c r="O170" s="11" t="s">
        <v>59</v>
      </c>
      <c r="P170" s="184">
        <v>42522</v>
      </c>
      <c r="Q170" s="184">
        <v>44166</v>
      </c>
      <c r="R170" s="11" t="s">
        <v>46</v>
      </c>
      <c r="S170" s="185"/>
      <c r="T170" s="186"/>
      <c r="U170" s="181">
        <f>+SUM(U171:U178)</f>
        <v>114750</v>
      </c>
      <c r="V170" s="181">
        <f>+SUM(V171:V178)</f>
        <v>229500</v>
      </c>
      <c r="W170" s="181">
        <f>+SUM(W171:W178)</f>
        <v>229500</v>
      </c>
      <c r="X170" s="181">
        <f>+SUM(X171:X178)</f>
        <v>172125</v>
      </c>
      <c r="Y170" s="181">
        <f>+SUM(Y171:Y178)</f>
        <v>114750</v>
      </c>
      <c r="Z170" s="181">
        <f t="shared" si="94"/>
        <v>860625</v>
      </c>
      <c r="AA170" s="218">
        <v>1</v>
      </c>
      <c r="AB170" s="219">
        <v>1</v>
      </c>
      <c r="AC170" s="218">
        <v>1</v>
      </c>
      <c r="AD170" s="219">
        <v>1</v>
      </c>
      <c r="AE170" s="218">
        <v>1</v>
      </c>
      <c r="AF170" s="219">
        <v>1</v>
      </c>
      <c r="AG170" s="218">
        <v>1</v>
      </c>
      <c r="AH170" s="219">
        <v>1</v>
      </c>
      <c r="AI170" s="218">
        <v>1</v>
      </c>
      <c r="AJ170" s="219">
        <v>1</v>
      </c>
    </row>
    <row r="171" spans="1:36" hidden="1" x14ac:dyDescent="0.25">
      <c r="A171" s="64">
        <v>3</v>
      </c>
      <c r="B171" s="64">
        <v>0</v>
      </c>
      <c r="C171" s="64">
        <v>1</v>
      </c>
      <c r="D171" s="64">
        <v>2</v>
      </c>
      <c r="E171" s="64">
        <v>0</v>
      </c>
      <c r="F171" s="64">
        <v>1</v>
      </c>
      <c r="G171" s="72" t="s">
        <v>161</v>
      </c>
      <c r="H171" s="73">
        <f t="shared" ref="H171:H178" si="120">+S171*R171*T171</f>
        <v>4320000</v>
      </c>
      <c r="I171" s="74">
        <f t="shared" si="115"/>
        <v>950400</v>
      </c>
      <c r="J171" s="74">
        <f t="shared" si="116"/>
        <v>135000</v>
      </c>
      <c r="K171" s="74">
        <f t="shared" si="117"/>
        <v>29700</v>
      </c>
      <c r="L171" s="74">
        <f t="shared" si="118"/>
        <v>164700</v>
      </c>
      <c r="M171" s="67">
        <f t="shared" si="93"/>
        <v>0.81967213114754101</v>
      </c>
      <c r="N171" s="67">
        <f t="shared" si="91"/>
        <v>0.18032786885245899</v>
      </c>
      <c r="O171" s="71" t="s">
        <v>42</v>
      </c>
      <c r="P171" s="68"/>
      <c r="Q171" s="68"/>
      <c r="R171" s="69">
        <f t="shared" ref="R171:R178" si="121">30+12*0.75+12*0.5</f>
        <v>45</v>
      </c>
      <c r="S171" s="69">
        <v>1</v>
      </c>
      <c r="T171" s="70">
        <v>96000</v>
      </c>
      <c r="U171" s="73">
        <f t="shared" ref="U171:U178" si="122">+$T171*$S171*12/$H$1*0.5</f>
        <v>18000</v>
      </c>
      <c r="V171" s="73">
        <f t="shared" ref="V171:W178" si="123">+$T171*$S171*12/$H$1</f>
        <v>36000</v>
      </c>
      <c r="W171" s="73">
        <f t="shared" si="123"/>
        <v>36000</v>
      </c>
      <c r="X171" s="73">
        <f t="shared" ref="X171:X178" si="124">+$T171*$S171*12/$H$1*0.75</f>
        <v>27000</v>
      </c>
      <c r="Y171" s="73">
        <f t="shared" ref="Y171:Y178" si="125">+$T171*$S171*12/$H$1*0.5</f>
        <v>18000</v>
      </c>
      <c r="Z171" s="73">
        <f t="shared" si="94"/>
        <v>135000</v>
      </c>
      <c r="AA171" s="218">
        <v>1</v>
      </c>
      <c r="AB171" s="219">
        <v>1</v>
      </c>
      <c r="AC171" s="218">
        <v>1</v>
      </c>
      <c r="AD171" s="219">
        <v>1</v>
      </c>
      <c r="AE171" s="218">
        <v>1</v>
      </c>
      <c r="AF171" s="219">
        <v>1</v>
      </c>
      <c r="AG171" s="218">
        <v>1</v>
      </c>
      <c r="AH171" s="219">
        <v>1</v>
      </c>
      <c r="AI171" s="218">
        <v>1</v>
      </c>
      <c r="AJ171" s="219">
        <v>1</v>
      </c>
    </row>
    <row r="172" spans="1:36" hidden="1" x14ac:dyDescent="0.25">
      <c r="A172" s="64">
        <v>3</v>
      </c>
      <c r="B172" s="64">
        <v>0</v>
      </c>
      <c r="C172" s="64">
        <v>1</v>
      </c>
      <c r="D172" s="64">
        <v>2</v>
      </c>
      <c r="E172" s="64">
        <v>0</v>
      </c>
      <c r="F172" s="64">
        <v>2</v>
      </c>
      <c r="G172" s="72" t="s">
        <v>162</v>
      </c>
      <c r="H172" s="73">
        <f t="shared" si="120"/>
        <v>3735000</v>
      </c>
      <c r="I172" s="74">
        <f t="shared" si="115"/>
        <v>821700</v>
      </c>
      <c r="J172" s="74">
        <f t="shared" si="116"/>
        <v>116718.75</v>
      </c>
      <c r="K172" s="74">
        <f t="shared" si="117"/>
        <v>25678.125</v>
      </c>
      <c r="L172" s="74">
        <f t="shared" si="118"/>
        <v>142396.875</v>
      </c>
      <c r="M172" s="67">
        <f t="shared" si="93"/>
        <v>0.81967213114754101</v>
      </c>
      <c r="N172" s="67">
        <f t="shared" si="91"/>
        <v>0.18032786885245899</v>
      </c>
      <c r="O172" s="71" t="s">
        <v>42</v>
      </c>
      <c r="P172" s="68"/>
      <c r="Q172" s="68"/>
      <c r="R172" s="69">
        <f t="shared" si="121"/>
        <v>45</v>
      </c>
      <c r="S172" s="69">
        <v>1</v>
      </c>
      <c r="T172" s="70">
        <v>83000</v>
      </c>
      <c r="U172" s="73">
        <f t="shared" si="122"/>
        <v>15562.5</v>
      </c>
      <c r="V172" s="73">
        <f t="shared" si="123"/>
        <v>31125</v>
      </c>
      <c r="W172" s="73">
        <f t="shared" si="123"/>
        <v>31125</v>
      </c>
      <c r="X172" s="73">
        <f t="shared" si="124"/>
        <v>23343.75</v>
      </c>
      <c r="Y172" s="73">
        <f t="shared" si="125"/>
        <v>15562.5</v>
      </c>
      <c r="Z172" s="73">
        <f t="shared" si="94"/>
        <v>116718.75</v>
      </c>
      <c r="AA172" s="218">
        <v>1</v>
      </c>
      <c r="AB172" s="219">
        <v>1</v>
      </c>
      <c r="AC172" s="218">
        <v>1</v>
      </c>
      <c r="AD172" s="219">
        <v>1</v>
      </c>
      <c r="AE172" s="218">
        <v>1</v>
      </c>
      <c r="AF172" s="219">
        <v>1</v>
      </c>
      <c r="AG172" s="218">
        <v>1</v>
      </c>
      <c r="AH172" s="219">
        <v>1</v>
      </c>
      <c r="AI172" s="218">
        <v>1</v>
      </c>
      <c r="AJ172" s="219">
        <v>1</v>
      </c>
    </row>
    <row r="173" spans="1:36" hidden="1" x14ac:dyDescent="0.25">
      <c r="A173" s="64">
        <v>3</v>
      </c>
      <c r="B173" s="64">
        <v>0</v>
      </c>
      <c r="C173" s="64">
        <v>1</v>
      </c>
      <c r="D173" s="64">
        <v>2</v>
      </c>
      <c r="E173" s="64">
        <v>0</v>
      </c>
      <c r="F173" s="64">
        <v>3</v>
      </c>
      <c r="G173" s="72" t="s">
        <v>163</v>
      </c>
      <c r="H173" s="73">
        <f t="shared" si="120"/>
        <v>3600000</v>
      </c>
      <c r="I173" s="74">
        <f t="shared" si="115"/>
        <v>792000</v>
      </c>
      <c r="J173" s="74">
        <f t="shared" si="116"/>
        <v>112500</v>
      </c>
      <c r="K173" s="74">
        <f t="shared" si="117"/>
        <v>24750</v>
      </c>
      <c r="L173" s="74">
        <f t="shared" si="118"/>
        <v>137250</v>
      </c>
      <c r="M173" s="67">
        <f t="shared" si="93"/>
        <v>0.81967213114754101</v>
      </c>
      <c r="N173" s="67">
        <f t="shared" si="91"/>
        <v>0.18032786885245899</v>
      </c>
      <c r="O173" s="71" t="s">
        <v>42</v>
      </c>
      <c r="P173" s="68"/>
      <c r="Q173" s="68"/>
      <c r="R173" s="69">
        <f t="shared" si="121"/>
        <v>45</v>
      </c>
      <c r="S173" s="69">
        <v>1</v>
      </c>
      <c r="T173" s="70">
        <v>80000</v>
      </c>
      <c r="U173" s="73">
        <f t="shared" si="122"/>
        <v>15000</v>
      </c>
      <c r="V173" s="73">
        <f t="shared" si="123"/>
        <v>30000</v>
      </c>
      <c r="W173" s="73">
        <f t="shared" si="123"/>
        <v>30000</v>
      </c>
      <c r="X173" s="73">
        <f t="shared" si="124"/>
        <v>22500</v>
      </c>
      <c r="Y173" s="73">
        <f t="shared" si="125"/>
        <v>15000</v>
      </c>
      <c r="Z173" s="73">
        <f t="shared" si="94"/>
        <v>112500</v>
      </c>
      <c r="AA173" s="218">
        <v>1</v>
      </c>
      <c r="AB173" s="219">
        <v>1</v>
      </c>
      <c r="AC173" s="218">
        <v>1</v>
      </c>
      <c r="AD173" s="219">
        <v>1</v>
      </c>
      <c r="AE173" s="218">
        <v>1</v>
      </c>
      <c r="AF173" s="219">
        <v>1</v>
      </c>
      <c r="AG173" s="218">
        <v>1</v>
      </c>
      <c r="AH173" s="219">
        <v>1</v>
      </c>
      <c r="AI173" s="218">
        <v>1</v>
      </c>
      <c r="AJ173" s="219">
        <v>1</v>
      </c>
    </row>
    <row r="174" spans="1:36" hidden="1" x14ac:dyDescent="0.25">
      <c r="A174" s="64">
        <v>3</v>
      </c>
      <c r="B174" s="64">
        <v>0</v>
      </c>
      <c r="C174" s="64">
        <v>1</v>
      </c>
      <c r="D174" s="64">
        <v>2</v>
      </c>
      <c r="E174" s="64">
        <v>0</v>
      </c>
      <c r="F174" s="64">
        <v>4</v>
      </c>
      <c r="G174" s="72" t="s">
        <v>250</v>
      </c>
      <c r="H174" s="73">
        <f t="shared" si="120"/>
        <v>2520000</v>
      </c>
      <c r="I174" s="74">
        <f t="shared" si="115"/>
        <v>554400</v>
      </c>
      <c r="J174" s="74">
        <f t="shared" si="116"/>
        <v>78750</v>
      </c>
      <c r="K174" s="74">
        <f t="shared" si="117"/>
        <v>17325</v>
      </c>
      <c r="L174" s="74">
        <f t="shared" si="118"/>
        <v>96075</v>
      </c>
      <c r="M174" s="67">
        <f t="shared" si="93"/>
        <v>0.81967213114754101</v>
      </c>
      <c r="N174" s="67">
        <f t="shared" si="91"/>
        <v>0.18032786885245899</v>
      </c>
      <c r="O174" s="71" t="s">
        <v>42</v>
      </c>
      <c r="P174" s="68"/>
      <c r="Q174" s="68"/>
      <c r="R174" s="69">
        <f t="shared" si="121"/>
        <v>45</v>
      </c>
      <c r="S174" s="69">
        <v>1</v>
      </c>
      <c r="T174" s="70">
        <v>56000</v>
      </c>
      <c r="U174" s="73">
        <f t="shared" si="122"/>
        <v>10500</v>
      </c>
      <c r="V174" s="73">
        <f t="shared" si="123"/>
        <v>21000</v>
      </c>
      <c r="W174" s="73">
        <f t="shared" si="123"/>
        <v>21000</v>
      </c>
      <c r="X174" s="73">
        <f t="shared" si="124"/>
        <v>15750</v>
      </c>
      <c r="Y174" s="73">
        <f t="shared" si="125"/>
        <v>10500</v>
      </c>
      <c r="Z174" s="73">
        <f t="shared" si="94"/>
        <v>78750</v>
      </c>
      <c r="AA174" s="218">
        <v>1</v>
      </c>
      <c r="AB174" s="219">
        <v>1</v>
      </c>
      <c r="AC174" s="218">
        <v>1</v>
      </c>
      <c r="AD174" s="219">
        <v>1</v>
      </c>
      <c r="AE174" s="218">
        <v>1</v>
      </c>
      <c r="AF174" s="219">
        <v>1</v>
      </c>
      <c r="AG174" s="218">
        <v>1</v>
      </c>
      <c r="AH174" s="219">
        <v>1</v>
      </c>
      <c r="AI174" s="218">
        <v>1</v>
      </c>
      <c r="AJ174" s="219">
        <v>1</v>
      </c>
    </row>
    <row r="175" spans="1:36" hidden="1" x14ac:dyDescent="0.25">
      <c r="A175" s="64">
        <v>3</v>
      </c>
      <c r="B175" s="64">
        <v>0</v>
      </c>
      <c r="C175" s="64">
        <v>1</v>
      </c>
      <c r="D175" s="64">
        <v>2</v>
      </c>
      <c r="E175" s="64">
        <v>0</v>
      </c>
      <c r="F175" s="64">
        <v>5</v>
      </c>
      <c r="G175" s="72" t="s">
        <v>250</v>
      </c>
      <c r="H175" s="73">
        <f t="shared" si="120"/>
        <v>6210000</v>
      </c>
      <c r="I175" s="74">
        <f t="shared" si="115"/>
        <v>1366200</v>
      </c>
      <c r="J175" s="74">
        <f t="shared" si="116"/>
        <v>194062.5</v>
      </c>
      <c r="K175" s="74">
        <f t="shared" si="117"/>
        <v>42693.75</v>
      </c>
      <c r="L175" s="74">
        <f t="shared" si="118"/>
        <v>236756.25</v>
      </c>
      <c r="M175" s="67">
        <f t="shared" si="93"/>
        <v>0.81967213114754101</v>
      </c>
      <c r="N175" s="67">
        <f t="shared" si="91"/>
        <v>0.18032786885245899</v>
      </c>
      <c r="O175" s="71" t="s">
        <v>42</v>
      </c>
      <c r="P175" s="68"/>
      <c r="Q175" s="68"/>
      <c r="R175" s="69">
        <f t="shared" si="121"/>
        <v>45</v>
      </c>
      <c r="S175" s="69">
        <v>2</v>
      </c>
      <c r="T175" s="70">
        <v>69000</v>
      </c>
      <c r="U175" s="73">
        <f t="shared" si="122"/>
        <v>25875</v>
      </c>
      <c r="V175" s="73">
        <f t="shared" si="123"/>
        <v>51750</v>
      </c>
      <c r="W175" s="73">
        <f t="shared" si="123"/>
        <v>51750</v>
      </c>
      <c r="X175" s="73">
        <f t="shared" si="124"/>
        <v>38812.5</v>
      </c>
      <c r="Y175" s="73">
        <f t="shared" si="125"/>
        <v>25875</v>
      </c>
      <c r="Z175" s="73">
        <f t="shared" si="94"/>
        <v>194062.5</v>
      </c>
      <c r="AA175" s="218">
        <v>1</v>
      </c>
      <c r="AB175" s="219">
        <v>1</v>
      </c>
      <c r="AC175" s="218">
        <v>1</v>
      </c>
      <c r="AD175" s="219">
        <v>1</v>
      </c>
      <c r="AE175" s="218">
        <v>1</v>
      </c>
      <c r="AF175" s="219">
        <v>1</v>
      </c>
      <c r="AG175" s="218">
        <v>1</v>
      </c>
      <c r="AH175" s="219">
        <v>1</v>
      </c>
      <c r="AI175" s="218">
        <v>1</v>
      </c>
      <c r="AJ175" s="219">
        <v>1</v>
      </c>
    </row>
    <row r="176" spans="1:36" hidden="1" x14ac:dyDescent="0.25">
      <c r="A176" s="64">
        <v>3</v>
      </c>
      <c r="B176" s="64">
        <v>0</v>
      </c>
      <c r="C176" s="64">
        <v>1</v>
      </c>
      <c r="D176" s="64">
        <v>2</v>
      </c>
      <c r="E176" s="64">
        <v>0</v>
      </c>
      <c r="F176" s="64">
        <v>6</v>
      </c>
      <c r="G176" s="72" t="s">
        <v>250</v>
      </c>
      <c r="H176" s="73">
        <f t="shared" si="120"/>
        <v>2385000</v>
      </c>
      <c r="I176" s="74">
        <f t="shared" si="115"/>
        <v>524700</v>
      </c>
      <c r="J176" s="74">
        <f t="shared" si="116"/>
        <v>74531.25</v>
      </c>
      <c r="K176" s="74">
        <f t="shared" si="117"/>
        <v>16396.875</v>
      </c>
      <c r="L176" s="74">
        <f t="shared" si="118"/>
        <v>90928.125</v>
      </c>
      <c r="M176" s="67">
        <f t="shared" si="93"/>
        <v>0.81967213114754101</v>
      </c>
      <c r="N176" s="67">
        <f t="shared" si="91"/>
        <v>0.18032786885245899</v>
      </c>
      <c r="O176" s="71" t="s">
        <v>42</v>
      </c>
      <c r="P176" s="68"/>
      <c r="Q176" s="68"/>
      <c r="R176" s="69">
        <f t="shared" si="121"/>
        <v>45</v>
      </c>
      <c r="S176" s="69">
        <v>1</v>
      </c>
      <c r="T176" s="70">
        <v>53000</v>
      </c>
      <c r="U176" s="73">
        <f t="shared" si="122"/>
        <v>9937.5</v>
      </c>
      <c r="V176" s="73">
        <f t="shared" si="123"/>
        <v>19875</v>
      </c>
      <c r="W176" s="73">
        <f t="shared" si="123"/>
        <v>19875</v>
      </c>
      <c r="X176" s="73">
        <f t="shared" si="124"/>
        <v>14906.25</v>
      </c>
      <c r="Y176" s="73">
        <f t="shared" si="125"/>
        <v>9937.5</v>
      </c>
      <c r="Z176" s="73">
        <f t="shared" si="94"/>
        <v>74531.25</v>
      </c>
      <c r="AA176" s="218">
        <v>1</v>
      </c>
      <c r="AB176" s="219">
        <v>1</v>
      </c>
      <c r="AC176" s="218">
        <v>1</v>
      </c>
      <c r="AD176" s="219">
        <v>1</v>
      </c>
      <c r="AE176" s="218">
        <v>1</v>
      </c>
      <c r="AF176" s="219">
        <v>1</v>
      </c>
      <c r="AG176" s="218">
        <v>1</v>
      </c>
      <c r="AH176" s="219">
        <v>1</v>
      </c>
      <c r="AI176" s="218">
        <v>1</v>
      </c>
      <c r="AJ176" s="219">
        <v>1</v>
      </c>
    </row>
    <row r="177" spans="1:36" hidden="1" x14ac:dyDescent="0.25">
      <c r="A177" s="64">
        <v>3</v>
      </c>
      <c r="B177" s="64">
        <v>0</v>
      </c>
      <c r="C177" s="64">
        <v>1</v>
      </c>
      <c r="D177" s="64">
        <v>2</v>
      </c>
      <c r="E177" s="64">
        <v>0</v>
      </c>
      <c r="F177" s="64">
        <v>7</v>
      </c>
      <c r="G177" s="72" t="s">
        <v>250</v>
      </c>
      <c r="H177" s="73">
        <f t="shared" si="120"/>
        <v>2655000</v>
      </c>
      <c r="I177" s="74">
        <f t="shared" si="115"/>
        <v>584100</v>
      </c>
      <c r="J177" s="74">
        <f t="shared" si="116"/>
        <v>82968.75</v>
      </c>
      <c r="K177" s="74">
        <f t="shared" si="117"/>
        <v>18253.125</v>
      </c>
      <c r="L177" s="74">
        <f t="shared" si="118"/>
        <v>101221.875</v>
      </c>
      <c r="M177" s="67">
        <f t="shared" si="93"/>
        <v>0.81967213114754101</v>
      </c>
      <c r="N177" s="67">
        <f t="shared" si="91"/>
        <v>0.18032786885245899</v>
      </c>
      <c r="O177" s="71" t="s">
        <v>42</v>
      </c>
      <c r="P177" s="68"/>
      <c r="Q177" s="68"/>
      <c r="R177" s="69">
        <f t="shared" si="121"/>
        <v>45</v>
      </c>
      <c r="S177" s="69">
        <v>1</v>
      </c>
      <c r="T177" s="70">
        <v>59000</v>
      </c>
      <c r="U177" s="73">
        <f t="shared" si="122"/>
        <v>11062.5</v>
      </c>
      <c r="V177" s="73">
        <f t="shared" si="123"/>
        <v>22125</v>
      </c>
      <c r="W177" s="73">
        <f t="shared" si="123"/>
        <v>22125</v>
      </c>
      <c r="X177" s="73">
        <f t="shared" si="124"/>
        <v>16593.75</v>
      </c>
      <c r="Y177" s="73">
        <f t="shared" si="125"/>
        <v>11062.5</v>
      </c>
      <c r="Z177" s="73">
        <f t="shared" si="94"/>
        <v>82968.75</v>
      </c>
      <c r="AA177" s="218">
        <v>1</v>
      </c>
      <c r="AB177" s="219">
        <v>1</v>
      </c>
      <c r="AC177" s="218">
        <v>1</v>
      </c>
      <c r="AD177" s="219">
        <v>1</v>
      </c>
      <c r="AE177" s="218">
        <v>1</v>
      </c>
      <c r="AF177" s="219">
        <v>1</v>
      </c>
      <c r="AG177" s="218">
        <v>1</v>
      </c>
      <c r="AH177" s="219">
        <v>1</v>
      </c>
      <c r="AI177" s="218">
        <v>1</v>
      </c>
      <c r="AJ177" s="219">
        <v>1</v>
      </c>
    </row>
    <row r="178" spans="1:36" hidden="1" x14ac:dyDescent="0.25">
      <c r="A178" s="64">
        <v>3</v>
      </c>
      <c r="B178" s="64">
        <v>0</v>
      </c>
      <c r="C178" s="64">
        <v>1</v>
      </c>
      <c r="D178" s="64">
        <v>2</v>
      </c>
      <c r="E178" s="64">
        <v>0</v>
      </c>
      <c r="F178" s="64">
        <v>8</v>
      </c>
      <c r="G178" s="72" t="s">
        <v>164</v>
      </c>
      <c r="H178" s="73">
        <f t="shared" si="120"/>
        <v>2115000</v>
      </c>
      <c r="I178" s="74">
        <f t="shared" si="115"/>
        <v>465300</v>
      </c>
      <c r="J178" s="74">
        <f t="shared" si="116"/>
        <v>66093.75</v>
      </c>
      <c r="K178" s="74">
        <f t="shared" si="117"/>
        <v>14540.625</v>
      </c>
      <c r="L178" s="74">
        <f t="shared" si="118"/>
        <v>80634.375</v>
      </c>
      <c r="M178" s="67">
        <f t="shared" si="93"/>
        <v>0.81967213114754101</v>
      </c>
      <c r="N178" s="67">
        <f t="shared" si="91"/>
        <v>0.18032786885245899</v>
      </c>
      <c r="O178" s="71" t="s">
        <v>42</v>
      </c>
      <c r="P178" s="68"/>
      <c r="Q178" s="68"/>
      <c r="R178" s="69">
        <f t="shared" si="121"/>
        <v>45</v>
      </c>
      <c r="S178" s="69">
        <v>1</v>
      </c>
      <c r="T178" s="70">
        <v>47000</v>
      </c>
      <c r="U178" s="73">
        <f t="shared" si="122"/>
        <v>8812.5</v>
      </c>
      <c r="V178" s="73">
        <f t="shared" si="123"/>
        <v>17625</v>
      </c>
      <c r="W178" s="73">
        <f t="shared" si="123"/>
        <v>17625</v>
      </c>
      <c r="X178" s="73">
        <f t="shared" si="124"/>
        <v>13218.75</v>
      </c>
      <c r="Y178" s="73">
        <f t="shared" si="125"/>
        <v>8812.5</v>
      </c>
      <c r="Z178" s="73">
        <f t="shared" si="94"/>
        <v>66093.75</v>
      </c>
      <c r="AA178" s="218">
        <v>1</v>
      </c>
      <c r="AB178" s="219">
        <v>1</v>
      </c>
      <c r="AC178" s="218">
        <v>1</v>
      </c>
      <c r="AD178" s="219">
        <v>1</v>
      </c>
      <c r="AE178" s="218">
        <v>1</v>
      </c>
      <c r="AF178" s="219">
        <v>1</v>
      </c>
      <c r="AG178" s="218">
        <v>1</v>
      </c>
      <c r="AH178" s="219">
        <v>1</v>
      </c>
      <c r="AI178" s="218">
        <v>1</v>
      </c>
      <c r="AJ178" s="219">
        <v>1</v>
      </c>
    </row>
    <row r="179" spans="1:36" x14ac:dyDescent="0.25">
      <c r="A179" s="64">
        <v>3</v>
      </c>
      <c r="B179" s="64">
        <v>0</v>
      </c>
      <c r="C179" s="64">
        <v>1</v>
      </c>
      <c r="D179" s="64">
        <v>3</v>
      </c>
      <c r="E179" s="64">
        <v>0</v>
      </c>
      <c r="F179" s="64">
        <v>0</v>
      </c>
      <c r="G179" s="182" t="s">
        <v>165</v>
      </c>
      <c r="H179" s="181">
        <f>(36000*5*H1)+(180000*12*5)</f>
        <v>16560000</v>
      </c>
      <c r="I179" s="181">
        <f t="shared" si="115"/>
        <v>3643200</v>
      </c>
      <c r="J179" s="181">
        <f t="shared" si="116"/>
        <v>517500</v>
      </c>
      <c r="K179" s="181">
        <f t="shared" si="117"/>
        <v>113850</v>
      </c>
      <c r="L179" s="181">
        <f t="shared" si="118"/>
        <v>631350</v>
      </c>
      <c r="M179" s="126">
        <f t="shared" si="93"/>
        <v>0.81967213114754101</v>
      </c>
      <c r="N179" s="126">
        <f t="shared" si="91"/>
        <v>0.18032786885245899</v>
      </c>
      <c r="O179" s="11" t="s">
        <v>54</v>
      </c>
      <c r="P179" s="184"/>
      <c r="Q179" s="184"/>
      <c r="R179" s="11"/>
      <c r="S179" s="185"/>
      <c r="T179" s="186"/>
      <c r="U179" s="181">
        <f t="shared" ref="U179:Y180" si="126">+$J179/5</f>
        <v>103500</v>
      </c>
      <c r="V179" s="181">
        <f t="shared" si="126"/>
        <v>103500</v>
      </c>
      <c r="W179" s="181">
        <f t="shared" si="126"/>
        <v>103500</v>
      </c>
      <c r="X179" s="181">
        <f t="shared" si="126"/>
        <v>103500</v>
      </c>
      <c r="Y179" s="181">
        <f t="shared" si="126"/>
        <v>103500</v>
      </c>
      <c r="Z179" s="181">
        <f t="shared" si="94"/>
        <v>517500</v>
      </c>
      <c r="AA179" s="218">
        <v>1</v>
      </c>
      <c r="AB179" s="219">
        <v>1</v>
      </c>
      <c r="AC179" s="218">
        <v>1</v>
      </c>
      <c r="AD179" s="219">
        <v>1</v>
      </c>
      <c r="AE179" s="218">
        <v>1</v>
      </c>
      <c r="AF179" s="219">
        <v>1</v>
      </c>
      <c r="AG179" s="218">
        <v>1</v>
      </c>
      <c r="AH179" s="219">
        <v>1</v>
      </c>
      <c r="AI179" s="218">
        <v>1</v>
      </c>
      <c r="AJ179" s="219">
        <v>1</v>
      </c>
    </row>
    <row r="180" spans="1:36" x14ac:dyDescent="0.25">
      <c r="A180" s="64">
        <v>3</v>
      </c>
      <c r="B180" s="64">
        <v>0</v>
      </c>
      <c r="C180" s="64">
        <v>1</v>
      </c>
      <c r="D180" s="64">
        <v>4</v>
      </c>
      <c r="E180" s="64">
        <v>0</v>
      </c>
      <c r="F180" s="64">
        <v>0</v>
      </c>
      <c r="G180" s="182" t="s">
        <v>166</v>
      </c>
      <c r="H180" s="181">
        <v>40655500</v>
      </c>
      <c r="I180" s="181">
        <v>92144210</v>
      </c>
      <c r="J180" s="181">
        <f t="shared" si="116"/>
        <v>1270484.375</v>
      </c>
      <c r="K180" s="181">
        <f t="shared" si="117"/>
        <v>2879506.5625</v>
      </c>
      <c r="L180" s="181">
        <f t="shared" si="118"/>
        <v>4149990.9375</v>
      </c>
      <c r="M180" s="126">
        <f t="shared" si="93"/>
        <v>0.30614148178486233</v>
      </c>
      <c r="N180" s="126">
        <f t="shared" si="91"/>
        <v>0.69385851821513767</v>
      </c>
      <c r="O180" s="187"/>
      <c r="P180" s="184"/>
      <c r="Q180" s="184"/>
      <c r="R180" s="11"/>
      <c r="S180" s="185"/>
      <c r="T180" s="186"/>
      <c r="U180" s="181">
        <f t="shared" si="126"/>
        <v>254096.875</v>
      </c>
      <c r="V180" s="181">
        <f t="shared" si="126"/>
        <v>254096.875</v>
      </c>
      <c r="W180" s="181">
        <f t="shared" si="126"/>
        <v>254096.875</v>
      </c>
      <c r="X180" s="181">
        <f t="shared" si="126"/>
        <v>254096.875</v>
      </c>
      <c r="Y180" s="181">
        <f t="shared" si="126"/>
        <v>254096.875</v>
      </c>
      <c r="Z180" s="181">
        <f t="shared" si="94"/>
        <v>1270484.375</v>
      </c>
      <c r="AA180" s="218">
        <v>1</v>
      </c>
      <c r="AB180" s="219">
        <v>1</v>
      </c>
      <c r="AC180" s="218">
        <v>1</v>
      </c>
      <c r="AD180" s="219">
        <v>1</v>
      </c>
      <c r="AE180" s="218">
        <v>1</v>
      </c>
      <c r="AF180" s="219">
        <v>1</v>
      </c>
      <c r="AG180" s="218">
        <v>1</v>
      </c>
      <c r="AH180" s="219">
        <v>1</v>
      </c>
      <c r="AI180" s="218">
        <v>1</v>
      </c>
      <c r="AJ180" s="219">
        <v>1</v>
      </c>
    </row>
    <row r="181" spans="1:36" x14ac:dyDescent="0.25">
      <c r="A181" s="46">
        <v>3</v>
      </c>
      <c r="B181" s="46">
        <v>0</v>
      </c>
      <c r="C181" s="46">
        <v>2</v>
      </c>
      <c r="D181" s="46">
        <v>0</v>
      </c>
      <c r="E181" s="46">
        <v>0</v>
      </c>
      <c r="F181" s="46">
        <v>0</v>
      </c>
      <c r="G181" s="92" t="s">
        <v>254</v>
      </c>
      <c r="H181" s="179">
        <f>+H182+H183</f>
        <v>24000000</v>
      </c>
      <c r="I181" s="179">
        <f>+I182+I183</f>
        <v>6880000</v>
      </c>
      <c r="J181" s="179">
        <f>+J182+J183</f>
        <v>750000</v>
      </c>
      <c r="K181" s="179">
        <f>+K182+K183</f>
        <v>215000</v>
      </c>
      <c r="L181" s="179">
        <f>+L182+L183</f>
        <v>965000</v>
      </c>
      <c r="M181" s="119">
        <f t="shared" si="93"/>
        <v>0.77720207253886009</v>
      </c>
      <c r="N181" s="119">
        <f t="shared" si="91"/>
        <v>0.22279792746113991</v>
      </c>
      <c r="O181" s="87"/>
      <c r="P181" s="120"/>
      <c r="Q181" s="120"/>
      <c r="R181" s="121"/>
      <c r="S181" s="122"/>
      <c r="T181" s="123"/>
      <c r="U181" s="179">
        <v>0</v>
      </c>
      <c r="V181" s="179">
        <v>0</v>
      </c>
      <c r="W181" s="179">
        <f>+J181/2</f>
        <v>375000</v>
      </c>
      <c r="X181" s="179">
        <v>0</v>
      </c>
      <c r="Y181" s="179">
        <f>+W181</f>
        <v>375000</v>
      </c>
      <c r="Z181" s="179">
        <f t="shared" si="94"/>
        <v>750000</v>
      </c>
      <c r="AA181" s="218"/>
      <c r="AB181" s="219"/>
      <c r="AC181" s="218"/>
      <c r="AD181" s="219"/>
      <c r="AE181" s="218">
        <v>1</v>
      </c>
      <c r="AF181" s="219">
        <v>1</v>
      </c>
      <c r="AG181" s="218"/>
      <c r="AH181" s="219"/>
      <c r="AI181" s="218">
        <v>1</v>
      </c>
      <c r="AJ181" s="219">
        <v>1</v>
      </c>
    </row>
    <row r="182" spans="1:36" hidden="1" x14ac:dyDescent="0.25">
      <c r="A182" s="64">
        <v>3</v>
      </c>
      <c r="B182" s="64">
        <v>0</v>
      </c>
      <c r="C182" s="64">
        <v>2</v>
      </c>
      <c r="D182" s="64">
        <v>1</v>
      </c>
      <c r="E182" s="64">
        <v>0</v>
      </c>
      <c r="F182" s="64">
        <v>1</v>
      </c>
      <c r="G182" s="188" t="s">
        <v>167</v>
      </c>
      <c r="H182" s="74">
        <v>0</v>
      </c>
      <c r="I182" s="74">
        <f>5*10000*$H$1</f>
        <v>1600000</v>
      </c>
      <c r="J182" s="74">
        <f>+H182/$H$1</f>
        <v>0</v>
      </c>
      <c r="K182" s="74">
        <f>+I182/$H$1</f>
        <v>50000</v>
      </c>
      <c r="L182" s="74">
        <f>+J182+K182</f>
        <v>50000</v>
      </c>
      <c r="M182" s="126">
        <f t="shared" si="93"/>
        <v>0</v>
      </c>
      <c r="N182" s="126">
        <f t="shared" si="91"/>
        <v>1</v>
      </c>
      <c r="O182" s="4" t="s">
        <v>54</v>
      </c>
      <c r="P182" s="68">
        <v>42537</v>
      </c>
      <c r="Q182" s="68">
        <v>44166</v>
      </c>
      <c r="R182" s="4" t="s">
        <v>41</v>
      </c>
      <c r="S182" s="69"/>
      <c r="T182" s="70"/>
      <c r="U182" s="74">
        <v>0</v>
      </c>
      <c r="V182" s="74">
        <v>0</v>
      </c>
      <c r="W182" s="74">
        <v>0</v>
      </c>
      <c r="X182" s="74">
        <v>0</v>
      </c>
      <c r="Y182" s="74">
        <v>0</v>
      </c>
      <c r="Z182" s="74">
        <f t="shared" si="94"/>
        <v>0</v>
      </c>
      <c r="AA182" s="218"/>
      <c r="AB182" s="219"/>
      <c r="AC182" s="218"/>
      <c r="AD182" s="219"/>
      <c r="AE182" s="218"/>
      <c r="AF182" s="219"/>
      <c r="AG182" s="218"/>
      <c r="AH182" s="219"/>
      <c r="AI182" s="218"/>
      <c r="AJ182" s="219"/>
    </row>
    <row r="183" spans="1:36" hidden="1" x14ac:dyDescent="0.25">
      <c r="A183" s="64">
        <v>3</v>
      </c>
      <c r="B183" s="64">
        <v>0</v>
      </c>
      <c r="C183" s="64">
        <v>2</v>
      </c>
      <c r="D183" s="64">
        <v>1</v>
      </c>
      <c r="E183" s="64">
        <v>0</v>
      </c>
      <c r="F183" s="64">
        <v>2</v>
      </c>
      <c r="G183" s="188" t="s">
        <v>169</v>
      </c>
      <c r="H183" s="74">
        <f>250000*3*$H$1</f>
        <v>24000000</v>
      </c>
      <c r="I183" s="74">
        <f>+H183*0.22</f>
        <v>5280000</v>
      </c>
      <c r="J183" s="74">
        <f>+H183/$H$1</f>
        <v>750000</v>
      </c>
      <c r="K183" s="74">
        <f>+I183/$H$1</f>
        <v>165000</v>
      </c>
      <c r="L183" s="74">
        <f>+J183+K183</f>
        <v>915000</v>
      </c>
      <c r="M183" s="126">
        <f t="shared" si="93"/>
        <v>0.81967213114754101</v>
      </c>
      <c r="N183" s="126">
        <f t="shared" si="91"/>
        <v>0.18032786885245899</v>
      </c>
      <c r="O183" s="71" t="s">
        <v>123</v>
      </c>
      <c r="P183" s="68"/>
      <c r="Q183" s="68"/>
      <c r="R183" s="4"/>
      <c r="S183" s="69"/>
      <c r="T183" s="70"/>
      <c r="U183" s="74">
        <v>0</v>
      </c>
      <c r="V183" s="74">
        <v>0</v>
      </c>
      <c r="W183" s="74">
        <f>+J183/2</f>
        <v>375000</v>
      </c>
      <c r="X183" s="74">
        <v>0</v>
      </c>
      <c r="Y183" s="74">
        <f>+W183</f>
        <v>375000</v>
      </c>
      <c r="Z183" s="74">
        <f t="shared" si="94"/>
        <v>750000</v>
      </c>
      <c r="AA183" s="218"/>
      <c r="AB183" s="219"/>
      <c r="AC183" s="218"/>
      <c r="AD183" s="219"/>
      <c r="AE183" s="218">
        <v>1</v>
      </c>
      <c r="AF183" s="219">
        <v>1</v>
      </c>
      <c r="AG183" s="218"/>
      <c r="AH183" s="219"/>
      <c r="AI183" s="218">
        <v>1</v>
      </c>
      <c r="AJ183" s="219">
        <v>1</v>
      </c>
    </row>
    <row r="184" spans="1:36" x14ac:dyDescent="0.25">
      <c r="A184" s="12">
        <v>9</v>
      </c>
      <c r="B184" s="12">
        <v>0</v>
      </c>
      <c r="C184" s="12">
        <v>0</v>
      </c>
      <c r="D184" s="12">
        <v>0</v>
      </c>
      <c r="E184" s="12">
        <v>0</v>
      </c>
      <c r="F184" s="12"/>
      <c r="G184" s="13" t="s">
        <v>168</v>
      </c>
      <c r="H184" s="23">
        <f>+H7+H144+H163</f>
        <v>1600000000</v>
      </c>
      <c r="I184" s="23">
        <f>+I7+I144+I163</f>
        <v>480000000</v>
      </c>
      <c r="J184" s="23">
        <f>+J7+J144+J163</f>
        <v>50000000</v>
      </c>
      <c r="K184" s="23">
        <f>+K7+K144+K163</f>
        <v>15000000</v>
      </c>
      <c r="L184" s="23">
        <f>+L7+L144+L163</f>
        <v>65000000</v>
      </c>
      <c r="M184" s="24"/>
      <c r="N184" s="24"/>
      <c r="O184" s="189"/>
      <c r="P184" s="25"/>
      <c r="Q184" s="25"/>
      <c r="R184" s="13"/>
      <c r="S184" s="17"/>
      <c r="T184" s="18"/>
      <c r="U184" s="23">
        <f>+U7+U144+U163</f>
        <v>2772292.4159356728</v>
      </c>
      <c r="V184" s="23">
        <f>+V7+V144+V163</f>
        <v>4881510.0433375109</v>
      </c>
      <c r="W184" s="23">
        <f>+W7+W144+W163</f>
        <v>14971498.138575604</v>
      </c>
      <c r="X184" s="23">
        <f>+X7+X144+X163</f>
        <v>13846107.513575606</v>
      </c>
      <c r="Y184" s="23">
        <f>+Y7+Y144+Y163</f>
        <v>13528592.230105659</v>
      </c>
      <c r="Z184" s="23">
        <f t="shared" si="94"/>
        <v>50000000.341530055</v>
      </c>
      <c r="AA184" s="26"/>
      <c r="AB184" s="27"/>
      <c r="AC184" s="26"/>
      <c r="AD184" s="27"/>
      <c r="AE184" s="26"/>
      <c r="AF184" s="27"/>
      <c r="AG184" s="26"/>
      <c r="AH184" s="27"/>
      <c r="AI184" s="26"/>
      <c r="AJ184" s="27"/>
    </row>
    <row r="185" spans="1:36" x14ac:dyDescent="0.25">
      <c r="A185" s="190"/>
      <c r="B185" s="190"/>
      <c r="C185" s="190"/>
      <c r="D185" s="190"/>
      <c r="E185" s="190"/>
      <c r="F185" s="190"/>
      <c r="G185" s="65"/>
      <c r="H185" s="263">
        <v>1600000000</v>
      </c>
      <c r="I185" s="263">
        <v>480000000</v>
      </c>
      <c r="J185" s="74"/>
      <c r="K185" s="74"/>
      <c r="L185" s="74"/>
      <c r="M185" s="183"/>
      <c r="N185" s="183"/>
      <c r="O185" s="198"/>
      <c r="P185" s="191"/>
      <c r="Q185" s="192"/>
      <c r="R185" s="193"/>
      <c r="S185" s="194"/>
      <c r="T185" s="195"/>
      <c r="U185" s="195"/>
      <c r="V185" s="195"/>
      <c r="W185" s="195"/>
      <c r="X185" s="195"/>
      <c r="Y185" s="195">
        <f>SUM(U184:Y184)</f>
        <v>50000000.341530055</v>
      </c>
      <c r="Z185" s="195"/>
      <c r="AA185" s="196"/>
      <c r="AB185" s="197"/>
      <c r="AC185" s="196"/>
      <c r="AD185" s="197"/>
      <c r="AE185" s="196"/>
      <c r="AF185" s="197"/>
      <c r="AG185" s="196"/>
      <c r="AH185" s="197"/>
      <c r="AI185" s="196"/>
      <c r="AJ185" s="197"/>
    </row>
    <row r="186" spans="1:36" x14ac:dyDescent="0.25">
      <c r="A186" s="190"/>
      <c r="B186" s="190"/>
      <c r="C186" s="190"/>
      <c r="D186" s="190"/>
      <c r="E186" s="190"/>
      <c r="F186" s="190"/>
      <c r="G186" s="65"/>
      <c r="H186" s="66">
        <f>+H185-H184</f>
        <v>0</v>
      </c>
      <c r="I186" s="66">
        <f>+I185-I184</f>
        <v>0</v>
      </c>
      <c r="J186" s="74"/>
      <c r="K186" s="199"/>
      <c r="L186" s="199"/>
      <c r="M186" s="104"/>
      <c r="N186" s="104"/>
      <c r="O186" s="198"/>
      <c r="P186" s="200"/>
      <c r="Q186" s="191"/>
      <c r="R186" s="193"/>
      <c r="S186" s="69"/>
      <c r="T186" s="195"/>
      <c r="U186" s="195"/>
      <c r="V186" s="195"/>
      <c r="W186" s="195"/>
      <c r="X186" s="195"/>
      <c r="Y186" s="195"/>
      <c r="Z186" s="195"/>
      <c r="AA186" s="196"/>
      <c r="AB186" s="197"/>
      <c r="AC186" s="196"/>
      <c r="AD186" s="197"/>
      <c r="AE186" s="196"/>
      <c r="AF186" s="197"/>
      <c r="AG186" s="196"/>
      <c r="AH186" s="197"/>
      <c r="AI186" s="196"/>
      <c r="AJ186" s="197"/>
    </row>
    <row r="187" spans="1:36" hidden="1" x14ac:dyDescent="0.25">
      <c r="A187" s="201"/>
      <c r="B187" s="201"/>
      <c r="C187" s="201"/>
      <c r="D187" s="201"/>
      <c r="E187" s="201"/>
      <c r="F187" s="201"/>
      <c r="G187" s="202"/>
      <c r="H187" s="66"/>
      <c r="I187" s="66"/>
      <c r="J187" s="181"/>
      <c r="K187" s="181"/>
      <c r="L187" s="181"/>
      <c r="M187" s="203"/>
      <c r="N187" s="203"/>
      <c r="O187" s="209"/>
      <c r="P187" s="204"/>
      <c r="Q187" s="204"/>
      <c r="R187" s="205"/>
      <c r="S187" s="185"/>
      <c r="T187" s="206"/>
      <c r="U187" s="206"/>
      <c r="V187" s="206"/>
      <c r="W187" s="206"/>
      <c r="X187" s="206"/>
      <c r="Y187" s="206"/>
      <c r="Z187" s="206"/>
      <c r="AA187" s="207"/>
      <c r="AB187" s="208"/>
      <c r="AC187" s="207"/>
      <c r="AD187" s="208"/>
      <c r="AE187" s="207"/>
      <c r="AF187" s="208"/>
      <c r="AG187" s="207"/>
      <c r="AH187" s="208"/>
      <c r="AI187" s="207"/>
      <c r="AJ187" s="208"/>
    </row>
    <row r="188" spans="1:36" hidden="1" x14ac:dyDescent="0.25">
      <c r="A188" s="190"/>
      <c r="B188" s="190"/>
      <c r="C188" s="190"/>
      <c r="D188" s="190"/>
      <c r="E188" s="190"/>
      <c r="F188" s="190"/>
      <c r="G188" s="65"/>
      <c r="H188" s="74"/>
      <c r="I188" s="74"/>
      <c r="J188" s="74"/>
      <c r="K188" s="74"/>
      <c r="L188" s="74"/>
      <c r="M188" s="104"/>
      <c r="N188" s="104"/>
      <c r="O188" s="198"/>
      <c r="P188" s="191"/>
      <c r="Q188" s="191"/>
      <c r="R188" s="193"/>
      <c r="S188" s="69"/>
      <c r="T188" s="195"/>
      <c r="U188" s="195"/>
      <c r="V188" s="195"/>
      <c r="W188" s="195"/>
      <c r="X188" s="195"/>
      <c r="Y188" s="195"/>
      <c r="Z188" s="195"/>
      <c r="AA188" s="196"/>
      <c r="AB188" s="197"/>
      <c r="AC188" s="196"/>
      <c r="AD188" s="197"/>
      <c r="AE188" s="196"/>
      <c r="AF188" s="197"/>
      <c r="AG188" s="196"/>
      <c r="AH188" s="197"/>
      <c r="AI188" s="196"/>
      <c r="AJ188" s="197"/>
    </row>
    <row r="189" spans="1:36" x14ac:dyDescent="0.25">
      <c r="A189" s="190"/>
      <c r="B189" s="190"/>
      <c r="C189" s="190"/>
      <c r="D189" s="190"/>
      <c r="E189" s="190"/>
      <c r="F189" s="190"/>
      <c r="G189" s="65"/>
      <c r="H189" s="74"/>
      <c r="I189" s="74"/>
      <c r="J189" s="74"/>
      <c r="K189" s="74"/>
      <c r="L189" s="74"/>
      <c r="M189" s="4"/>
      <c r="N189" s="4"/>
      <c r="O189" s="198"/>
      <c r="P189" s="193"/>
      <c r="Q189" s="217"/>
      <c r="R189" s="205"/>
      <c r="S189" s="69"/>
      <c r="T189" s="195"/>
      <c r="U189" s="195"/>
      <c r="V189" s="195"/>
      <c r="W189" s="195"/>
      <c r="X189" s="195"/>
      <c r="Y189" s="195"/>
      <c r="Z189" s="195"/>
      <c r="AA189" s="196"/>
      <c r="AB189" s="197"/>
      <c r="AC189" s="196"/>
      <c r="AD189" s="197"/>
      <c r="AE189" s="196"/>
      <c r="AF189" s="197"/>
      <c r="AG189" s="196"/>
      <c r="AH189" s="197"/>
      <c r="AI189" s="196"/>
      <c r="AJ189" s="197"/>
    </row>
    <row r="190" spans="1:36" x14ac:dyDescent="0.25">
      <c r="A190" s="190"/>
      <c r="B190" s="190"/>
      <c r="C190" s="190"/>
      <c r="D190" s="190"/>
      <c r="E190" s="190"/>
      <c r="F190" s="190"/>
      <c r="G190" s="65"/>
      <c r="H190" s="74"/>
      <c r="I190" s="74"/>
      <c r="J190" s="74"/>
      <c r="K190" s="74"/>
      <c r="L190" s="74"/>
      <c r="M190" s="4"/>
      <c r="N190" s="4"/>
      <c r="O190" s="198"/>
      <c r="P190" s="193"/>
      <c r="Q190" s="217"/>
      <c r="R190" s="205"/>
      <c r="S190" s="69"/>
      <c r="T190" s="195"/>
      <c r="U190" s="195"/>
      <c r="V190" s="195"/>
      <c r="W190" s="195"/>
      <c r="X190" s="195"/>
      <c r="Y190" s="195"/>
      <c r="Z190" s="195"/>
      <c r="AA190" s="196"/>
      <c r="AB190" s="197"/>
      <c r="AC190" s="196"/>
      <c r="AD190" s="197"/>
      <c r="AE190" s="196"/>
      <c r="AF190" s="197"/>
      <c r="AG190" s="196"/>
      <c r="AH190" s="197"/>
      <c r="AI190" s="196"/>
      <c r="AJ190" s="197"/>
    </row>
    <row r="191" spans="1:36" x14ac:dyDescent="0.25">
      <c r="A191" s="190"/>
      <c r="B191" s="190"/>
      <c r="C191" s="190"/>
      <c r="D191" s="190"/>
      <c r="E191" s="190"/>
      <c r="F191" s="190"/>
      <c r="G191" s="65"/>
      <c r="H191" s="74"/>
      <c r="I191" s="74"/>
      <c r="J191" s="74"/>
      <c r="K191" s="74"/>
      <c r="L191" s="74"/>
      <c r="M191" s="4"/>
      <c r="N191" s="4"/>
      <c r="O191" s="198"/>
      <c r="P191" s="193"/>
      <c r="Q191" s="217"/>
      <c r="R191" s="205"/>
      <c r="S191" s="69"/>
      <c r="T191" s="195"/>
      <c r="U191" s="195"/>
      <c r="V191" s="195"/>
      <c r="W191" s="195"/>
      <c r="X191" s="195"/>
      <c r="Y191" s="195"/>
      <c r="Z191" s="195"/>
      <c r="AA191" s="196"/>
      <c r="AB191" s="197"/>
      <c r="AC191" s="196"/>
      <c r="AD191" s="197"/>
      <c r="AE191" s="196"/>
      <c r="AF191" s="197"/>
      <c r="AG191" s="196"/>
      <c r="AH191" s="197"/>
      <c r="AI191" s="196"/>
      <c r="AJ191" s="197"/>
    </row>
    <row r="192" spans="1:36" x14ac:dyDescent="0.25">
      <c r="A192" s="190"/>
      <c r="B192" s="190"/>
      <c r="C192" s="190"/>
      <c r="D192" s="190"/>
      <c r="E192" s="190"/>
      <c r="F192" s="190"/>
      <c r="G192" s="65"/>
      <c r="H192" s="74"/>
      <c r="I192" s="74"/>
      <c r="J192" s="74"/>
      <c r="K192" s="74"/>
      <c r="L192" s="74"/>
      <c r="M192" s="4"/>
      <c r="N192" s="4"/>
      <c r="O192" s="198"/>
      <c r="P192" s="193"/>
      <c r="Q192" s="217"/>
      <c r="R192" s="205"/>
      <c r="S192" s="69"/>
      <c r="T192" s="195"/>
      <c r="U192" s="195"/>
      <c r="V192" s="195"/>
      <c r="W192" s="195"/>
      <c r="X192" s="195"/>
      <c r="Y192" s="195"/>
      <c r="Z192" s="195"/>
      <c r="AA192" s="196"/>
      <c r="AB192" s="197"/>
      <c r="AC192" s="196"/>
      <c r="AD192" s="197"/>
      <c r="AE192" s="196"/>
      <c r="AF192" s="197"/>
      <c r="AG192" s="196"/>
      <c r="AH192" s="197"/>
      <c r="AI192" s="196"/>
      <c r="AJ192" s="197"/>
    </row>
    <row r="193" spans="1:36" x14ac:dyDescent="0.25">
      <c r="A193" s="190"/>
      <c r="B193" s="190"/>
      <c r="C193" s="190"/>
      <c r="D193" s="190"/>
      <c r="E193" s="190"/>
      <c r="F193" s="190"/>
      <c r="G193" s="65"/>
      <c r="H193" s="74"/>
      <c r="I193" s="74"/>
      <c r="J193" s="74"/>
      <c r="K193" s="74"/>
      <c r="L193" s="74"/>
      <c r="M193" s="4"/>
      <c r="N193" s="4"/>
      <c r="O193" s="198"/>
      <c r="P193" s="193"/>
      <c r="Q193" s="217"/>
      <c r="R193" s="205"/>
      <c r="S193" s="69"/>
      <c r="T193" s="195"/>
      <c r="U193" s="195"/>
      <c r="V193" s="195"/>
      <c r="W193" s="195"/>
      <c r="X193" s="195"/>
      <c r="Y193" s="195"/>
      <c r="Z193" s="195"/>
      <c r="AA193" s="196"/>
      <c r="AB193" s="197"/>
      <c r="AC193" s="196"/>
      <c r="AD193" s="197"/>
      <c r="AE193" s="196"/>
      <c r="AF193" s="197"/>
      <c r="AG193" s="196"/>
      <c r="AH193" s="197"/>
      <c r="AI193" s="196"/>
      <c r="AJ193" s="197"/>
    </row>
    <row r="194" spans="1:36" x14ac:dyDescent="0.25">
      <c r="A194" s="190"/>
      <c r="B194" s="190"/>
      <c r="C194" s="190"/>
      <c r="D194" s="190"/>
      <c r="E194" s="190"/>
      <c r="F194" s="190"/>
      <c r="G194" s="65"/>
      <c r="H194" s="74"/>
      <c r="I194" s="74"/>
      <c r="J194" s="74"/>
      <c r="K194" s="74"/>
      <c r="L194" s="74"/>
      <c r="M194" s="4"/>
      <c r="N194" s="4"/>
      <c r="O194" s="198"/>
      <c r="P194" s="193"/>
      <c r="Q194" s="217"/>
      <c r="R194" s="205"/>
      <c r="S194" s="69"/>
      <c r="T194" s="195"/>
      <c r="U194" s="195"/>
      <c r="V194" s="195"/>
      <c r="W194" s="195"/>
      <c r="X194" s="195"/>
      <c r="Y194" s="195"/>
      <c r="Z194" s="195"/>
      <c r="AA194" s="196"/>
      <c r="AB194" s="197"/>
      <c r="AC194" s="196"/>
      <c r="AD194" s="197"/>
      <c r="AE194" s="196"/>
      <c r="AF194" s="197"/>
      <c r="AG194" s="196"/>
      <c r="AH194" s="197"/>
      <c r="AI194" s="196"/>
      <c r="AJ194" s="197"/>
    </row>
  </sheetData>
  <autoFilter ref="A5:AJ186">
    <filterColumn colId="5">
      <filters>
        <filter val="0"/>
      </filters>
    </filterColumn>
  </autoFilter>
  <mergeCells count="4">
    <mergeCell ref="J4:N4"/>
    <mergeCell ref="O4:T4"/>
    <mergeCell ref="U4:Y4"/>
    <mergeCell ref="AA4:AJ4"/>
  </mergeCells>
  <conditionalFormatting sqref="AA182:AJ183 AA165:AJ180 AA7:AJ163">
    <cfRule type="cellIs" dxfId="5" priority="7" operator="equal">
      <formula>1</formula>
    </cfRule>
    <cfRule type="cellIs" dxfId="4" priority="8" operator="equal">
      <formula>1</formula>
    </cfRule>
  </conditionalFormatting>
  <conditionalFormatting sqref="AA164:AJ164">
    <cfRule type="cellIs" dxfId="3" priority="3" operator="equal">
      <formula>1</formula>
    </cfRule>
    <cfRule type="cellIs" dxfId="2" priority="4" operator="equal">
      <formula>1</formula>
    </cfRule>
  </conditionalFormatting>
  <conditionalFormatting sqref="AA181:AJ181">
    <cfRule type="cellIs" dxfId="1" priority="1" operator="equal">
      <formula>1</formula>
    </cfRule>
    <cfRule type="cellIs" dxfId="0" priority="2" operator="equal">
      <formula>1</formula>
    </cfRule>
  </conditionalFormatting>
  <printOptions horizontalCentered="1"/>
  <pageMargins left="0.25" right="0.25" top="0.75" bottom="0.75" header="0.3" footer="0.3"/>
  <pageSetup paperSize="5" fitToWidth="2" fitToHeight="0" orientation="landscape" r:id="rId1"/>
  <headerFooter>
    <oddHeader>&amp;C&amp;F - &amp;A</oddHeader>
  </headerFooter>
  <colBreaks count="1" manualBreakCount="1">
    <brk id="18" max="183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E0AB9563F067034FBB69C68989862347" ma:contentTypeVersion="0" ma:contentTypeDescription="The base project type from which other project content types inherit their information" ma:contentTypeScope="" ma:versionID="7d9eb8ec730679e8c79c6f06208fdce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eb9b545def1428ff1c87940f87bf14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6859fe4-cb74-4340-bd92-214c2184d051}" ma:internalName="TaxCatchAll" ma:showField="CatchAllData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6859fe4-cb74-4340-bd92-214c2184d051}" ma:internalName="TaxCatchAllLabel" ma:readOnly="true" ma:showField="CatchAllDataLabel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 xsi:nil="true"/>
    <TaxCatchAll xmlns="9c571b2f-e523-4ab2-ba2e-09e151a03ef4"/>
    <Phase xmlns="9c571b2f-e523-4ab2-ba2e-09e151a03ef4" xsi:nil="true"/>
    <SISCOR_x0020_Number xmlns="9c571b2f-e523-4ab2-ba2e-09e151a03ef4" xsi:nil="true"/>
    <Division_x0020_or_x0020_Unit xmlns="9c571b2f-e523-4ab2-ba2e-09e151a03ef4" xsi:nil="true"/>
    <From_x003a_ xmlns="9c571b2f-e523-4ab2-ba2e-09e151a03ef4" xsi:nil="true"/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 xsi:nil="true"/>
    <Document_x0020_Author xmlns="9c571b2f-e523-4ab2-ba2e-09e151a03ef4" xsi:nil="true"/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=TEXT(TODAY(),"yyyy")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/>
    </fd0e48b6a66848a9885f717e5bbf40c4>
    <Project_x0020_Number xmlns="9c571b2f-e523-4ab2-ba2e-09e151a03ef4"/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 xsi:nil="true"/>
    <Operation_x0020_Type xmlns="9c571b2f-e523-4ab2-ba2e-09e151a03ef4" xsi:nil="true"/>
    <Document_x0020_Language_x0020_IDB xmlns="9c571b2f-e523-4ab2-ba2e-09e151a03ef4" xsi:nil="true"/>
    <Identifier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EEF6A18-19B3-40D2-8042-038BA78A7FC2}"/>
</file>

<file path=customXml/itemProps2.xml><?xml version="1.0" encoding="utf-8"?>
<ds:datastoreItem xmlns:ds="http://schemas.openxmlformats.org/officeDocument/2006/customXml" ds:itemID="{0EA613BE-2506-4414-BF64-F3896A76F090}"/>
</file>

<file path=customXml/itemProps3.xml><?xml version="1.0" encoding="utf-8"?>
<ds:datastoreItem xmlns:ds="http://schemas.openxmlformats.org/officeDocument/2006/customXml" ds:itemID="{E563BD2C-4F29-4AD4-A01F-C2BFBBBE87D7}"/>
</file>

<file path=customXml/itemProps4.xml><?xml version="1.0" encoding="utf-8"?>
<ds:datastoreItem xmlns:ds="http://schemas.openxmlformats.org/officeDocument/2006/customXml" ds:itemID="{3A43543D-5F9C-470C-B3F9-1B44D4DD4B51}"/>
</file>

<file path=customXml/itemProps5.xml><?xml version="1.0" encoding="utf-8"?>
<ds:datastoreItem xmlns:ds="http://schemas.openxmlformats.org/officeDocument/2006/customXml" ds:itemID="{E0372DFE-539F-477E-A617-638140BAB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Cuadro Resumen</vt:lpstr>
      <vt:lpstr>Presupuesto Detallado</vt:lpstr>
      <vt:lpstr>PEP</vt:lpstr>
      <vt:lpstr>'Cuadro Resumen'!Print_Area</vt:lpstr>
      <vt:lpstr>PEP!Print_Area</vt:lpstr>
      <vt:lpstr>PEP!Print_Titles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Test</cp:lastModifiedBy>
  <cp:lastPrinted>2016-04-27T04:08:18Z</cp:lastPrinted>
  <dcterms:created xsi:type="dcterms:W3CDTF">2016-04-27T00:30:09Z</dcterms:created>
  <dcterms:modified xsi:type="dcterms:W3CDTF">2016-04-28T12:50:30Z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0x01010097539AEBFB7E6F4387C0787516276B9700E0AB9563F067034FBB69C68989862347</vt:lpwstr>
  </property>
  <property fmtid="{D5CDD505-2E9C-101B-9397-08002B2CF9AE}" pid="3" name="TaxKeyword">
    <vt:lpwstr/>
  </property>
  <property fmtid="{D5CDD505-2E9C-101B-9397-08002B2CF9AE}" pid="4" name="TaxKeywordTaxHTField">
    <vt:lpwstr/>
  </property>
</Properties>
</file>