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iagrams/data1.xml" ContentType="application/vnd.openxmlformats-officedocument.drawingml.diagramData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layout1.xml" ContentType="application/vnd.openxmlformats-officedocument.drawingml.diagramLayou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4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202" i="1" l="1"/>
  <c r="R200" i="1"/>
  <c r="G200" i="1"/>
  <c r="F200" i="1"/>
  <c r="R199" i="1"/>
  <c r="G199" i="1"/>
  <c r="C199" i="1"/>
  <c r="B199" i="1"/>
  <c r="R198" i="1"/>
  <c r="G197" i="1"/>
  <c r="F197" i="1"/>
  <c r="B196" i="1"/>
  <c r="K195" i="1"/>
  <c r="H195" i="1"/>
  <c r="F195" i="1"/>
  <c r="E195" i="1"/>
  <c r="D195" i="1"/>
  <c r="C195" i="1"/>
  <c r="K194" i="1"/>
  <c r="J194" i="1"/>
  <c r="I194" i="1"/>
  <c r="H194" i="1"/>
  <c r="F194" i="1"/>
  <c r="E194" i="1"/>
  <c r="D194" i="1"/>
  <c r="C194" i="1"/>
  <c r="B194" i="1"/>
  <c r="K193" i="1"/>
  <c r="K196" i="1" s="1"/>
  <c r="J193" i="1"/>
  <c r="I193" i="1"/>
  <c r="H193" i="1"/>
  <c r="G193" i="1"/>
  <c r="F193" i="1"/>
  <c r="D193" i="1"/>
  <c r="C193" i="1"/>
  <c r="B193" i="1"/>
  <c r="K192" i="1"/>
  <c r="J192" i="1"/>
  <c r="H192" i="1"/>
  <c r="G192" i="1"/>
  <c r="E192" i="1"/>
  <c r="D192" i="1"/>
  <c r="B191" i="1"/>
  <c r="L190" i="1"/>
  <c r="K190" i="1"/>
  <c r="J190" i="1"/>
  <c r="I190" i="1"/>
  <c r="H190" i="1"/>
  <c r="G190" i="1"/>
  <c r="F190" i="1"/>
  <c r="E190" i="1"/>
  <c r="D190" i="1"/>
  <c r="C190" i="1"/>
  <c r="L189" i="1"/>
  <c r="K189" i="1"/>
  <c r="J189" i="1"/>
  <c r="I189" i="1"/>
  <c r="H189" i="1"/>
  <c r="G189" i="1"/>
  <c r="F189" i="1"/>
  <c r="E189" i="1"/>
  <c r="D189" i="1"/>
  <c r="C189" i="1"/>
  <c r="B189" i="1"/>
  <c r="A189" i="1"/>
  <c r="A188" i="1"/>
  <c r="A187" i="1"/>
  <c r="R185" i="1"/>
  <c r="G185" i="1"/>
  <c r="F185" i="1"/>
  <c r="C185" i="1"/>
  <c r="R184" i="1"/>
  <c r="J184" i="1"/>
  <c r="K183" i="1"/>
  <c r="K182" i="1"/>
  <c r="K181" i="1"/>
  <c r="K180" i="1"/>
  <c r="K179" i="1"/>
  <c r="R178" i="1"/>
  <c r="K178" i="1"/>
  <c r="J178" i="1"/>
  <c r="I178" i="1"/>
  <c r="G178" i="1"/>
  <c r="C178" i="1"/>
  <c r="R177" i="1"/>
  <c r="J177" i="1"/>
  <c r="C177" i="1"/>
  <c r="R176" i="1"/>
  <c r="R175" i="1"/>
  <c r="R174" i="1"/>
  <c r="R173" i="1"/>
  <c r="R172" i="1"/>
  <c r="R171" i="1"/>
  <c r="G171" i="1"/>
  <c r="F171" i="1"/>
  <c r="C171" i="1" s="1"/>
  <c r="G168" i="1"/>
  <c r="C168" i="1"/>
  <c r="G166" i="1"/>
  <c r="C166" i="1"/>
  <c r="G164" i="1"/>
  <c r="C164" i="1"/>
  <c r="G162" i="1"/>
  <c r="C162" i="1"/>
  <c r="G160" i="1"/>
  <c r="C160" i="1"/>
  <c r="K159" i="1"/>
  <c r="J159" i="1"/>
  <c r="I159" i="1"/>
  <c r="G157" i="1"/>
  <c r="C157" i="1"/>
  <c r="G155" i="1"/>
  <c r="C155" i="1"/>
  <c r="I153" i="1"/>
  <c r="J153" i="1" s="1"/>
  <c r="K153" i="1" s="1"/>
  <c r="I157" i="1" s="1"/>
  <c r="J157" i="1" s="1"/>
  <c r="K157" i="1" s="1"/>
  <c r="G153" i="1"/>
  <c r="C153" i="1"/>
  <c r="J151" i="1"/>
  <c r="K151" i="1" s="1"/>
  <c r="I151" i="1"/>
  <c r="G151" i="1"/>
  <c r="C151" i="1"/>
  <c r="I149" i="1"/>
  <c r="J149" i="1" s="1"/>
  <c r="K149" i="1" s="1"/>
  <c r="G149" i="1"/>
  <c r="C149" i="1"/>
  <c r="J147" i="1"/>
  <c r="K147" i="1" s="1"/>
  <c r="I155" i="1" s="1"/>
  <c r="J155" i="1" s="1"/>
  <c r="K155" i="1" s="1"/>
  <c r="I147" i="1"/>
  <c r="G147" i="1"/>
  <c r="C147" i="1"/>
  <c r="I145" i="1"/>
  <c r="J145" i="1" s="1"/>
  <c r="G145" i="1"/>
  <c r="C145" i="1"/>
  <c r="G143" i="1"/>
  <c r="C143" i="1"/>
  <c r="G141" i="1"/>
  <c r="C141" i="1"/>
  <c r="G139" i="1"/>
  <c r="C139" i="1"/>
  <c r="R137" i="1"/>
  <c r="R136" i="1"/>
  <c r="R135" i="1"/>
  <c r="R134" i="1"/>
  <c r="R133" i="1"/>
  <c r="R132" i="1"/>
  <c r="G132" i="1"/>
  <c r="F132" i="1"/>
  <c r="C132" i="1"/>
  <c r="C197" i="1" s="1"/>
  <c r="K131" i="1"/>
  <c r="J131" i="1"/>
  <c r="I131" i="1"/>
  <c r="F131" i="1"/>
  <c r="G130" i="1"/>
  <c r="G195" i="1" s="1"/>
  <c r="G129" i="1"/>
  <c r="G194" i="1" s="1"/>
  <c r="G128" i="1"/>
  <c r="B128" i="1"/>
  <c r="G127" i="1"/>
  <c r="C127" i="1"/>
  <c r="B127" i="1"/>
  <c r="B192" i="1" s="1"/>
  <c r="C126" i="1"/>
  <c r="R125" i="1"/>
  <c r="R124" i="1"/>
  <c r="R123" i="1"/>
  <c r="R122" i="1"/>
  <c r="R121" i="1"/>
  <c r="G121" i="1"/>
  <c r="F121" i="1"/>
  <c r="C121" i="1"/>
  <c r="K120" i="1"/>
  <c r="G119" i="1"/>
  <c r="K118" i="1"/>
  <c r="J118" i="1"/>
  <c r="I118" i="1"/>
  <c r="C118" i="1"/>
  <c r="G116" i="1"/>
  <c r="K115" i="1"/>
  <c r="J115" i="1"/>
  <c r="I115" i="1"/>
  <c r="C115" i="1"/>
  <c r="G114" i="1"/>
  <c r="G112" i="1"/>
  <c r="G111" i="1"/>
  <c r="G110" i="1"/>
  <c r="G109" i="1"/>
  <c r="G108" i="1"/>
  <c r="C108" i="1"/>
  <c r="C107" i="1"/>
  <c r="G106" i="1"/>
  <c r="C106" i="1"/>
  <c r="C105" i="1"/>
  <c r="G104" i="1"/>
  <c r="C104" i="1"/>
  <c r="G101" i="1"/>
  <c r="C101" i="1"/>
  <c r="G100" i="1"/>
  <c r="G99" i="1"/>
  <c r="G98" i="1"/>
  <c r="K97" i="1"/>
  <c r="J97" i="1"/>
  <c r="J120" i="1" s="1"/>
  <c r="I97" i="1"/>
  <c r="I120" i="1" s="1"/>
  <c r="R96" i="1"/>
  <c r="R95" i="1"/>
  <c r="R94" i="1"/>
  <c r="R93" i="1"/>
  <c r="R92" i="1"/>
  <c r="R91" i="1"/>
  <c r="R90" i="1"/>
  <c r="G90" i="1"/>
  <c r="F90" i="1"/>
  <c r="C90" i="1"/>
  <c r="G83" i="1"/>
  <c r="C83" i="1"/>
  <c r="C82" i="1" s="1"/>
  <c r="K82" i="1"/>
  <c r="J82" i="1"/>
  <c r="I82" i="1"/>
  <c r="G79" i="1"/>
  <c r="C79" i="1"/>
  <c r="G77" i="1"/>
  <c r="C77" i="1"/>
  <c r="G75" i="1"/>
  <c r="C75" i="1"/>
  <c r="G73" i="1"/>
  <c r="C73" i="1"/>
  <c r="G71" i="1"/>
  <c r="C71" i="1"/>
  <c r="G69" i="1"/>
  <c r="C69" i="1"/>
  <c r="G67" i="1"/>
  <c r="C67" i="1"/>
  <c r="G65" i="1"/>
  <c r="C65" i="1"/>
  <c r="G63" i="1"/>
  <c r="C63" i="1"/>
  <c r="G60" i="1"/>
  <c r="C60" i="1"/>
  <c r="G58" i="1"/>
  <c r="C58" i="1"/>
  <c r="G55" i="1"/>
  <c r="C55" i="1"/>
  <c r="G53" i="1"/>
  <c r="C53" i="1"/>
  <c r="G50" i="1"/>
  <c r="C50" i="1"/>
  <c r="G48" i="1"/>
  <c r="C48" i="1"/>
  <c r="G46" i="1"/>
  <c r="C46" i="1"/>
  <c r="G44" i="1"/>
  <c r="C44" i="1"/>
  <c r="G42" i="1"/>
  <c r="C42" i="1"/>
  <c r="G40" i="1"/>
  <c r="C40" i="1"/>
  <c r="G38" i="1"/>
  <c r="C38" i="1"/>
  <c r="G35" i="1"/>
  <c r="C35" i="1"/>
  <c r="G33" i="1"/>
  <c r="C33" i="1"/>
  <c r="C19" i="1" s="1"/>
  <c r="G31" i="1"/>
  <c r="C31" i="1"/>
  <c r="G29" i="1"/>
  <c r="C29" i="1"/>
  <c r="K27" i="1"/>
  <c r="K19" i="1" s="1"/>
  <c r="G27" i="1"/>
  <c r="C27" i="1"/>
  <c r="G25" i="1"/>
  <c r="C25" i="1"/>
  <c r="G23" i="1"/>
  <c r="C23" i="1"/>
  <c r="G20" i="1"/>
  <c r="C20" i="1"/>
  <c r="J19" i="1"/>
  <c r="I19" i="1"/>
  <c r="G16" i="1"/>
  <c r="C16" i="1"/>
  <c r="G14" i="1"/>
  <c r="C14" i="1"/>
  <c r="C13" i="1"/>
  <c r="G12" i="1"/>
  <c r="C12" i="1"/>
  <c r="C6" i="1" s="1"/>
  <c r="C11" i="1"/>
  <c r="C7" i="1" s="1"/>
  <c r="C10" i="1"/>
  <c r="K7" i="1"/>
  <c r="K6" i="1" s="1"/>
  <c r="G7" i="1"/>
  <c r="J6" i="1"/>
  <c r="I6" i="1"/>
  <c r="J196" i="1" l="1"/>
  <c r="I196" i="1"/>
  <c r="F89" i="1"/>
  <c r="F201" i="1" s="1"/>
  <c r="G89" i="1"/>
  <c r="P104" i="1"/>
  <c r="R104" i="1" s="1"/>
  <c r="P108" i="1"/>
  <c r="R108" i="1" s="1"/>
  <c r="I138" i="1"/>
  <c r="I170" i="1" s="1"/>
  <c r="C159" i="1"/>
  <c r="F184" i="1"/>
  <c r="C184" i="1"/>
  <c r="K184" i="1"/>
  <c r="K177" i="1"/>
  <c r="C89" i="1"/>
  <c r="F120" i="1"/>
  <c r="C97" i="1"/>
  <c r="C120" i="1"/>
  <c r="P105" i="1" s="1"/>
  <c r="R105" i="1" s="1"/>
  <c r="I89" i="1"/>
  <c r="I201" i="1" s="1"/>
  <c r="G120" i="1"/>
  <c r="J138" i="1"/>
  <c r="J170" i="1" s="1"/>
  <c r="K145" i="1"/>
  <c r="K138" i="1" s="1"/>
  <c r="K170" i="1" s="1"/>
  <c r="I184" i="1"/>
  <c r="I177" i="1"/>
  <c r="G196" i="1"/>
  <c r="J89" i="1"/>
  <c r="P60" i="1"/>
  <c r="R60" i="1" s="1"/>
  <c r="K89" i="1"/>
  <c r="K201" i="1" s="1"/>
  <c r="G184" i="1"/>
  <c r="G131" i="1"/>
  <c r="C192" i="1"/>
  <c r="C191" i="1" s="1"/>
  <c r="C131" i="1"/>
  <c r="P126" i="1" s="1"/>
  <c r="R126" i="1" s="1"/>
  <c r="F170" i="1"/>
  <c r="C138" i="1"/>
  <c r="C170" i="1"/>
  <c r="P170" i="1" l="1"/>
  <c r="R170" i="1" s="1"/>
  <c r="P158" i="1"/>
  <c r="R158" i="1" s="1"/>
  <c r="P150" i="1"/>
  <c r="R150" i="1" s="1"/>
  <c r="P155" i="1"/>
  <c r="R155" i="1" s="1"/>
  <c r="P154" i="1"/>
  <c r="R154" i="1" s="1"/>
  <c r="P147" i="1"/>
  <c r="R147" i="1" s="1"/>
  <c r="P146" i="1"/>
  <c r="R146" i="1" s="1"/>
  <c r="P163" i="1"/>
  <c r="R163" i="1" s="1"/>
  <c r="P148" i="1"/>
  <c r="R148" i="1" s="1"/>
  <c r="P140" i="1"/>
  <c r="R140" i="1" s="1"/>
  <c r="P167" i="1"/>
  <c r="R167" i="1" s="1"/>
  <c r="P152" i="1"/>
  <c r="R152" i="1" s="1"/>
  <c r="P144" i="1"/>
  <c r="R144" i="1" s="1"/>
  <c r="P161" i="1"/>
  <c r="R161" i="1" s="1"/>
  <c r="P165" i="1"/>
  <c r="R165" i="1" s="1"/>
  <c r="P169" i="1"/>
  <c r="R169" i="1" s="1"/>
  <c r="P156" i="1"/>
  <c r="R156" i="1" s="1"/>
  <c r="P142" i="1"/>
  <c r="R142" i="1" s="1"/>
  <c r="P139" i="1"/>
  <c r="R139" i="1" s="1"/>
  <c r="P143" i="1"/>
  <c r="R143" i="1" s="1"/>
  <c r="P141" i="1"/>
  <c r="R141" i="1" s="1"/>
  <c r="P86" i="1"/>
  <c r="R86" i="1" s="1"/>
  <c r="P80" i="1"/>
  <c r="R80" i="1" s="1"/>
  <c r="P78" i="1"/>
  <c r="R78" i="1" s="1"/>
  <c r="P76" i="1"/>
  <c r="R76" i="1" s="1"/>
  <c r="P74" i="1"/>
  <c r="R74" i="1" s="1"/>
  <c r="C201" i="1"/>
  <c r="O170" i="1" s="1"/>
  <c r="P88" i="1"/>
  <c r="R88" i="1" s="1"/>
  <c r="P56" i="1"/>
  <c r="R56" i="1" s="1"/>
  <c r="P54" i="1"/>
  <c r="R54" i="1" s="1"/>
  <c r="P51" i="1"/>
  <c r="R51" i="1" s="1"/>
  <c r="P49" i="1"/>
  <c r="R49" i="1" s="1"/>
  <c r="P30" i="1"/>
  <c r="R30" i="1" s="1"/>
  <c r="P28" i="1"/>
  <c r="R28" i="1" s="1"/>
  <c r="O89" i="1"/>
  <c r="P87" i="1"/>
  <c r="R87" i="1" s="1"/>
  <c r="P82" i="1"/>
  <c r="R82" i="1" s="1"/>
  <c r="P72" i="1"/>
  <c r="R72" i="1" s="1"/>
  <c r="P70" i="1"/>
  <c r="R70" i="1" s="1"/>
  <c r="P68" i="1"/>
  <c r="R68" i="1" s="1"/>
  <c r="P66" i="1"/>
  <c r="R66" i="1" s="1"/>
  <c r="P64" i="1"/>
  <c r="R64" i="1" s="1"/>
  <c r="P62" i="1"/>
  <c r="R62" i="1" s="1"/>
  <c r="P43" i="1"/>
  <c r="R43" i="1" s="1"/>
  <c r="P41" i="1"/>
  <c r="R41" i="1" s="1"/>
  <c r="P36" i="1"/>
  <c r="R36" i="1" s="1"/>
  <c r="P34" i="1"/>
  <c r="R34" i="1" s="1"/>
  <c r="P26" i="1"/>
  <c r="R26" i="1" s="1"/>
  <c r="P79" i="1"/>
  <c r="R79" i="1" s="1"/>
  <c r="P77" i="1"/>
  <c r="R77" i="1" s="1"/>
  <c r="P75" i="1"/>
  <c r="R75" i="1" s="1"/>
  <c r="P69" i="1"/>
  <c r="R69" i="1" s="1"/>
  <c r="P61" i="1"/>
  <c r="R61" i="1" s="1"/>
  <c r="P42" i="1"/>
  <c r="R42" i="1" s="1"/>
  <c r="P37" i="1"/>
  <c r="R37" i="1" s="1"/>
  <c r="P21" i="1"/>
  <c r="R21" i="1" s="1"/>
  <c r="P18" i="1"/>
  <c r="R18" i="1" s="1"/>
  <c r="P67" i="1"/>
  <c r="R67" i="1" s="1"/>
  <c r="P59" i="1"/>
  <c r="R59" i="1" s="1"/>
  <c r="P55" i="1"/>
  <c r="R55" i="1" s="1"/>
  <c r="P25" i="1"/>
  <c r="R25" i="1" s="1"/>
  <c r="P24" i="1"/>
  <c r="R24" i="1" s="1"/>
  <c r="P15" i="1"/>
  <c r="R15" i="1" s="1"/>
  <c r="P9" i="1"/>
  <c r="R9" i="1" s="1"/>
  <c r="P85" i="1"/>
  <c r="R85" i="1" s="1"/>
  <c r="P81" i="1"/>
  <c r="R81" i="1" s="1"/>
  <c r="P65" i="1"/>
  <c r="R65" i="1" s="1"/>
  <c r="P57" i="1"/>
  <c r="R57" i="1" s="1"/>
  <c r="P53" i="1"/>
  <c r="R53" i="1" s="1"/>
  <c r="P47" i="1"/>
  <c r="R47" i="1" s="1"/>
  <c r="P32" i="1"/>
  <c r="R32" i="1" s="1"/>
  <c r="P22" i="1"/>
  <c r="R22" i="1" s="1"/>
  <c r="P20" i="1"/>
  <c r="R20" i="1" s="1"/>
  <c r="P17" i="1"/>
  <c r="R17" i="1" s="1"/>
  <c r="P89" i="1"/>
  <c r="R89" i="1" s="1"/>
  <c r="P84" i="1"/>
  <c r="R84" i="1" s="1"/>
  <c r="P71" i="1"/>
  <c r="R71" i="1" s="1"/>
  <c r="P63" i="1"/>
  <c r="R63" i="1" s="1"/>
  <c r="P50" i="1"/>
  <c r="R50" i="1" s="1"/>
  <c r="P45" i="1"/>
  <c r="R45" i="1" s="1"/>
  <c r="P39" i="1"/>
  <c r="R39" i="1" s="1"/>
  <c r="P35" i="1"/>
  <c r="R35" i="1" s="1"/>
  <c r="P29" i="1"/>
  <c r="R29" i="1" s="1"/>
  <c r="P14" i="1"/>
  <c r="R14" i="1" s="1"/>
  <c r="P8" i="1"/>
  <c r="R8" i="1" s="1"/>
  <c r="P160" i="1"/>
  <c r="R160" i="1" s="1"/>
  <c r="P12" i="1"/>
  <c r="R12" i="1" s="1"/>
  <c r="P16" i="1"/>
  <c r="R16" i="1" s="1"/>
  <c r="P162" i="1"/>
  <c r="R162" i="1" s="1"/>
  <c r="P138" i="1"/>
  <c r="R138" i="1" s="1"/>
  <c r="F196" i="1"/>
  <c r="P145" i="1"/>
  <c r="R145" i="1" s="1"/>
  <c r="P13" i="1"/>
  <c r="R13" i="1" s="1"/>
  <c r="P46" i="1"/>
  <c r="R46" i="1" s="1"/>
  <c r="P19" i="1"/>
  <c r="R19" i="1" s="1"/>
  <c r="P157" i="1"/>
  <c r="R157" i="1" s="1"/>
  <c r="P166" i="1"/>
  <c r="R166" i="1" s="1"/>
  <c r="J201" i="1"/>
  <c r="P168" i="1"/>
  <c r="R168" i="1" s="1"/>
  <c r="P7" i="1"/>
  <c r="R7" i="1" s="1"/>
  <c r="P159" i="1"/>
  <c r="R159" i="1" s="1"/>
  <c r="P38" i="1"/>
  <c r="R38" i="1" s="1"/>
  <c r="G170" i="1"/>
  <c r="P6" i="1"/>
  <c r="R6" i="1" s="1"/>
  <c r="P164" i="1"/>
  <c r="R164" i="1" s="1"/>
  <c r="P97" i="1"/>
  <c r="R97" i="1" s="1"/>
  <c r="P151" i="1"/>
  <c r="R151" i="1" s="1"/>
  <c r="C196" i="1"/>
  <c r="P128" i="1"/>
  <c r="R128" i="1" s="1"/>
  <c r="P130" i="1"/>
  <c r="P129" i="1"/>
  <c r="R129" i="1" s="1"/>
  <c r="P131" i="1"/>
  <c r="R131" i="1" s="1"/>
  <c r="P127" i="1"/>
  <c r="R127" i="1" s="1"/>
  <c r="P153" i="1"/>
  <c r="R153" i="1" s="1"/>
  <c r="P58" i="1"/>
  <c r="R58" i="1" s="1"/>
  <c r="P120" i="1"/>
  <c r="R120" i="1" s="1"/>
  <c r="P117" i="1"/>
  <c r="R117" i="1" s="1"/>
  <c r="P102" i="1"/>
  <c r="R102" i="1" s="1"/>
  <c r="P100" i="1"/>
  <c r="R100" i="1" s="1"/>
  <c r="P99" i="1"/>
  <c r="R99" i="1" s="1"/>
  <c r="P98" i="1"/>
  <c r="R98" i="1" s="1"/>
  <c r="P119" i="1"/>
  <c r="R119" i="1" s="1"/>
  <c r="P116" i="1"/>
  <c r="R116" i="1" s="1"/>
  <c r="P103" i="1"/>
  <c r="R103" i="1" s="1"/>
  <c r="P111" i="1"/>
  <c r="R111" i="1" s="1"/>
  <c r="P106" i="1"/>
  <c r="R106" i="1" s="1"/>
  <c r="P113" i="1"/>
  <c r="R113" i="1" s="1"/>
  <c r="P107" i="1"/>
  <c r="R107" i="1" s="1"/>
  <c r="P101" i="1"/>
  <c r="R101" i="1" s="1"/>
  <c r="P114" i="1"/>
  <c r="R114" i="1" s="1"/>
  <c r="P118" i="1"/>
  <c r="R118" i="1" s="1"/>
  <c r="P115" i="1"/>
  <c r="R115" i="1" s="1"/>
  <c r="P112" i="1"/>
  <c r="R112" i="1" s="1"/>
  <c r="P110" i="1"/>
  <c r="R110" i="1" s="1"/>
  <c r="G201" i="1"/>
  <c r="P149" i="1"/>
  <c r="R149" i="1" s="1"/>
  <c r="O131" i="1" l="1"/>
  <c r="G203" i="1"/>
  <c r="O159" i="1"/>
  <c r="F202" i="1"/>
  <c r="O156" i="1"/>
  <c r="O148" i="1"/>
  <c r="O116" i="1"/>
  <c r="O85" i="1"/>
  <c r="O169" i="1"/>
  <c r="O167" i="1"/>
  <c r="O165" i="1"/>
  <c r="O163" i="1"/>
  <c r="O161" i="1"/>
  <c r="O152" i="1"/>
  <c r="O144" i="1"/>
  <c r="O142" i="1"/>
  <c r="O140" i="1"/>
  <c r="O154" i="1"/>
  <c r="O151" i="1"/>
  <c r="O146" i="1"/>
  <c r="O143" i="1"/>
  <c r="O112" i="1"/>
  <c r="O99" i="1"/>
  <c r="O39" i="1"/>
  <c r="O37" i="1"/>
  <c r="O32" i="1"/>
  <c r="O22" i="1"/>
  <c r="O17" i="1"/>
  <c r="O15" i="1"/>
  <c r="O150" i="1"/>
  <c r="O147" i="1"/>
  <c r="O129" i="1"/>
  <c r="O127" i="1"/>
  <c r="O117" i="1"/>
  <c r="O114" i="1"/>
  <c r="O113" i="1"/>
  <c r="O110" i="1"/>
  <c r="O84" i="1"/>
  <c r="O71" i="1"/>
  <c r="O69" i="1"/>
  <c r="O67" i="1"/>
  <c r="O65" i="1"/>
  <c r="O63" i="1"/>
  <c r="O61" i="1"/>
  <c r="O59" i="1"/>
  <c r="O57" i="1"/>
  <c r="O47" i="1"/>
  <c r="O45" i="1"/>
  <c r="O42" i="1"/>
  <c r="O35" i="1"/>
  <c r="O25" i="1"/>
  <c r="O155" i="1"/>
  <c r="O141" i="1"/>
  <c r="O87" i="1"/>
  <c r="O68" i="1"/>
  <c r="O56" i="1"/>
  <c r="O46" i="1"/>
  <c r="O41" i="1"/>
  <c r="O26" i="1"/>
  <c r="O14" i="1"/>
  <c r="O8" i="1"/>
  <c r="O177" i="1"/>
  <c r="O160" i="1"/>
  <c r="O126" i="1"/>
  <c r="O86" i="1"/>
  <c r="O66" i="1"/>
  <c r="O54" i="1"/>
  <c r="O38" i="1"/>
  <c r="O21" i="1"/>
  <c r="O16" i="1"/>
  <c r="O130" i="1"/>
  <c r="O128" i="1"/>
  <c r="O103" i="1"/>
  <c r="O72" i="1"/>
  <c r="O64" i="1"/>
  <c r="O51" i="1"/>
  <c r="O36" i="1"/>
  <c r="O30" i="1"/>
  <c r="O24" i="1"/>
  <c r="O9" i="1"/>
  <c r="O7" i="1"/>
  <c r="O158" i="1"/>
  <c r="O119" i="1"/>
  <c r="O111" i="1"/>
  <c r="O102" i="1"/>
  <c r="O100" i="1"/>
  <c r="O98" i="1"/>
  <c r="O88" i="1"/>
  <c r="O80" i="1"/>
  <c r="O78" i="1"/>
  <c r="O76" i="1"/>
  <c r="O74" i="1"/>
  <c r="O70" i="1"/>
  <c r="O62" i="1"/>
  <c r="O49" i="1"/>
  <c r="O43" i="1"/>
  <c r="O34" i="1"/>
  <c r="O28" i="1"/>
  <c r="O20" i="1"/>
  <c r="O108" i="1"/>
  <c r="O168" i="1"/>
  <c r="O60" i="1"/>
  <c r="O104" i="1"/>
  <c r="O153" i="1"/>
  <c r="O75" i="1"/>
  <c r="O12" i="1"/>
  <c r="O53" i="1"/>
  <c r="O106" i="1"/>
  <c r="O166" i="1"/>
  <c r="O77" i="1"/>
  <c r="O13" i="1"/>
  <c r="O149" i="1"/>
  <c r="O107" i="1"/>
  <c r="O157" i="1"/>
  <c r="O19" i="1"/>
  <c r="O115" i="1"/>
  <c r="O79" i="1"/>
  <c r="O29" i="1"/>
  <c r="O139" i="1"/>
  <c r="O6" i="1"/>
  <c r="O164" i="1"/>
  <c r="O118" i="1"/>
  <c r="O55" i="1"/>
  <c r="O145" i="1"/>
  <c r="O162" i="1"/>
  <c r="O101" i="1"/>
  <c r="O105" i="1"/>
  <c r="O50" i="1"/>
  <c r="O82" i="1"/>
  <c r="O58" i="1"/>
  <c r="O178" i="1"/>
  <c r="O97" i="1"/>
  <c r="O184" i="1"/>
  <c r="O138" i="1"/>
  <c r="O120" i="1"/>
  <c r="F203" i="1"/>
</calcChain>
</file>

<file path=xl/comments1.xml><?xml version="1.0" encoding="utf-8"?>
<comments xmlns="http://schemas.openxmlformats.org/spreadsheetml/2006/main">
  <authors>
    <author>Jairo Luiz Canova</author>
  </authors>
  <commentList>
    <comment ref="D127" authorId="0">
      <text>
        <r>
          <rPr>
            <b/>
            <sz val="9"/>
            <color indexed="81"/>
            <rFont val="Tahoma"/>
            <family val="2"/>
          </rPr>
          <t>Jairo Luiz Canova:</t>
        </r>
        <r>
          <rPr>
            <sz val="9"/>
            <color indexed="81"/>
            <rFont val="Tahoma"/>
            <family val="2"/>
          </rPr>
          <t xml:space="preserve">
AD = Administração Direta</t>
        </r>
      </text>
    </comment>
  </commentList>
</comments>
</file>

<file path=xl/sharedStrings.xml><?xml version="1.0" encoding="utf-8"?>
<sst xmlns="http://schemas.openxmlformats.org/spreadsheetml/2006/main" count="597" uniqueCount="244">
  <si>
    <t>PLANO DE EXECUÇÃO DO PROGRAMA DE INVESTIMENTOS DA CEEE-D - FINANCIAMENTO BID - PLANO DE AQUISIÇÃO</t>
  </si>
  <si>
    <t>COMPONENTE I - SUBESTAÇÕES E LINHAS EM 69 kV</t>
  </si>
  <si>
    <t>N°</t>
  </si>
  <si>
    <t>Descrição Contrato e Montante (Estimado)</t>
  </si>
  <si>
    <t>total</t>
  </si>
  <si>
    <t>Método de Aquisição</t>
  </si>
  <si>
    <t>Revisão</t>
  </si>
  <si>
    <t>Fonte de Financiamento e Porcentagem</t>
  </si>
  <si>
    <t>Préqualificação (sim/Não)</t>
  </si>
  <si>
    <t>Datas Estimadas</t>
  </si>
  <si>
    <t>Situação: (Pendente / Em processo / Adjudicado / Cancelado)</t>
  </si>
  <si>
    <t>Valor
(US$ x 1.000)</t>
  </si>
  <si>
    <r>
      <t xml:space="preserve">EXA
</t>
    </r>
    <r>
      <rPr>
        <sz val="10"/>
        <rFont val="Arial"/>
        <family val="2"/>
      </rPr>
      <t>EXP</t>
    </r>
  </si>
  <si>
    <t>BID%</t>
  </si>
  <si>
    <t>Local/AFD%</t>
  </si>
  <si>
    <t>Publicação Anúncio Específico de Aquisição</t>
  </si>
  <si>
    <t>Início de contrato</t>
  </si>
  <si>
    <t>Término do contrato</t>
  </si>
  <si>
    <t>Original</t>
  </si>
  <si>
    <t>Total</t>
  </si>
  <si>
    <t>Comp.I</t>
  </si>
  <si>
    <t>1.1</t>
  </si>
  <si>
    <t xml:space="preserve">CONSULTORIA </t>
  </si>
  <si>
    <t>Pendente</t>
  </si>
  <si>
    <t>1.1.10</t>
  </si>
  <si>
    <t xml:space="preserve">Empresas  - Projetos de Linhas Transmissão </t>
  </si>
  <si>
    <t>SBQC</t>
  </si>
  <si>
    <t>EXP</t>
  </si>
  <si>
    <t>Não</t>
  </si>
  <si>
    <t>Em processo</t>
  </si>
  <si>
    <t>LT 69 kV/ Charqueadas - Areal (Projeto)</t>
  </si>
  <si>
    <t>Adjudicado</t>
  </si>
  <si>
    <t>LT 69 CAM1 X VAS (Projeto)</t>
  </si>
  <si>
    <t>Cancelado</t>
  </si>
  <si>
    <t>LT 69 kV - Ramal Alvorada 2 (Projeto)</t>
  </si>
  <si>
    <t>LT 69kV - Viamão1 x Aguas Claras (Projeto)</t>
  </si>
  <si>
    <t>1.1.9</t>
  </si>
  <si>
    <t>Empresas  - Projetos de Linhas Transmissão</t>
  </si>
  <si>
    <t>LT 69 kV - Ramal Albarus x Aeroporto (Projeto)</t>
  </si>
  <si>
    <t>1.1.4</t>
  </si>
  <si>
    <t>LT 69 kV - PAL 8 x ZAFFARI x PAL1(projeto)</t>
  </si>
  <si>
    <t>1.1.5</t>
  </si>
  <si>
    <t>LT 138 kV -Quinta x Pelotas1 (Projeto Reisolamento)</t>
  </si>
  <si>
    <t>1.3</t>
  </si>
  <si>
    <t>OBRAS</t>
  </si>
  <si>
    <t>1.3.1</t>
  </si>
  <si>
    <t>Obras - Construção, com empreitada integral - projeto executivo, montagem e materiais</t>
  </si>
  <si>
    <t>LPN</t>
  </si>
  <si>
    <t>LT 69 kV - PAL 10 x Men. Deus</t>
  </si>
  <si>
    <t xml:space="preserve">LT 69 kV - PAL 12 x PAL 5 </t>
  </si>
  <si>
    <t>1.3.2</t>
  </si>
  <si>
    <t>SE Menino Deus (nova)</t>
  </si>
  <si>
    <t>1.3.26</t>
  </si>
  <si>
    <t>SE Aeroporto (nova)</t>
  </si>
  <si>
    <t>1.3.27</t>
  </si>
  <si>
    <t>SE Alvorada 2 (nova)</t>
  </si>
  <si>
    <t>1.3.28</t>
  </si>
  <si>
    <t>LT 69 kV - PAL 5 x Floresta</t>
  </si>
  <si>
    <t>1.3.29</t>
  </si>
  <si>
    <t>SE Floresta (nova)</t>
  </si>
  <si>
    <t>1.3.5</t>
  </si>
  <si>
    <t>SE PAL5 (Adequações)</t>
  </si>
  <si>
    <t>1.3.6</t>
  </si>
  <si>
    <t>RDC</t>
  </si>
  <si>
    <t xml:space="preserve">SE PAL 7  (nova) </t>
  </si>
  <si>
    <t>SE PAL 15  (nova)</t>
  </si>
  <si>
    <t>1.3.7</t>
  </si>
  <si>
    <t xml:space="preserve">LT 69 kV -Zaffari  x  PAL 1 </t>
  </si>
  <si>
    <t>1.3.8</t>
  </si>
  <si>
    <t xml:space="preserve">LT 69 kV - PAL 14  x  PAL 15 </t>
  </si>
  <si>
    <t>1.3.24</t>
  </si>
  <si>
    <t>LT 69 kV - Camaquã  x  São Lourenço</t>
  </si>
  <si>
    <t>1.3.25</t>
  </si>
  <si>
    <t>LT 138 kV - Quinta  x  Pelotas 1  (reisolamento)</t>
  </si>
  <si>
    <t>1.3.32</t>
  </si>
  <si>
    <t>LT 69 kV - SE ATL 2 x TOR ( ASA x Itapeva )</t>
  </si>
  <si>
    <t>1.3.33</t>
  </si>
  <si>
    <t>LT 69 kV - ATL2 CIRC. 1, 2, 3, e 4
(ANTIGA LT 69 kV - ATL2 x ATS)</t>
  </si>
  <si>
    <t>1.3.11</t>
  </si>
  <si>
    <t>LT 69 kV - PAL 8  x  PAL 17</t>
  </si>
  <si>
    <t>SE PAL 17  (nova)</t>
  </si>
  <si>
    <t>1.3.12</t>
  </si>
  <si>
    <t>LT 69 kV - PAL 9  x  PAL 7</t>
  </si>
  <si>
    <t>1.3.13</t>
  </si>
  <si>
    <t>LT 69 kV - CHA x ARE</t>
  </si>
  <si>
    <t>LT 69 kV - CAM1 x VAS</t>
  </si>
  <si>
    <t>1.3.14</t>
  </si>
  <si>
    <t>LT 69kV - Viamão1 x Aguas Claras</t>
  </si>
  <si>
    <t>1.3.15</t>
  </si>
  <si>
    <t>LT 69 kV - Ramal Albarus x Aeroporto</t>
  </si>
  <si>
    <t>LT 69 kV - Ramal Alvorada 2</t>
  </si>
  <si>
    <t>1.3.16</t>
  </si>
  <si>
    <t>LT 69 kV - PAL 8  x  Zaffari</t>
  </si>
  <si>
    <t>1.3.17</t>
  </si>
  <si>
    <t>105/13</t>
  </si>
  <si>
    <t xml:space="preserve">SE Viamão 2  (ampliação) </t>
  </si>
  <si>
    <t>1.3.18</t>
  </si>
  <si>
    <t>SE PAL 12  (ampliação)</t>
  </si>
  <si>
    <t>1.3.19</t>
  </si>
  <si>
    <t>SE Pelotas 1  (ampliação)</t>
  </si>
  <si>
    <t>1.3.30</t>
  </si>
  <si>
    <t>SE São Jerônimo  (nova)</t>
  </si>
  <si>
    <t>1.3.31</t>
  </si>
  <si>
    <t>SE Vasconcelos (ampliação)</t>
  </si>
  <si>
    <t>1.3.21</t>
  </si>
  <si>
    <t>SE Águas Claras  (nova)</t>
  </si>
  <si>
    <t>1.3.22</t>
  </si>
  <si>
    <t>SE Rio Grande 2 (Ampliação)</t>
  </si>
  <si>
    <t>1.3.23</t>
  </si>
  <si>
    <t xml:space="preserve">LT 69 kV - PAL 9 x PAL 7 (INFRA CIVIL) </t>
  </si>
  <si>
    <t>1.4</t>
  </si>
  <si>
    <t>BENS</t>
  </si>
  <si>
    <t>1.4.1</t>
  </si>
  <si>
    <t>Bens - Aquisição de TR`s de Força para ampliação de SE`s</t>
  </si>
  <si>
    <t>PE
Banrisul</t>
  </si>
  <si>
    <t>SE Bage 1 ampliação</t>
  </si>
  <si>
    <t>SE Cassino (ampliação)</t>
  </si>
  <si>
    <t>SE Atlântida Sul (ampliação) - Tramandaí</t>
  </si>
  <si>
    <t>TOTAL COMPONENTE I</t>
  </si>
  <si>
    <t>PROGRAMA DE INVESTIMENTOS DA CEEE-D - FINANCIAMENTO BID - PLANO DE AQUISIÇÃO</t>
  </si>
  <si>
    <t>COMPONENTE II - MODERNIZAÇÃO DE EQUIPAMENTOS</t>
  </si>
  <si>
    <t>Situação: (Pendente/ Em processo/Adjudicado/Cancelado)</t>
  </si>
  <si>
    <t>Valor  (US$ x 1.000)</t>
  </si>
  <si>
    <t>2.4</t>
  </si>
  <si>
    <t>Bens</t>
  </si>
  <si>
    <t>2.4.1</t>
  </si>
  <si>
    <t>Fornecimento e instalação de Disj Externos 27 kV da SE-Pal 14 e Digitalização das SE-Pal14 e SE-Pal16</t>
  </si>
  <si>
    <t>PE BB</t>
  </si>
  <si>
    <t>2.4.2</t>
  </si>
  <si>
    <t>Fornecimento e instalação de Disj Externos 27kV SE's SVP e MML</t>
  </si>
  <si>
    <t>2.4.3</t>
  </si>
  <si>
    <t>Fornecimento e instalação de Disj Externos 25 kV SE-Pal 16</t>
  </si>
  <si>
    <t>PE Banrisul</t>
  </si>
  <si>
    <t>2.4.4</t>
  </si>
  <si>
    <t xml:space="preserve">Fornecimento e instalação de disjuntores </t>
  </si>
  <si>
    <t>Disj até 72,5 KV</t>
  </si>
  <si>
    <t>Disj até 145 KV</t>
  </si>
  <si>
    <t>2.4.12</t>
  </si>
  <si>
    <t>Aquisição de TC's e TP's Fase I</t>
  </si>
  <si>
    <t>TC’s e TP's de 15 a 145 kV  (Int. e Ext)</t>
  </si>
  <si>
    <t>2.4.13</t>
  </si>
  <si>
    <t>Aquisição de TC's e TP's Fase II</t>
  </si>
  <si>
    <t>2.4.6</t>
  </si>
  <si>
    <t>Aquisição Religadores 15 e 25kV Fase I</t>
  </si>
  <si>
    <t>2.4.15</t>
  </si>
  <si>
    <t>Aquisição Religadores 15 e 25kV Fase II</t>
  </si>
  <si>
    <t>2.4.7</t>
  </si>
  <si>
    <t>Aquisição Disjuntores p/ retrofit de 15/25kV Fase I</t>
  </si>
  <si>
    <t>2.4.10</t>
  </si>
  <si>
    <t>Aquisição Disjuntores p/ retrofit de 15/25kV Fase II</t>
  </si>
  <si>
    <t>2.4.8</t>
  </si>
  <si>
    <t>Aquisição com instalação: Digitalização de Subestações Fase II</t>
  </si>
  <si>
    <t>Subestações: PAL5, PEL2, RGR2</t>
  </si>
  <si>
    <t>2.4.9</t>
  </si>
  <si>
    <t>Aquisição de equipamento computacional para suporte ao centro de operação</t>
  </si>
  <si>
    <t>2.2</t>
  </si>
  <si>
    <t>Serviços</t>
  </si>
  <si>
    <t>2.2.1</t>
  </si>
  <si>
    <t>Implantação Digitalização Subestações Fase I</t>
  </si>
  <si>
    <t>Subestações: SE JAGUARÃO</t>
  </si>
  <si>
    <t>2.1</t>
  </si>
  <si>
    <t>Consultoria</t>
  </si>
  <si>
    <t>2.1.1</t>
  </si>
  <si>
    <t xml:space="preserve">Desenvolvimento e implantação de software de apoio ao centro de operação </t>
  </si>
  <si>
    <t>TOTAL COMPONENTE II</t>
  </si>
  <si>
    <t>ENGENHARIA, ADMINISTRAÇÃO E AUDITORIA</t>
  </si>
  <si>
    <t>Ex-ante ou Ex-post</t>
  </si>
  <si>
    <t>5.1</t>
  </si>
  <si>
    <t>Custos Operativos</t>
  </si>
  <si>
    <t>5.5.1</t>
  </si>
  <si>
    <t>AD</t>
  </si>
  <si>
    <t>5.5.2</t>
  </si>
  <si>
    <t>5.5.3</t>
  </si>
  <si>
    <t>Monitoramento, avaliação de médio prazo e final</t>
  </si>
  <si>
    <t>AF-200</t>
  </si>
  <si>
    <t>EXA</t>
  </si>
  <si>
    <t>5.5.4</t>
  </si>
  <si>
    <t>Consultoria de Engenharia</t>
  </si>
  <si>
    <t>TOTAL</t>
  </si>
  <si>
    <t>COMPONENTE III - CONTROLE DE TENSÃO</t>
  </si>
  <si>
    <t>Préqualificação (Sim/Não)</t>
  </si>
  <si>
    <t>3.2</t>
  </si>
  <si>
    <r>
      <t xml:space="preserve">Serviços
</t>
    </r>
    <r>
      <rPr>
        <b/>
        <sz val="12"/>
        <rFont val="Arial"/>
        <family val="2"/>
      </rPr>
      <t>Instalação de Equipamentos (Chaves - Banco de Capacitores - Regulador de tensão - Religador)</t>
    </r>
  </si>
  <si>
    <t>3.2.1</t>
  </si>
  <si>
    <t>Instalação Chave Automática Trip. Fase I</t>
  </si>
  <si>
    <t>Chave automática tripolar Fase I</t>
  </si>
  <si>
    <t>3.2.3</t>
  </si>
  <si>
    <t>Instalação de Chave seccionadora tripolar com abertura sob carga 25 kV Fase I</t>
  </si>
  <si>
    <t>Chave Seccionadora Tripolar com abertura sob carga - 25 kV</t>
  </si>
  <si>
    <t>3.2.4</t>
  </si>
  <si>
    <t>Instalação Chave Automática Trip. Fase II</t>
  </si>
  <si>
    <t>Chave automática tripolar Fase II</t>
  </si>
  <si>
    <t>3.2.5</t>
  </si>
  <si>
    <t>Instalação Chave Automática Trip. Fase III</t>
  </si>
  <si>
    <t>Chave automática tripolar fase III</t>
  </si>
  <si>
    <t>3.2.6</t>
  </si>
  <si>
    <t>Instalação de Banco de capacitor Fase I</t>
  </si>
  <si>
    <t>CP</t>
  </si>
  <si>
    <t>Banco de Capacitores automáticos por VAR</t>
  </si>
  <si>
    <t>3.2.13</t>
  </si>
  <si>
    <t>Instalação de Regulador de Tensão</t>
  </si>
  <si>
    <t>Regulador Automático de Tensão Monofásico 200A</t>
  </si>
  <si>
    <t>3.2.8</t>
  </si>
  <si>
    <t>Instalação de Chave seccionadora tripolar com abertura sob carga 15 kV Fase II</t>
  </si>
  <si>
    <t>Chave Seccionadora Tripolar com abertura sob carga - 15 kV</t>
  </si>
  <si>
    <t>3.2.9</t>
  </si>
  <si>
    <t>Instalação de Religador Fase I</t>
  </si>
  <si>
    <t>Religador Automático Fase I</t>
  </si>
  <si>
    <t>3.2.10</t>
  </si>
  <si>
    <t>Instalação de Banco de capacitor Fase II</t>
  </si>
  <si>
    <t>3.2.12</t>
  </si>
  <si>
    <t>Instalação de Religador Fase II</t>
  </si>
  <si>
    <t>Religador Automático Fase II</t>
  </si>
  <si>
    <t>3.4</t>
  </si>
  <si>
    <r>
      <t xml:space="preserve">BENS
</t>
    </r>
    <r>
      <rPr>
        <b/>
        <sz val="12"/>
        <rFont val="Arial"/>
        <family val="2"/>
      </rPr>
      <t>Aquisição de Equipamentos (Chaves - Banco de Capacitores - Regulador de Tensão - Religador)</t>
    </r>
  </si>
  <si>
    <t>3.4.1</t>
  </si>
  <si>
    <t>Aquisição de Chave Automática Tripolar</t>
  </si>
  <si>
    <t>Chave automática tripolar</t>
  </si>
  <si>
    <t>3.4.2</t>
  </si>
  <si>
    <t>Aquisição de Chave Seccionadora Tripolar com abertura sob Carga 15 kV/25 kV</t>
  </si>
  <si>
    <t>Chave Seccionadora Tripolar com abertura sob carga - 15 kV/25 kV</t>
  </si>
  <si>
    <t>3.4.3</t>
  </si>
  <si>
    <t>Aquisição de Banco de Capacitores</t>
  </si>
  <si>
    <t>3.4.5</t>
  </si>
  <si>
    <t>Aquisição de Regulador de Tensão</t>
  </si>
  <si>
    <t>3.4.4</t>
  </si>
  <si>
    <t>Aquisição de Religador</t>
  </si>
  <si>
    <t>Religador Automático</t>
  </si>
  <si>
    <t>TOTAL COMPONENTE III</t>
  </si>
  <si>
    <t>COMPONENTE IV - ERP</t>
  </si>
  <si>
    <t>4.1</t>
  </si>
  <si>
    <t>4.1.1</t>
  </si>
  <si>
    <t>Contratação de consultoria para revisão dos processos de trabalho e implantação de solução para o Sistema Corporativo de Gestão - ERP (Enterprise Resource Planning), incluindo o fornecimento das licenças de software necessárias.</t>
  </si>
  <si>
    <t>Licenças e Manutenção de Softwares</t>
  </si>
  <si>
    <t>Serviços de Implantação e Integração</t>
  </si>
  <si>
    <t>Infraestrutura</t>
  </si>
  <si>
    <t>Treinamentos</t>
  </si>
  <si>
    <t>Suporte Técnico</t>
  </si>
  <si>
    <t>TOTAL COMPONENTE IV</t>
  </si>
  <si>
    <t>5.5</t>
  </si>
  <si>
    <t>5.5.5</t>
  </si>
  <si>
    <t>CONTIGÊNCIAS</t>
  </si>
  <si>
    <t>6.6</t>
  </si>
  <si>
    <t>TOTAL CEEE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</si>
</sst>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[$-416]mmm\-yy;@"/>
    <numFmt numFmtId="166" formatCode="_(&quot;R$ &quot;* #,##0.00_);_(&quot;R$ &quot;* \(#,##0.00\);_(&quot;R$ &quot;* &quot;-&quot;??_);_(@_)"/>
    <numFmt numFmtId="167" formatCode="#,##0.000"/>
    <numFmt numFmtId="168" formatCode="#,##0.0000"/>
    <numFmt numFmtId="169" formatCode="0.000000"/>
    <numFmt numFmtId="170" formatCode="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indexed="10"/>
      <name val="Arial"/>
      <family val="2"/>
    </font>
    <font>
      <b/>
      <sz val="26"/>
      <color indexed="10"/>
      <name val="Arial"/>
      <family val="2"/>
    </font>
    <font>
      <sz val="10"/>
      <color indexed="10"/>
      <name val="Arial"/>
      <family val="2"/>
    </font>
    <font>
      <sz val="10"/>
      <color indexed="62"/>
      <name val="Arial"/>
      <family val="2"/>
    </font>
    <font>
      <b/>
      <sz val="12"/>
      <name val="Arial"/>
      <family val="2"/>
    </font>
    <font>
      <b/>
      <sz val="8"/>
      <color indexed="10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10" fontId="2" fillId="0" borderId="0" xfId="3" applyNumberFormat="1" applyFont="1" applyFill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0" fontId="2" fillId="0" borderId="0" xfId="3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10" fontId="13" fillId="0" borderId="0" xfId="3" applyNumberFormat="1" applyFont="1" applyFill="1" applyAlignment="1">
      <alignment vertical="center"/>
    </xf>
    <xf numFmtId="10" fontId="2" fillId="0" borderId="0" xfId="0" applyNumberFormat="1" applyFont="1" applyFill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167" fontId="13" fillId="4" borderId="1" xfId="2" applyNumberFormat="1" applyFont="1" applyFill="1" applyBorder="1" applyAlignment="1">
      <alignment horizontal="center" vertical="center" wrapText="1"/>
    </xf>
    <xf numFmtId="10" fontId="13" fillId="4" borderId="1" xfId="0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2" fillId="5" borderId="1" xfId="4" applyFont="1" applyFill="1" applyBorder="1" applyAlignment="1">
      <alignment horizontal="left" vertical="center" wrapText="1"/>
    </xf>
    <xf numFmtId="167" fontId="13" fillId="0" borderId="1" xfId="4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13" fillId="5" borderId="1" xfId="0" applyNumberFormat="1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7" fontId="10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3" fillId="4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7" fontId="13" fillId="5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167" fontId="9" fillId="7" borderId="1" xfId="2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167" fontId="9" fillId="7" borderId="1" xfId="0" applyNumberFormat="1" applyFont="1" applyFill="1" applyBorder="1" applyAlignment="1">
      <alignment vertical="center"/>
    </xf>
    <xf numFmtId="0" fontId="13" fillId="7" borderId="1" xfId="0" applyFont="1" applyFill="1" applyBorder="1" applyAlignment="1">
      <alignment horizontal="center" vertical="center" wrapText="1"/>
    </xf>
    <xf numFmtId="165" fontId="13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168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vertical="center"/>
    </xf>
    <xf numFmtId="170" fontId="2" fillId="0" borderId="0" xfId="0" applyNumberFormat="1" applyFont="1" applyBorder="1" applyAlignment="1">
      <alignment vertical="center"/>
    </xf>
    <xf numFmtId="17" fontId="2" fillId="3" borderId="1" xfId="0" applyNumberFormat="1" applyFont="1" applyFill="1" applyBorder="1" applyAlignment="1">
      <alignment horizontal="center" vertical="center" wrapText="1"/>
    </xf>
    <xf numFmtId="167" fontId="13" fillId="4" borderId="1" xfId="0" applyNumberFormat="1" applyFont="1" applyFill="1" applyBorder="1" applyAlignment="1">
      <alignment horizontal="center" vertical="center" wrapText="1"/>
    </xf>
    <xf numFmtId="17" fontId="13" fillId="4" borderId="1" xfId="0" applyNumberFormat="1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left" vertical="center" wrapText="1"/>
    </xf>
    <xf numFmtId="10" fontId="15" fillId="4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17" fontId="13" fillId="0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center" wrapText="1"/>
    </xf>
    <xf numFmtId="167" fontId="9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center"/>
    </xf>
    <xf numFmtId="167" fontId="9" fillId="7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left" vertical="center"/>
    </xf>
    <xf numFmtId="0" fontId="3" fillId="0" borderId="0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 wrapText="1"/>
    </xf>
    <xf numFmtId="0" fontId="5" fillId="2" borderId="4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6" xfId="5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left" vertical="center" wrapText="1"/>
    </xf>
    <xf numFmtId="43" fontId="10" fillId="3" borderId="1" xfId="6" applyFont="1" applyFill="1" applyBorder="1" applyAlignment="1">
      <alignment horizontal="left" vertical="center" wrapText="1"/>
    </xf>
    <xf numFmtId="0" fontId="4" fillId="3" borderId="1" xfId="5" applyFont="1" applyFill="1" applyBorder="1" applyAlignment="1">
      <alignment horizontal="center" vertical="center" wrapText="1"/>
    </xf>
    <xf numFmtId="0" fontId="13" fillId="4" borderId="1" xfId="5" applyFont="1" applyFill="1" applyBorder="1" applyAlignment="1">
      <alignment horizontal="center" vertical="center" wrapText="1"/>
    </xf>
    <xf numFmtId="0" fontId="13" fillId="4" borderId="1" xfId="5" applyFont="1" applyFill="1" applyBorder="1" applyAlignment="1">
      <alignment horizontal="left" vertical="center" wrapText="1"/>
    </xf>
    <xf numFmtId="4" fontId="13" fillId="4" borderId="1" xfId="5" applyNumberFormat="1" applyFont="1" applyFill="1" applyBorder="1" applyAlignment="1">
      <alignment horizontal="center" vertical="center" wrapText="1"/>
    </xf>
    <xf numFmtId="10" fontId="13" fillId="8" borderId="1" xfId="7" applyNumberFormat="1" applyFont="1" applyFill="1" applyBorder="1" applyAlignment="1">
      <alignment horizontal="center" vertical="center" wrapText="1"/>
    </xf>
    <xf numFmtId="0" fontId="2" fillId="4" borderId="1" xfId="5" applyFont="1" applyFill="1" applyBorder="1" applyAlignment="1">
      <alignment horizontal="center" vertical="center" wrapText="1"/>
    </xf>
    <xf numFmtId="10" fontId="13" fillId="4" borderId="1" xfId="7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/>
    </xf>
    <xf numFmtId="4" fontId="9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left" vertical="center" wrapText="1"/>
    </xf>
    <xf numFmtId="167" fontId="9" fillId="9" borderId="1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10" fontId="13" fillId="9" borderId="1" xfId="0" applyNumberFormat="1" applyFont="1" applyFill="1" applyBorder="1" applyAlignment="1">
      <alignment horizontal="center" vertical="center" wrapText="1"/>
    </xf>
    <xf numFmtId="17" fontId="13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169" fontId="2" fillId="0" borderId="0" xfId="5" applyNumberFormat="1" applyFont="1" applyBorder="1" applyAlignment="1">
      <alignment horizontal="left" vertical="center"/>
    </xf>
    <xf numFmtId="0" fontId="9" fillId="3" borderId="1" xfId="5" applyFont="1" applyFill="1" applyBorder="1" applyAlignment="1">
      <alignment horizontal="center" vertical="center" wrapText="1"/>
    </xf>
    <xf numFmtId="0" fontId="11" fillId="3" borderId="1" xfId="5" applyFont="1" applyFill="1" applyBorder="1" applyAlignment="1">
      <alignment horizontal="center" vertical="center" wrapText="1"/>
    </xf>
    <xf numFmtId="165" fontId="2" fillId="3" borderId="1" xfId="5" applyNumberFormat="1" applyFont="1" applyFill="1" applyBorder="1" applyAlignment="1">
      <alignment horizontal="center" vertical="center" wrapText="1"/>
    </xf>
    <xf numFmtId="10" fontId="15" fillId="4" borderId="1" xfId="5" applyNumberFormat="1" applyFont="1" applyFill="1" applyBorder="1" applyAlignment="1">
      <alignment horizontal="center" vertical="center" wrapText="1"/>
    </xf>
    <xf numFmtId="10" fontId="13" fillId="4" borderId="1" xfId="5" applyNumberFormat="1" applyFont="1" applyFill="1" applyBorder="1" applyAlignment="1">
      <alignment horizontal="center" vertical="center" wrapText="1"/>
    </xf>
    <xf numFmtId="165" fontId="13" fillId="4" borderId="1" xfId="5" applyNumberFormat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 wrapText="1"/>
    </xf>
    <xf numFmtId="167" fontId="13" fillId="0" borderId="1" xfId="8" applyNumberFormat="1" applyFont="1" applyFill="1" applyBorder="1" applyAlignment="1">
      <alignment horizontal="center" vertical="center" wrapText="1"/>
    </xf>
    <xf numFmtId="10" fontId="13" fillId="0" borderId="1" xfId="5" applyNumberFormat="1" applyFont="1" applyFill="1" applyBorder="1" applyAlignment="1">
      <alignment horizontal="center" vertical="center" wrapText="1"/>
    </xf>
    <xf numFmtId="165" fontId="13" fillId="0" borderId="1" xfId="5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167" fontId="13" fillId="4" borderId="1" xfId="5" applyNumberFormat="1" applyFont="1" applyFill="1" applyBorder="1" applyAlignment="1">
      <alignment horizontal="center" vertical="center" wrapText="1"/>
    </xf>
    <xf numFmtId="165" fontId="13" fillId="7" borderId="1" xfId="5" applyNumberFormat="1" applyFont="1" applyFill="1" applyBorder="1" applyAlignment="1">
      <alignment horizontal="center" vertical="center" wrapText="1"/>
    </xf>
    <xf numFmtId="3" fontId="16" fillId="7" borderId="1" xfId="0" applyNumberFormat="1" applyFont="1" applyFill="1" applyBorder="1" applyAlignment="1">
      <alignment horizontal="center" vertical="center"/>
    </xf>
    <xf numFmtId="4" fontId="16" fillId="7" borderId="1" xfId="0" applyNumberFormat="1" applyFont="1" applyFill="1" applyBorder="1" applyAlignment="1">
      <alignment horizontal="left" vertical="center" wrapText="1"/>
    </xf>
    <xf numFmtId="4" fontId="16" fillId="7" borderId="1" xfId="0" applyNumberFormat="1" applyFont="1" applyFill="1" applyBorder="1" applyAlignment="1">
      <alignment vertical="center"/>
    </xf>
    <xf numFmtId="4" fontId="9" fillId="7" borderId="1" xfId="0" applyNumberFormat="1" applyFont="1" applyFill="1" applyBorder="1" applyAlignment="1">
      <alignment vertical="center"/>
    </xf>
    <xf numFmtId="4" fontId="17" fillId="7" borderId="1" xfId="0" applyNumberFormat="1" applyFont="1" applyFill="1" applyBorder="1" applyAlignment="1">
      <alignment vertical="center"/>
    </xf>
    <xf numFmtId="3" fontId="2" fillId="0" borderId="0" xfId="0" applyNumberFormat="1" applyFont="1" applyBorder="1" applyAlignment="1">
      <alignment horizontal="center"/>
    </xf>
    <xf numFmtId="167" fontId="3" fillId="7" borderId="1" xfId="2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167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0" fontId="2" fillId="0" borderId="0" xfId="3" applyNumberFormat="1" applyFont="1" applyAlignment="1">
      <alignment horizontal="center" vertical="center"/>
    </xf>
  </cellXfs>
  <cellStyles count="9">
    <cellStyle name="Comma" xfId="1" builtinId="3"/>
    <cellStyle name="Currency" xfId="2" builtinId="4"/>
    <cellStyle name="Moeda 3" xfId="8"/>
    <cellStyle name="Normal" xfId="0" builtinId="0"/>
    <cellStyle name="Normal 2 2" xfId="4"/>
    <cellStyle name="Normal 3" xfId="5"/>
    <cellStyle name="Percent" xfId="3" builtinId="5"/>
    <cellStyle name="Porcentagem 2" xfId="7"/>
    <cellStyle name="Separador de milhares 3" xfId="6"/>
  </cellStyles>
  <dxfs count="70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iagrams/_rels/data1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5_5">
  <dgm:title val=""/>
  <dgm:desc val=""/>
  <dgm:catLst>
    <dgm:cat type="accent5" pri="11500"/>
  </dgm:catLst>
  <dgm:styleLbl name="node0">
    <dgm:fillClrLst meth="cycle">
      <a:schemeClr val="accent5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>
        <a:alpha val="90000"/>
      </a:schemeClr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>
        <a:alpha val="90000"/>
      </a:schemeClr>
      <a:schemeClr val="accent5">
        <a:alpha val="5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/>
    <dgm:txEffectClrLst/>
  </dgm:styleLbl>
  <dgm:styleLbl name="lnNode1">
    <dgm:fillClrLst>
      <a:schemeClr val="accent5">
        <a:shade val="90000"/>
      </a:schemeClr>
      <a:schemeClr val="accent5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shade val="80000"/>
        <a:alpha val="50000"/>
      </a:schemeClr>
      <a:schemeClr val="accent5">
        <a:alpha val="2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  <a:alpha val="90000"/>
      </a:schemeClr>
      <a:schemeClr val="accent5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/>
    <dgm:txEffectClrLst/>
  </dgm:styleLbl>
  <dgm:styleLbl name="fgSibTrans2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/>
    <dgm:txEffectClrLst/>
  </dgm:styleLbl>
  <dgm:styleLbl name="bgSibTrans2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/>
    <dgm:txEffectClrLst/>
  </dgm:styleLbl>
  <dgm:styleLbl name="sibTrans1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5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5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alpha val="90000"/>
        <a:tint val="40000"/>
      </a:schemeClr>
      <a:schemeClr val="accent5">
        <a:alpha val="5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5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5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9077374-1E2F-4A55-8434-ACD20033FCEC}" type="doc">
      <dgm:prSet loTypeId="urn:microsoft.com/office/officeart/2005/8/layout/list1" loCatId="list" qsTypeId="urn:microsoft.com/office/officeart/2005/8/quickstyle/3d3" qsCatId="3D" csTypeId="urn:microsoft.com/office/officeart/2005/8/colors/accent5_5" csCatId="accent5" phldr="1"/>
      <dgm:spPr/>
      <dgm:t>
        <a:bodyPr/>
        <a:lstStyle/>
        <a:p>
          <a:endParaRPr lang="pt-BR"/>
        </a:p>
      </dgm:t>
    </dgm:pt>
    <dgm:pt modelId="{B83B6982-E89D-4088-A0F6-9A21DA8BEE7E}">
      <dgm:prSet phldrT="[Texto]"/>
      <dgm:spPr/>
      <dgm:t>
        <a:bodyPr/>
        <a:lstStyle/>
        <a:p>
          <a:r>
            <a:rPr lang="pt-BR"/>
            <a:t>Voltar para o Indice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9D33C4AA-BE41-4FD2-82B5-FBB670F245DB}" type="parTrans" cxnId="{240568E8-402E-45AF-9D98-8150D4940D71}">
      <dgm:prSet/>
      <dgm:spPr/>
      <dgm:t>
        <a:bodyPr/>
        <a:lstStyle/>
        <a:p>
          <a:endParaRPr lang="pt-BR"/>
        </a:p>
      </dgm:t>
    </dgm:pt>
    <dgm:pt modelId="{435DB8AD-C426-4E02-B3C1-DC5A1093EB04}" type="sibTrans" cxnId="{240568E8-402E-45AF-9D98-8150D4940D71}">
      <dgm:prSet/>
      <dgm:spPr/>
      <dgm:t>
        <a:bodyPr/>
        <a:lstStyle/>
        <a:p>
          <a:endParaRPr lang="pt-BR"/>
        </a:p>
      </dgm:t>
    </dgm:pt>
    <dgm:pt modelId="{CA35A0B6-EF6A-4A6B-9797-72E20DBCCC8A}" type="pres">
      <dgm:prSet presAssocID="{79077374-1E2F-4A55-8434-ACD20033FCEC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pt-BR"/>
        </a:p>
      </dgm:t>
    </dgm:pt>
    <dgm:pt modelId="{7173458C-E794-4A3B-99AE-F68F89B9721E}" type="pres">
      <dgm:prSet presAssocID="{B83B6982-E89D-4088-A0F6-9A21DA8BEE7E}" presName="parentLin" presStyleCnt="0"/>
      <dgm:spPr/>
    </dgm:pt>
    <dgm:pt modelId="{6D0FEC36-4894-44B1-9736-CE31CD16BEE5}" type="pres">
      <dgm:prSet presAssocID="{B83B6982-E89D-4088-A0F6-9A21DA8BEE7E}" presName="parentLeftMargin" presStyleLbl="node1" presStyleIdx="0" presStyleCnt="1"/>
      <dgm:spPr/>
      <dgm:t>
        <a:bodyPr/>
        <a:lstStyle/>
        <a:p>
          <a:endParaRPr lang="pt-BR"/>
        </a:p>
      </dgm:t>
    </dgm:pt>
    <dgm:pt modelId="{5960B993-B1ED-4FE2-B96B-A03C1E13BF51}" type="pres">
      <dgm:prSet presAssocID="{B83B6982-E89D-4088-A0F6-9A21DA8BEE7E}" presName="parentText" presStyleLbl="node1" presStyleIdx="0" presStyleCnt="1">
        <dgm:presLayoutVars>
          <dgm:chMax val="0"/>
          <dgm:bulletEnabled val="1"/>
        </dgm:presLayoutVars>
      </dgm:prSet>
      <dgm:spPr/>
      <dgm:t>
        <a:bodyPr/>
        <a:lstStyle/>
        <a:p>
          <a:endParaRPr lang="pt-BR"/>
        </a:p>
      </dgm:t>
    </dgm:pt>
    <dgm:pt modelId="{8FA2A974-C666-4200-BDA7-C523BC3DCF59}" type="pres">
      <dgm:prSet presAssocID="{B83B6982-E89D-4088-A0F6-9A21DA8BEE7E}" presName="negativeSpace" presStyleCnt="0"/>
      <dgm:spPr/>
    </dgm:pt>
    <dgm:pt modelId="{2F762F13-49B6-43E0-B458-C05E0C16B2C9}" type="pres">
      <dgm:prSet presAssocID="{B83B6982-E89D-4088-A0F6-9A21DA8BEE7E}" presName="childText" presStyleLbl="conFgAcc1" presStyleIdx="0" presStyleCnt="1" custFlipHor="1" custScaleX="2388" custScaleY="18143">
        <dgm:presLayoutVars>
          <dgm:bulletEnabled val="1"/>
        </dgm:presLayoutVars>
      </dgm:prSet>
      <dgm:spPr/>
      <dgm:t>
        <a:bodyPr/>
        <a:lstStyle/>
        <a:p>
          <a:endParaRPr lang="pt-BR"/>
        </a:p>
      </dgm:t>
    </dgm:pt>
  </dgm:ptLst>
  <dgm:cxnLst>
    <dgm:cxn modelId="{240568E8-402E-45AF-9D98-8150D4940D71}" srcId="{79077374-1E2F-4A55-8434-ACD20033FCEC}" destId="{B83B6982-E89D-4088-A0F6-9A21DA8BEE7E}" srcOrd="0" destOrd="0" parTransId="{9D33C4AA-BE41-4FD2-82B5-FBB670F245DB}" sibTransId="{435DB8AD-C426-4E02-B3C1-DC5A1093EB04}"/>
    <dgm:cxn modelId="{F64FCB76-8B60-4C6C-9E44-6C918FAE1E09}" type="presOf" srcId="{79077374-1E2F-4A55-8434-ACD20033FCEC}" destId="{CA35A0B6-EF6A-4A6B-9797-72E20DBCCC8A}" srcOrd="0" destOrd="0" presId="urn:microsoft.com/office/officeart/2005/8/layout/list1"/>
    <dgm:cxn modelId="{F551E402-3786-4BDA-A35C-AAC38378ECF2}" type="presOf" srcId="{B83B6982-E89D-4088-A0F6-9A21DA8BEE7E}" destId="{6D0FEC36-4894-44B1-9736-CE31CD16BEE5}" srcOrd="0" destOrd="0" presId="urn:microsoft.com/office/officeart/2005/8/layout/list1"/>
    <dgm:cxn modelId="{58310B92-ABA6-4337-83F9-A3818B045930}" type="presOf" srcId="{B83B6982-E89D-4088-A0F6-9A21DA8BEE7E}" destId="{5960B993-B1ED-4FE2-B96B-A03C1E13BF51}" srcOrd="1" destOrd="0" presId="urn:microsoft.com/office/officeart/2005/8/layout/list1"/>
    <dgm:cxn modelId="{EFB08B60-2C29-4F15-9DBD-C260783EBD47}" type="presParOf" srcId="{CA35A0B6-EF6A-4A6B-9797-72E20DBCCC8A}" destId="{7173458C-E794-4A3B-99AE-F68F89B9721E}" srcOrd="0" destOrd="0" presId="urn:microsoft.com/office/officeart/2005/8/layout/list1"/>
    <dgm:cxn modelId="{75F43A58-B245-4F02-BF7D-FD19CCB67913}" type="presParOf" srcId="{7173458C-E794-4A3B-99AE-F68F89B9721E}" destId="{6D0FEC36-4894-44B1-9736-CE31CD16BEE5}" srcOrd="0" destOrd="0" presId="urn:microsoft.com/office/officeart/2005/8/layout/list1"/>
    <dgm:cxn modelId="{ED334794-0A66-4B57-9A4C-AD1D3C66622D}" type="presParOf" srcId="{7173458C-E794-4A3B-99AE-F68F89B9721E}" destId="{5960B993-B1ED-4FE2-B96B-A03C1E13BF51}" srcOrd="1" destOrd="0" presId="urn:microsoft.com/office/officeart/2005/8/layout/list1"/>
    <dgm:cxn modelId="{CEEB3BF4-973E-450E-BC5D-C5B437EA868A}" type="presParOf" srcId="{CA35A0B6-EF6A-4A6B-9797-72E20DBCCC8A}" destId="{8FA2A974-C666-4200-BDA7-C523BC3DCF59}" srcOrd="1" destOrd="0" presId="urn:microsoft.com/office/officeart/2005/8/layout/list1"/>
    <dgm:cxn modelId="{B1C348D0-E9F5-4815-9477-17C743A68FB7}" type="presParOf" srcId="{CA35A0B6-EF6A-4A6B-9797-72E20DBCCC8A}" destId="{2F762F13-49B6-43E0-B458-C05E0C16B2C9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F762F13-49B6-43E0-B458-C05E0C16B2C9}">
      <dsp:nvSpPr>
        <dsp:cNvPr id="0" name=""/>
        <dsp:cNvSpPr/>
      </dsp:nvSpPr>
      <dsp:spPr>
        <a:xfrm flipH="1">
          <a:off x="0" y="78582"/>
          <a:ext cx="45775" cy="2286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300000"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5960B993-B1ED-4FE2-B96B-A03C1E13BF51}">
      <dsp:nvSpPr>
        <dsp:cNvPr id="0" name=""/>
        <dsp:cNvSpPr/>
      </dsp:nvSpPr>
      <dsp:spPr>
        <a:xfrm>
          <a:off x="95845" y="4781"/>
          <a:ext cx="1341834" cy="147600"/>
        </a:xfrm>
        <a:prstGeom prst="roundRect">
          <a:avLst/>
        </a:prstGeom>
        <a:solidFill>
          <a:schemeClr val="accent5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0718" tIns="0" rIns="50718" bIns="0" numCol="1" spcCol="1270" anchor="ctr" anchorCtr="0">
          <a:noAutofit/>
        </a:bodyPr>
        <a:lstStyle/>
        <a:p>
          <a:pPr lvl="0" algn="l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500" kern="1200"/>
            <a:t>Voltar para o Indice</a:t>
          </a:r>
        </a:p>
      </dsp:txBody>
      <dsp:txXfrm>
        <a:off x="103050" y="11986"/>
        <a:ext cx="1327424" cy="13319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1307306</xdr:colOff>
      <xdr:row>0</xdr:row>
      <xdr:rowOff>309564</xdr:rowOff>
    </xdr:to>
    <xdr:graphicFrame macro="">
      <xdr:nvGraphicFramePr>
        <xdr:cNvPr id="2" name="Diagra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as\AppData\Local\Microsoft\Windows\Temporary%20Internet%20Files\Content.Outlook\5OC3P1FS\2013_11_04%20PEP%20Pro-Energia%20RS%20da%20CEEE-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Sumario"/>
      <sheetName val="%"/>
      <sheetName val="Quadro III"/>
      <sheetName val="Status Fisico"/>
      <sheetName val="Status Financeiro"/>
      <sheetName val="Status Prazos"/>
      <sheetName val="PxR"/>
      <sheetName val="Resumo"/>
      <sheetName val="Resumen"/>
      <sheetName val="PxR R$"/>
      <sheetName val="PxR U$"/>
      <sheetName val="Geral"/>
      <sheetName val="Evolui"/>
      <sheetName val="Evolui BID"/>
      <sheetName val="Evolui AFD"/>
      <sheetName val="Tableau AFD"/>
      <sheetName val="PA U$ "/>
      <sheetName val="PA  R$"/>
      <sheetName val="Gerencial U$"/>
      <sheetName val="UGP"/>
      <sheetName val="Gerencial R$"/>
      <sheetName val="PMR Prod"/>
      <sheetName val="PMR Custos"/>
      <sheetName val="Tab1 POA 2011e12"/>
      <sheetName val="Tab2 POA 2011e12"/>
      <sheetName val="Tab1 POA 2013"/>
      <sheetName val="Tab1 POA 2013 (2)"/>
      <sheetName val="Tab2 POA 2013"/>
      <sheetName val="Relatorios"/>
      <sheetName val="Relatorios (2)"/>
      <sheetName val="Resultados"/>
      <sheetName val="Produto1"/>
      <sheetName val="Produto2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Beneficiados"/>
      <sheetName val="Plan1"/>
      <sheetName val="Caixa"/>
    </sheetNames>
    <sheetDataSet>
      <sheetData sheetId="0"/>
      <sheetData sheetId="1"/>
      <sheetData sheetId="2">
        <row r="7">
          <cell r="J7">
            <v>75271360</v>
          </cell>
          <cell r="K7">
            <v>44867921</v>
          </cell>
          <cell r="L7">
            <v>120139281</v>
          </cell>
        </row>
        <row r="8">
          <cell r="J8">
            <v>6591617</v>
          </cell>
          <cell r="K8">
            <v>3849075</v>
          </cell>
          <cell r="L8">
            <v>10440692</v>
          </cell>
        </row>
        <row r="9">
          <cell r="J9">
            <v>7108933</v>
          </cell>
          <cell r="K9">
            <v>4151155</v>
          </cell>
        </row>
        <row r="10">
          <cell r="J10">
            <v>39600000</v>
          </cell>
          <cell r="K10">
            <v>23123824</v>
          </cell>
        </row>
        <row r="11">
          <cell r="I11" t="str">
            <v>Contingências</v>
          </cell>
          <cell r="K11">
            <v>10766520</v>
          </cell>
        </row>
        <row r="12">
          <cell r="J12">
            <v>1984740</v>
          </cell>
          <cell r="K12">
            <v>699491</v>
          </cell>
          <cell r="L12">
            <v>2684231</v>
          </cell>
        </row>
        <row r="13">
          <cell r="I13" t="str">
            <v xml:space="preserve"> Engenharia e administração</v>
          </cell>
          <cell r="J13">
            <v>1984740</v>
          </cell>
          <cell r="K13">
            <v>276491</v>
          </cell>
        </row>
        <row r="14">
          <cell r="I14" t="str">
            <v>Auditoria externa</v>
          </cell>
          <cell r="L14">
            <v>223000</v>
          </cell>
        </row>
        <row r="15">
          <cell r="L15">
            <v>100000</v>
          </cell>
        </row>
        <row r="16">
          <cell r="L16">
            <v>100000</v>
          </cell>
        </row>
        <row r="17">
          <cell r="J17">
            <v>130556650</v>
          </cell>
          <cell r="K17">
            <v>87457986</v>
          </cell>
          <cell r="L17">
            <v>218014636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9"/>
      <sheetData sheetId="40"/>
      <sheetData sheetId="41"/>
      <sheetData sheetId="42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203"/>
  <sheetViews>
    <sheetView tabSelected="1" topLeftCell="A113" workbookViewId="0">
      <selection activeCell="A122" sqref="A122"/>
    </sheetView>
  </sheetViews>
  <sheetFormatPr defaultColWidth="9.140625" defaultRowHeight="12.75" x14ac:dyDescent="0.25"/>
  <cols>
    <col min="1" max="1" width="9.140625" style="1"/>
    <col min="2" max="2" width="42.7109375" style="2" customWidth="1"/>
    <col min="3" max="3" width="17" style="1" bestFit="1" customWidth="1"/>
    <col min="4" max="4" width="13" style="1" bestFit="1" customWidth="1"/>
    <col min="5" max="5" width="7.140625" style="1" customWidth="1"/>
    <col min="6" max="7" width="17.7109375" style="1" customWidth="1"/>
    <col min="8" max="8" width="10.42578125" style="1" customWidth="1"/>
    <col min="9" max="9" width="14" style="1" customWidth="1"/>
    <col min="10" max="10" width="11.140625" style="1" customWidth="1"/>
    <col min="11" max="11" width="9.5703125" style="1" customWidth="1"/>
    <col min="12" max="12" width="21.85546875" style="1" customWidth="1"/>
    <col min="13" max="13" width="9.140625" style="3" customWidth="1"/>
    <col min="14" max="14" width="10.85546875" style="4" hidden="1" customWidth="1"/>
    <col min="15" max="16" width="9.140625" style="4" hidden="1" customWidth="1"/>
    <col min="17" max="18" width="9.140625" style="3" hidden="1" customWidth="1"/>
    <col min="19" max="19" width="9.140625" style="3"/>
    <col min="20" max="20" width="14.42578125" style="3" hidden="1" customWidth="1"/>
    <col min="21" max="16384" width="9.140625" style="3"/>
  </cols>
  <sheetData>
    <row r="2" spans="1:20" ht="18" x14ac:dyDescent="0.25">
      <c r="A2" s="5" t="s">
        <v>0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20" ht="18" x14ac:dyDescent="0.25">
      <c r="A3" s="5" t="s">
        <v>1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20" ht="25.5" x14ac:dyDescent="0.25">
      <c r="A4" s="8" t="s">
        <v>2</v>
      </c>
      <c r="B4" s="9" t="s">
        <v>3</v>
      </c>
      <c r="C4" s="10" t="s">
        <v>4</v>
      </c>
      <c r="D4" s="11" t="s">
        <v>5</v>
      </c>
      <c r="E4" s="8" t="s">
        <v>6</v>
      </c>
      <c r="F4" s="12" t="s">
        <v>7</v>
      </c>
      <c r="G4" s="13"/>
      <c r="H4" s="11" t="s">
        <v>8</v>
      </c>
      <c r="I4" s="12" t="s">
        <v>9</v>
      </c>
      <c r="J4" s="14"/>
      <c r="K4" s="13"/>
      <c r="L4" s="11" t="s">
        <v>10</v>
      </c>
    </row>
    <row r="5" spans="1:20" ht="51" x14ac:dyDescent="0.2">
      <c r="A5" s="8"/>
      <c r="B5" s="15">
        <v>41578</v>
      </c>
      <c r="C5" s="16" t="s">
        <v>11</v>
      </c>
      <c r="D5" s="17"/>
      <c r="E5" s="18" t="s">
        <v>12</v>
      </c>
      <c r="F5" s="18" t="s">
        <v>13</v>
      </c>
      <c r="G5" s="18" t="s">
        <v>14</v>
      </c>
      <c r="H5" s="17"/>
      <c r="I5" s="18" t="s">
        <v>15</v>
      </c>
      <c r="J5" s="19" t="s">
        <v>16</v>
      </c>
      <c r="K5" s="18" t="s">
        <v>17</v>
      </c>
      <c r="L5" s="17"/>
      <c r="N5" s="20" t="s">
        <v>18</v>
      </c>
      <c r="O5" s="20" t="s">
        <v>19</v>
      </c>
      <c r="P5" s="20" t="s">
        <v>20</v>
      </c>
      <c r="Q5" s="21" t="s">
        <v>18</v>
      </c>
    </row>
    <row r="6" spans="1:20" s="27" customFormat="1" ht="18" x14ac:dyDescent="0.25">
      <c r="A6" s="22" t="s">
        <v>21</v>
      </c>
      <c r="B6" s="23" t="s">
        <v>22</v>
      </c>
      <c r="C6" s="24">
        <f>SUBTOTAL(9,C7:C17)</f>
        <v>717.42399999999998</v>
      </c>
      <c r="D6" s="25"/>
      <c r="E6" s="25"/>
      <c r="F6" s="25"/>
      <c r="G6" s="25"/>
      <c r="H6" s="25"/>
      <c r="I6" s="26">
        <f>MIN(I7:I13)</f>
        <v>41403</v>
      </c>
      <c r="J6" s="26">
        <f>MIN(J7:J13)</f>
        <v>41442</v>
      </c>
      <c r="K6" s="26">
        <f>MAX(K7:K13)</f>
        <v>41908.5</v>
      </c>
      <c r="L6" s="25"/>
      <c r="N6" s="28">
        <v>3.5560937098276109E-3</v>
      </c>
      <c r="O6" s="4">
        <f>C6/$C$201</f>
        <v>3.2907148490709591E-3</v>
      </c>
      <c r="P6" s="4">
        <f>C6/$C$89</f>
        <v>5.9716022438988953E-3</v>
      </c>
      <c r="Q6" s="28">
        <v>5.9926845042826095E-3</v>
      </c>
      <c r="R6" s="29">
        <f>P6-Q6</f>
        <v>-2.1082260383714115E-5</v>
      </c>
      <c r="T6" s="3" t="s">
        <v>23</v>
      </c>
    </row>
    <row r="7" spans="1:20" s="36" customFormat="1" x14ac:dyDescent="0.25">
      <c r="A7" s="30" t="s">
        <v>24</v>
      </c>
      <c r="B7" s="31" t="s">
        <v>25</v>
      </c>
      <c r="C7" s="32">
        <f>SUBTOTAL(9,C8:C11)</f>
        <v>463.16300000000001</v>
      </c>
      <c r="D7" s="30" t="s">
        <v>26</v>
      </c>
      <c r="E7" s="30" t="s">
        <v>27</v>
      </c>
      <c r="F7" s="33">
        <v>0.93333429999999995</v>
      </c>
      <c r="G7" s="33">
        <f>1-F7</f>
        <v>6.666570000000005E-2</v>
      </c>
      <c r="H7" s="30" t="s">
        <v>28</v>
      </c>
      <c r="I7" s="34">
        <v>41456</v>
      </c>
      <c r="J7" s="34">
        <v>41634</v>
      </c>
      <c r="K7" s="34">
        <f>J7+(30.5*9)</f>
        <v>41908.5</v>
      </c>
      <c r="L7" s="35" t="s">
        <v>29</v>
      </c>
      <c r="N7" s="28">
        <v>1.2709412829977167E-3</v>
      </c>
      <c r="O7" s="4">
        <f>C7/$C$201</f>
        <v>2.1244582863693615E-3</v>
      </c>
      <c r="P7" s="4">
        <f>C7/$C$89</f>
        <v>3.855217012660497E-3</v>
      </c>
      <c r="Q7" s="28">
        <v>2.1417743046042207E-3</v>
      </c>
      <c r="R7" s="29">
        <f t="shared" ref="R7:R77" si="0">P7-Q7</f>
        <v>1.7134427080562763E-3</v>
      </c>
      <c r="T7" s="3" t="s">
        <v>29</v>
      </c>
    </row>
    <row r="8" spans="1:20" s="36" customFormat="1" x14ac:dyDescent="0.25">
      <c r="A8" s="37"/>
      <c r="B8" s="38" t="s">
        <v>30</v>
      </c>
      <c r="C8" s="39">
        <v>128.66</v>
      </c>
      <c r="D8" s="37"/>
      <c r="E8" s="37"/>
      <c r="F8" s="37"/>
      <c r="G8" s="37"/>
      <c r="H8" s="40"/>
      <c r="I8" s="41"/>
      <c r="J8" s="41"/>
      <c r="K8" s="41"/>
      <c r="L8" s="40"/>
      <c r="N8" s="28">
        <v>6.3547064149885833E-4</v>
      </c>
      <c r="O8" s="4">
        <f>C8/$C$201</f>
        <v>5.9014386538709272E-4</v>
      </c>
      <c r="P8" s="4">
        <f>C8/$C$89</f>
        <v>1.0709236723332812E-3</v>
      </c>
      <c r="Q8" s="28">
        <v>1.0708871523021103E-3</v>
      </c>
      <c r="R8" s="29">
        <f t="shared" si="0"/>
        <v>3.6520031170819353E-8</v>
      </c>
      <c r="T8" s="3" t="s">
        <v>31</v>
      </c>
    </row>
    <row r="9" spans="1:20" s="36" customFormat="1" x14ac:dyDescent="0.25">
      <c r="A9" s="37"/>
      <c r="B9" s="38" t="s">
        <v>32</v>
      </c>
      <c r="C9" s="42">
        <v>128.655</v>
      </c>
      <c r="D9" s="37"/>
      <c r="E9" s="37"/>
      <c r="F9" s="37"/>
      <c r="G9" s="37"/>
      <c r="H9" s="40"/>
      <c r="I9" s="41"/>
      <c r="J9" s="43"/>
      <c r="K9" s="41"/>
      <c r="L9" s="40"/>
      <c r="N9" s="28">
        <v>6.3547064149885833E-4</v>
      </c>
      <c r="O9" s="4">
        <f>C9/$C$201</f>
        <v>5.9012093114702642E-4</v>
      </c>
      <c r="P9" s="4">
        <f>C9/$C$89</f>
        <v>1.0708820539720061E-3</v>
      </c>
      <c r="Q9" s="28">
        <v>1.0708871523021103E-3</v>
      </c>
      <c r="R9" s="29">
        <f t="shared" si="0"/>
        <v>-5.0983301042289292E-9</v>
      </c>
      <c r="T9" s="3" t="s">
        <v>33</v>
      </c>
    </row>
    <row r="10" spans="1:20" s="36" customFormat="1" x14ac:dyDescent="0.25">
      <c r="A10" s="37"/>
      <c r="B10" s="44" t="s">
        <v>34</v>
      </c>
      <c r="C10" s="42">
        <f>102.924</f>
        <v>102.92400000000001</v>
      </c>
      <c r="D10" s="37"/>
      <c r="E10" s="37"/>
      <c r="F10" s="37"/>
      <c r="G10" s="37"/>
      <c r="H10" s="40"/>
      <c r="I10" s="41"/>
      <c r="J10" s="41"/>
      <c r="K10" s="41"/>
      <c r="L10" s="40"/>
      <c r="N10" s="28"/>
      <c r="O10" s="4"/>
      <c r="P10" s="4"/>
      <c r="Q10" s="28"/>
      <c r="R10" s="29"/>
      <c r="T10" s="3"/>
    </row>
    <row r="11" spans="1:20" s="36" customFormat="1" x14ac:dyDescent="0.25">
      <c r="A11" s="37"/>
      <c r="B11" s="44" t="s">
        <v>35</v>
      </c>
      <c r="C11" s="42">
        <f>102.924</f>
        <v>102.92400000000001</v>
      </c>
      <c r="D11" s="37"/>
      <c r="E11" s="37"/>
      <c r="F11" s="37"/>
      <c r="G11" s="37"/>
      <c r="H11" s="40"/>
      <c r="I11" s="41"/>
      <c r="J11" s="41"/>
      <c r="K11" s="41"/>
      <c r="L11" s="40"/>
      <c r="N11" s="28"/>
      <c r="O11" s="4"/>
      <c r="P11" s="4"/>
      <c r="Q11" s="28"/>
      <c r="R11" s="29"/>
      <c r="T11" s="3"/>
    </row>
    <row r="12" spans="1:20" s="36" customFormat="1" x14ac:dyDescent="0.25">
      <c r="A12" s="30" t="s">
        <v>36</v>
      </c>
      <c r="B12" s="31" t="s">
        <v>37</v>
      </c>
      <c r="C12" s="32">
        <f>SUBTOTAL(9,C13:C13)</f>
        <v>154.386</v>
      </c>
      <c r="D12" s="30">
        <v>8666</v>
      </c>
      <c r="E12" s="30" t="s">
        <v>27</v>
      </c>
      <c r="F12" s="33">
        <v>0</v>
      </c>
      <c r="G12" s="33">
        <f>1-F12</f>
        <v>1</v>
      </c>
      <c r="H12" s="30" t="s">
        <v>28</v>
      </c>
      <c r="I12" s="34">
        <v>41403</v>
      </c>
      <c r="J12" s="34">
        <v>41442</v>
      </c>
      <c r="K12" s="34">
        <v>41533</v>
      </c>
      <c r="L12" s="35" t="s">
        <v>31</v>
      </c>
      <c r="N12" s="28">
        <v>7.6256476979862998E-4</v>
      </c>
      <c r="O12" s="4">
        <f t="shared" ref="O12:O17" si="1">C12/$C$201</f>
        <v>7.0814511737643168E-4</v>
      </c>
      <c r="P12" s="4">
        <f t="shared" ref="P12:P22" si="2">C12/$C$89</f>
        <v>1.2850584647664072E-3</v>
      </c>
      <c r="Q12" s="28">
        <v>1.2850645827625325E-3</v>
      </c>
      <c r="R12" s="29">
        <f t="shared" si="0"/>
        <v>-6.1179961253349235E-9</v>
      </c>
      <c r="T12" s="3"/>
    </row>
    <row r="13" spans="1:20" s="36" customFormat="1" x14ac:dyDescent="0.25">
      <c r="A13" s="37"/>
      <c r="B13" s="44" t="s">
        <v>38</v>
      </c>
      <c r="C13" s="39">
        <f>77.193*2</f>
        <v>154.386</v>
      </c>
      <c r="D13" s="37"/>
      <c r="E13" s="37"/>
      <c r="F13" s="37"/>
      <c r="G13" s="37"/>
      <c r="H13" s="40"/>
      <c r="I13" s="41"/>
      <c r="J13" s="41"/>
      <c r="K13" s="41"/>
      <c r="L13" s="40"/>
      <c r="N13" s="28">
        <v>3.8128238489931499E-4</v>
      </c>
      <c r="O13" s="4">
        <f t="shared" si="1"/>
        <v>7.0814511737643168E-4</v>
      </c>
      <c r="P13" s="4">
        <f t="shared" si="2"/>
        <v>1.2850584647664072E-3</v>
      </c>
      <c r="Q13" s="28">
        <v>6.4253229138126625E-4</v>
      </c>
      <c r="R13" s="29">
        <f t="shared" si="0"/>
        <v>6.4252617338514091E-4</v>
      </c>
      <c r="T13" s="3"/>
    </row>
    <row r="14" spans="1:20" s="36" customFormat="1" x14ac:dyDescent="0.25">
      <c r="A14" s="30" t="s">
        <v>39</v>
      </c>
      <c r="B14" s="31" t="s">
        <v>37</v>
      </c>
      <c r="C14" s="32">
        <f>SUBTOTAL(9,C15:C15)</f>
        <v>27.5</v>
      </c>
      <c r="D14" s="30">
        <v>8666</v>
      </c>
      <c r="E14" s="30" t="s">
        <v>27</v>
      </c>
      <c r="F14" s="33">
        <v>0</v>
      </c>
      <c r="G14" s="33">
        <f>1-F14</f>
        <v>1</v>
      </c>
      <c r="H14" s="30" t="s">
        <v>28</v>
      </c>
      <c r="I14" s="34">
        <v>40543</v>
      </c>
      <c r="J14" s="34">
        <v>40361</v>
      </c>
      <c r="K14" s="34">
        <v>40484</v>
      </c>
      <c r="L14" s="35" t="s">
        <v>31</v>
      </c>
      <c r="N14" s="28">
        <v>1.3980354112974881E-4</v>
      </c>
      <c r="O14" s="4">
        <f t="shared" si="1"/>
        <v>1.261383203648768E-4</v>
      </c>
      <c r="P14" s="4">
        <f t="shared" si="2"/>
        <v>2.2890098701356469E-4</v>
      </c>
      <c r="Q14" s="28">
        <v>2.3559517350646428E-4</v>
      </c>
      <c r="R14" s="29">
        <f t="shared" si="0"/>
        <v>-6.6941864928995879E-6</v>
      </c>
      <c r="T14" s="3"/>
    </row>
    <row r="15" spans="1:20" s="36" customFormat="1" x14ac:dyDescent="0.25">
      <c r="A15" s="37"/>
      <c r="B15" s="44" t="s">
        <v>40</v>
      </c>
      <c r="C15" s="42">
        <v>27.5</v>
      </c>
      <c r="D15" s="37"/>
      <c r="E15" s="37"/>
      <c r="F15" s="37"/>
      <c r="G15" s="37"/>
      <c r="H15" s="40"/>
      <c r="I15" s="41"/>
      <c r="J15" s="41"/>
      <c r="K15" s="41"/>
      <c r="L15" s="40"/>
      <c r="N15" s="28">
        <v>1.3980354112974881E-4</v>
      </c>
      <c r="O15" s="4">
        <f t="shared" si="1"/>
        <v>1.261383203648768E-4</v>
      </c>
      <c r="P15" s="4">
        <f t="shared" si="2"/>
        <v>2.2890098701356469E-4</v>
      </c>
      <c r="Q15" s="28">
        <v>2.3559517350646428E-4</v>
      </c>
      <c r="R15" s="29">
        <f t="shared" si="0"/>
        <v>-6.6941864928995879E-6</v>
      </c>
      <c r="T15" s="3"/>
    </row>
    <row r="16" spans="1:20" s="36" customFormat="1" x14ac:dyDescent="0.25">
      <c r="A16" s="30" t="s">
        <v>41</v>
      </c>
      <c r="B16" s="31" t="s">
        <v>37</v>
      </c>
      <c r="C16" s="32">
        <f>SUBTOTAL(9,C17:C17)</f>
        <v>72.375</v>
      </c>
      <c r="D16" s="30">
        <v>8666</v>
      </c>
      <c r="E16" s="30" t="s">
        <v>27</v>
      </c>
      <c r="F16" s="33">
        <v>0</v>
      </c>
      <c r="G16" s="33">
        <f>1-F16</f>
        <v>1</v>
      </c>
      <c r="H16" s="30" t="s">
        <v>28</v>
      </c>
      <c r="I16" s="34">
        <v>40340</v>
      </c>
      <c r="J16" s="34">
        <v>40452</v>
      </c>
      <c r="K16" s="34">
        <v>40575</v>
      </c>
      <c r="L16" s="35" t="s">
        <v>31</v>
      </c>
      <c r="N16" s="28">
        <v>3.6603108950334241E-4</v>
      </c>
      <c r="O16" s="4">
        <f t="shared" si="1"/>
        <v>3.319731249602894E-4</v>
      </c>
      <c r="P16" s="4">
        <f t="shared" si="2"/>
        <v>6.0242577945842713E-4</v>
      </c>
      <c r="Q16" s="28">
        <v>6.1683099972601558E-4</v>
      </c>
      <c r="R16" s="29">
        <f t="shared" si="0"/>
        <v>-1.4405220267588452E-5</v>
      </c>
      <c r="T16" s="3"/>
    </row>
    <row r="17" spans="1:24" s="36" customFormat="1" ht="27.75" customHeight="1" x14ac:dyDescent="0.25">
      <c r="A17" s="37"/>
      <c r="B17" s="44" t="s">
        <v>42</v>
      </c>
      <c r="C17" s="42">
        <v>72.375</v>
      </c>
      <c r="D17" s="37"/>
      <c r="E17" s="37"/>
      <c r="F17" s="37"/>
      <c r="G17" s="37"/>
      <c r="H17" s="40"/>
      <c r="I17" s="41"/>
      <c r="J17" s="41"/>
      <c r="K17" s="41"/>
      <c r="L17" s="40"/>
      <c r="N17" s="28">
        <v>3.6603108950334241E-4</v>
      </c>
      <c r="O17" s="4">
        <f t="shared" si="1"/>
        <v>3.319731249602894E-4</v>
      </c>
      <c r="P17" s="4">
        <f t="shared" si="2"/>
        <v>6.0242577945842713E-4</v>
      </c>
      <c r="Q17" s="28">
        <v>6.1683099972601558E-4</v>
      </c>
      <c r="R17" s="29">
        <f t="shared" si="0"/>
        <v>-1.4405220267588452E-5</v>
      </c>
      <c r="T17" s="3"/>
    </row>
    <row r="18" spans="1:24" s="36" customFormat="1" ht="14.25" customHeight="1" x14ac:dyDescent="0.25">
      <c r="A18" s="45"/>
      <c r="B18" s="46"/>
      <c r="C18" s="47"/>
      <c r="D18" s="45"/>
      <c r="E18" s="45"/>
      <c r="F18" s="45"/>
      <c r="G18" s="45"/>
      <c r="H18" s="45"/>
      <c r="I18" s="45"/>
      <c r="J18" s="45"/>
      <c r="K18" s="45"/>
      <c r="L18" s="48"/>
      <c r="N18" s="28"/>
      <c r="O18" s="4"/>
      <c r="P18" s="4">
        <f t="shared" si="2"/>
        <v>0</v>
      </c>
      <c r="Q18" s="28">
        <v>0</v>
      </c>
      <c r="R18" s="29">
        <f t="shared" si="0"/>
        <v>0</v>
      </c>
      <c r="T18" s="3"/>
    </row>
    <row r="19" spans="1:24" s="52" customFormat="1" ht="30.75" customHeight="1" x14ac:dyDescent="0.25">
      <c r="A19" s="49" t="s">
        <v>43</v>
      </c>
      <c r="B19" s="23" t="s">
        <v>44</v>
      </c>
      <c r="C19" s="50">
        <f>SUBTOTAL(9,C20:C80)</f>
        <v>115463.95700000001</v>
      </c>
      <c r="D19" s="51"/>
      <c r="E19" s="51"/>
      <c r="F19" s="51"/>
      <c r="G19" s="51"/>
      <c r="H19" s="51"/>
      <c r="I19" s="26">
        <f>MIN(I20:I80)</f>
        <v>40627</v>
      </c>
      <c r="J19" s="26">
        <f>MIN(J20:J80)</f>
        <v>40668</v>
      </c>
      <c r="K19" s="26">
        <f>MAX(K20:K80)</f>
        <v>42735</v>
      </c>
      <c r="L19" s="51"/>
      <c r="N19" s="28">
        <v>0.56949738094232061</v>
      </c>
      <c r="O19" s="4">
        <f>C19/$C$201</f>
        <v>0.52961562176954036</v>
      </c>
      <c r="P19" s="4">
        <f t="shared" si="2"/>
        <v>0.96108413533788339</v>
      </c>
      <c r="Q19" s="28">
        <v>0.95970984132699322</v>
      </c>
      <c r="R19" s="29">
        <f t="shared" si="0"/>
        <v>1.3742940108901758E-3</v>
      </c>
      <c r="T19" s="3"/>
    </row>
    <row r="20" spans="1:24" s="36" customFormat="1" ht="38.25" x14ac:dyDescent="0.25">
      <c r="A20" s="30" t="s">
        <v>45</v>
      </c>
      <c r="B20" s="31" t="s">
        <v>46</v>
      </c>
      <c r="C20" s="32">
        <f>SUBTOTAL(9,C21:C22)</f>
        <v>6090.75</v>
      </c>
      <c r="D20" s="30" t="s">
        <v>47</v>
      </c>
      <c r="E20" s="30" t="s">
        <v>27</v>
      </c>
      <c r="F20" s="33">
        <v>0</v>
      </c>
      <c r="G20" s="33">
        <f>1-F20</f>
        <v>1</v>
      </c>
      <c r="H20" s="30" t="s">
        <v>28</v>
      </c>
      <c r="I20" s="34">
        <v>41326</v>
      </c>
      <c r="J20" s="34">
        <v>41404</v>
      </c>
      <c r="K20" s="34">
        <v>41861</v>
      </c>
      <c r="L20" s="35" t="s">
        <v>31</v>
      </c>
      <c r="N20" s="28">
        <v>3.9907556286128298E-2</v>
      </c>
      <c r="O20" s="4">
        <f>C20/$C$201</f>
        <v>2.7937344536813579E-2</v>
      </c>
      <c r="P20" s="4">
        <f t="shared" si="2"/>
        <v>5.069740678737706E-2</v>
      </c>
      <c r="Q20" s="28">
        <v>6.7251713164572541E-2</v>
      </c>
      <c r="R20" s="29">
        <f t="shared" si="0"/>
        <v>-1.6554306377195481E-2</v>
      </c>
      <c r="T20" s="3"/>
    </row>
    <row r="21" spans="1:24" s="36" customFormat="1" ht="25.5" customHeight="1" x14ac:dyDescent="0.25">
      <c r="A21" s="37"/>
      <c r="B21" s="44" t="s">
        <v>48</v>
      </c>
      <c r="C21" s="39">
        <v>2418.7199999999998</v>
      </c>
      <c r="D21" s="53"/>
      <c r="E21" s="37"/>
      <c r="F21" s="37"/>
      <c r="G21" s="37"/>
      <c r="H21" s="40"/>
      <c r="I21" s="41"/>
      <c r="J21" s="41"/>
      <c r="K21" s="41"/>
      <c r="L21" s="40"/>
      <c r="N21" s="28">
        <v>1.1946848060178537E-2</v>
      </c>
      <c r="O21" s="4">
        <f>C21/$C$201</f>
        <v>1.1094301026652174E-2</v>
      </c>
      <c r="P21" s="4">
        <f t="shared" si="2"/>
        <v>2.013263255670724E-2</v>
      </c>
      <c r="Q21" s="28">
        <v>2.0132678463279676E-2</v>
      </c>
      <c r="R21" s="29">
        <f t="shared" si="0"/>
        <v>-4.5906572435777671E-8</v>
      </c>
      <c r="T21" s="3"/>
    </row>
    <row r="22" spans="1:24" s="36" customFormat="1" ht="25.5" customHeight="1" x14ac:dyDescent="0.25">
      <c r="A22" s="37"/>
      <c r="B22" s="44" t="s">
        <v>49</v>
      </c>
      <c r="C22" s="39">
        <v>3672.03</v>
      </c>
      <c r="D22" s="53"/>
      <c r="E22" s="37"/>
      <c r="F22" s="37"/>
      <c r="G22" s="37"/>
      <c r="H22" s="40"/>
      <c r="I22" s="41"/>
      <c r="J22" s="41"/>
      <c r="K22" s="41"/>
      <c r="L22" s="40"/>
      <c r="N22" s="28">
        <v>3.05025907919452E-2</v>
      </c>
      <c r="O22" s="4">
        <f>C22/$C$201</f>
        <v>1.6843043510161405E-2</v>
      </c>
      <c r="P22" s="4">
        <f t="shared" si="2"/>
        <v>3.0564774230669819E-2</v>
      </c>
      <c r="Q22" s="28">
        <v>5.14025833105013E-2</v>
      </c>
      <c r="R22" s="29">
        <f>P22-Q22</f>
        <v>-2.0837809079831481E-2</v>
      </c>
      <c r="T22" s="3"/>
    </row>
    <row r="23" spans="1:24" s="36" customFormat="1" ht="38.25" x14ac:dyDescent="0.25">
      <c r="A23" s="30" t="s">
        <v>50</v>
      </c>
      <c r="B23" s="31" t="s">
        <v>46</v>
      </c>
      <c r="C23" s="32">
        <f>SUBTOTAL(9,C24:C24)</f>
        <v>10035.129999999999</v>
      </c>
      <c r="D23" s="30">
        <v>8666</v>
      </c>
      <c r="E23" s="30" t="s">
        <v>27</v>
      </c>
      <c r="F23" s="33">
        <v>0</v>
      </c>
      <c r="G23" s="33">
        <f>1-F23</f>
        <v>1</v>
      </c>
      <c r="H23" s="30" t="s">
        <v>28</v>
      </c>
      <c r="I23" s="34">
        <v>41066</v>
      </c>
      <c r="J23" s="34">
        <v>41240</v>
      </c>
      <c r="K23" s="34">
        <v>41690</v>
      </c>
      <c r="L23" s="35" t="s">
        <v>31</v>
      </c>
      <c r="N23" s="28"/>
      <c r="O23" s="4"/>
      <c r="P23" s="4"/>
      <c r="Q23" s="28"/>
      <c r="R23" s="29"/>
      <c r="T23" s="3"/>
    </row>
    <row r="24" spans="1:24" s="36" customFormat="1" ht="25.5" customHeight="1" x14ac:dyDescent="0.25">
      <c r="A24" s="37"/>
      <c r="B24" s="54" t="s">
        <v>51</v>
      </c>
      <c r="C24" s="39">
        <v>10035.129999999999</v>
      </c>
      <c r="D24" s="53"/>
      <c r="E24" s="37"/>
      <c r="F24" s="37"/>
      <c r="G24" s="37"/>
      <c r="H24" s="40"/>
      <c r="I24" s="41"/>
      <c r="J24" s="41"/>
      <c r="K24" s="41"/>
      <c r="L24" s="40"/>
      <c r="N24" s="28">
        <v>4.9566710036910946E-2</v>
      </c>
      <c r="O24" s="4">
        <f>C24/$C$201</f>
        <v>4.6029616103388585E-2</v>
      </c>
      <c r="P24" s="4">
        <f>C24/$C$89</f>
        <v>8.3529133156706667E-2</v>
      </c>
      <c r="Q24" s="28">
        <v>8.3529197879564615E-2</v>
      </c>
      <c r="R24" s="29">
        <f t="shared" si="0"/>
        <v>-6.4722857948118495E-8</v>
      </c>
      <c r="T24" s="28"/>
      <c r="U24" s="4"/>
      <c r="V24" s="4"/>
      <c r="W24" s="28"/>
      <c r="X24" s="29"/>
    </row>
    <row r="25" spans="1:24" s="36" customFormat="1" ht="40.5" customHeight="1" x14ac:dyDescent="0.25">
      <c r="A25" s="30" t="s">
        <v>52</v>
      </c>
      <c r="B25" s="31" t="s">
        <v>46</v>
      </c>
      <c r="C25" s="32">
        <f>SUBTOTAL(9,C26:C26)</f>
        <v>6690.0919999999996</v>
      </c>
      <c r="D25" s="30" t="s">
        <v>47</v>
      </c>
      <c r="E25" s="30" t="s">
        <v>27</v>
      </c>
      <c r="F25" s="33">
        <v>1</v>
      </c>
      <c r="G25" s="33">
        <f>1-F25</f>
        <v>0</v>
      </c>
      <c r="H25" s="30" t="s">
        <v>28</v>
      </c>
      <c r="I25" s="34">
        <v>41331</v>
      </c>
      <c r="J25" s="34">
        <v>41430</v>
      </c>
      <c r="K25" s="34">
        <v>41814</v>
      </c>
      <c r="L25" s="35" t="s">
        <v>31</v>
      </c>
      <c r="N25" s="28">
        <v>5.973424030089268E-2</v>
      </c>
      <c r="O25" s="4">
        <f>C25/$C$201</f>
        <v>3.0686435198781795E-2</v>
      </c>
      <c r="P25" s="4">
        <f>C25/$C$89</f>
        <v>5.5686133164056469E-2</v>
      </c>
      <c r="Q25" s="28">
        <v>0.10066339231639838</v>
      </c>
      <c r="R25" s="29">
        <f t="shared" si="0"/>
        <v>-4.4977259152341915E-2</v>
      </c>
      <c r="T25" s="3"/>
    </row>
    <row r="26" spans="1:24" s="36" customFormat="1" ht="25.5" customHeight="1" x14ac:dyDescent="0.25">
      <c r="A26" s="37"/>
      <c r="B26" s="44" t="s">
        <v>53</v>
      </c>
      <c r="C26" s="39">
        <v>6690.0919999999996</v>
      </c>
      <c r="D26" s="37"/>
      <c r="E26" s="37"/>
      <c r="F26" s="37"/>
      <c r="G26" s="37"/>
      <c r="H26" s="40"/>
      <c r="I26" s="41"/>
      <c r="J26" s="41"/>
      <c r="K26" s="41"/>
      <c r="L26" s="40"/>
      <c r="N26" s="28">
        <v>3.3044473357940633E-2</v>
      </c>
      <c r="O26" s="4">
        <f>C26/$C$201</f>
        <v>3.0686435198781795E-2</v>
      </c>
      <c r="P26" s="4">
        <f>C26/$C$89</f>
        <v>5.5686133164056469E-2</v>
      </c>
      <c r="Q26" s="28">
        <v>5.5686131919709739E-2</v>
      </c>
      <c r="R26" s="29">
        <f t="shared" si="0"/>
        <v>1.2443467298228761E-9</v>
      </c>
      <c r="T26" s="3"/>
    </row>
    <row r="27" spans="1:24" s="36" customFormat="1" ht="38.25" x14ac:dyDescent="0.25">
      <c r="A27" s="30" t="s">
        <v>54</v>
      </c>
      <c r="B27" s="31" t="s">
        <v>46</v>
      </c>
      <c r="C27" s="32">
        <f>SUBTOTAL(9,C28:C28)</f>
        <v>5403.5360000000001</v>
      </c>
      <c r="D27" s="30" t="s">
        <v>47</v>
      </c>
      <c r="E27" s="30" t="s">
        <v>27</v>
      </c>
      <c r="F27" s="33">
        <v>1</v>
      </c>
      <c r="G27" s="33">
        <f>1-F27</f>
        <v>0</v>
      </c>
      <c r="H27" s="30" t="s">
        <v>28</v>
      </c>
      <c r="I27" s="34">
        <v>41453</v>
      </c>
      <c r="J27" s="34">
        <v>41639</v>
      </c>
      <c r="K27" s="34">
        <f>J27+(14*30.5)</f>
        <v>42066</v>
      </c>
      <c r="L27" s="35" t="s">
        <v>29</v>
      </c>
      <c r="N27" s="28"/>
      <c r="O27" s="4"/>
      <c r="P27" s="4"/>
      <c r="Q27" s="28"/>
      <c r="R27" s="29"/>
      <c r="T27" s="3"/>
    </row>
    <row r="28" spans="1:24" s="36" customFormat="1" ht="25.5" customHeight="1" x14ac:dyDescent="0.25">
      <c r="A28" s="37"/>
      <c r="B28" s="54" t="s">
        <v>55</v>
      </c>
      <c r="C28" s="42">
        <v>5403.5360000000001</v>
      </c>
      <c r="D28" s="37"/>
      <c r="E28" s="37"/>
      <c r="F28" s="37"/>
      <c r="G28" s="37"/>
      <c r="H28" s="40"/>
      <c r="I28" s="41"/>
      <c r="J28" s="41"/>
      <c r="K28" s="41"/>
      <c r="L28" s="40"/>
      <c r="N28" s="28">
        <v>2.668976694295205E-2</v>
      </c>
      <c r="O28" s="4">
        <f>C28/$C$201</f>
        <v>2.4785198366223452E-2</v>
      </c>
      <c r="P28" s="4">
        <f>C28/$C$89</f>
        <v>4.4977262682302885E-2</v>
      </c>
      <c r="Q28" s="28">
        <v>4.4977260396688638E-2</v>
      </c>
      <c r="R28" s="29">
        <f t="shared" si="0"/>
        <v>2.285614246477774E-9</v>
      </c>
      <c r="T28" s="3"/>
    </row>
    <row r="29" spans="1:24" s="36" customFormat="1" ht="40.5" customHeight="1" x14ac:dyDescent="0.25">
      <c r="A29" s="30" t="s">
        <v>56</v>
      </c>
      <c r="B29" s="31" t="s">
        <v>46</v>
      </c>
      <c r="C29" s="32">
        <f>SUBTOTAL(9,C30:C30)</f>
        <v>2573.1120000000001</v>
      </c>
      <c r="D29" s="30" t="s">
        <v>47</v>
      </c>
      <c r="E29" s="30" t="s">
        <v>27</v>
      </c>
      <c r="F29" s="33">
        <v>1</v>
      </c>
      <c r="G29" s="33">
        <f>1-F29</f>
        <v>0</v>
      </c>
      <c r="H29" s="30" t="s">
        <v>28</v>
      </c>
      <c r="I29" s="34">
        <v>41355</v>
      </c>
      <c r="J29" s="34">
        <v>41416</v>
      </c>
      <c r="K29" s="34">
        <v>41815</v>
      </c>
      <c r="L29" s="35" t="s">
        <v>31</v>
      </c>
      <c r="N29" s="28">
        <v>0.14234542369574427</v>
      </c>
      <c r="O29" s="4">
        <f>C29/$C$201</f>
        <v>1.1802473665116687E-2</v>
      </c>
      <c r="P29" s="4">
        <f>C29/$C$89</f>
        <v>2.1417740963507181E-2</v>
      </c>
      <c r="Q29" s="28">
        <v>0.23987872211567274</v>
      </c>
      <c r="R29" s="29">
        <f t="shared" si="0"/>
        <v>-0.21846098115216556</v>
      </c>
      <c r="T29" s="3"/>
    </row>
    <row r="30" spans="1:24" s="36" customFormat="1" ht="25.5" customHeight="1" x14ac:dyDescent="0.25">
      <c r="A30" s="37"/>
      <c r="B30" s="44" t="s">
        <v>57</v>
      </c>
      <c r="C30" s="42">
        <v>2573.1120000000001</v>
      </c>
      <c r="D30" s="37"/>
      <c r="E30" s="37"/>
      <c r="F30" s="37"/>
      <c r="G30" s="37"/>
      <c r="H30" s="40"/>
      <c r="I30" s="41"/>
      <c r="J30" s="41"/>
      <c r="K30" s="41"/>
      <c r="L30" s="40"/>
      <c r="N30" s="28">
        <v>1.27094128299772E-2</v>
      </c>
      <c r="O30" s="4">
        <f>C30/$C$201</f>
        <v>1.1802473665116687E-2</v>
      </c>
      <c r="P30" s="4">
        <f>C30/$C$89</f>
        <v>2.1417740963507181E-2</v>
      </c>
      <c r="Q30" s="28">
        <v>2.1417743046042208E-2</v>
      </c>
      <c r="R30" s="29">
        <f>P30-Q30</f>
        <v>-2.0825350263709019E-9</v>
      </c>
    </row>
    <row r="31" spans="1:24" s="36" customFormat="1" ht="38.25" x14ac:dyDescent="0.25">
      <c r="A31" s="30" t="s">
        <v>58</v>
      </c>
      <c r="B31" s="31" t="s">
        <v>46</v>
      </c>
      <c r="C31" s="32">
        <f>SUBTOTAL(9,C32:C32)</f>
        <v>11579.004999999999</v>
      </c>
      <c r="D31" s="30" t="s">
        <v>47</v>
      </c>
      <c r="E31" s="30" t="s">
        <v>27</v>
      </c>
      <c r="F31" s="33">
        <v>1</v>
      </c>
      <c r="G31" s="33">
        <f>1-F31</f>
        <v>0</v>
      </c>
      <c r="H31" s="30" t="s">
        <v>28</v>
      </c>
      <c r="I31" s="34">
        <v>41305</v>
      </c>
      <c r="J31" s="34">
        <v>41416</v>
      </c>
      <c r="K31" s="34">
        <v>41876</v>
      </c>
      <c r="L31" s="35" t="s">
        <v>31</v>
      </c>
      <c r="N31" s="28"/>
      <c r="O31" s="4"/>
      <c r="P31" s="4"/>
      <c r="Q31" s="28"/>
      <c r="R31" s="29"/>
    </row>
    <row r="32" spans="1:24" s="36" customFormat="1" ht="25.5" customHeight="1" x14ac:dyDescent="0.25">
      <c r="A32" s="37"/>
      <c r="B32" s="44" t="s">
        <v>59</v>
      </c>
      <c r="C32" s="42">
        <v>11579.004999999999</v>
      </c>
      <c r="D32" s="37"/>
      <c r="E32" s="37"/>
      <c r="F32" s="37"/>
      <c r="G32" s="37"/>
      <c r="H32" s="40"/>
      <c r="I32" s="41"/>
      <c r="J32" s="41"/>
      <c r="K32" s="41"/>
      <c r="L32" s="40"/>
      <c r="N32" s="28">
        <v>5.7192357734897246E-2</v>
      </c>
      <c r="O32" s="4">
        <f>C32/$C$201</f>
        <v>5.3111136079873097E-2</v>
      </c>
      <c r="P32" s="4">
        <f>C32/$C$89</f>
        <v>9.6379842659454568E-2</v>
      </c>
      <c r="Q32" s="28">
        <v>9.6379843707189938E-2</v>
      </c>
      <c r="R32" s="29">
        <f t="shared" si="0"/>
        <v>-1.0477353706850323E-9</v>
      </c>
      <c r="T32" s="3"/>
    </row>
    <row r="33" spans="1:20" s="36" customFormat="1" ht="38.25" x14ac:dyDescent="0.25">
      <c r="A33" s="30" t="s">
        <v>60</v>
      </c>
      <c r="B33" s="31" t="s">
        <v>46</v>
      </c>
      <c r="C33" s="32">
        <f>SUBTOTAL(9,C34:C34)</f>
        <v>1029.22</v>
      </c>
      <c r="D33" s="30" t="s">
        <v>47</v>
      </c>
      <c r="E33" s="30" t="s">
        <v>27</v>
      </c>
      <c r="F33" s="33">
        <v>1</v>
      </c>
      <c r="G33" s="33">
        <f>1-F33</f>
        <v>0</v>
      </c>
      <c r="H33" s="30" t="s">
        <v>28</v>
      </c>
      <c r="I33" s="34">
        <v>42522</v>
      </c>
      <c r="J33" s="34">
        <v>42552</v>
      </c>
      <c r="K33" s="34">
        <v>42735</v>
      </c>
      <c r="L33" s="35" t="s">
        <v>23</v>
      </c>
      <c r="N33" s="28"/>
      <c r="O33" s="4"/>
      <c r="P33" s="4"/>
      <c r="Q33" s="28"/>
      <c r="R33" s="29"/>
      <c r="T33" s="3"/>
    </row>
    <row r="34" spans="1:20" s="36" customFormat="1" x14ac:dyDescent="0.25">
      <c r="A34" s="37"/>
      <c r="B34" s="44" t="s">
        <v>61</v>
      </c>
      <c r="C34" s="42">
        <v>1029.22</v>
      </c>
      <c r="D34" s="37"/>
      <c r="E34" s="37"/>
      <c r="F34" s="37"/>
      <c r="G34" s="37"/>
      <c r="H34" s="40"/>
      <c r="I34" s="41"/>
      <c r="J34" s="41"/>
      <c r="K34" s="41"/>
      <c r="L34" s="40"/>
      <c r="N34" s="28">
        <v>5.0837651319908667E-3</v>
      </c>
      <c r="O34" s="4">
        <f t="shared" ref="O34:O39" si="3">C34/$C$201</f>
        <v>4.7208757122159462E-3</v>
      </c>
      <c r="P34" s="4">
        <f t="shared" ref="P34:P39" si="4">C34/$C$89</f>
        <v>8.566889958330947E-3</v>
      </c>
      <c r="Q34" s="28">
        <v>8.5670972184168828E-3</v>
      </c>
      <c r="R34" s="29">
        <f t="shared" si="0"/>
        <v>-2.0726008593575929E-7</v>
      </c>
      <c r="T34" s="3"/>
    </row>
    <row r="35" spans="1:20" s="36" customFormat="1" ht="38.25" x14ac:dyDescent="0.25">
      <c r="A35" s="30" t="s">
        <v>62</v>
      </c>
      <c r="B35" s="31" t="s">
        <v>46</v>
      </c>
      <c r="C35" s="32">
        <f>SUBTOTAL(9,C36:C37)</f>
        <v>15768.028999999999</v>
      </c>
      <c r="D35" s="30" t="s">
        <v>63</v>
      </c>
      <c r="E35" s="30" t="s">
        <v>27</v>
      </c>
      <c r="F35" s="33">
        <v>1</v>
      </c>
      <c r="G35" s="33">
        <f>1-F35</f>
        <v>0</v>
      </c>
      <c r="H35" s="30" t="s">
        <v>28</v>
      </c>
      <c r="I35" s="34">
        <v>41082</v>
      </c>
      <c r="J35" s="34">
        <v>41232</v>
      </c>
      <c r="K35" s="34">
        <v>41619</v>
      </c>
      <c r="L35" s="35" t="s">
        <v>31</v>
      </c>
      <c r="N35" s="28">
        <v>7.7883281822100081E-2</v>
      </c>
      <c r="O35" s="4">
        <f t="shared" si="3"/>
        <v>7.2325552491806111E-2</v>
      </c>
      <c r="P35" s="4">
        <f t="shared" si="4"/>
        <v>0.13124790550394586</v>
      </c>
      <c r="Q35" s="28">
        <v>0.13124792938614666</v>
      </c>
      <c r="R35" s="29">
        <f t="shared" si="0"/>
        <v>-2.3882200800295905E-8</v>
      </c>
      <c r="T35" s="3"/>
    </row>
    <row r="36" spans="1:20" s="36" customFormat="1" x14ac:dyDescent="0.25">
      <c r="A36" s="37"/>
      <c r="B36" s="44" t="s">
        <v>64</v>
      </c>
      <c r="C36" s="39">
        <v>9592.56</v>
      </c>
      <c r="D36" s="37"/>
      <c r="E36" s="37"/>
      <c r="F36" s="37"/>
      <c r="G36" s="37"/>
      <c r="H36" s="40"/>
      <c r="I36" s="41"/>
      <c r="J36" s="41"/>
      <c r="K36" s="41"/>
      <c r="L36" s="40"/>
      <c r="N36" s="28">
        <v>4.7380691030154874E-2</v>
      </c>
      <c r="O36" s="4">
        <f t="shared" si="3"/>
        <v>4.3999614778156455E-2</v>
      </c>
      <c r="P36" s="4">
        <f t="shared" si="4"/>
        <v>7.9845325526794186E-2</v>
      </c>
      <c r="Q36" s="28">
        <v>7.9845346075645349E-2</v>
      </c>
      <c r="R36" s="29">
        <f t="shared" si="0"/>
        <v>-2.0548851162316417E-8</v>
      </c>
      <c r="T36" s="3"/>
    </row>
    <row r="37" spans="1:20" s="36" customFormat="1" x14ac:dyDescent="0.25">
      <c r="A37" s="37"/>
      <c r="B37" s="44" t="s">
        <v>65</v>
      </c>
      <c r="C37" s="39">
        <v>6175.4690000000001</v>
      </c>
      <c r="D37" s="37"/>
      <c r="E37" s="37"/>
      <c r="F37" s="37"/>
      <c r="G37" s="37"/>
      <c r="H37" s="40"/>
      <c r="I37" s="41"/>
      <c r="J37" s="41"/>
      <c r="K37" s="41"/>
      <c r="L37" s="40"/>
      <c r="N37" s="28">
        <v>3.05025907919452E-2</v>
      </c>
      <c r="O37" s="4">
        <f t="shared" si="3"/>
        <v>2.8325937713649652E-2</v>
      </c>
      <c r="P37" s="4">
        <f t="shared" si="4"/>
        <v>5.1402579977151683E-2</v>
      </c>
      <c r="Q37" s="28">
        <v>5.14025833105013E-2</v>
      </c>
      <c r="R37" s="29">
        <f t="shared" si="0"/>
        <v>-3.3333496171628063E-9</v>
      </c>
      <c r="T37" s="3"/>
    </row>
    <row r="38" spans="1:20" s="36" customFormat="1" ht="38.25" x14ac:dyDescent="0.25">
      <c r="A38" s="30" t="s">
        <v>66</v>
      </c>
      <c r="B38" s="31" t="s">
        <v>46</v>
      </c>
      <c r="C38" s="32">
        <f>SUBTOTAL(9,C39:C39)</f>
        <v>617.54700000000003</v>
      </c>
      <c r="D38" s="55" t="s">
        <v>47</v>
      </c>
      <c r="E38" s="30" t="s">
        <v>27</v>
      </c>
      <c r="F38" s="33">
        <v>1</v>
      </c>
      <c r="G38" s="33">
        <f>1-F38</f>
        <v>0</v>
      </c>
      <c r="H38" s="30" t="s">
        <v>28</v>
      </c>
      <c r="I38" s="34">
        <v>41269</v>
      </c>
      <c r="J38" s="34">
        <v>41344</v>
      </c>
      <c r="K38" s="34">
        <v>41613</v>
      </c>
      <c r="L38" s="35" t="s">
        <v>31</v>
      </c>
      <c r="N38" s="28">
        <v>1.5759671909171685E-2</v>
      </c>
      <c r="O38" s="4">
        <f t="shared" si="3"/>
        <v>2.8325942300497665E-3</v>
      </c>
      <c r="P38" s="4">
        <f t="shared" si="4"/>
        <v>5.1402588300823943E-3</v>
      </c>
      <c r="Q38" s="28">
        <v>2.6558001377092338E-2</v>
      </c>
      <c r="R38" s="29">
        <f t="shared" si="0"/>
        <v>-2.1417742547009944E-2</v>
      </c>
      <c r="T38" s="3"/>
    </row>
    <row r="39" spans="1:20" s="36" customFormat="1" x14ac:dyDescent="0.25">
      <c r="A39" s="37"/>
      <c r="B39" s="44" t="s">
        <v>67</v>
      </c>
      <c r="C39" s="39">
        <v>617.54700000000003</v>
      </c>
      <c r="D39" s="37"/>
      <c r="E39" s="37"/>
      <c r="F39" s="37"/>
      <c r="G39" s="37"/>
      <c r="H39" s="40"/>
      <c r="I39" s="41"/>
      <c r="J39" s="41"/>
      <c r="K39" s="41"/>
      <c r="L39" s="40"/>
      <c r="N39" s="28">
        <v>3.0502590791945199E-3</v>
      </c>
      <c r="O39" s="4">
        <f t="shared" si="3"/>
        <v>2.8325942300497665E-3</v>
      </c>
      <c r="P39" s="4">
        <f t="shared" si="4"/>
        <v>5.1402588300823943E-3</v>
      </c>
      <c r="Q39" s="28">
        <v>5.14025833105013E-3</v>
      </c>
      <c r="R39" s="29">
        <f t="shared" si="0"/>
        <v>4.9903226429642844E-10</v>
      </c>
      <c r="T39" s="3"/>
    </row>
    <row r="40" spans="1:20" s="36" customFormat="1" ht="38.25" x14ac:dyDescent="0.25">
      <c r="A40" s="30" t="s">
        <v>68</v>
      </c>
      <c r="B40" s="31" t="s">
        <v>46</v>
      </c>
      <c r="C40" s="32">
        <f>SUBTOTAL(9,C41:C41)</f>
        <v>2573.1120000000001</v>
      </c>
      <c r="D40" s="30" t="s">
        <v>63</v>
      </c>
      <c r="E40" s="30" t="s">
        <v>27</v>
      </c>
      <c r="F40" s="33">
        <v>1</v>
      </c>
      <c r="G40" s="33">
        <f>1-F40</f>
        <v>0</v>
      </c>
      <c r="H40" s="30" t="s">
        <v>28</v>
      </c>
      <c r="I40" s="34">
        <v>41060</v>
      </c>
      <c r="J40" s="34">
        <v>41148</v>
      </c>
      <c r="K40" s="34">
        <v>41635</v>
      </c>
      <c r="L40" s="35" t="s">
        <v>31</v>
      </c>
      <c r="N40" s="28"/>
      <c r="O40" s="4"/>
      <c r="P40" s="4"/>
      <c r="Q40" s="28"/>
      <c r="R40" s="29"/>
      <c r="T40" s="3"/>
    </row>
    <row r="41" spans="1:20" s="36" customFormat="1" x14ac:dyDescent="0.25">
      <c r="A41" s="37"/>
      <c r="B41" s="44" t="s">
        <v>69</v>
      </c>
      <c r="C41" s="39">
        <v>2573.1120000000001</v>
      </c>
      <c r="D41" s="37"/>
      <c r="E41" s="37"/>
      <c r="F41" s="37"/>
      <c r="G41" s="37"/>
      <c r="H41" s="40"/>
      <c r="I41" s="41"/>
      <c r="J41" s="41"/>
      <c r="K41" s="41"/>
      <c r="L41" s="40"/>
      <c r="N41" s="28">
        <v>1.2709412829977167E-2</v>
      </c>
      <c r="O41" s="4">
        <f>C41/$C$201</f>
        <v>1.1802473665116687E-2</v>
      </c>
      <c r="P41" s="4">
        <f>C41/$C$89</f>
        <v>2.1417740963507181E-2</v>
      </c>
      <c r="Q41" s="28">
        <v>2.1417743046042208E-2</v>
      </c>
      <c r="R41" s="29">
        <f t="shared" si="0"/>
        <v>-2.0825350263709019E-9</v>
      </c>
      <c r="T41" s="3"/>
    </row>
    <row r="42" spans="1:20" s="36" customFormat="1" ht="38.25" x14ac:dyDescent="0.25">
      <c r="A42" s="30" t="s">
        <v>70</v>
      </c>
      <c r="B42" s="31" t="s">
        <v>46</v>
      </c>
      <c r="C42" s="32">
        <f>SUBTOTAL(9,C43:C43)</f>
        <v>2307.3159999999998</v>
      </c>
      <c r="D42" s="30" t="s">
        <v>47</v>
      </c>
      <c r="E42" s="30" t="s">
        <v>27</v>
      </c>
      <c r="F42" s="33">
        <v>1</v>
      </c>
      <c r="G42" s="33">
        <f>1-F42</f>
        <v>0</v>
      </c>
      <c r="H42" s="30" t="s">
        <v>28</v>
      </c>
      <c r="I42" s="34">
        <v>41262</v>
      </c>
      <c r="J42" s="34">
        <v>41374</v>
      </c>
      <c r="K42" s="34">
        <v>41861</v>
      </c>
      <c r="L42" s="35" t="s">
        <v>31</v>
      </c>
      <c r="N42" s="28">
        <v>3.3002562798192497E-2</v>
      </c>
      <c r="O42" s="4">
        <f>C42/$C$201</f>
        <v>1.0583307810582039E-2</v>
      </c>
      <c r="P42" s="4">
        <f>C42/$C$89</f>
        <v>1.9205342172806908E-2</v>
      </c>
      <c r="Q42" s="28">
        <v>5.561550477024111E-2</v>
      </c>
      <c r="R42" s="29">
        <f t="shared" si="0"/>
        <v>-3.6410162597434202E-2</v>
      </c>
      <c r="T42" s="3"/>
    </row>
    <row r="43" spans="1:20" s="36" customFormat="1" x14ac:dyDescent="0.25">
      <c r="A43" s="53"/>
      <c r="B43" s="54" t="s">
        <v>71</v>
      </c>
      <c r="C43" s="39">
        <v>2307.3159999999998</v>
      </c>
      <c r="D43" s="53"/>
      <c r="E43" s="53"/>
      <c r="F43" s="53"/>
      <c r="G43" s="53"/>
      <c r="H43" s="56"/>
      <c r="I43" s="43"/>
      <c r="J43" s="43"/>
      <c r="K43" s="43"/>
      <c r="L43" s="56"/>
      <c r="N43" s="28">
        <v>1.1396560987231316E-2</v>
      </c>
      <c r="O43" s="4">
        <f>C43/$C$201</f>
        <v>1.0583307810582039E-2</v>
      </c>
      <c r="P43" s="4">
        <f>C43/$C$89</f>
        <v>1.9205342172806908E-2</v>
      </c>
      <c r="Q43" s="28">
        <v>1.9205341591969356E-2</v>
      </c>
      <c r="R43" s="29">
        <f t="shared" si="0"/>
        <v>5.8083755166693507E-10</v>
      </c>
      <c r="T43" s="3"/>
    </row>
    <row r="44" spans="1:20" s="36" customFormat="1" ht="38.25" x14ac:dyDescent="0.25">
      <c r="A44" s="30" t="s">
        <v>72</v>
      </c>
      <c r="B44" s="31" t="s">
        <v>46</v>
      </c>
      <c r="C44" s="32">
        <f>SUBTOTAL(9,C45:C45)</f>
        <v>2315.8009999999999</v>
      </c>
      <c r="D44" s="30" t="s">
        <v>47</v>
      </c>
      <c r="E44" s="30" t="s">
        <v>27</v>
      </c>
      <c r="F44" s="33">
        <v>1</v>
      </c>
      <c r="G44" s="33">
        <f>1-F44</f>
        <v>0</v>
      </c>
      <c r="H44" s="30" t="s">
        <v>28</v>
      </c>
      <c r="I44" s="34">
        <v>41242</v>
      </c>
      <c r="J44" s="34">
        <v>41367</v>
      </c>
      <c r="K44" s="34">
        <v>41762</v>
      </c>
      <c r="L44" s="35" t="s">
        <v>31</v>
      </c>
      <c r="N44" s="28"/>
      <c r="O44" s="4"/>
      <c r="P44" s="4"/>
      <c r="Q44" s="28"/>
      <c r="R44" s="29"/>
      <c r="T44" s="3"/>
    </row>
    <row r="45" spans="1:20" s="36" customFormat="1" x14ac:dyDescent="0.25">
      <c r="A45" s="53"/>
      <c r="B45" s="54" t="s">
        <v>73</v>
      </c>
      <c r="C45" s="39">
        <v>2315.8009999999999</v>
      </c>
      <c r="D45" s="53"/>
      <c r="E45" s="53"/>
      <c r="F45" s="53"/>
      <c r="G45" s="53"/>
      <c r="H45" s="56"/>
      <c r="I45" s="43"/>
      <c r="J45" s="43"/>
      <c r="K45" s="43"/>
      <c r="L45" s="56"/>
      <c r="N45" s="28">
        <v>1.143847154697945E-2</v>
      </c>
      <c r="O45" s="4">
        <f>C45/$C$201</f>
        <v>1.062222721597462E-2</v>
      </c>
      <c r="P45" s="4">
        <f>C45/$C$89</f>
        <v>1.9275968531890914E-2</v>
      </c>
      <c r="Q45" s="28">
        <v>1.9275968741437988E-2</v>
      </c>
      <c r="R45" s="29">
        <f t="shared" si="0"/>
        <v>-2.0954707413700646E-10</v>
      </c>
      <c r="T45" s="3"/>
    </row>
    <row r="46" spans="1:20" s="36" customFormat="1" ht="38.25" x14ac:dyDescent="0.25">
      <c r="A46" s="30" t="s">
        <v>74</v>
      </c>
      <c r="B46" s="31" t="s">
        <v>46</v>
      </c>
      <c r="C46" s="32">
        <f>SUBTOTAL(9,C47:C47)</f>
        <v>1389.481</v>
      </c>
      <c r="D46" s="30" t="s">
        <v>47</v>
      </c>
      <c r="E46" s="30" t="s">
        <v>27</v>
      </c>
      <c r="F46" s="33">
        <v>1</v>
      </c>
      <c r="G46" s="33">
        <f>1-F46</f>
        <v>0</v>
      </c>
      <c r="H46" s="30" t="s">
        <v>28</v>
      </c>
      <c r="I46" s="34">
        <v>41330</v>
      </c>
      <c r="J46" s="34">
        <v>41639</v>
      </c>
      <c r="K46" s="34">
        <v>42004</v>
      </c>
      <c r="L46" s="35" t="s">
        <v>29</v>
      </c>
      <c r="N46" s="28">
        <v>3.3002562798192497E-2</v>
      </c>
      <c r="O46" s="4">
        <f>C46/$C$201</f>
        <v>6.3733381643239781E-3</v>
      </c>
      <c r="P46" s="4">
        <f>C46/$C$89</f>
        <v>1.156558444860345E-2</v>
      </c>
      <c r="Q46" s="28">
        <v>5.561550477024111E-2</v>
      </c>
      <c r="R46" s="29">
        <f>P46-Q46</f>
        <v>-4.404992032163766E-2</v>
      </c>
      <c r="T46" s="3"/>
    </row>
    <row r="47" spans="1:20" s="36" customFormat="1" x14ac:dyDescent="0.25">
      <c r="A47" s="37"/>
      <c r="B47" s="44" t="s">
        <v>75</v>
      </c>
      <c r="C47" s="39">
        <v>1389.481</v>
      </c>
      <c r="D47" s="37"/>
      <c r="E47" s="37"/>
      <c r="F47" s="37"/>
      <c r="G47" s="37"/>
      <c r="H47" s="40"/>
      <c r="I47" s="41"/>
      <c r="J47" s="41"/>
      <c r="K47" s="41"/>
      <c r="L47" s="40"/>
      <c r="N47" s="28">
        <v>6.8630829281876695E-3</v>
      </c>
      <c r="O47" s="4">
        <f>C47/$C$201</f>
        <v>6.3733381643239781E-3</v>
      </c>
      <c r="P47" s="4">
        <f>C47/$C$89</f>
        <v>1.156558444860345E-2</v>
      </c>
      <c r="Q47" s="28">
        <v>1.1565581244862792E-2</v>
      </c>
      <c r="R47" s="29">
        <f t="shared" si="0"/>
        <v>3.2037406581808536E-9</v>
      </c>
      <c r="T47" s="3"/>
    </row>
    <row r="48" spans="1:20" s="36" customFormat="1" ht="38.25" x14ac:dyDescent="0.25">
      <c r="A48" s="30" t="s">
        <v>76</v>
      </c>
      <c r="B48" s="31" t="s">
        <v>46</v>
      </c>
      <c r="C48" s="32">
        <f>SUBTOTAL(9,C49:C49)</f>
        <v>669.00900000000001</v>
      </c>
      <c r="D48" s="30" t="s">
        <v>47</v>
      </c>
      <c r="E48" s="30" t="s">
        <v>27</v>
      </c>
      <c r="F48" s="33">
        <v>1</v>
      </c>
      <c r="G48" s="33">
        <f>1-F48</f>
        <v>0</v>
      </c>
      <c r="H48" s="30" t="s">
        <v>28</v>
      </c>
      <c r="I48" s="34">
        <v>41445</v>
      </c>
      <c r="J48" s="34">
        <v>41639</v>
      </c>
      <c r="K48" s="34">
        <v>42004</v>
      </c>
      <c r="L48" s="35" t="s">
        <v>29</v>
      </c>
      <c r="N48" s="28"/>
      <c r="O48" s="4"/>
      <c r="P48" s="4"/>
      <c r="Q48" s="28"/>
      <c r="R48" s="29"/>
      <c r="T48" s="3"/>
    </row>
    <row r="49" spans="1:20" s="36" customFormat="1" ht="25.5" x14ac:dyDescent="0.25">
      <c r="A49" s="37"/>
      <c r="B49" s="44" t="s">
        <v>77</v>
      </c>
      <c r="C49" s="39">
        <v>669.00900000000001</v>
      </c>
      <c r="D49" s="37"/>
      <c r="E49" s="37"/>
      <c r="F49" s="37"/>
      <c r="G49" s="37"/>
      <c r="H49" s="40"/>
      <c r="I49" s="41"/>
      <c r="J49" s="41"/>
      <c r="K49" s="41"/>
      <c r="L49" s="40"/>
      <c r="N49" s="28">
        <v>3.3044473357940634E-3</v>
      </c>
      <c r="O49" s="4">
        <f>C49/$C$201</f>
        <v>3.0686426025085772E-3</v>
      </c>
      <c r="P49" s="4">
        <f>C49/$C$89</f>
        <v>5.5686116516711964E-3</v>
      </c>
      <c r="Q49" s="28">
        <v>5.5686131919709739E-3</v>
      </c>
      <c r="R49" s="29">
        <f t="shared" si="0"/>
        <v>-1.5402997774818794E-9</v>
      </c>
      <c r="T49" s="3"/>
    </row>
    <row r="50" spans="1:20" s="36" customFormat="1" ht="38.25" x14ac:dyDescent="0.25">
      <c r="A50" s="30" t="s">
        <v>78</v>
      </c>
      <c r="B50" s="31" t="s">
        <v>46</v>
      </c>
      <c r="C50" s="32">
        <f>SUBTOTAL(9,C51:C52)</f>
        <v>7873.723</v>
      </c>
      <c r="D50" s="30" t="s">
        <v>47</v>
      </c>
      <c r="E50" s="30" t="s">
        <v>27</v>
      </c>
      <c r="F50" s="33">
        <v>1</v>
      </c>
      <c r="G50" s="33">
        <f>1-F50</f>
        <v>0</v>
      </c>
      <c r="H50" s="30" t="s">
        <v>28</v>
      </c>
      <c r="I50" s="34">
        <v>41333</v>
      </c>
      <c r="J50" s="34">
        <v>41492</v>
      </c>
      <c r="K50" s="34">
        <v>41932</v>
      </c>
      <c r="L50" s="35" t="s">
        <v>31</v>
      </c>
      <c r="N50" s="28">
        <v>8.3882124677849296E-3</v>
      </c>
      <c r="O50" s="4">
        <f>C50/$C$201</f>
        <v>3.6115570699574502E-2</v>
      </c>
      <c r="P50" s="4">
        <f>C50/$C$89</f>
        <v>6.5538289678960207E-2</v>
      </c>
      <c r="Q50" s="28">
        <v>1.4135710410387857E-2</v>
      </c>
      <c r="R50" s="29">
        <f t="shared" si="0"/>
        <v>5.1402579268572349E-2</v>
      </c>
      <c r="T50" s="3"/>
    </row>
    <row r="51" spans="1:20" s="36" customFormat="1" x14ac:dyDescent="0.25">
      <c r="A51" s="37"/>
      <c r="B51" s="38" t="s">
        <v>79</v>
      </c>
      <c r="C51" s="42">
        <v>1698.2539999999999</v>
      </c>
      <c r="D51" s="37"/>
      <c r="E51" s="37"/>
      <c r="F51" s="37"/>
      <c r="G51" s="37"/>
      <c r="H51" s="40"/>
      <c r="I51" s="43"/>
      <c r="J51" s="41"/>
      <c r="K51" s="41"/>
      <c r="L51" s="40"/>
      <c r="N51" s="28">
        <v>8.3882124677849296E-3</v>
      </c>
      <c r="O51" s="4">
        <f>C51/$C$201</f>
        <v>7.7896329859248542E-3</v>
      </c>
      <c r="P51" s="4">
        <f>C51/$C$89</f>
        <v>1.4135709701808519E-2</v>
      </c>
      <c r="Q51" s="28">
        <v>1.4135710410387857E-2</v>
      </c>
      <c r="R51" s="29">
        <f t="shared" si="0"/>
        <v>-7.0857933756607316E-10</v>
      </c>
      <c r="T51" s="3"/>
    </row>
    <row r="52" spans="1:20" s="36" customFormat="1" x14ac:dyDescent="0.25">
      <c r="A52" s="37"/>
      <c r="B52" s="44" t="s">
        <v>80</v>
      </c>
      <c r="C52" s="42">
        <v>6175.4690000000001</v>
      </c>
      <c r="D52" s="37"/>
      <c r="E52" s="37"/>
      <c r="F52" s="37"/>
      <c r="G52" s="37"/>
      <c r="H52" s="40"/>
      <c r="I52" s="41"/>
      <c r="J52" s="41"/>
      <c r="K52" s="41"/>
      <c r="L52" s="40"/>
      <c r="N52" s="28"/>
      <c r="O52" s="4"/>
      <c r="P52" s="4"/>
      <c r="Q52" s="28"/>
      <c r="R52" s="29"/>
      <c r="T52" s="3"/>
    </row>
    <row r="53" spans="1:20" s="36" customFormat="1" ht="38.25" x14ac:dyDescent="0.25">
      <c r="A53" s="30" t="s">
        <v>81</v>
      </c>
      <c r="B53" s="31" t="s">
        <v>46</v>
      </c>
      <c r="C53" s="32">
        <f>SUBTOTAL(9,C54:C54)</f>
        <v>6707.43</v>
      </c>
      <c r="D53" s="30">
        <v>8666</v>
      </c>
      <c r="E53" s="30" t="s">
        <v>27</v>
      </c>
      <c r="F53" s="33">
        <v>0</v>
      </c>
      <c r="G53" s="33">
        <f>1-F53</f>
        <v>1</v>
      </c>
      <c r="H53" s="30" t="s">
        <v>28</v>
      </c>
      <c r="I53" s="34">
        <v>41064</v>
      </c>
      <c r="J53" s="34">
        <v>41148</v>
      </c>
      <c r="K53" s="34">
        <v>41847</v>
      </c>
      <c r="L53" s="35" t="s">
        <v>31</v>
      </c>
      <c r="N53" s="28">
        <v>2.9046092081629817E-2</v>
      </c>
      <c r="O53" s="4">
        <f t="shared" ref="O53:O72" si="5">C53/$C$201</f>
        <v>3.0765961969635842E-2</v>
      </c>
      <c r="P53" s="4">
        <f t="shared" ref="P53:P72" si="6">C53/$C$89</f>
        <v>5.5830448993614334E-2</v>
      </c>
      <c r="Q53" s="28">
        <v>4.8948109957424865E-2</v>
      </c>
      <c r="R53" s="29">
        <f t="shared" si="0"/>
        <v>6.8823390361894693E-3</v>
      </c>
      <c r="T53" s="3"/>
    </row>
    <row r="54" spans="1:20" s="36" customFormat="1" x14ac:dyDescent="0.25">
      <c r="A54" s="37"/>
      <c r="B54" s="38" t="s">
        <v>82</v>
      </c>
      <c r="C54" s="39">
        <v>6707.43</v>
      </c>
      <c r="D54" s="53"/>
      <c r="E54" s="37"/>
      <c r="F54" s="37"/>
      <c r="G54" s="37"/>
      <c r="H54" s="40"/>
      <c r="I54" s="41"/>
      <c r="J54" s="41"/>
      <c r="K54" s="41"/>
      <c r="L54" s="40"/>
      <c r="N54" s="28">
        <v>2.9046092081629817E-2</v>
      </c>
      <c r="O54" s="4">
        <f t="shared" si="5"/>
        <v>3.0765961969635842E-2</v>
      </c>
      <c r="P54" s="4">
        <f t="shared" si="6"/>
        <v>5.5830448993614334E-2</v>
      </c>
      <c r="Q54" s="28">
        <v>4.8948109957424865E-2</v>
      </c>
      <c r="R54" s="29">
        <f t="shared" si="0"/>
        <v>6.8823390361894693E-3</v>
      </c>
      <c r="T54" s="3"/>
    </row>
    <row r="55" spans="1:20" s="36" customFormat="1" ht="38.25" x14ac:dyDescent="0.25">
      <c r="A55" s="30" t="s">
        <v>83</v>
      </c>
      <c r="B55" s="31" t="s">
        <v>46</v>
      </c>
      <c r="C55" s="32">
        <f>SUBTOTAL(9,C56:C57)</f>
        <v>4904.87</v>
      </c>
      <c r="D55" s="30" t="s">
        <v>47</v>
      </c>
      <c r="E55" s="30" t="s">
        <v>27</v>
      </c>
      <c r="F55" s="33">
        <v>1</v>
      </c>
      <c r="G55" s="33">
        <f>1-F55</f>
        <v>0</v>
      </c>
      <c r="H55" s="30" t="s">
        <v>28</v>
      </c>
      <c r="I55" s="34">
        <v>41789</v>
      </c>
      <c r="J55" s="34">
        <v>42004</v>
      </c>
      <c r="K55" s="34">
        <v>42369</v>
      </c>
      <c r="L55" s="35" t="s">
        <v>23</v>
      </c>
      <c r="N55" s="28">
        <v>2.4226682736502473E-2</v>
      </c>
      <c r="O55" s="4">
        <f t="shared" si="5"/>
        <v>2.249789321483903E-2</v>
      </c>
      <c r="P55" s="4">
        <f t="shared" si="6"/>
        <v>4.0826530333571746E-2</v>
      </c>
      <c r="Q55" s="28">
        <v>4.0826501794365658E-2</v>
      </c>
      <c r="R55" s="29">
        <f t="shared" si="0"/>
        <v>2.8539206088640245E-8</v>
      </c>
      <c r="T55" s="3"/>
    </row>
    <row r="56" spans="1:20" s="36" customFormat="1" x14ac:dyDescent="0.25">
      <c r="A56" s="37"/>
      <c r="B56" s="38" t="s">
        <v>84</v>
      </c>
      <c r="C56" s="39">
        <v>2480.48</v>
      </c>
      <c r="D56" s="37"/>
      <c r="E56" s="37"/>
      <c r="F56" s="37"/>
      <c r="G56" s="37"/>
      <c r="H56" s="40"/>
      <c r="I56" s="41"/>
      <c r="J56" s="41"/>
      <c r="K56" s="41"/>
      <c r="L56" s="40"/>
      <c r="N56" s="28">
        <v>1.2251873968097989E-2</v>
      </c>
      <c r="O56" s="4">
        <f t="shared" si="5"/>
        <v>1.1377584759951622E-2</v>
      </c>
      <c r="P56" s="4">
        <f t="shared" si="6"/>
        <v>2.0646702555178434E-2</v>
      </c>
      <c r="Q56" s="28">
        <v>2.0646704296384689E-2</v>
      </c>
      <c r="R56" s="29">
        <f t="shared" si="0"/>
        <v>-1.7412062555677288E-9</v>
      </c>
      <c r="T56" s="3"/>
    </row>
    <row r="57" spans="1:20" s="36" customFormat="1" x14ac:dyDescent="0.25">
      <c r="A57" s="37"/>
      <c r="B57" s="38" t="s">
        <v>85</v>
      </c>
      <c r="C57" s="42">
        <v>2424.39</v>
      </c>
      <c r="D57" s="37"/>
      <c r="E57" s="37"/>
      <c r="F57" s="37"/>
      <c r="G57" s="37"/>
      <c r="H57" s="40"/>
      <c r="I57" s="41"/>
      <c r="J57" s="41"/>
      <c r="K57" s="41"/>
      <c r="L57" s="40"/>
      <c r="N57" s="28">
        <v>1.1974808768404486E-2</v>
      </c>
      <c r="O57" s="4">
        <f t="shared" si="5"/>
        <v>1.1120308454887406E-2</v>
      </c>
      <c r="P57" s="4">
        <f t="shared" si="6"/>
        <v>2.0179827778393312E-2</v>
      </c>
      <c r="Q57" s="28">
        <v>2.0179797497980968E-2</v>
      </c>
      <c r="R57" s="29">
        <f t="shared" si="0"/>
        <v>3.0280412344207974E-8</v>
      </c>
      <c r="T57" s="3"/>
    </row>
    <row r="58" spans="1:20" s="36" customFormat="1" ht="38.25" x14ac:dyDescent="0.25">
      <c r="A58" s="30" t="s">
        <v>86</v>
      </c>
      <c r="B58" s="31" t="s">
        <v>46</v>
      </c>
      <c r="C58" s="32">
        <f>SUBTOTAL(9,C59:C59)</f>
        <v>1904.1030000000001</v>
      </c>
      <c r="D58" s="30" t="s">
        <v>47</v>
      </c>
      <c r="E58" s="30" t="s">
        <v>27</v>
      </c>
      <c r="F58" s="33">
        <v>0.7</v>
      </c>
      <c r="G58" s="33">
        <f>1-F58</f>
        <v>0.30000000000000004</v>
      </c>
      <c r="H58" s="30" t="s">
        <v>28</v>
      </c>
      <c r="I58" s="34">
        <v>41789</v>
      </c>
      <c r="J58" s="34">
        <v>42004</v>
      </c>
      <c r="K58" s="34">
        <v>42369</v>
      </c>
      <c r="L58" s="35" t="s">
        <v>23</v>
      </c>
      <c r="N58" s="28">
        <v>9.4049654941831037E-3</v>
      </c>
      <c r="O58" s="4">
        <f t="shared" si="5"/>
        <v>8.7338310626081106E-3</v>
      </c>
      <c r="P58" s="4">
        <f t="shared" si="6"/>
        <v>1.5849129311835984E-2</v>
      </c>
      <c r="Q58" s="28">
        <v>1.5849129854071234E-2</v>
      </c>
      <c r="R58" s="29">
        <f t="shared" si="0"/>
        <v>-5.4223524975638426E-10</v>
      </c>
      <c r="T58" s="3"/>
    </row>
    <row r="59" spans="1:20" s="36" customFormat="1" x14ac:dyDescent="0.25">
      <c r="A59" s="37"/>
      <c r="B59" s="38" t="s">
        <v>87</v>
      </c>
      <c r="C59" s="42">
        <v>1904.1030000000001</v>
      </c>
      <c r="D59" s="37"/>
      <c r="E59" s="37"/>
      <c r="F59" s="37"/>
      <c r="G59" s="37"/>
      <c r="H59" s="40"/>
      <c r="I59" s="41"/>
      <c r="J59" s="41"/>
      <c r="K59" s="41"/>
      <c r="L59" s="40"/>
      <c r="N59" s="28">
        <v>9.4049654941831037E-3</v>
      </c>
      <c r="O59" s="4">
        <f t="shared" si="5"/>
        <v>8.7338310626081106E-3</v>
      </c>
      <c r="P59" s="4">
        <f t="shared" si="6"/>
        <v>1.5849129311835984E-2</v>
      </c>
      <c r="Q59" s="28">
        <v>1.5849129854071234E-2</v>
      </c>
      <c r="R59" s="29">
        <f t="shared" si="0"/>
        <v>-5.4223524975638426E-10</v>
      </c>
      <c r="T59" s="3"/>
    </row>
    <row r="60" spans="1:20" s="36" customFormat="1" ht="38.25" x14ac:dyDescent="0.25">
      <c r="A60" s="30" t="s">
        <v>88</v>
      </c>
      <c r="B60" s="31" t="s">
        <v>46</v>
      </c>
      <c r="C60" s="32">
        <f>SUBTOTAL(9,C61:C62)</f>
        <v>1621.06</v>
      </c>
      <c r="D60" s="30" t="s">
        <v>47</v>
      </c>
      <c r="E60" s="30" t="s">
        <v>27</v>
      </c>
      <c r="F60" s="33">
        <v>0.7203965</v>
      </c>
      <c r="G60" s="33">
        <f>1-F60</f>
        <v>0.2796035</v>
      </c>
      <c r="H60" s="30" t="s">
        <v>28</v>
      </c>
      <c r="I60" s="34">
        <v>41789</v>
      </c>
      <c r="J60" s="34">
        <v>42004</v>
      </c>
      <c r="K60" s="34">
        <v>42369</v>
      </c>
      <c r="L60" s="35" t="s">
        <v>23</v>
      </c>
      <c r="N60" s="28">
        <v>8.0069300828856139E-3</v>
      </c>
      <c r="O60" s="4">
        <f t="shared" si="5"/>
        <v>7.435555840388625E-3</v>
      </c>
      <c r="P60" s="4">
        <f t="shared" si="6"/>
        <v>1.349317214575306E-2</v>
      </c>
      <c r="Q60" s="28">
        <v>1.3493178119006591E-2</v>
      </c>
      <c r="R60" s="29">
        <f t="shared" si="0"/>
        <v>-5.9732535306888934E-9</v>
      </c>
      <c r="T60" s="3"/>
    </row>
    <row r="61" spans="1:20" s="36" customFormat="1" x14ac:dyDescent="0.25">
      <c r="A61" s="37"/>
      <c r="B61" s="38" t="s">
        <v>89</v>
      </c>
      <c r="C61" s="39">
        <v>900.58900000000006</v>
      </c>
      <c r="D61" s="37"/>
      <c r="E61" s="37"/>
      <c r="F61" s="37"/>
      <c r="G61" s="37"/>
      <c r="H61" s="40"/>
      <c r="I61" s="41"/>
      <c r="J61" s="43"/>
      <c r="K61" s="43"/>
      <c r="L61" s="40"/>
      <c r="N61" s="28">
        <v>4.4482944904920083E-3</v>
      </c>
      <c r="O61" s="4">
        <f t="shared" si="5"/>
        <v>4.1308648654212379E-3</v>
      </c>
      <c r="P61" s="4">
        <f t="shared" si="6"/>
        <v>7.4962076724930625E-3</v>
      </c>
      <c r="Q61" s="28">
        <v>7.4962100661147731E-3</v>
      </c>
      <c r="R61" s="29">
        <f t="shared" si="0"/>
        <v>-2.3936217105613444E-9</v>
      </c>
      <c r="T61" s="3"/>
    </row>
    <row r="62" spans="1:20" s="36" customFormat="1" x14ac:dyDescent="0.25">
      <c r="A62" s="37"/>
      <c r="B62" s="38" t="s">
        <v>90</v>
      </c>
      <c r="C62" s="42">
        <v>720.471</v>
      </c>
      <c r="D62" s="37"/>
      <c r="E62" s="37"/>
      <c r="F62" s="37"/>
      <c r="G62" s="37"/>
      <c r="H62" s="40"/>
      <c r="I62" s="41"/>
      <c r="J62" s="43"/>
      <c r="K62" s="43"/>
      <c r="L62" s="40"/>
      <c r="N62" s="28">
        <v>3.5586355923936065E-3</v>
      </c>
      <c r="O62" s="4">
        <f t="shared" si="5"/>
        <v>3.3046909749673875E-3</v>
      </c>
      <c r="P62" s="4">
        <f t="shared" si="6"/>
        <v>5.9969644732599985E-3</v>
      </c>
      <c r="Q62" s="28">
        <v>5.9969680528918186E-3</v>
      </c>
      <c r="R62" s="29">
        <f t="shared" si="0"/>
        <v>-3.579631820127549E-9</v>
      </c>
      <c r="T62" s="3"/>
    </row>
    <row r="63" spans="1:20" s="36" customFormat="1" ht="38.25" x14ac:dyDescent="0.25">
      <c r="A63" s="30" t="s">
        <v>91</v>
      </c>
      <c r="B63" s="31" t="s">
        <v>46</v>
      </c>
      <c r="C63" s="32">
        <f>SUBTOTAL(9,C64:C64)</f>
        <v>1344.08</v>
      </c>
      <c r="D63" s="30">
        <v>8666</v>
      </c>
      <c r="E63" s="30" t="s">
        <v>27</v>
      </c>
      <c r="F63" s="33">
        <v>0</v>
      </c>
      <c r="G63" s="33">
        <f>1-F63</f>
        <v>1</v>
      </c>
      <c r="H63" s="30" t="s">
        <v>28</v>
      </c>
      <c r="I63" s="34">
        <v>40673</v>
      </c>
      <c r="J63" s="34">
        <v>40679</v>
      </c>
      <c r="K63" s="34">
        <v>41053</v>
      </c>
      <c r="L63" s="35" t="s">
        <v>31</v>
      </c>
      <c r="N63" s="28">
        <v>6.8630829281876695E-3</v>
      </c>
      <c r="O63" s="4">
        <f t="shared" si="5"/>
        <v>6.1650906776735855E-3</v>
      </c>
      <c r="P63" s="4">
        <f t="shared" si="6"/>
        <v>1.1187681404552436E-2</v>
      </c>
      <c r="Q63" s="28">
        <v>1.1565581244862792E-2</v>
      </c>
      <c r="R63" s="29">
        <f t="shared" si="0"/>
        <v>-3.7789984031035527E-4</v>
      </c>
      <c r="T63" s="3"/>
    </row>
    <row r="64" spans="1:20" s="36" customFormat="1" x14ac:dyDescent="0.25">
      <c r="A64" s="37"/>
      <c r="B64" s="38" t="s">
        <v>92</v>
      </c>
      <c r="C64" s="39">
        <v>1344.08</v>
      </c>
      <c r="D64" s="37"/>
      <c r="E64" s="37"/>
      <c r="F64" s="37"/>
      <c r="G64" s="37"/>
      <c r="H64" s="40"/>
      <c r="I64" s="43"/>
      <c r="J64" s="41"/>
      <c r="K64" s="43"/>
      <c r="L64" s="40"/>
      <c r="N64" s="28">
        <v>6.8630829281876695E-3</v>
      </c>
      <c r="O64" s="4">
        <f t="shared" si="5"/>
        <v>6.1650906776735855E-3</v>
      </c>
      <c r="P64" s="4">
        <f t="shared" si="6"/>
        <v>1.1187681404552436E-2</v>
      </c>
      <c r="Q64" s="28">
        <v>1.1565581244862792E-2</v>
      </c>
      <c r="R64" s="29">
        <f t="shared" si="0"/>
        <v>-3.7789984031035527E-4</v>
      </c>
      <c r="T64" s="3"/>
    </row>
    <row r="65" spans="1:20" s="36" customFormat="1" ht="38.25" x14ac:dyDescent="0.25">
      <c r="A65" s="30" t="s">
        <v>93</v>
      </c>
      <c r="B65" s="31" t="s">
        <v>46</v>
      </c>
      <c r="C65" s="32">
        <f>SUBTOTAL(9,C66:C66)</f>
        <v>2034.72</v>
      </c>
      <c r="D65" s="30">
        <v>8666</v>
      </c>
      <c r="E65" s="30" t="s">
        <v>27</v>
      </c>
      <c r="F65" s="33">
        <v>0</v>
      </c>
      <c r="G65" s="33">
        <f>1-F65</f>
        <v>1</v>
      </c>
      <c r="H65" s="30" t="s">
        <v>28</v>
      </c>
      <c r="I65" s="34">
        <v>40858</v>
      </c>
      <c r="J65" s="34">
        <v>40920</v>
      </c>
      <c r="K65" s="34" t="s">
        <v>94</v>
      </c>
      <c r="L65" s="35" t="s">
        <v>31</v>
      </c>
      <c r="N65" s="28">
        <v>1.0342920161035418E-2</v>
      </c>
      <c r="O65" s="4">
        <f t="shared" si="5"/>
        <v>9.3329513895571686E-3</v>
      </c>
      <c r="P65" s="4">
        <f t="shared" si="6"/>
        <v>1.6936342410772378E-2</v>
      </c>
      <c r="Q65" s="28">
        <v>1.7429759290869148E-2</v>
      </c>
      <c r="R65" s="29">
        <f t="shared" si="0"/>
        <v>-4.9341688009676976E-4</v>
      </c>
      <c r="T65" s="3"/>
    </row>
    <row r="66" spans="1:20" s="36" customFormat="1" x14ac:dyDescent="0.25">
      <c r="A66" s="37"/>
      <c r="B66" s="38" t="s">
        <v>95</v>
      </c>
      <c r="C66" s="39">
        <v>2034.72</v>
      </c>
      <c r="D66" s="37"/>
      <c r="E66" s="37"/>
      <c r="F66" s="37"/>
      <c r="G66" s="37"/>
      <c r="H66" s="40"/>
      <c r="I66" s="43"/>
      <c r="J66" s="41"/>
      <c r="K66" s="43"/>
      <c r="L66" s="40"/>
      <c r="N66" s="28">
        <v>1.0342920161035418E-2</v>
      </c>
      <c r="O66" s="4">
        <f t="shared" si="5"/>
        <v>9.3329513895571686E-3</v>
      </c>
      <c r="P66" s="4">
        <f t="shared" si="6"/>
        <v>1.6936342410772378E-2</v>
      </c>
      <c r="Q66" s="28">
        <v>1.7429759290869148E-2</v>
      </c>
      <c r="R66" s="29">
        <f t="shared" si="0"/>
        <v>-4.9341688009676976E-4</v>
      </c>
      <c r="T66" s="3"/>
    </row>
    <row r="67" spans="1:20" s="36" customFormat="1" ht="38.25" x14ac:dyDescent="0.25">
      <c r="A67" s="30" t="s">
        <v>96</v>
      </c>
      <c r="B67" s="31" t="s">
        <v>46</v>
      </c>
      <c r="C67" s="32">
        <f>SUBTOTAL(9,C68:C68)</f>
        <v>2624.66</v>
      </c>
      <c r="D67" s="30">
        <v>8666</v>
      </c>
      <c r="E67" s="30" t="s">
        <v>27</v>
      </c>
      <c r="F67" s="33">
        <v>0</v>
      </c>
      <c r="G67" s="33">
        <f>1-F67</f>
        <v>1</v>
      </c>
      <c r="H67" s="30" t="s">
        <v>28</v>
      </c>
      <c r="I67" s="34">
        <v>40858</v>
      </c>
      <c r="J67" s="34">
        <v>41045</v>
      </c>
      <c r="K67" s="34">
        <v>41351</v>
      </c>
      <c r="L67" s="35" t="s">
        <v>31</v>
      </c>
      <c r="N67" s="28">
        <v>1.52512953959726E-2</v>
      </c>
      <c r="O67" s="4">
        <f t="shared" si="5"/>
        <v>1.2038916506504637E-2</v>
      </c>
      <c r="P67" s="4">
        <f t="shared" si="6"/>
        <v>2.1846809620909916E-2</v>
      </c>
      <c r="Q67" s="28">
        <v>2.570129165525065E-2</v>
      </c>
      <c r="R67" s="29">
        <f t="shared" si="0"/>
        <v>-3.8544820343407345E-3</v>
      </c>
      <c r="T67" s="3"/>
    </row>
    <row r="68" spans="1:20" s="36" customFormat="1" x14ac:dyDescent="0.25">
      <c r="A68" s="37"/>
      <c r="B68" s="38" t="s">
        <v>97</v>
      </c>
      <c r="C68" s="39">
        <v>2624.66</v>
      </c>
      <c r="D68" s="37"/>
      <c r="E68" s="37"/>
      <c r="F68" s="37"/>
      <c r="G68" s="37"/>
      <c r="H68" s="40"/>
      <c r="I68" s="43"/>
      <c r="J68" s="41"/>
      <c r="K68" s="43"/>
      <c r="L68" s="40"/>
      <c r="N68" s="28">
        <v>1.52512953959726E-2</v>
      </c>
      <c r="O68" s="4">
        <f t="shared" si="5"/>
        <v>1.2038916506504637E-2</v>
      </c>
      <c r="P68" s="4">
        <f t="shared" si="6"/>
        <v>2.1846809620909916E-2</v>
      </c>
      <c r="Q68" s="28">
        <v>2.570129165525065E-2</v>
      </c>
      <c r="R68" s="29">
        <f t="shared" si="0"/>
        <v>-3.8544820343407345E-3</v>
      </c>
      <c r="T68" s="3"/>
    </row>
    <row r="69" spans="1:20" s="36" customFormat="1" ht="38.25" x14ac:dyDescent="0.25">
      <c r="A69" s="30" t="s">
        <v>98</v>
      </c>
      <c r="B69" s="31" t="s">
        <v>46</v>
      </c>
      <c r="C69" s="32">
        <f>SUBTOTAL(9,C70:C70)</f>
        <v>5457.93</v>
      </c>
      <c r="D69" s="30">
        <v>8666</v>
      </c>
      <c r="E69" s="30" t="s">
        <v>27</v>
      </c>
      <c r="F69" s="33">
        <v>0</v>
      </c>
      <c r="G69" s="33">
        <f>1-F69</f>
        <v>1</v>
      </c>
      <c r="H69" s="30" t="s">
        <v>28</v>
      </c>
      <c r="I69" s="34">
        <v>40735</v>
      </c>
      <c r="J69" s="34">
        <v>40885</v>
      </c>
      <c r="K69" s="34">
        <v>41471</v>
      </c>
      <c r="L69" s="35" t="s">
        <v>31</v>
      </c>
      <c r="N69" s="28">
        <v>2.9231649508947483E-2</v>
      </c>
      <c r="O69" s="4">
        <f t="shared" si="5"/>
        <v>2.5034695377057166E-2</v>
      </c>
      <c r="P69" s="4">
        <f t="shared" si="6"/>
        <v>4.5430020510943463E-2</v>
      </c>
      <c r="Q69" s="28">
        <v>4.9260809005897077E-2</v>
      </c>
      <c r="R69" s="29">
        <f t="shared" si="0"/>
        <v>-3.8307884949536145E-3</v>
      </c>
      <c r="T69" s="3"/>
    </row>
    <row r="70" spans="1:20" s="36" customFormat="1" x14ac:dyDescent="0.25">
      <c r="A70" s="37"/>
      <c r="B70" s="38" t="s">
        <v>99</v>
      </c>
      <c r="C70" s="39">
        <v>5457.93</v>
      </c>
      <c r="D70" s="37"/>
      <c r="E70" s="37"/>
      <c r="F70" s="37"/>
      <c r="G70" s="37"/>
      <c r="H70" s="40"/>
      <c r="I70" s="43"/>
      <c r="J70" s="41"/>
      <c r="K70" s="43"/>
      <c r="L70" s="40"/>
      <c r="N70" s="28">
        <v>2.9231649508947483E-2</v>
      </c>
      <c r="O70" s="4">
        <f t="shared" si="5"/>
        <v>2.5034695377057166E-2</v>
      </c>
      <c r="P70" s="4">
        <f t="shared" si="6"/>
        <v>4.5430020510943463E-2</v>
      </c>
      <c r="Q70" s="28">
        <v>4.9260809005897077E-2</v>
      </c>
      <c r="R70" s="29">
        <f t="shared" si="0"/>
        <v>-3.8307884949536145E-3</v>
      </c>
      <c r="T70" s="3"/>
    </row>
    <row r="71" spans="1:20" s="36" customFormat="1" ht="38.25" x14ac:dyDescent="0.25">
      <c r="A71" s="30" t="s">
        <v>100</v>
      </c>
      <c r="B71" s="31" t="s">
        <v>46</v>
      </c>
      <c r="C71" s="32">
        <f>SUBTOTAL(9,C72:C72)</f>
        <v>1878.3720000000001</v>
      </c>
      <c r="D71" s="30" t="s">
        <v>47</v>
      </c>
      <c r="E71" s="30" t="s">
        <v>27</v>
      </c>
      <c r="F71" s="33">
        <v>0.7</v>
      </c>
      <c r="G71" s="33">
        <f>1-F71</f>
        <v>0.30000000000000004</v>
      </c>
      <c r="H71" s="30" t="s">
        <v>28</v>
      </c>
      <c r="I71" s="34">
        <v>41402</v>
      </c>
      <c r="J71" s="34">
        <v>41551</v>
      </c>
      <c r="K71" s="34">
        <v>41941</v>
      </c>
      <c r="L71" s="35" t="s">
        <v>31</v>
      </c>
      <c r="N71" s="28">
        <v>1.8797221575536229E-2</v>
      </c>
      <c r="O71" s="4">
        <f t="shared" si="5"/>
        <v>8.6158068763787041E-3</v>
      </c>
      <c r="P71" s="4">
        <f t="shared" si="6"/>
        <v>1.5634952901041582E-2</v>
      </c>
      <c r="Q71" s="28">
        <v>3.1676841965096424E-2</v>
      </c>
      <c r="R71" s="29">
        <f t="shared" si="0"/>
        <v>-1.6041889064054841E-2</v>
      </c>
      <c r="T71" s="3"/>
    </row>
    <row r="72" spans="1:20" s="36" customFormat="1" x14ac:dyDescent="0.25">
      <c r="A72" s="37"/>
      <c r="B72" s="38" t="s">
        <v>101</v>
      </c>
      <c r="C72" s="42">
        <v>1878.3720000000001</v>
      </c>
      <c r="D72" s="37"/>
      <c r="E72" s="37"/>
      <c r="F72" s="37"/>
      <c r="G72" s="37"/>
      <c r="H72" s="40"/>
      <c r="I72" s="43"/>
      <c r="J72" s="41"/>
      <c r="K72" s="43"/>
      <c r="L72" s="40"/>
      <c r="N72" s="28">
        <v>9.2778713658833306E-3</v>
      </c>
      <c r="O72" s="4">
        <f t="shared" si="5"/>
        <v>8.6158068763787041E-3</v>
      </c>
      <c r="P72" s="4">
        <f t="shared" si="6"/>
        <v>1.5634952901041582E-2</v>
      </c>
      <c r="Q72" s="28">
        <v>1.5634952423610814E-2</v>
      </c>
      <c r="R72" s="29">
        <f t="shared" si="0"/>
        <v>4.7743076853068445E-10</v>
      </c>
      <c r="T72" s="3"/>
    </row>
    <row r="73" spans="1:20" s="36" customFormat="1" ht="38.25" x14ac:dyDescent="0.25">
      <c r="A73" s="30" t="s">
        <v>102</v>
      </c>
      <c r="B73" s="31" t="s">
        <v>46</v>
      </c>
      <c r="C73" s="32">
        <f>SUBTOTAL(9,C74:C74)</f>
        <v>1927.261</v>
      </c>
      <c r="D73" s="30" t="s">
        <v>47</v>
      </c>
      <c r="E73" s="30" t="s">
        <v>27</v>
      </c>
      <c r="F73" s="33">
        <v>0.7</v>
      </c>
      <c r="G73" s="33">
        <f>1-F73</f>
        <v>0.30000000000000004</v>
      </c>
      <c r="H73" s="30" t="s">
        <v>28</v>
      </c>
      <c r="I73" s="34">
        <v>41789</v>
      </c>
      <c r="J73" s="34">
        <v>42004</v>
      </c>
      <c r="K73" s="34">
        <v>42369</v>
      </c>
      <c r="L73" s="35" t="s">
        <v>23</v>
      </c>
      <c r="N73" s="28"/>
      <c r="O73" s="4"/>
      <c r="P73" s="4"/>
      <c r="Q73" s="28"/>
      <c r="R73" s="29"/>
      <c r="T73" s="3"/>
    </row>
    <row r="74" spans="1:20" s="36" customFormat="1" x14ac:dyDescent="0.25">
      <c r="A74" s="37"/>
      <c r="B74" s="38" t="s">
        <v>103</v>
      </c>
      <c r="C74" s="42">
        <v>1927.261</v>
      </c>
      <c r="D74" s="37"/>
      <c r="E74" s="37"/>
      <c r="F74" s="37"/>
      <c r="G74" s="37"/>
      <c r="H74" s="40"/>
      <c r="I74" s="43"/>
      <c r="J74" s="41"/>
      <c r="K74" s="43"/>
      <c r="L74" s="40"/>
      <c r="N74" s="28">
        <v>9.5193502096528968E-3</v>
      </c>
      <c r="O74" s="4">
        <f t="shared" ref="O74:O80" si="7">C74/$C$201</f>
        <v>8.8400532888993754E-3</v>
      </c>
      <c r="P74" s="4">
        <f t="shared" ref="P74:P82" si="8">C74/$C$89</f>
        <v>1.6041888913918171E-2</v>
      </c>
      <c r="Q74" s="28">
        <v>1.6041889541485613E-2</v>
      </c>
      <c r="R74" s="29">
        <f t="shared" si="0"/>
        <v>-6.2756744245717755E-10</v>
      </c>
      <c r="T74" s="3"/>
    </row>
    <row r="75" spans="1:20" s="36" customFormat="1" ht="38.25" x14ac:dyDescent="0.25">
      <c r="A75" s="30" t="s">
        <v>104</v>
      </c>
      <c r="B75" s="31" t="s">
        <v>46</v>
      </c>
      <c r="C75" s="32">
        <f>SUBTOTAL(9,C76:C76)</f>
        <v>3113.4659999999999</v>
      </c>
      <c r="D75" s="30" t="s">
        <v>47</v>
      </c>
      <c r="E75" s="30" t="s">
        <v>27</v>
      </c>
      <c r="F75" s="33">
        <v>0.7</v>
      </c>
      <c r="G75" s="33">
        <f>1-F75</f>
        <v>0.30000000000000004</v>
      </c>
      <c r="H75" s="30" t="s">
        <v>28</v>
      </c>
      <c r="I75" s="34">
        <v>41639</v>
      </c>
      <c r="J75" s="34">
        <v>41728</v>
      </c>
      <c r="K75" s="34">
        <v>42004</v>
      </c>
      <c r="L75" s="35" t="s">
        <v>23</v>
      </c>
      <c r="N75" s="28">
        <v>1.5378389524272371E-2</v>
      </c>
      <c r="O75" s="4">
        <f t="shared" si="7"/>
        <v>1.4280995336478237E-2</v>
      </c>
      <c r="P75" s="4">
        <f t="shared" si="8"/>
        <v>2.5915470561206369E-2</v>
      </c>
      <c r="Q75" s="28">
        <v>2.5915469085711074E-2</v>
      </c>
      <c r="R75" s="29">
        <f t="shared" si="0"/>
        <v>1.4754952953888179E-9</v>
      </c>
      <c r="T75" s="3"/>
    </row>
    <row r="76" spans="1:20" s="36" customFormat="1" x14ac:dyDescent="0.25">
      <c r="A76" s="37"/>
      <c r="B76" s="38" t="s">
        <v>105</v>
      </c>
      <c r="C76" s="42">
        <v>3113.4659999999999</v>
      </c>
      <c r="D76" s="37"/>
      <c r="E76" s="37"/>
      <c r="F76" s="37"/>
      <c r="G76" s="37"/>
      <c r="H76" s="40"/>
      <c r="I76" s="41"/>
      <c r="J76" s="41"/>
      <c r="K76" s="41"/>
      <c r="L76" s="40"/>
      <c r="N76" s="28">
        <v>1.5378389524272371E-2</v>
      </c>
      <c r="O76" s="4">
        <f t="shared" si="7"/>
        <v>1.4280995336478237E-2</v>
      </c>
      <c r="P76" s="4">
        <f t="shared" si="8"/>
        <v>2.5915470561206369E-2</v>
      </c>
      <c r="Q76" s="28">
        <v>2.5915469085711074E-2</v>
      </c>
      <c r="R76" s="29">
        <f t="shared" si="0"/>
        <v>1.4754952953888179E-9</v>
      </c>
      <c r="T76" s="3"/>
    </row>
    <row r="77" spans="1:20" s="36" customFormat="1" ht="38.25" x14ac:dyDescent="0.25">
      <c r="A77" s="30" t="s">
        <v>106</v>
      </c>
      <c r="B77" s="31" t="s">
        <v>46</v>
      </c>
      <c r="C77" s="32">
        <f>SUBTOTAL(9,C78:C78)</f>
        <v>2573.1120000000001</v>
      </c>
      <c r="D77" s="30" t="s">
        <v>47</v>
      </c>
      <c r="E77" s="30" t="s">
        <v>27</v>
      </c>
      <c r="F77" s="33">
        <v>0.7</v>
      </c>
      <c r="G77" s="33">
        <f>1-F77</f>
        <v>0.30000000000000004</v>
      </c>
      <c r="H77" s="30" t="s">
        <v>28</v>
      </c>
      <c r="I77" s="34">
        <v>41789</v>
      </c>
      <c r="J77" s="34">
        <v>42004</v>
      </c>
      <c r="K77" s="34">
        <v>42369</v>
      </c>
      <c r="L77" s="35" t="s">
        <v>23</v>
      </c>
      <c r="N77" s="28">
        <v>1.2709412829977167E-2</v>
      </c>
      <c r="O77" s="4">
        <f t="shared" si="7"/>
        <v>1.1802473665116687E-2</v>
      </c>
      <c r="P77" s="4">
        <f t="shared" si="8"/>
        <v>2.1417740963507181E-2</v>
      </c>
      <c r="Q77" s="28">
        <v>2.1417743046042208E-2</v>
      </c>
      <c r="R77" s="29">
        <f t="shared" si="0"/>
        <v>-2.0825350263709019E-9</v>
      </c>
      <c r="T77" s="3"/>
    </row>
    <row r="78" spans="1:20" s="36" customFormat="1" x14ac:dyDescent="0.25">
      <c r="A78" s="37"/>
      <c r="B78" s="38" t="s">
        <v>107</v>
      </c>
      <c r="C78" s="39">
        <v>2573.1120000000001</v>
      </c>
      <c r="D78" s="37"/>
      <c r="E78" s="37"/>
      <c r="F78" s="37"/>
      <c r="G78" s="37"/>
      <c r="H78" s="40"/>
      <c r="I78" s="41"/>
      <c r="J78" s="41"/>
      <c r="K78" s="41"/>
      <c r="L78" s="40"/>
      <c r="N78" s="28">
        <v>1.2709412829977167E-2</v>
      </c>
      <c r="O78" s="4">
        <f t="shared" si="7"/>
        <v>1.1802473665116687E-2</v>
      </c>
      <c r="P78" s="4">
        <f t="shared" si="8"/>
        <v>2.1417740963507181E-2</v>
      </c>
      <c r="Q78" s="28">
        <v>2.1417743046042208E-2</v>
      </c>
      <c r="R78" s="29">
        <f t="shared" ref="R78:R141" si="9">P78-Q78</f>
        <v>-2.0825350263709019E-9</v>
      </c>
      <c r="T78" s="3"/>
    </row>
    <row r="79" spans="1:20" s="36" customFormat="1" ht="38.25" x14ac:dyDescent="0.25">
      <c r="A79" s="30" t="s">
        <v>108</v>
      </c>
      <c r="B79" s="31" t="s">
        <v>46</v>
      </c>
      <c r="C79" s="32">
        <f>SUBTOTAL(9,C80:C80)</f>
        <v>2458.0300000000002</v>
      </c>
      <c r="D79" s="30">
        <v>8666</v>
      </c>
      <c r="E79" s="30" t="s">
        <v>27</v>
      </c>
      <c r="F79" s="33">
        <v>0</v>
      </c>
      <c r="G79" s="33">
        <f>1-F79</f>
        <v>1</v>
      </c>
      <c r="H79" s="30" t="s">
        <v>28</v>
      </c>
      <c r="I79" s="34">
        <v>40627</v>
      </c>
      <c r="J79" s="34">
        <v>40668</v>
      </c>
      <c r="K79" s="34">
        <v>41012</v>
      </c>
      <c r="L79" s="35" t="s">
        <v>31</v>
      </c>
      <c r="N79" s="28">
        <v>1.3217789343176254E-2</v>
      </c>
      <c r="O79" s="4">
        <f t="shared" si="7"/>
        <v>1.1274610022053752E-2</v>
      </c>
      <c r="P79" s="4">
        <f t="shared" si="8"/>
        <v>2.0459836113052816E-2</v>
      </c>
      <c r="Q79" s="28">
        <v>2.2274452767883895E-2</v>
      </c>
      <c r="R79" s="29">
        <f t="shared" si="9"/>
        <v>-1.8146166548310798E-3</v>
      </c>
      <c r="T79" s="3"/>
    </row>
    <row r="80" spans="1:20" s="36" customFormat="1" ht="15" x14ac:dyDescent="0.25">
      <c r="A80" s="37"/>
      <c r="B80" s="57" t="s">
        <v>109</v>
      </c>
      <c r="C80" s="39">
        <v>2458.0300000000002</v>
      </c>
      <c r="D80" s="37"/>
      <c r="E80" s="37"/>
      <c r="F80" s="37"/>
      <c r="G80" s="37"/>
      <c r="H80" s="40"/>
      <c r="I80" s="41"/>
      <c r="J80" s="41"/>
      <c r="K80" s="41"/>
      <c r="L80" s="40"/>
      <c r="N80" s="28">
        <v>1.3217789343176254E-2</v>
      </c>
      <c r="O80" s="4">
        <f t="shared" si="7"/>
        <v>1.1274610022053752E-2</v>
      </c>
      <c r="P80" s="4">
        <f t="shared" si="8"/>
        <v>2.0459836113052816E-2</v>
      </c>
      <c r="Q80" s="28">
        <v>2.2274452767883895E-2</v>
      </c>
      <c r="R80" s="29">
        <f t="shared" si="9"/>
        <v>-1.8146166548310798E-3</v>
      </c>
      <c r="T80" s="3"/>
    </row>
    <row r="81" spans="1:20" s="36" customFormat="1" x14ac:dyDescent="0.25">
      <c r="A81" s="45"/>
      <c r="B81" s="46"/>
      <c r="C81" s="47"/>
      <c r="D81" s="45"/>
      <c r="E81" s="45"/>
      <c r="F81" s="45"/>
      <c r="G81" s="45"/>
      <c r="H81" s="45"/>
      <c r="I81" s="45"/>
      <c r="J81" s="45"/>
      <c r="K81" s="45"/>
      <c r="L81" s="48"/>
      <c r="N81" s="28"/>
      <c r="O81" s="4"/>
      <c r="P81" s="4">
        <f t="shared" si="8"/>
        <v>0</v>
      </c>
      <c r="Q81" s="28">
        <v>0</v>
      </c>
      <c r="R81" s="29">
        <f t="shared" si="9"/>
        <v>0</v>
      </c>
      <c r="T81" s="3"/>
    </row>
    <row r="82" spans="1:20" s="52" customFormat="1" ht="18" x14ac:dyDescent="0.25">
      <c r="A82" s="49" t="s">
        <v>110</v>
      </c>
      <c r="B82" s="23" t="s">
        <v>111</v>
      </c>
      <c r="C82" s="50">
        <f>SUBTOTAL(9,C83:C88)</f>
        <v>3957.9</v>
      </c>
      <c r="D82" s="51"/>
      <c r="E82" s="51"/>
      <c r="F82" s="51"/>
      <c r="G82" s="51"/>
      <c r="H82" s="51"/>
      <c r="I82" s="26">
        <f>MIN(I83:I88)</f>
        <v>40413</v>
      </c>
      <c r="J82" s="26">
        <f>MIN(J83:J88)</f>
        <v>40534</v>
      </c>
      <c r="K82" s="26">
        <f>MAX(K83:K88)</f>
        <v>41143</v>
      </c>
      <c r="L82" s="51"/>
      <c r="N82" s="28">
        <v>2.0352319910586576E-2</v>
      </c>
      <c r="O82" s="4">
        <f>C82/$C$201</f>
        <v>1.8154285751714398E-2</v>
      </c>
      <c r="P82" s="4">
        <f t="shared" si="8"/>
        <v>3.2944262418217733E-2</v>
      </c>
      <c r="Q82" s="28">
        <v>3.4297474168724064E-2</v>
      </c>
      <c r="R82" s="29">
        <f t="shared" si="9"/>
        <v>-1.3532117505063307E-3</v>
      </c>
      <c r="T82" s="3"/>
    </row>
    <row r="83" spans="1:20" s="36" customFormat="1" ht="25.5" x14ac:dyDescent="0.25">
      <c r="A83" s="30" t="s">
        <v>112</v>
      </c>
      <c r="B83" s="31" t="s">
        <v>113</v>
      </c>
      <c r="C83" s="32">
        <f>SUBTOTAL(9,C84:C88)</f>
        <v>3957.9</v>
      </c>
      <c r="D83" s="30" t="s">
        <v>114</v>
      </c>
      <c r="E83" s="30" t="s">
        <v>27</v>
      </c>
      <c r="F83" s="33">
        <v>0</v>
      </c>
      <c r="G83" s="33">
        <f>1-F83</f>
        <v>1</v>
      </c>
      <c r="H83" s="30" t="s">
        <v>28</v>
      </c>
      <c r="I83" s="34">
        <v>40413</v>
      </c>
      <c r="J83" s="34">
        <v>40534</v>
      </c>
      <c r="K83" s="34">
        <v>41143</v>
      </c>
      <c r="L83" s="35" t="s">
        <v>31</v>
      </c>
      <c r="N83" s="28"/>
      <c r="O83" s="4"/>
      <c r="P83" s="4"/>
      <c r="Q83" s="28"/>
      <c r="R83" s="29"/>
      <c r="T83" s="3"/>
    </row>
    <row r="84" spans="1:20" s="36" customFormat="1" x14ac:dyDescent="0.25">
      <c r="A84" s="37"/>
      <c r="B84" s="38" t="s">
        <v>95</v>
      </c>
      <c r="C84" s="42">
        <v>1006</v>
      </c>
      <c r="D84" s="37"/>
      <c r="E84" s="37"/>
      <c r="F84" s="37"/>
      <c r="G84" s="37"/>
      <c r="H84" s="40"/>
      <c r="I84" s="41"/>
      <c r="J84" s="58"/>
      <c r="K84" s="43"/>
      <c r="L84" s="40"/>
      <c r="N84" s="28">
        <v>4.9616759704635399E-3</v>
      </c>
      <c r="O84" s="4">
        <f t="shared" ref="O84:O89" si="10">C84/$C$201</f>
        <v>4.6143691013478573E-3</v>
      </c>
      <c r="P84" s="4">
        <f t="shared" ref="P84:P89" si="11">C84/$C$89</f>
        <v>8.373614288568948E-3</v>
      </c>
      <c r="Q84" s="28">
        <v>8.3613540951679929E-3</v>
      </c>
      <c r="R84" s="29">
        <f t="shared" si="9"/>
        <v>1.2260193400955022E-5</v>
      </c>
      <c r="T84" s="3"/>
    </row>
    <row r="85" spans="1:20" s="36" customFormat="1" x14ac:dyDescent="0.25">
      <c r="A85" s="37"/>
      <c r="B85" s="38" t="s">
        <v>65</v>
      </c>
      <c r="C85" s="42">
        <v>1006</v>
      </c>
      <c r="D85" s="37"/>
      <c r="E85" s="37"/>
      <c r="F85" s="37"/>
      <c r="G85" s="37"/>
      <c r="H85" s="40"/>
      <c r="I85" s="41"/>
      <c r="J85" s="58"/>
      <c r="K85" s="43"/>
      <c r="L85" s="40"/>
      <c r="N85" s="28">
        <v>4.9616759704635399E-3</v>
      </c>
      <c r="O85" s="4">
        <f t="shared" si="10"/>
        <v>4.6143691013478573E-3</v>
      </c>
      <c r="P85" s="4">
        <f t="shared" si="11"/>
        <v>8.373614288568948E-3</v>
      </c>
      <c r="Q85" s="28">
        <v>8.3613540951679929E-3</v>
      </c>
      <c r="R85" s="29">
        <f t="shared" si="9"/>
        <v>1.2260193400955022E-5</v>
      </c>
      <c r="T85" s="3"/>
    </row>
    <row r="86" spans="1:20" s="36" customFormat="1" x14ac:dyDescent="0.25">
      <c r="A86" s="37"/>
      <c r="B86" s="38" t="s">
        <v>115</v>
      </c>
      <c r="C86" s="42">
        <v>937.5</v>
      </c>
      <c r="D86" s="37"/>
      <c r="E86" s="37"/>
      <c r="F86" s="37"/>
      <c r="G86" s="37"/>
      <c r="H86" s="40"/>
      <c r="I86" s="41"/>
      <c r="J86" s="58"/>
      <c r="K86" s="43"/>
      <c r="L86" s="40"/>
      <c r="N86" s="28">
        <v>4.99831974953493E-3</v>
      </c>
      <c r="O86" s="4">
        <f t="shared" si="10"/>
        <v>4.300170012438982E-3</v>
      </c>
      <c r="P86" s="4">
        <f t="shared" si="11"/>
        <v>7.8034427390987959E-3</v>
      </c>
      <c r="Q86" s="28">
        <v>8.4231057319183421E-3</v>
      </c>
      <c r="R86" s="29">
        <f t="shared" si="9"/>
        <v>-6.1966299281954618E-4</v>
      </c>
      <c r="T86" s="3"/>
    </row>
    <row r="87" spans="1:20" s="36" customFormat="1" x14ac:dyDescent="0.25">
      <c r="A87" s="37"/>
      <c r="B87" s="38" t="s">
        <v>116</v>
      </c>
      <c r="C87" s="42">
        <v>503</v>
      </c>
      <c r="D87" s="37"/>
      <c r="E87" s="37"/>
      <c r="F87" s="37"/>
      <c r="G87" s="37"/>
      <c r="H87" s="40"/>
      <c r="I87" s="41"/>
      <c r="J87" s="58"/>
      <c r="K87" s="43"/>
      <c r="L87" s="40"/>
      <c r="N87" s="28">
        <v>2.6300274277364574E-3</v>
      </c>
      <c r="O87" s="4">
        <f t="shared" si="10"/>
        <v>2.3071845506739286E-3</v>
      </c>
      <c r="P87" s="4">
        <f t="shared" si="11"/>
        <v>4.186807144284474E-3</v>
      </c>
      <c r="Q87" s="28">
        <v>4.4320892243299636E-3</v>
      </c>
      <c r="R87" s="29">
        <f t="shared" si="9"/>
        <v>-2.4528208004548965E-4</v>
      </c>
      <c r="T87" s="3"/>
    </row>
    <row r="88" spans="1:20" s="36" customFormat="1" x14ac:dyDescent="0.25">
      <c r="A88" s="37"/>
      <c r="B88" s="38" t="s">
        <v>117</v>
      </c>
      <c r="C88" s="39">
        <v>505.4</v>
      </c>
      <c r="D88" s="37"/>
      <c r="E88" s="37"/>
      <c r="F88" s="37"/>
      <c r="G88" s="37"/>
      <c r="H88" s="40"/>
      <c r="I88" s="41"/>
      <c r="J88" s="58"/>
      <c r="K88" s="41"/>
      <c r="L88" s="40"/>
      <c r="N88" s="28">
        <v>2.8006207923881084E-3</v>
      </c>
      <c r="O88" s="4">
        <f t="shared" si="10"/>
        <v>2.3181929859057721E-3</v>
      </c>
      <c r="P88" s="4">
        <f t="shared" si="11"/>
        <v>4.2067839576965665E-3</v>
      </c>
      <c r="Q88" s="28">
        <v>4.7195710221397688E-3</v>
      </c>
      <c r="R88" s="29">
        <f>P88-Q88</f>
        <v>-5.127870644432023E-4</v>
      </c>
      <c r="T88" s="3"/>
    </row>
    <row r="89" spans="1:20" s="36" customFormat="1" ht="18" x14ac:dyDescent="0.25">
      <c r="A89" s="59">
        <v>1</v>
      </c>
      <c r="B89" s="60" t="s">
        <v>118</v>
      </c>
      <c r="C89" s="61">
        <f>SUBTOTAL(9,C7:C88)</f>
        <v>120139.281</v>
      </c>
      <c r="D89" s="62"/>
      <c r="E89" s="62"/>
      <c r="F89" s="63">
        <f>SUMPRODUCT(F6:F88,$C$6:$C$88)</f>
        <v>75271.364664680892</v>
      </c>
      <c r="G89" s="63">
        <f>SUMPRODUCT(G6:G88,$C$6:$C$88)</f>
        <v>44867.916335319096</v>
      </c>
      <c r="H89" s="64"/>
      <c r="I89" s="65">
        <f>MIN(I6:I87)</f>
        <v>40340</v>
      </c>
      <c r="J89" s="65">
        <f>MIN(J6:J87)</f>
        <v>40361</v>
      </c>
      <c r="K89" s="65">
        <f>MAX(K6:K87)</f>
        <v>42735</v>
      </c>
      <c r="L89" s="66"/>
      <c r="N89" s="28">
        <v>0.5934057945627349</v>
      </c>
      <c r="O89" s="4">
        <f t="shared" si="10"/>
        <v>0.55106062237032571</v>
      </c>
      <c r="P89" s="4">
        <f t="shared" si="11"/>
        <v>1</v>
      </c>
      <c r="Q89" s="28">
        <v>1</v>
      </c>
      <c r="R89" s="29">
        <f t="shared" si="9"/>
        <v>0</v>
      </c>
      <c r="T89" s="3"/>
    </row>
    <row r="90" spans="1:20" x14ac:dyDescent="0.25">
      <c r="A90" s="67"/>
      <c r="B90" s="68"/>
      <c r="C90" s="69">
        <f>'[1]%'!L7</f>
        <v>120139281</v>
      </c>
      <c r="D90" s="67"/>
      <c r="E90" s="67"/>
      <c r="F90" s="70">
        <f>'[1]%'!J7</f>
        <v>75271360</v>
      </c>
      <c r="G90" s="70">
        <f>'[1]%'!K7</f>
        <v>44867921</v>
      </c>
      <c r="H90" s="67"/>
      <c r="I90" s="71"/>
      <c r="J90" s="67"/>
      <c r="K90" s="67"/>
      <c r="L90" s="67"/>
      <c r="N90" s="28"/>
      <c r="R90" s="29">
        <f t="shared" si="9"/>
        <v>0</v>
      </c>
    </row>
    <row r="91" spans="1:20" x14ac:dyDescent="0.25">
      <c r="A91" s="67"/>
      <c r="B91" s="68"/>
      <c r="C91" s="67"/>
      <c r="D91" s="67"/>
      <c r="E91" s="67"/>
      <c r="F91" s="67"/>
      <c r="G91" s="67"/>
      <c r="H91" s="67"/>
      <c r="I91" s="72"/>
      <c r="J91" s="73"/>
      <c r="K91" s="74"/>
      <c r="L91" s="67"/>
      <c r="N91" s="28"/>
      <c r="R91" s="29">
        <f t="shared" si="9"/>
        <v>0</v>
      </c>
    </row>
    <row r="92" spans="1:20" ht="18" x14ac:dyDescent="0.25">
      <c r="A92" s="5" t="s">
        <v>119</v>
      </c>
      <c r="B92" s="6"/>
      <c r="C92" s="5"/>
      <c r="D92" s="5"/>
      <c r="E92" s="5"/>
      <c r="F92" s="5"/>
      <c r="G92" s="5"/>
      <c r="H92" s="5"/>
      <c r="I92" s="5"/>
      <c r="J92" s="5"/>
      <c r="K92" s="5"/>
      <c r="L92" s="7"/>
      <c r="N92" s="28"/>
      <c r="R92" s="29">
        <f t="shared" si="9"/>
        <v>0</v>
      </c>
    </row>
    <row r="93" spans="1:20" ht="18" x14ac:dyDescent="0.25">
      <c r="A93" s="5" t="s">
        <v>120</v>
      </c>
      <c r="B93" s="6"/>
      <c r="C93" s="5"/>
      <c r="D93" s="5"/>
      <c r="E93" s="5"/>
      <c r="F93" s="5"/>
      <c r="G93" s="5"/>
      <c r="H93" s="5"/>
      <c r="I93" s="5"/>
      <c r="J93" s="5"/>
      <c r="K93" s="5"/>
      <c r="L93" s="7"/>
      <c r="N93" s="28"/>
      <c r="R93" s="29">
        <f t="shared" si="9"/>
        <v>0</v>
      </c>
    </row>
    <row r="94" spans="1:20" ht="25.5" x14ac:dyDescent="0.25">
      <c r="A94" s="8" t="s">
        <v>2</v>
      </c>
      <c r="B94" s="9" t="s">
        <v>3</v>
      </c>
      <c r="C94" s="10" t="s">
        <v>4</v>
      </c>
      <c r="D94" s="11" t="s">
        <v>5</v>
      </c>
      <c r="E94" s="8" t="s">
        <v>6</v>
      </c>
      <c r="F94" s="12" t="s">
        <v>7</v>
      </c>
      <c r="G94" s="13"/>
      <c r="H94" s="11" t="s">
        <v>8</v>
      </c>
      <c r="I94" s="12" t="s">
        <v>9</v>
      </c>
      <c r="J94" s="14"/>
      <c r="K94" s="13"/>
      <c r="L94" s="11" t="s">
        <v>121</v>
      </c>
      <c r="N94" s="28"/>
      <c r="R94" s="29">
        <f t="shared" si="9"/>
        <v>0</v>
      </c>
    </row>
    <row r="95" spans="1:20" ht="51" x14ac:dyDescent="0.25">
      <c r="A95" s="8"/>
      <c r="B95" s="9"/>
      <c r="C95" s="16" t="s">
        <v>122</v>
      </c>
      <c r="D95" s="17"/>
      <c r="E95" s="18" t="s">
        <v>12</v>
      </c>
      <c r="F95" s="18" t="s">
        <v>13</v>
      </c>
      <c r="G95" s="18" t="s">
        <v>14</v>
      </c>
      <c r="H95" s="17"/>
      <c r="I95" s="18" t="s">
        <v>15</v>
      </c>
      <c r="J95" s="19" t="s">
        <v>16</v>
      </c>
      <c r="K95" s="18" t="s">
        <v>17</v>
      </c>
      <c r="L95" s="17"/>
      <c r="N95" s="28"/>
      <c r="R95" s="29">
        <f t="shared" si="9"/>
        <v>0</v>
      </c>
    </row>
    <row r="96" spans="1:20" x14ac:dyDescent="0.25">
      <c r="A96" s="45"/>
      <c r="B96" s="46"/>
      <c r="C96" s="47"/>
      <c r="D96" s="45"/>
      <c r="E96" s="45"/>
      <c r="F96" s="45"/>
      <c r="G96" s="45"/>
      <c r="H96" s="45"/>
      <c r="I96" s="45"/>
      <c r="J96" s="45"/>
      <c r="K96" s="45"/>
      <c r="L96" s="48"/>
      <c r="N96" s="28"/>
      <c r="R96" s="29">
        <f t="shared" si="9"/>
        <v>0</v>
      </c>
    </row>
    <row r="97" spans="1:18" ht="18" x14ac:dyDescent="0.25">
      <c r="A97" s="49" t="s">
        <v>123</v>
      </c>
      <c r="B97" s="23" t="s">
        <v>124</v>
      </c>
      <c r="C97" s="50">
        <f>SUBTOTAL(9,C98:C114)</f>
        <v>9543.0519999999997</v>
      </c>
      <c r="D97" s="51"/>
      <c r="E97" s="51"/>
      <c r="F97" s="51"/>
      <c r="G97" s="51"/>
      <c r="H97" s="51"/>
      <c r="I97" s="75">
        <f>MIN(I98:I114)</f>
        <v>40254</v>
      </c>
      <c r="J97" s="75">
        <f>MIN(J98:J114)</f>
        <v>40360</v>
      </c>
      <c r="K97" s="75">
        <f>MAX(K98:K114)</f>
        <v>42614</v>
      </c>
      <c r="L97" s="51"/>
      <c r="N97" s="28">
        <v>0</v>
      </c>
      <c r="O97" s="4">
        <f t="shared" ref="O97:O108" si="12">C97/$C$201</f>
        <v>4.3772529106715571E-2</v>
      </c>
      <c r="P97" s="4">
        <f t="shared" ref="P97:P108" si="13">C97/$C$120</f>
        <v>0.91402485582373283</v>
      </c>
      <c r="R97" s="29">
        <f t="shared" si="9"/>
        <v>0.91402485582373283</v>
      </c>
    </row>
    <row r="98" spans="1:18" ht="38.25" x14ac:dyDescent="0.25">
      <c r="A98" s="30" t="s">
        <v>125</v>
      </c>
      <c r="B98" s="31" t="s">
        <v>126</v>
      </c>
      <c r="C98" s="76">
        <v>1651.587</v>
      </c>
      <c r="D98" s="30" t="s">
        <v>127</v>
      </c>
      <c r="E98" s="30" t="s">
        <v>27</v>
      </c>
      <c r="F98" s="33">
        <v>0.8</v>
      </c>
      <c r="G98" s="33">
        <f>1-F98</f>
        <v>0.19999999999999996</v>
      </c>
      <c r="H98" s="30" t="s">
        <v>28</v>
      </c>
      <c r="I98" s="77">
        <v>41292</v>
      </c>
      <c r="J98" s="77">
        <v>41407</v>
      </c>
      <c r="K98" s="77">
        <v>41707</v>
      </c>
      <c r="L98" s="35" t="s">
        <v>31</v>
      </c>
      <c r="N98" s="28">
        <v>7.9510086664337145E-3</v>
      </c>
      <c r="O98" s="4">
        <f t="shared" si="12"/>
        <v>7.5755785496896648E-3</v>
      </c>
      <c r="P98" s="4">
        <f t="shared" si="13"/>
        <v>0.15818750328043391</v>
      </c>
      <c r="Q98" s="28">
        <v>0.15818751896429656</v>
      </c>
      <c r="R98" s="29">
        <f t="shared" si="9"/>
        <v>-1.5683862653048664E-8</v>
      </c>
    </row>
    <row r="99" spans="1:18" ht="25.5" x14ac:dyDescent="0.25">
      <c r="A99" s="30" t="s">
        <v>128</v>
      </c>
      <c r="B99" s="31" t="s">
        <v>129</v>
      </c>
      <c r="C99" s="76">
        <v>1761.9390000000001</v>
      </c>
      <c r="D99" s="30" t="s">
        <v>127</v>
      </c>
      <c r="E99" s="30" t="s">
        <v>27</v>
      </c>
      <c r="F99" s="33">
        <v>0.8</v>
      </c>
      <c r="G99" s="33">
        <f>1-F99</f>
        <v>0.19999999999999996</v>
      </c>
      <c r="H99" s="30" t="s">
        <v>28</v>
      </c>
      <c r="I99" s="77">
        <v>41296</v>
      </c>
      <c r="J99" s="77">
        <v>41407</v>
      </c>
      <c r="K99" s="77">
        <v>41707</v>
      </c>
      <c r="L99" s="35" t="s">
        <v>31</v>
      </c>
      <c r="N99" s="28">
        <v>8.4822621227267601E-3</v>
      </c>
      <c r="O99" s="4">
        <f t="shared" si="12"/>
        <v>8.0817464016498426E-3</v>
      </c>
      <c r="P99" s="4">
        <f t="shared" si="13"/>
        <v>0.1687569176449224</v>
      </c>
      <c r="Q99" s="28">
        <v>0.16875695357540205</v>
      </c>
      <c r="R99" s="29">
        <f t="shared" si="9"/>
        <v>-3.5930479647117153E-8</v>
      </c>
    </row>
    <row r="100" spans="1:18" ht="25.5" x14ac:dyDescent="0.25">
      <c r="A100" s="30" t="s">
        <v>130</v>
      </c>
      <c r="B100" s="31" t="s">
        <v>131</v>
      </c>
      <c r="C100" s="76">
        <v>420</v>
      </c>
      <c r="D100" s="30" t="s">
        <v>132</v>
      </c>
      <c r="E100" s="30" t="s">
        <v>27</v>
      </c>
      <c r="F100" s="33">
        <v>0</v>
      </c>
      <c r="G100" s="33">
        <f>1-F100</f>
        <v>1</v>
      </c>
      <c r="H100" s="30" t="s">
        <v>28</v>
      </c>
      <c r="I100" s="77">
        <v>40254</v>
      </c>
      <c r="J100" s="77">
        <v>40360</v>
      </c>
      <c r="K100" s="77">
        <v>40616</v>
      </c>
      <c r="L100" s="35" t="s">
        <v>31</v>
      </c>
      <c r="N100" s="28">
        <v>2.1351813554361639E-3</v>
      </c>
      <c r="O100" s="4">
        <f t="shared" si="12"/>
        <v>1.926476165572664E-3</v>
      </c>
      <c r="P100" s="4">
        <f t="shared" si="13"/>
        <v>4.0227218655621684E-2</v>
      </c>
      <c r="Q100" s="28">
        <v>4.2480024274299588E-2</v>
      </c>
      <c r="R100" s="29">
        <f t="shared" si="9"/>
        <v>-2.2528056186779041E-3</v>
      </c>
    </row>
    <row r="101" spans="1:18" x14ac:dyDescent="0.25">
      <c r="A101" s="30" t="s">
        <v>133</v>
      </c>
      <c r="B101" s="31" t="s">
        <v>134</v>
      </c>
      <c r="C101" s="76">
        <f>SUBTOTAL(9,C102:C103)</f>
        <v>990</v>
      </c>
      <c r="D101" s="30" t="s">
        <v>127</v>
      </c>
      <c r="E101" s="30" t="s">
        <v>27</v>
      </c>
      <c r="F101" s="33">
        <v>0.8</v>
      </c>
      <c r="G101" s="33">
        <f>1-F101</f>
        <v>0.19999999999999996</v>
      </c>
      <c r="H101" s="30" t="s">
        <v>28</v>
      </c>
      <c r="I101" s="77">
        <v>41338</v>
      </c>
      <c r="J101" s="77">
        <v>41414</v>
      </c>
      <c r="K101" s="77">
        <v>41745</v>
      </c>
      <c r="L101" s="35" t="s">
        <v>31</v>
      </c>
      <c r="N101" s="28">
        <v>4.7660298112414375E-3</v>
      </c>
      <c r="O101" s="4">
        <f t="shared" si="12"/>
        <v>4.5409795331355649E-3</v>
      </c>
      <c r="P101" s="4">
        <f t="shared" si="13"/>
        <v>9.4821301116822534E-2</v>
      </c>
      <c r="Q101" s="28">
        <v>9.4821482755132996E-2</v>
      </c>
      <c r="R101" s="29">
        <f t="shared" si="9"/>
        <v>-1.8163831046191792E-7</v>
      </c>
    </row>
    <row r="102" spans="1:18" x14ac:dyDescent="0.25">
      <c r="A102" s="37"/>
      <c r="B102" s="78" t="s">
        <v>135</v>
      </c>
      <c r="C102" s="42">
        <v>696.96</v>
      </c>
      <c r="D102" s="37"/>
      <c r="E102" s="37"/>
      <c r="F102" s="37"/>
      <c r="G102" s="37"/>
      <c r="H102" s="40"/>
      <c r="I102" s="58"/>
      <c r="J102" s="58"/>
      <c r="K102" s="58"/>
      <c r="L102" s="40"/>
      <c r="N102" s="28">
        <v>3.3552849871139718E-3</v>
      </c>
      <c r="O102" s="4">
        <f t="shared" si="12"/>
        <v>3.1968495913274378E-3</v>
      </c>
      <c r="P102" s="4">
        <f t="shared" si="13"/>
        <v>6.6754195986243062E-2</v>
      </c>
      <c r="Q102" s="28">
        <v>6.6754323859613635E-2</v>
      </c>
      <c r="R102" s="29">
        <f t="shared" si="9"/>
        <v>-1.2787337057285075E-7</v>
      </c>
    </row>
    <row r="103" spans="1:18" x14ac:dyDescent="0.25">
      <c r="A103" s="37"/>
      <c r="B103" s="78" t="s">
        <v>136</v>
      </c>
      <c r="C103" s="42">
        <v>293.04000000000002</v>
      </c>
      <c r="D103" s="37"/>
      <c r="E103" s="37"/>
      <c r="F103" s="37"/>
      <c r="G103" s="37"/>
      <c r="H103" s="40"/>
      <c r="I103" s="58"/>
      <c r="J103" s="58"/>
      <c r="K103" s="58"/>
      <c r="L103" s="40"/>
      <c r="N103" s="28">
        <v>1.4107448241274655E-3</v>
      </c>
      <c r="O103" s="4">
        <f t="shared" si="12"/>
        <v>1.3441299418081273E-3</v>
      </c>
      <c r="P103" s="4">
        <f t="shared" si="13"/>
        <v>2.8067105130579473E-2</v>
      </c>
      <c r="Q103" s="28">
        <v>2.8067158895519369E-2</v>
      </c>
      <c r="R103" s="29">
        <f t="shared" si="9"/>
        <v>-5.3764939896006059E-8</v>
      </c>
    </row>
    <row r="104" spans="1:18" x14ac:dyDescent="0.25">
      <c r="A104" s="30" t="s">
        <v>137</v>
      </c>
      <c r="B104" s="31" t="s">
        <v>138</v>
      </c>
      <c r="C104" s="76">
        <f>SUBTOTAL(9,C105:C105)</f>
        <v>894.80897560975598</v>
      </c>
      <c r="D104" s="30" t="s">
        <v>127</v>
      </c>
      <c r="E104" s="30" t="s">
        <v>27</v>
      </c>
      <c r="F104" s="33">
        <v>0.8</v>
      </c>
      <c r="G104" s="33">
        <f>1-F104</f>
        <v>0.19999999999999996</v>
      </c>
      <c r="H104" s="30" t="s">
        <v>28</v>
      </c>
      <c r="I104" s="77">
        <v>41284</v>
      </c>
      <c r="J104" s="77">
        <v>41414</v>
      </c>
      <c r="K104" s="77">
        <v>41624</v>
      </c>
      <c r="L104" s="35" t="s">
        <v>31</v>
      </c>
      <c r="N104" s="28">
        <v>3.1265155561743829E-3</v>
      </c>
      <c r="O104" s="4">
        <f t="shared" si="12"/>
        <v>4.1043527720302049E-3</v>
      </c>
      <c r="P104" s="4">
        <f t="shared" si="13"/>
        <v>8.5703991230634533E-2</v>
      </c>
      <c r="Q104" s="28">
        <v>6.2202892687367249E-2</v>
      </c>
      <c r="R104" s="29">
        <f t="shared" si="9"/>
        <v>2.3501098543267283E-2</v>
      </c>
    </row>
    <row r="105" spans="1:18" x14ac:dyDescent="0.25">
      <c r="A105" s="37"/>
      <c r="B105" s="78" t="s">
        <v>139</v>
      </c>
      <c r="C105" s="42">
        <f>1197.504/451*337</f>
        <v>894.80897560975598</v>
      </c>
      <c r="D105" s="37"/>
      <c r="E105" s="37"/>
      <c r="F105" s="37"/>
      <c r="G105" s="37"/>
      <c r="H105" s="40"/>
      <c r="I105" s="58"/>
      <c r="J105" s="58"/>
      <c r="K105" s="58"/>
      <c r="L105" s="40"/>
      <c r="N105" s="28">
        <v>7.6256476979862998E-4</v>
      </c>
      <c r="O105" s="4">
        <f t="shared" si="12"/>
        <v>4.1043527720302049E-3</v>
      </c>
      <c r="P105" s="4">
        <f t="shared" si="13"/>
        <v>8.5703991230634533E-2</v>
      </c>
      <c r="Q105" s="28">
        <v>1.5171437240821281E-2</v>
      </c>
      <c r="R105" s="29">
        <f t="shared" si="9"/>
        <v>7.0532553989813257E-2</v>
      </c>
    </row>
    <row r="106" spans="1:18" x14ac:dyDescent="0.25">
      <c r="A106" s="30" t="s">
        <v>140</v>
      </c>
      <c r="B106" s="31" t="s">
        <v>141</v>
      </c>
      <c r="C106" s="76">
        <f>SUBTOTAL(9,C107:C107)</f>
        <v>302.69502439024387</v>
      </c>
      <c r="D106" s="30" t="s">
        <v>127</v>
      </c>
      <c r="E106" s="30" t="s">
        <v>27</v>
      </c>
      <c r="F106" s="33">
        <v>0.8</v>
      </c>
      <c r="G106" s="33">
        <f>1-F106</f>
        <v>0.19999999999999996</v>
      </c>
      <c r="H106" s="30" t="s">
        <v>28</v>
      </c>
      <c r="I106" s="77">
        <v>42370</v>
      </c>
      <c r="J106" s="77">
        <v>42430</v>
      </c>
      <c r="K106" s="77">
        <v>42614</v>
      </c>
      <c r="L106" s="35" t="s">
        <v>23</v>
      </c>
      <c r="N106" s="28">
        <v>5.0837651319908669E-4</v>
      </c>
      <c r="O106" s="4">
        <f t="shared" si="12"/>
        <v>1.3884160712505738E-3</v>
      </c>
      <c r="P106" s="4">
        <f t="shared" si="13"/>
        <v>2.8991854600273995E-2</v>
      </c>
      <c r="Q106" s="28">
        <v>1.0114291493880854E-2</v>
      </c>
      <c r="R106" s="29">
        <f t="shared" si="9"/>
        <v>1.8877563106393141E-2</v>
      </c>
    </row>
    <row r="107" spans="1:18" x14ac:dyDescent="0.25">
      <c r="A107" s="37"/>
      <c r="B107" s="78" t="s">
        <v>139</v>
      </c>
      <c r="C107" s="42">
        <f>1197.504/451*114</f>
        <v>302.69502439024387</v>
      </c>
      <c r="D107" s="37"/>
      <c r="E107" s="37"/>
      <c r="F107" s="37"/>
      <c r="G107" s="37"/>
      <c r="H107" s="40"/>
      <c r="I107" s="58"/>
      <c r="J107" s="58"/>
      <c r="K107" s="58"/>
      <c r="L107" s="40"/>
      <c r="N107" s="28">
        <v>1.6776424935569859E-3</v>
      </c>
      <c r="O107" s="4">
        <f t="shared" si="12"/>
        <v>1.3884160712505738E-3</v>
      </c>
      <c r="P107" s="4">
        <f t="shared" si="13"/>
        <v>2.8991854600273995E-2</v>
      </c>
      <c r="Q107" s="28">
        <v>3.3377161929806817E-2</v>
      </c>
      <c r="R107" s="29">
        <f t="shared" si="9"/>
        <v>-4.3853073295328227E-3</v>
      </c>
    </row>
    <row r="108" spans="1:18" x14ac:dyDescent="0.25">
      <c r="A108" s="30" t="s">
        <v>142</v>
      </c>
      <c r="B108" s="31" t="s">
        <v>143</v>
      </c>
      <c r="C108" s="76">
        <f>843</f>
        <v>843</v>
      </c>
      <c r="D108" s="30" t="s">
        <v>132</v>
      </c>
      <c r="E108" s="30" t="s">
        <v>27</v>
      </c>
      <c r="F108" s="33">
        <v>0</v>
      </c>
      <c r="G108" s="33">
        <f>1-F108</f>
        <v>1</v>
      </c>
      <c r="H108" s="30" t="s">
        <v>28</v>
      </c>
      <c r="I108" s="77">
        <v>40543</v>
      </c>
      <c r="J108" s="77">
        <v>40774</v>
      </c>
      <c r="K108" s="77">
        <v>41044</v>
      </c>
      <c r="L108" s="35" t="s">
        <v>31</v>
      </c>
      <c r="N108" s="28">
        <v>4.3466191878521908E-3</v>
      </c>
      <c r="O108" s="4">
        <f t="shared" si="12"/>
        <v>3.8667128751851327E-3</v>
      </c>
      <c r="P108" s="4">
        <f t="shared" si="13"/>
        <v>8.0741774587354945E-2</v>
      </c>
      <c r="Q108" s="28">
        <v>8.6477192272681302E-2</v>
      </c>
      <c r="R108" s="29">
        <f t="shared" si="9"/>
        <v>-5.7354176853263578E-3</v>
      </c>
    </row>
    <row r="109" spans="1:18" x14ac:dyDescent="0.25">
      <c r="A109" s="30" t="s">
        <v>144</v>
      </c>
      <c r="B109" s="31" t="s">
        <v>145</v>
      </c>
      <c r="C109" s="76">
        <v>170.82</v>
      </c>
      <c r="D109" s="30" t="s">
        <v>127</v>
      </c>
      <c r="E109" s="30" t="s">
        <v>27</v>
      </c>
      <c r="F109" s="33">
        <v>0</v>
      </c>
      <c r="G109" s="33">
        <f>1-F109</f>
        <v>1</v>
      </c>
      <c r="H109" s="30" t="s">
        <v>28</v>
      </c>
      <c r="I109" s="77">
        <v>42003</v>
      </c>
      <c r="J109" s="77">
        <v>42064</v>
      </c>
      <c r="K109" s="77">
        <v>42369</v>
      </c>
      <c r="L109" s="35" t="s">
        <v>23</v>
      </c>
      <c r="N109" s="28"/>
      <c r="Q109" s="28"/>
      <c r="R109" s="29"/>
    </row>
    <row r="110" spans="1:18" ht="25.5" x14ac:dyDescent="0.25">
      <c r="A110" s="30" t="s">
        <v>146</v>
      </c>
      <c r="B110" s="31" t="s">
        <v>147</v>
      </c>
      <c r="C110" s="76">
        <v>255.16</v>
      </c>
      <c r="D110" s="30" t="s">
        <v>132</v>
      </c>
      <c r="E110" s="30" t="s">
        <v>27</v>
      </c>
      <c r="F110" s="33">
        <v>0</v>
      </c>
      <c r="G110" s="33">
        <f>1-F110</f>
        <v>1</v>
      </c>
      <c r="H110" s="30" t="s">
        <v>28</v>
      </c>
      <c r="I110" s="77">
        <v>40471</v>
      </c>
      <c r="J110" s="77">
        <v>40640</v>
      </c>
      <c r="K110" s="77">
        <v>40929</v>
      </c>
      <c r="L110" s="35" t="s">
        <v>31</v>
      </c>
      <c r="N110" s="28">
        <v>1.2963601086576708E-3</v>
      </c>
      <c r="O110" s="4">
        <f t="shared" ref="O110:O120" si="14">C110/$C$201</f>
        <v>1.170380139065526E-3</v>
      </c>
      <c r="P110" s="4">
        <f t="shared" ref="P110:P120" si="15">C110/$C$120</f>
        <v>2.4438993124210544E-2</v>
      </c>
      <c r="Q110" s="28">
        <v>2.5791443309396176E-2</v>
      </c>
      <c r="R110" s="29">
        <f t="shared" si="9"/>
        <v>-1.3524501851856323E-3</v>
      </c>
    </row>
    <row r="111" spans="1:18" ht="25.5" x14ac:dyDescent="0.25">
      <c r="A111" s="30" t="s">
        <v>148</v>
      </c>
      <c r="B111" s="31" t="s">
        <v>149</v>
      </c>
      <c r="C111" s="76">
        <v>166.48</v>
      </c>
      <c r="D111" s="30" t="s">
        <v>127</v>
      </c>
      <c r="E111" s="30" t="s">
        <v>27</v>
      </c>
      <c r="F111" s="33">
        <v>0</v>
      </c>
      <c r="G111" s="33">
        <f>1-F111</f>
        <v>1</v>
      </c>
      <c r="H111" s="30" t="s">
        <v>28</v>
      </c>
      <c r="I111" s="77">
        <v>42370</v>
      </c>
      <c r="J111" s="77">
        <v>42430</v>
      </c>
      <c r="K111" s="77">
        <v>42614</v>
      </c>
      <c r="L111" s="35" t="s">
        <v>23</v>
      </c>
      <c r="N111" s="28">
        <v>1.4997107139373056E-3</v>
      </c>
      <c r="O111" s="4">
        <f t="shared" si="14"/>
        <v>7.636184572488978E-4</v>
      </c>
      <c r="P111" s="4">
        <f t="shared" si="15"/>
        <v>1.5945303242352136E-2</v>
      </c>
      <c r="Q111" s="28">
        <v>2.9837159906948518E-2</v>
      </c>
      <c r="R111" s="29">
        <f t="shared" si="9"/>
        <v>-1.3891856664596382E-2</v>
      </c>
    </row>
    <row r="112" spans="1:18" ht="25.5" x14ac:dyDescent="0.25">
      <c r="A112" s="30" t="s">
        <v>150</v>
      </c>
      <c r="B112" s="31" t="s">
        <v>151</v>
      </c>
      <c r="C112" s="76">
        <v>1935.652</v>
      </c>
      <c r="D112" s="30" t="s">
        <v>127</v>
      </c>
      <c r="E112" s="30" t="s">
        <v>27</v>
      </c>
      <c r="F112" s="79">
        <v>0.81770549999999997</v>
      </c>
      <c r="G112" s="33">
        <f>1-F112</f>
        <v>0.18229450000000003</v>
      </c>
      <c r="H112" s="30" t="s">
        <v>28</v>
      </c>
      <c r="I112" s="77">
        <v>42005</v>
      </c>
      <c r="J112" s="77">
        <v>42064</v>
      </c>
      <c r="K112" s="77">
        <v>42430</v>
      </c>
      <c r="L112" s="35" t="s">
        <v>23</v>
      </c>
      <c r="N112" s="28">
        <v>9.3185414869392576E-3</v>
      </c>
      <c r="O112" s="4">
        <f t="shared" si="14"/>
        <v>8.8785415305787097E-3</v>
      </c>
      <c r="P112" s="4">
        <f t="shared" si="15"/>
        <v>0.18539499105997956</v>
      </c>
      <c r="Q112" s="28">
        <v>0.18539496308283604</v>
      </c>
      <c r="R112" s="29">
        <f t="shared" si="9"/>
        <v>2.7977143518542746E-8</v>
      </c>
    </row>
    <row r="113" spans="1:18" x14ac:dyDescent="0.25">
      <c r="A113" s="53"/>
      <c r="B113" s="80" t="s">
        <v>152</v>
      </c>
      <c r="C113" s="42"/>
      <c r="D113" s="53"/>
      <c r="E113" s="37"/>
      <c r="F113" s="81"/>
      <c r="G113" s="81"/>
      <c r="H113" s="56"/>
      <c r="I113" s="82"/>
      <c r="J113" s="82"/>
      <c r="K113" s="82"/>
      <c r="L113" s="56"/>
      <c r="N113" s="28">
        <v>0</v>
      </c>
      <c r="O113" s="4">
        <f t="shared" si="14"/>
        <v>0</v>
      </c>
      <c r="P113" s="4">
        <f t="shared" si="15"/>
        <v>0</v>
      </c>
      <c r="Q113" s="28">
        <v>0</v>
      </c>
      <c r="R113" s="29">
        <f t="shared" si="9"/>
        <v>0</v>
      </c>
    </row>
    <row r="114" spans="1:18" ht="25.5" x14ac:dyDescent="0.25">
      <c r="A114" s="30" t="s">
        <v>153</v>
      </c>
      <c r="B114" s="31" t="s">
        <v>154</v>
      </c>
      <c r="C114" s="76">
        <v>150.91</v>
      </c>
      <c r="D114" s="30" t="s">
        <v>132</v>
      </c>
      <c r="E114" s="30" t="s">
        <v>27</v>
      </c>
      <c r="F114" s="33">
        <v>0</v>
      </c>
      <c r="G114" s="33">
        <f>1-F114</f>
        <v>1</v>
      </c>
      <c r="H114" s="30" t="s">
        <v>28</v>
      </c>
      <c r="I114" s="77">
        <v>40499</v>
      </c>
      <c r="J114" s="77">
        <v>40735</v>
      </c>
      <c r="K114" s="77">
        <v>40904</v>
      </c>
      <c r="L114" s="35" t="s">
        <v>31</v>
      </c>
      <c r="N114" s="28">
        <v>5.4650475168901817E-4</v>
      </c>
      <c r="O114" s="4">
        <f t="shared" si="14"/>
        <v>6.9220123368231117E-4</v>
      </c>
      <c r="P114" s="4">
        <f t="shared" si="15"/>
        <v>1.4454022779333019E-2</v>
      </c>
      <c r="Q114" s="28">
        <v>1.0872863355921917E-2</v>
      </c>
      <c r="R114" s="29">
        <f t="shared" si="9"/>
        <v>3.5811594234111017E-3</v>
      </c>
    </row>
    <row r="115" spans="1:18" ht="18" x14ac:dyDescent="0.25">
      <c r="A115" s="49" t="s">
        <v>155</v>
      </c>
      <c r="B115" s="23" t="s">
        <v>156</v>
      </c>
      <c r="C115" s="50">
        <f>SUBTOTAL(9,C116:C117)</f>
        <v>660</v>
      </c>
      <c r="D115" s="51"/>
      <c r="E115" s="51"/>
      <c r="F115" s="51"/>
      <c r="G115" s="51"/>
      <c r="H115" s="83"/>
      <c r="I115" s="75">
        <f>MIN(I116:I117)</f>
        <v>42003</v>
      </c>
      <c r="J115" s="75">
        <f>MIN(J116:J117)</f>
        <v>42064</v>
      </c>
      <c r="K115" s="75">
        <f>MAX(K116:K117)</f>
        <v>42431</v>
      </c>
      <c r="L115" s="51"/>
      <c r="N115" s="28">
        <v>0</v>
      </c>
      <c r="O115" s="4">
        <f t="shared" si="14"/>
        <v>3.0273196887570433E-3</v>
      </c>
      <c r="P115" s="4">
        <f t="shared" si="15"/>
        <v>6.3214200744548352E-2</v>
      </c>
      <c r="Q115" s="28">
        <v>0</v>
      </c>
      <c r="R115" s="29">
        <f t="shared" si="9"/>
        <v>6.3214200744548352E-2</v>
      </c>
    </row>
    <row r="116" spans="1:18" ht="25.5" x14ac:dyDescent="0.25">
      <c r="A116" s="30" t="s">
        <v>157</v>
      </c>
      <c r="B116" s="31" t="s">
        <v>158</v>
      </c>
      <c r="C116" s="76">
        <v>660</v>
      </c>
      <c r="D116" s="30" t="s">
        <v>47</v>
      </c>
      <c r="E116" s="30" t="s">
        <v>27</v>
      </c>
      <c r="F116" s="33">
        <v>0.8</v>
      </c>
      <c r="G116" s="33">
        <f>1-F116</f>
        <v>0.19999999999999996</v>
      </c>
      <c r="H116" s="30" t="s">
        <v>28</v>
      </c>
      <c r="I116" s="77">
        <v>42003</v>
      </c>
      <c r="J116" s="77">
        <v>42064</v>
      </c>
      <c r="K116" s="77">
        <v>42431</v>
      </c>
      <c r="L116" s="35" t="s">
        <v>23</v>
      </c>
      <c r="N116" s="28">
        <v>3.1773532074942917E-3</v>
      </c>
      <c r="O116" s="4">
        <f t="shared" si="14"/>
        <v>3.0273196887570433E-3</v>
      </c>
      <c r="P116" s="4">
        <f t="shared" si="15"/>
        <v>6.3214200744548352E-2</v>
      </c>
      <c r="Q116" s="28">
        <v>6.3214321836755336E-2</v>
      </c>
      <c r="R116" s="29">
        <f t="shared" si="9"/>
        <v>-1.210922069838638E-7</v>
      </c>
    </row>
    <row r="117" spans="1:18" x14ac:dyDescent="0.25">
      <c r="A117" s="53"/>
      <c r="B117" s="84" t="s">
        <v>159</v>
      </c>
      <c r="C117" s="85"/>
      <c r="D117" s="53"/>
      <c r="E117" s="37"/>
      <c r="F117" s="81"/>
      <c r="G117" s="81"/>
      <c r="H117" s="56"/>
      <c r="I117" s="82"/>
      <c r="J117" s="82"/>
      <c r="K117" s="82"/>
      <c r="L117" s="56"/>
      <c r="N117" s="28">
        <v>0</v>
      </c>
      <c r="O117" s="4">
        <f t="shared" si="14"/>
        <v>0</v>
      </c>
      <c r="P117" s="4">
        <f t="shared" si="15"/>
        <v>0</v>
      </c>
      <c r="Q117" s="28">
        <v>0</v>
      </c>
      <c r="R117" s="29">
        <f t="shared" si="9"/>
        <v>0</v>
      </c>
    </row>
    <row r="118" spans="1:18" ht="18" x14ac:dyDescent="0.25">
      <c r="A118" s="49" t="s">
        <v>160</v>
      </c>
      <c r="B118" s="23" t="s">
        <v>161</v>
      </c>
      <c r="C118" s="50">
        <f>SUBTOTAL(9,C119:C119)</f>
        <v>237.64</v>
      </c>
      <c r="D118" s="51"/>
      <c r="E118" s="51"/>
      <c r="F118" s="51"/>
      <c r="G118" s="51"/>
      <c r="H118" s="83"/>
      <c r="I118" s="75">
        <f>MIN(I119:I119)</f>
        <v>40526</v>
      </c>
      <c r="J118" s="75">
        <f>MIN(J119:J119)</f>
        <v>40560</v>
      </c>
      <c r="K118" s="75">
        <f>MAX(K119:K119)</f>
        <v>41453</v>
      </c>
      <c r="L118" s="51"/>
      <c r="N118" s="28">
        <v>0</v>
      </c>
      <c r="O118" s="4">
        <f t="shared" si="14"/>
        <v>1.0900185618730662E-3</v>
      </c>
      <c r="P118" s="4">
        <f t="shared" si="15"/>
        <v>2.2760943431718896E-2</v>
      </c>
      <c r="Q118" s="28">
        <v>0</v>
      </c>
      <c r="R118" s="29">
        <f t="shared" si="9"/>
        <v>2.2760943431718896E-2</v>
      </c>
    </row>
    <row r="119" spans="1:18" ht="25.5" x14ac:dyDescent="0.25">
      <c r="A119" s="30" t="s">
        <v>162</v>
      </c>
      <c r="B119" s="31" t="s">
        <v>163</v>
      </c>
      <c r="C119" s="76">
        <v>237.64</v>
      </c>
      <c r="D119" s="30">
        <v>8666</v>
      </c>
      <c r="E119" s="30" t="s">
        <v>27</v>
      </c>
      <c r="F119" s="33">
        <v>0</v>
      </c>
      <c r="G119" s="33">
        <f>1-F119</f>
        <v>1</v>
      </c>
      <c r="H119" s="30" t="s">
        <v>28</v>
      </c>
      <c r="I119" s="77">
        <v>40526</v>
      </c>
      <c r="J119" s="77">
        <v>40560</v>
      </c>
      <c r="K119" s="77">
        <v>41453</v>
      </c>
      <c r="L119" s="35" t="s">
        <v>31</v>
      </c>
      <c r="N119" s="28">
        <v>9.7862478790824189E-4</v>
      </c>
      <c r="O119" s="4">
        <f t="shared" si="14"/>
        <v>1.0900185618730662E-3</v>
      </c>
      <c r="P119" s="4">
        <f t="shared" si="15"/>
        <v>2.2760943431718896E-2</v>
      </c>
      <c r="Q119" s="28">
        <v>1.9470011125720645E-2</v>
      </c>
      <c r="R119" s="29">
        <f t="shared" si="9"/>
        <v>3.2909323059982509E-3</v>
      </c>
    </row>
    <row r="120" spans="1:18" ht="18" x14ac:dyDescent="0.25">
      <c r="A120" s="86">
        <v>2</v>
      </c>
      <c r="B120" s="87" t="s">
        <v>164</v>
      </c>
      <c r="C120" s="88">
        <f>SUBTOTAL(9,C98:C119)</f>
        <v>10440.691999999999</v>
      </c>
      <c r="D120" s="89"/>
      <c r="E120" s="89"/>
      <c r="F120" s="90">
        <f>SUMPRODUCT(F98:F119,$C$98:$C$119)</f>
        <v>6591.617286486</v>
      </c>
      <c r="G120" s="90">
        <f>SUMPRODUCT(G98:G119,$C$98:$C$119)</f>
        <v>3849.0747135139995</v>
      </c>
      <c r="H120" s="91"/>
      <c r="I120" s="65">
        <f>MIN(I97:I119)</f>
        <v>40254</v>
      </c>
      <c r="J120" s="65">
        <f>MIN(J97:J119)</f>
        <v>40360</v>
      </c>
      <c r="K120" s="65">
        <f>MAX(K97:K119)</f>
        <v>42614</v>
      </c>
      <c r="L120" s="89"/>
      <c r="N120" s="28">
        <v>5.0263185859993696E-2</v>
      </c>
      <c r="O120" s="4">
        <f t="shared" si="14"/>
        <v>4.7889867357345683E-2</v>
      </c>
      <c r="P120" s="4">
        <f t="shared" si="15"/>
        <v>1</v>
      </c>
      <c r="Q120" s="28">
        <v>1</v>
      </c>
      <c r="R120" s="29">
        <f t="shared" si="9"/>
        <v>0</v>
      </c>
    </row>
    <row r="121" spans="1:18" ht="15.75" x14ac:dyDescent="0.25">
      <c r="A121" s="92"/>
      <c r="B121" s="93"/>
      <c r="C121" s="94">
        <f>'[1]%'!L8</f>
        <v>10440692</v>
      </c>
      <c r="D121" s="92"/>
      <c r="E121" s="92"/>
      <c r="F121" s="94">
        <f>'[1]%'!J8</f>
        <v>6591617</v>
      </c>
      <c r="G121" s="94">
        <f>'[1]%'!K8</f>
        <v>3849075</v>
      </c>
      <c r="H121" s="95"/>
      <c r="I121" s="96"/>
      <c r="J121" s="96"/>
      <c r="K121" s="96"/>
      <c r="L121" s="92"/>
      <c r="N121" s="28"/>
      <c r="R121" s="29">
        <f t="shared" si="9"/>
        <v>0</v>
      </c>
    </row>
    <row r="122" spans="1:18" ht="18" hidden="1" x14ac:dyDescent="0.25">
      <c r="A122" s="97" t="s">
        <v>119</v>
      </c>
      <c r="B122" s="98"/>
      <c r="C122" s="97"/>
      <c r="D122" s="97"/>
      <c r="E122" s="97"/>
      <c r="F122" s="97"/>
      <c r="G122" s="97"/>
      <c r="H122" s="97"/>
      <c r="I122" s="97"/>
      <c r="J122" s="97"/>
      <c r="K122" s="97"/>
      <c r="L122" s="99"/>
      <c r="N122" s="28"/>
      <c r="R122" s="29">
        <f t="shared" si="9"/>
        <v>0</v>
      </c>
    </row>
    <row r="123" spans="1:18" ht="18" hidden="1" x14ac:dyDescent="0.25">
      <c r="A123" s="97" t="s">
        <v>165</v>
      </c>
      <c r="B123" s="98"/>
      <c r="C123" s="97"/>
      <c r="D123" s="97"/>
      <c r="E123" s="97"/>
      <c r="F123" s="97"/>
      <c r="G123" s="97"/>
      <c r="H123" s="97"/>
      <c r="I123" s="97"/>
      <c r="J123" s="97"/>
      <c r="K123" s="97"/>
      <c r="L123" s="99"/>
      <c r="N123" s="28"/>
      <c r="R123" s="29">
        <f t="shared" si="9"/>
        <v>0</v>
      </c>
    </row>
    <row r="124" spans="1:18" ht="25.5" hidden="1" x14ac:dyDescent="0.25">
      <c r="A124" s="100" t="s">
        <v>2</v>
      </c>
      <c r="B124" s="101" t="s">
        <v>3</v>
      </c>
      <c r="C124" s="102" t="s">
        <v>4</v>
      </c>
      <c r="D124" s="103" t="s">
        <v>5</v>
      </c>
      <c r="E124" s="100" t="s">
        <v>6</v>
      </c>
      <c r="F124" s="104" t="s">
        <v>7</v>
      </c>
      <c r="G124" s="105"/>
      <c r="H124" s="103" t="s">
        <v>8</v>
      </c>
      <c r="I124" s="104" t="s">
        <v>9</v>
      </c>
      <c r="J124" s="106"/>
      <c r="K124" s="105"/>
      <c r="L124" s="103" t="s">
        <v>121</v>
      </c>
      <c r="N124" s="28"/>
      <c r="R124" s="29">
        <f t="shared" si="9"/>
        <v>0</v>
      </c>
    </row>
    <row r="125" spans="1:18" ht="51" hidden="1" x14ac:dyDescent="0.25">
      <c r="A125" s="100"/>
      <c r="B125" s="101"/>
      <c r="C125" s="16" t="s">
        <v>122</v>
      </c>
      <c r="D125" s="107"/>
      <c r="E125" s="108" t="s">
        <v>166</v>
      </c>
      <c r="F125" s="108" t="s">
        <v>13</v>
      </c>
      <c r="G125" s="108" t="s">
        <v>14</v>
      </c>
      <c r="H125" s="107"/>
      <c r="I125" s="108" t="s">
        <v>15</v>
      </c>
      <c r="J125" s="109" t="s">
        <v>16</v>
      </c>
      <c r="K125" s="108" t="s">
        <v>17</v>
      </c>
      <c r="L125" s="107"/>
      <c r="N125" s="28"/>
      <c r="R125" s="29">
        <f t="shared" si="9"/>
        <v>0</v>
      </c>
    </row>
    <row r="126" spans="1:18" ht="18" hidden="1" x14ac:dyDescent="0.25">
      <c r="A126" s="110" t="s">
        <v>167</v>
      </c>
      <c r="B126" s="111" t="s">
        <v>168</v>
      </c>
      <c r="C126" s="112">
        <f>SUBTOTAL(9,C127:C129)</f>
        <v>1266.2310000000002</v>
      </c>
      <c r="D126" s="113"/>
      <c r="E126" s="113"/>
      <c r="F126" s="113"/>
      <c r="G126" s="113"/>
      <c r="H126" s="113"/>
      <c r="I126" s="113"/>
      <c r="J126" s="113"/>
      <c r="K126" s="113"/>
      <c r="L126" s="113"/>
      <c r="N126" s="28">
        <v>1.5134928012101328E-2</v>
      </c>
      <c r="O126" s="4">
        <f t="shared" ref="O126:O131" si="16">C126/$C$201</f>
        <v>5.8080091466886676E-3</v>
      </c>
      <c r="P126" s="4">
        <f t="shared" ref="P126:P131" si="17">C126/$C$131</f>
        <v>0.47172951955327247</v>
      </c>
      <c r="Q126" s="4">
        <v>1</v>
      </c>
      <c r="R126" s="29">
        <f t="shared" si="9"/>
        <v>-0.52827048044672753</v>
      </c>
    </row>
    <row r="127" spans="1:18" hidden="1" x14ac:dyDescent="0.25">
      <c r="A127" s="114" t="s">
        <v>169</v>
      </c>
      <c r="B127" s="115" t="str">
        <f>'[1]%'!I13</f>
        <v xml:space="preserve"> Engenharia e administração</v>
      </c>
      <c r="C127" s="116">
        <f>2261.231-C130</f>
        <v>843.23100000000022</v>
      </c>
      <c r="D127" s="114" t="s">
        <v>170</v>
      </c>
      <c r="E127" s="30" t="s">
        <v>27</v>
      </c>
      <c r="F127" s="117">
        <v>0.87772555799999996</v>
      </c>
      <c r="G127" s="33">
        <f>1-F127</f>
        <v>0.12227444200000004</v>
      </c>
      <c r="H127" s="114" t="s">
        <v>28</v>
      </c>
      <c r="I127" s="77"/>
      <c r="J127" s="77">
        <v>40909</v>
      </c>
      <c r="K127" s="77">
        <v>42359</v>
      </c>
      <c r="L127" s="118" t="s">
        <v>29</v>
      </c>
      <c r="N127" s="28">
        <v>2.745233171275068E-3</v>
      </c>
      <c r="O127" s="4">
        <f t="shared" si="16"/>
        <v>3.8677724370761984E-3</v>
      </c>
      <c r="P127" s="4">
        <f t="shared" si="17"/>
        <v>0.31414248624652652</v>
      </c>
      <c r="Q127" s="4">
        <v>0.18138395961183834</v>
      </c>
      <c r="R127" s="29">
        <f t="shared" si="9"/>
        <v>0.13275852663468818</v>
      </c>
    </row>
    <row r="128" spans="1:18" hidden="1" x14ac:dyDescent="0.25">
      <c r="A128" s="114" t="s">
        <v>171</v>
      </c>
      <c r="B128" s="115" t="str">
        <f>'[1]%'!I14</f>
        <v>Auditoria externa</v>
      </c>
      <c r="C128" s="116">
        <v>223</v>
      </c>
      <c r="D128" s="114">
        <v>8666</v>
      </c>
      <c r="E128" s="30" t="s">
        <v>27</v>
      </c>
      <c r="F128" s="119">
        <v>0</v>
      </c>
      <c r="G128" s="33">
        <f>1-F128</f>
        <v>1</v>
      </c>
      <c r="H128" s="114" t="s">
        <v>28</v>
      </c>
      <c r="I128" s="77">
        <v>41183</v>
      </c>
      <c r="J128" s="77">
        <v>41214</v>
      </c>
      <c r="K128" s="77">
        <v>42359</v>
      </c>
      <c r="L128" s="118" t="s">
        <v>23</v>
      </c>
      <c r="N128" s="28">
        <v>5.0329274806709574E-3</v>
      </c>
      <c r="O128" s="4">
        <f t="shared" si="16"/>
        <v>1.0228671069588192E-3</v>
      </c>
      <c r="P128" s="4">
        <f t="shared" si="17"/>
        <v>8.3077797700719491E-2</v>
      </c>
      <c r="Q128" s="4">
        <v>0.3325372592883703</v>
      </c>
      <c r="R128" s="29">
        <f t="shared" si="9"/>
        <v>-0.24945946158765081</v>
      </c>
    </row>
    <row r="129" spans="1:18" ht="25.5" hidden="1" x14ac:dyDescent="0.25">
      <c r="A129" s="114" t="s">
        <v>172</v>
      </c>
      <c r="B129" s="115" t="s">
        <v>173</v>
      </c>
      <c r="C129" s="116">
        <v>200</v>
      </c>
      <c r="D129" s="114" t="s">
        <v>174</v>
      </c>
      <c r="E129" s="30" t="s">
        <v>175</v>
      </c>
      <c r="F129" s="119">
        <v>0</v>
      </c>
      <c r="G129" s="33">
        <f>1-F129</f>
        <v>1</v>
      </c>
      <c r="H129" s="114" t="s">
        <v>28</v>
      </c>
      <c r="I129" s="77">
        <v>41760</v>
      </c>
      <c r="J129" s="77">
        <v>41821</v>
      </c>
      <c r="K129" s="77">
        <v>42359</v>
      </c>
      <c r="L129" s="118" t="s">
        <v>23</v>
      </c>
      <c r="N129" s="28">
        <v>7.3567673601553025E-3</v>
      </c>
      <c r="O129" s="4">
        <f t="shared" si="16"/>
        <v>9.1736960265364944E-4</v>
      </c>
      <c r="P129" s="4">
        <f t="shared" si="17"/>
        <v>7.4509235606026444E-2</v>
      </c>
      <c r="Q129" s="4">
        <v>0.48607878109979141</v>
      </c>
      <c r="R129" s="29">
        <f t="shared" si="9"/>
        <v>-0.41156954549376495</v>
      </c>
    </row>
    <row r="130" spans="1:18" hidden="1" x14ac:dyDescent="0.25">
      <c r="A130" s="114" t="s">
        <v>176</v>
      </c>
      <c r="B130" s="115" t="s">
        <v>177</v>
      </c>
      <c r="C130" s="116">
        <v>1418</v>
      </c>
      <c r="D130" s="114" t="s">
        <v>26</v>
      </c>
      <c r="E130" s="30" t="s">
        <v>27</v>
      </c>
      <c r="F130" s="117">
        <v>0.87772555799999996</v>
      </c>
      <c r="G130" s="33">
        <f>1-F130</f>
        <v>0.12227444200000004</v>
      </c>
      <c r="H130" s="114" t="s">
        <v>28</v>
      </c>
      <c r="I130" s="77">
        <v>41760</v>
      </c>
      <c r="J130" s="77">
        <v>41821</v>
      </c>
      <c r="K130" s="77">
        <v>42359</v>
      </c>
      <c r="L130" s="118" t="s">
        <v>29</v>
      </c>
      <c r="N130" s="28"/>
      <c r="O130" s="4">
        <f t="shared" si="16"/>
        <v>6.5041504828143746E-3</v>
      </c>
      <c r="P130" s="4">
        <f t="shared" si="17"/>
        <v>0.52827048044672753</v>
      </c>
      <c r="Q130" s="4"/>
      <c r="R130" s="29"/>
    </row>
    <row r="131" spans="1:18" ht="15.75" hidden="1" x14ac:dyDescent="0.25">
      <c r="A131" s="120"/>
      <c r="B131" s="87" t="s">
        <v>178</v>
      </c>
      <c r="C131" s="121">
        <f>SUBTOTAL(9,C127:C130)</f>
        <v>2684.2310000000002</v>
      </c>
      <c r="D131" s="89"/>
      <c r="E131" s="89"/>
      <c r="F131" s="90">
        <f>SUMPRODUCT(F127:F130,$C$127:$C$130)</f>
        <v>1984.7402412418983</v>
      </c>
      <c r="G131" s="90">
        <f>SUMPRODUCT(G127:G130,$C$127:$C$130)</f>
        <v>699.49075875810217</v>
      </c>
      <c r="H131" s="91"/>
      <c r="I131" s="65">
        <f>MIN(I127:I130)</f>
        <v>41183</v>
      </c>
      <c r="J131" s="65">
        <f>MIN(J127:J130)</f>
        <v>40909</v>
      </c>
      <c r="K131" s="65">
        <f>MAX(K127:K130)</f>
        <v>42359</v>
      </c>
      <c r="L131" s="120"/>
      <c r="N131" s="28">
        <v>1.5134928012101328E-2</v>
      </c>
      <c r="O131" s="4">
        <f t="shared" si="16"/>
        <v>1.2312159629503041E-2</v>
      </c>
      <c r="P131" s="4">
        <f t="shared" si="17"/>
        <v>1</v>
      </c>
      <c r="Q131" s="4">
        <v>1</v>
      </c>
      <c r="R131" s="29">
        <f t="shared" si="9"/>
        <v>0</v>
      </c>
    </row>
    <row r="132" spans="1:18" hidden="1" x14ac:dyDescent="0.25">
      <c r="A132" s="122"/>
      <c r="B132" s="68"/>
      <c r="C132" s="69">
        <f>'[1]%'!L12</f>
        <v>2684231</v>
      </c>
      <c r="D132" s="67"/>
      <c r="E132" s="123"/>
      <c r="F132" s="124">
        <f>'[1]%'!J13</f>
        <v>1984740</v>
      </c>
      <c r="G132" s="70">
        <f>'[1]%'!K13+'[1]%'!L14+'[1]%'!L15+'[1]%'!L16</f>
        <v>699491</v>
      </c>
      <c r="H132" s="123"/>
      <c r="I132" s="67"/>
      <c r="J132" s="67"/>
      <c r="K132" s="67"/>
      <c r="L132" s="67"/>
      <c r="N132" s="28"/>
      <c r="R132" s="29">
        <f t="shared" si="9"/>
        <v>0</v>
      </c>
    </row>
    <row r="133" spans="1:18" x14ac:dyDescent="0.25">
      <c r="A133" s="67"/>
      <c r="B133" s="68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N133" s="28"/>
      <c r="R133" s="29">
        <f t="shared" si="9"/>
        <v>0</v>
      </c>
    </row>
    <row r="134" spans="1:18" ht="18" x14ac:dyDescent="0.25">
      <c r="A134" s="5" t="s">
        <v>119</v>
      </c>
      <c r="B134" s="6"/>
      <c r="C134" s="5"/>
      <c r="D134" s="5"/>
      <c r="E134" s="5"/>
      <c r="F134" s="5"/>
      <c r="G134" s="5"/>
      <c r="H134" s="5"/>
      <c r="I134" s="5"/>
      <c r="J134" s="5"/>
      <c r="K134" s="5"/>
      <c r="L134" s="7"/>
      <c r="N134" s="28"/>
      <c r="R134" s="29">
        <f t="shared" si="9"/>
        <v>0</v>
      </c>
    </row>
    <row r="135" spans="1:18" ht="18" x14ac:dyDescent="0.25">
      <c r="A135" s="5" t="s">
        <v>179</v>
      </c>
      <c r="B135" s="6"/>
      <c r="C135" s="5"/>
      <c r="D135" s="5"/>
      <c r="E135" s="5"/>
      <c r="F135" s="5"/>
      <c r="G135" s="5"/>
      <c r="H135" s="5"/>
      <c r="I135" s="5"/>
      <c r="J135" s="5"/>
      <c r="K135" s="5"/>
      <c r="L135" s="7"/>
      <c r="N135" s="28"/>
      <c r="R135" s="29">
        <f t="shared" si="9"/>
        <v>0</v>
      </c>
    </row>
    <row r="136" spans="1:18" ht="25.5" x14ac:dyDescent="0.25">
      <c r="A136" s="125" t="s">
        <v>2</v>
      </c>
      <c r="B136" s="126" t="s">
        <v>3</v>
      </c>
      <c r="C136" s="125" t="s">
        <v>4</v>
      </c>
      <c r="D136" s="127" t="s">
        <v>5</v>
      </c>
      <c r="E136" s="125" t="s">
        <v>6</v>
      </c>
      <c r="F136" s="128" t="s">
        <v>7</v>
      </c>
      <c r="G136" s="129"/>
      <c r="H136" s="127" t="s">
        <v>180</v>
      </c>
      <c r="I136" s="128" t="s">
        <v>9</v>
      </c>
      <c r="J136" s="130"/>
      <c r="K136" s="129"/>
      <c r="L136" s="127" t="s">
        <v>121</v>
      </c>
      <c r="N136" s="28"/>
      <c r="R136" s="29">
        <f t="shared" si="9"/>
        <v>0</v>
      </c>
    </row>
    <row r="137" spans="1:18" ht="51" x14ac:dyDescent="0.25">
      <c r="A137" s="125"/>
      <c r="B137" s="126"/>
      <c r="C137" s="16" t="s">
        <v>122</v>
      </c>
      <c r="D137" s="131"/>
      <c r="E137" s="18" t="s">
        <v>12</v>
      </c>
      <c r="F137" s="125" t="s">
        <v>13</v>
      </c>
      <c r="G137" s="125" t="s">
        <v>14</v>
      </c>
      <c r="H137" s="131"/>
      <c r="I137" s="125" t="s">
        <v>15</v>
      </c>
      <c r="J137" s="125" t="s">
        <v>16</v>
      </c>
      <c r="K137" s="125" t="s">
        <v>17</v>
      </c>
      <c r="L137" s="131"/>
      <c r="N137" s="28"/>
      <c r="R137" s="29">
        <f t="shared" si="9"/>
        <v>0</v>
      </c>
    </row>
    <row r="138" spans="1:18" ht="65.25" x14ac:dyDescent="0.25">
      <c r="A138" s="22" t="s">
        <v>181</v>
      </c>
      <c r="B138" s="23" t="s">
        <v>182</v>
      </c>
      <c r="C138" s="50">
        <f>SUBTOTAL(9,C139:C158)</f>
        <v>1922.2600000000002</v>
      </c>
      <c r="D138" s="49"/>
      <c r="E138" s="49"/>
      <c r="F138" s="49"/>
      <c r="G138" s="49"/>
      <c r="H138" s="49"/>
      <c r="I138" s="75">
        <f>MIN(I139:I158)</f>
        <v>41608</v>
      </c>
      <c r="J138" s="75">
        <f>MIN(J139:J158)</f>
        <v>41669</v>
      </c>
      <c r="K138" s="75">
        <f>MAX(K139:K158)</f>
        <v>42304</v>
      </c>
      <c r="L138" s="51"/>
      <c r="N138" s="28">
        <v>9.2544860462761731E-3</v>
      </c>
      <c r="O138" s="4">
        <f t="shared" ref="O138:O170" si="18">C138/$C$201</f>
        <v>8.8171144619850223E-3</v>
      </c>
      <c r="P138" s="4">
        <f t="shared" ref="P138:P170" si="19">C138/$C$170</f>
        <v>0.17071447398990133</v>
      </c>
      <c r="R138" s="29">
        <f t="shared" si="9"/>
        <v>0.17071447398990133</v>
      </c>
    </row>
    <row r="139" spans="1:18" ht="15.75" x14ac:dyDescent="0.25">
      <c r="A139" s="30" t="s">
        <v>183</v>
      </c>
      <c r="B139" s="132" t="s">
        <v>184</v>
      </c>
      <c r="C139" s="133">
        <f>SUBTOTAL(9,C140:C140)</f>
        <v>337.85</v>
      </c>
      <c r="D139" s="134" t="s">
        <v>47</v>
      </c>
      <c r="E139" s="30" t="s">
        <v>27</v>
      </c>
      <c r="F139" s="135">
        <v>0.8</v>
      </c>
      <c r="G139" s="135">
        <f>1-F139</f>
        <v>0.19999999999999996</v>
      </c>
      <c r="H139" s="134" t="s">
        <v>28</v>
      </c>
      <c r="I139" s="136">
        <v>41608</v>
      </c>
      <c r="J139" s="136">
        <v>41669</v>
      </c>
      <c r="K139" s="136">
        <v>41850</v>
      </c>
      <c r="L139" s="137" t="s">
        <v>23</v>
      </c>
      <c r="N139" s="28">
        <v>1.6268048422370773E-3</v>
      </c>
      <c r="O139" s="4">
        <f t="shared" si="18"/>
        <v>1.5496666012826774E-3</v>
      </c>
      <c r="P139" s="4">
        <f t="shared" si="19"/>
        <v>3.0004206006205281E-2</v>
      </c>
      <c r="Q139" s="4">
        <v>3.0009190314533828E-2</v>
      </c>
      <c r="R139" s="29">
        <f t="shared" si="9"/>
        <v>-4.9843083285462664E-6</v>
      </c>
    </row>
    <row r="140" spans="1:18" x14ac:dyDescent="0.25">
      <c r="A140" s="53"/>
      <c r="B140" s="54" t="s">
        <v>185</v>
      </c>
      <c r="C140" s="42">
        <v>337.85</v>
      </c>
      <c r="D140" s="56"/>
      <c r="E140" s="37"/>
      <c r="F140" s="138"/>
      <c r="G140" s="138"/>
      <c r="H140" s="56"/>
      <c r="I140" s="139"/>
      <c r="J140" s="139"/>
      <c r="K140" s="139"/>
      <c r="L140" s="56"/>
      <c r="N140" s="28">
        <v>1.6268048422370773E-3</v>
      </c>
      <c r="O140" s="4">
        <f t="shared" si="18"/>
        <v>1.5496666012826774E-3</v>
      </c>
      <c r="P140" s="4">
        <f t="shared" si="19"/>
        <v>3.0004206006205281E-2</v>
      </c>
      <c r="Q140" s="4">
        <v>3.0009190314533828E-2</v>
      </c>
      <c r="R140" s="29">
        <f t="shared" si="9"/>
        <v>-4.9843083285462664E-6</v>
      </c>
    </row>
    <row r="141" spans="1:18" ht="25.5" x14ac:dyDescent="0.25">
      <c r="A141" s="30" t="s">
        <v>186</v>
      </c>
      <c r="B141" s="132" t="s">
        <v>187</v>
      </c>
      <c r="C141" s="133">
        <f>SUBTOTAL(9,C142:C142)</f>
        <v>121.89</v>
      </c>
      <c r="D141" s="134" t="s">
        <v>47</v>
      </c>
      <c r="E141" s="30" t="s">
        <v>27</v>
      </c>
      <c r="F141" s="135">
        <v>0.8</v>
      </c>
      <c r="G141" s="135">
        <f>1-F141</f>
        <v>0.19999999999999996</v>
      </c>
      <c r="H141" s="134" t="s">
        <v>28</v>
      </c>
      <c r="I141" s="136">
        <v>41728</v>
      </c>
      <c r="J141" s="136">
        <v>41789</v>
      </c>
      <c r="K141" s="136">
        <v>42004</v>
      </c>
      <c r="L141" s="137" t="s">
        <v>23</v>
      </c>
      <c r="N141" s="28">
        <v>5.8463299017894965E-4</v>
      </c>
      <c r="O141" s="4">
        <f t="shared" si="18"/>
        <v>5.5909090433726668E-4</v>
      </c>
      <c r="P141" s="4">
        <f t="shared" si="19"/>
        <v>1.0824959804932253E-2</v>
      </c>
      <c r="Q141" s="4">
        <v>1.0784552769285595E-2</v>
      </c>
      <c r="R141" s="29">
        <f t="shared" si="9"/>
        <v>4.0407035646658485E-5</v>
      </c>
    </row>
    <row r="142" spans="1:18" ht="25.5" x14ac:dyDescent="0.25">
      <c r="A142" s="53"/>
      <c r="B142" s="54" t="s">
        <v>188</v>
      </c>
      <c r="C142" s="42">
        <v>121.89</v>
      </c>
      <c r="D142" s="56"/>
      <c r="E142" s="37"/>
      <c r="F142" s="138"/>
      <c r="G142" s="138"/>
      <c r="H142" s="56"/>
      <c r="I142" s="139"/>
      <c r="J142" s="139"/>
      <c r="K142" s="139"/>
      <c r="L142" s="56"/>
      <c r="N142" s="28">
        <v>5.8463299017894965E-4</v>
      </c>
      <c r="O142" s="4">
        <f t="shared" si="18"/>
        <v>5.5909090433726668E-4</v>
      </c>
      <c r="P142" s="4">
        <f t="shared" si="19"/>
        <v>1.0824959804932253E-2</v>
      </c>
      <c r="Q142" s="4">
        <v>1.0784552769285595E-2</v>
      </c>
      <c r="R142" s="29">
        <f t="shared" ref="R142:R204" si="20">P142-Q142</f>
        <v>4.0407035646658485E-5</v>
      </c>
    </row>
    <row r="143" spans="1:18" ht="15.75" x14ac:dyDescent="0.25">
      <c r="A143" s="30" t="s">
        <v>189</v>
      </c>
      <c r="B143" s="132" t="s">
        <v>190</v>
      </c>
      <c r="C143" s="133">
        <f>SUBTOTAL(9,C144:C144)</f>
        <v>337.85</v>
      </c>
      <c r="D143" s="134" t="s">
        <v>47</v>
      </c>
      <c r="E143" s="30" t="s">
        <v>27</v>
      </c>
      <c r="F143" s="135">
        <v>0.8</v>
      </c>
      <c r="G143" s="135">
        <f>1-F143</f>
        <v>0.19999999999999996</v>
      </c>
      <c r="H143" s="134" t="s">
        <v>28</v>
      </c>
      <c r="I143" s="136">
        <v>41639</v>
      </c>
      <c r="J143" s="136">
        <v>41698</v>
      </c>
      <c r="K143" s="136">
        <v>41881</v>
      </c>
      <c r="L143" s="137" t="s">
        <v>23</v>
      </c>
      <c r="N143" s="28">
        <v>1.6268048422370773E-3</v>
      </c>
      <c r="O143" s="4">
        <f t="shared" si="18"/>
        <v>1.5496666012826774E-3</v>
      </c>
      <c r="P143" s="4">
        <f t="shared" si="19"/>
        <v>3.0004206006205281E-2</v>
      </c>
      <c r="Q143" s="4">
        <v>3.0009190314533828E-2</v>
      </c>
      <c r="R143" s="29">
        <f t="shared" si="20"/>
        <v>-4.9843083285462664E-6</v>
      </c>
    </row>
    <row r="144" spans="1:18" x14ac:dyDescent="0.25">
      <c r="A144" s="53"/>
      <c r="B144" s="54" t="s">
        <v>191</v>
      </c>
      <c r="C144" s="42">
        <v>337.85</v>
      </c>
      <c r="D144" s="56"/>
      <c r="E144" s="37"/>
      <c r="F144" s="138"/>
      <c r="G144" s="138"/>
      <c r="H144" s="56"/>
      <c r="I144" s="139"/>
      <c r="J144" s="139"/>
      <c r="K144" s="139"/>
      <c r="L144" s="56"/>
      <c r="N144" s="28">
        <v>1.6268048422370773E-3</v>
      </c>
      <c r="O144" s="4">
        <f t="shared" si="18"/>
        <v>1.5496666012826774E-3</v>
      </c>
      <c r="P144" s="4">
        <f t="shared" si="19"/>
        <v>3.0004206006205281E-2</v>
      </c>
      <c r="Q144" s="4">
        <v>3.0009190314533828E-2</v>
      </c>
      <c r="R144" s="29">
        <f t="shared" si="20"/>
        <v>-4.9843083285462664E-6</v>
      </c>
    </row>
    <row r="145" spans="1:18" ht="15.75" x14ac:dyDescent="0.25">
      <c r="A145" s="30" t="s">
        <v>192</v>
      </c>
      <c r="B145" s="132" t="s">
        <v>193</v>
      </c>
      <c r="C145" s="133">
        <f>SUBTOTAL(9,C146:C146)</f>
        <v>337.85</v>
      </c>
      <c r="D145" s="134" t="s">
        <v>47</v>
      </c>
      <c r="E145" s="30" t="s">
        <v>27</v>
      </c>
      <c r="F145" s="135">
        <v>0.6</v>
      </c>
      <c r="G145" s="135">
        <f>1-F145</f>
        <v>0.4</v>
      </c>
      <c r="H145" s="134" t="s">
        <v>28</v>
      </c>
      <c r="I145" s="136">
        <f>K143-60</f>
        <v>41821</v>
      </c>
      <c r="J145" s="136">
        <f>I145+60</f>
        <v>41881</v>
      </c>
      <c r="K145" s="136">
        <f>J145+180</f>
        <v>42061</v>
      </c>
      <c r="L145" s="137" t="s">
        <v>23</v>
      </c>
      <c r="N145" s="28">
        <v>1.6268048422370773E-3</v>
      </c>
      <c r="O145" s="4">
        <f t="shared" si="18"/>
        <v>1.5496666012826774E-3</v>
      </c>
      <c r="P145" s="4">
        <f t="shared" si="19"/>
        <v>3.0004206006205281E-2</v>
      </c>
      <c r="Q145" s="4">
        <v>3.0009190314533828E-2</v>
      </c>
      <c r="R145" s="29">
        <f t="shared" si="20"/>
        <v>-4.9843083285462664E-6</v>
      </c>
    </row>
    <row r="146" spans="1:18" x14ac:dyDescent="0.25">
      <c r="A146" s="53"/>
      <c r="B146" s="54" t="s">
        <v>194</v>
      </c>
      <c r="C146" s="42">
        <v>337.85</v>
      </c>
      <c r="D146" s="56"/>
      <c r="E146" s="37"/>
      <c r="F146" s="138"/>
      <c r="G146" s="138"/>
      <c r="H146" s="56"/>
      <c r="I146" s="139"/>
      <c r="J146" s="139"/>
      <c r="K146" s="139"/>
      <c r="L146" s="56"/>
      <c r="N146" s="28">
        <v>1.6268048422370773E-3</v>
      </c>
      <c r="O146" s="4">
        <f t="shared" si="18"/>
        <v>1.5496666012826774E-3</v>
      </c>
      <c r="P146" s="4">
        <f t="shared" si="19"/>
        <v>3.0004206006205281E-2</v>
      </c>
      <c r="Q146" s="4">
        <v>3.0009190314533828E-2</v>
      </c>
      <c r="R146" s="29">
        <f t="shared" si="20"/>
        <v>-4.9843083285462664E-6</v>
      </c>
    </row>
    <row r="147" spans="1:18" ht="15.75" x14ac:dyDescent="0.25">
      <c r="A147" s="30" t="s">
        <v>195</v>
      </c>
      <c r="B147" s="132" t="s">
        <v>196</v>
      </c>
      <c r="C147" s="133">
        <f>SUBTOTAL(9,C148:C148)</f>
        <v>84.43</v>
      </c>
      <c r="D147" s="134" t="s">
        <v>197</v>
      </c>
      <c r="E147" s="30" t="s">
        <v>27</v>
      </c>
      <c r="F147" s="135">
        <v>0.8</v>
      </c>
      <c r="G147" s="135">
        <f>1-F147</f>
        <v>0.19999999999999996</v>
      </c>
      <c r="H147" s="134" t="s">
        <v>28</v>
      </c>
      <c r="I147" s="136">
        <f>I164+120</f>
        <v>41879</v>
      </c>
      <c r="J147" s="136">
        <f>I147+60</f>
        <v>41939</v>
      </c>
      <c r="K147" s="136">
        <f>J147+180</f>
        <v>42119</v>
      </c>
      <c r="L147" s="137" t="s">
        <v>23</v>
      </c>
      <c r="N147" s="28">
        <v>4.0670121055926933E-4</v>
      </c>
      <c r="O147" s="4">
        <f t="shared" si="18"/>
        <v>3.8726757776023815E-4</v>
      </c>
      <c r="P147" s="4">
        <f t="shared" si="19"/>
        <v>7.4981652008403498E-3</v>
      </c>
      <c r="Q147" s="4">
        <v>7.5022975786334569E-3</v>
      </c>
      <c r="R147" s="29">
        <f t="shared" si="20"/>
        <v>-4.1323777931071351E-6</v>
      </c>
    </row>
    <row r="148" spans="1:18" x14ac:dyDescent="0.25">
      <c r="A148" s="53"/>
      <c r="B148" s="54" t="s">
        <v>198</v>
      </c>
      <c r="C148" s="42">
        <v>84.43</v>
      </c>
      <c r="D148" s="56"/>
      <c r="E148" s="37"/>
      <c r="F148" s="138"/>
      <c r="G148" s="138"/>
      <c r="H148" s="56"/>
      <c r="I148" s="139"/>
      <c r="J148" s="139"/>
      <c r="K148" s="139"/>
      <c r="L148" s="56"/>
      <c r="N148" s="28">
        <v>4.0670121055926933E-4</v>
      </c>
      <c r="O148" s="4">
        <f t="shared" si="18"/>
        <v>3.8726757776023815E-4</v>
      </c>
      <c r="P148" s="4">
        <f t="shared" si="19"/>
        <v>7.4981652008403498E-3</v>
      </c>
      <c r="Q148" s="4">
        <v>7.5022975786334569E-3</v>
      </c>
      <c r="R148" s="29">
        <f t="shared" si="20"/>
        <v>-4.1323777931071351E-6</v>
      </c>
    </row>
    <row r="149" spans="1:18" ht="15.75" x14ac:dyDescent="0.25">
      <c r="A149" s="30" t="s">
        <v>199</v>
      </c>
      <c r="B149" s="132" t="s">
        <v>200</v>
      </c>
      <c r="C149" s="133">
        <f>SUBTOTAL(9,C150:C150)</f>
        <v>95.41</v>
      </c>
      <c r="D149" s="134" t="s">
        <v>197</v>
      </c>
      <c r="E149" s="30" t="s">
        <v>27</v>
      </c>
      <c r="F149" s="135">
        <v>0.8</v>
      </c>
      <c r="G149" s="135">
        <f>1-F149</f>
        <v>0.19999999999999996</v>
      </c>
      <c r="H149" s="134" t="s">
        <v>28</v>
      </c>
      <c r="I149" s="136">
        <f>I166+120</f>
        <v>41848</v>
      </c>
      <c r="J149" s="136">
        <f>I149+60</f>
        <v>41908</v>
      </c>
      <c r="K149" s="136">
        <f>J149+180</f>
        <v>42088</v>
      </c>
      <c r="L149" s="137" t="s">
        <v>23</v>
      </c>
      <c r="N149" s="28">
        <v>4.5957236793197438E-4</v>
      </c>
      <c r="O149" s="4">
        <f t="shared" si="18"/>
        <v>4.3763116894592345E-4</v>
      </c>
      <c r="P149" s="4">
        <f t="shared" si="19"/>
        <v>8.4732907948854401E-3</v>
      </c>
      <c r="Q149" s="4">
        <v>8.4775962638558074E-3</v>
      </c>
      <c r="R149" s="29">
        <f t="shared" si="20"/>
        <v>-4.3054689703673349E-6</v>
      </c>
    </row>
    <row r="150" spans="1:18" ht="25.5" x14ac:dyDescent="0.25">
      <c r="A150" s="53"/>
      <c r="B150" s="54" t="s">
        <v>201</v>
      </c>
      <c r="C150" s="42">
        <v>95.41</v>
      </c>
      <c r="D150" s="56"/>
      <c r="E150" s="37"/>
      <c r="F150" s="138"/>
      <c r="G150" s="138"/>
      <c r="H150" s="56"/>
      <c r="I150" s="139"/>
      <c r="J150" s="139"/>
      <c r="K150" s="139"/>
      <c r="L150" s="56"/>
      <c r="N150" s="28">
        <v>4.5957236793197438E-4</v>
      </c>
      <c r="O150" s="4">
        <f t="shared" si="18"/>
        <v>4.3763116894592345E-4</v>
      </c>
      <c r="P150" s="4">
        <f t="shared" si="19"/>
        <v>8.4732907948854401E-3</v>
      </c>
      <c r="Q150" s="4">
        <v>8.4775962638558074E-3</v>
      </c>
      <c r="R150" s="29">
        <f t="shared" si="20"/>
        <v>-4.3054689703673349E-6</v>
      </c>
    </row>
    <row r="151" spans="1:18" ht="25.5" x14ac:dyDescent="0.25">
      <c r="A151" s="30" t="s">
        <v>202</v>
      </c>
      <c r="B151" s="132" t="s">
        <v>203</v>
      </c>
      <c r="C151" s="133">
        <f>SUBTOTAL(9,C152)</f>
        <v>121.39</v>
      </c>
      <c r="D151" s="134" t="s">
        <v>47</v>
      </c>
      <c r="E151" s="30" t="s">
        <v>27</v>
      </c>
      <c r="F151" s="135">
        <v>0.8</v>
      </c>
      <c r="G151" s="135">
        <f>1-F151</f>
        <v>0.19999999999999996</v>
      </c>
      <c r="H151" s="134" t="s">
        <v>28</v>
      </c>
      <c r="I151" s="136">
        <f>K141-60</f>
        <v>41944</v>
      </c>
      <c r="J151" s="136">
        <f>I151+60</f>
        <v>42004</v>
      </c>
      <c r="K151" s="136">
        <f>J151+180</f>
        <v>42184</v>
      </c>
      <c r="L151" s="137" t="s">
        <v>23</v>
      </c>
      <c r="N151" s="28">
        <v>5.8463299017894965E-4</v>
      </c>
      <c r="O151" s="4">
        <f t="shared" si="18"/>
        <v>5.5679748033063252E-4</v>
      </c>
      <c r="P151" s="4">
        <f t="shared" si="19"/>
        <v>1.0780555178609617E-2</v>
      </c>
      <c r="Q151" s="4">
        <v>1.0784552769285595E-2</v>
      </c>
      <c r="R151" s="29">
        <f t="shared" si="20"/>
        <v>-3.9975906759772556E-6</v>
      </c>
    </row>
    <row r="152" spans="1:18" ht="25.5" x14ac:dyDescent="0.25">
      <c r="A152" s="53"/>
      <c r="B152" s="54" t="s">
        <v>204</v>
      </c>
      <c r="C152" s="42">
        <v>121.39</v>
      </c>
      <c r="D152" s="56"/>
      <c r="E152" s="37"/>
      <c r="F152" s="138"/>
      <c r="G152" s="138"/>
      <c r="H152" s="56"/>
      <c r="I152" s="139"/>
      <c r="J152" s="139"/>
      <c r="K152" s="139"/>
      <c r="L152" s="56"/>
      <c r="N152" s="28">
        <v>5.8463299017894965E-4</v>
      </c>
      <c r="O152" s="4">
        <f t="shared" si="18"/>
        <v>5.5679748033063252E-4</v>
      </c>
      <c r="P152" s="4">
        <f t="shared" si="19"/>
        <v>1.0780555178609617E-2</v>
      </c>
      <c r="Q152" s="4">
        <v>1.0784552769285595E-2</v>
      </c>
      <c r="R152" s="29">
        <f t="shared" si="20"/>
        <v>-3.9975906759772556E-6</v>
      </c>
    </row>
    <row r="153" spans="1:18" ht="15.75" x14ac:dyDescent="0.25">
      <c r="A153" s="30" t="s">
        <v>205</v>
      </c>
      <c r="B153" s="132" t="s">
        <v>206</v>
      </c>
      <c r="C153" s="133">
        <f>SUBTOTAL(9,C154)</f>
        <v>211.14</v>
      </c>
      <c r="D153" s="134" t="s">
        <v>47</v>
      </c>
      <c r="E153" s="30" t="s">
        <v>27</v>
      </c>
      <c r="F153" s="135">
        <v>0.8</v>
      </c>
      <c r="G153" s="135">
        <f>1-F153</f>
        <v>0.19999999999999996</v>
      </c>
      <c r="H153" s="134" t="s">
        <v>28</v>
      </c>
      <c r="I153" s="136">
        <f>K168-120</f>
        <v>41884</v>
      </c>
      <c r="J153" s="136">
        <f>I153+60</f>
        <v>41944</v>
      </c>
      <c r="K153" s="136">
        <f>J153+180</f>
        <v>42124</v>
      </c>
      <c r="L153" s="137" t="s">
        <v>23</v>
      </c>
      <c r="N153" s="28">
        <v>1.0167530263981734E-3</v>
      </c>
      <c r="O153" s="4">
        <f t="shared" si="18"/>
        <v>9.6846708952145772E-4</v>
      </c>
      <c r="P153" s="4">
        <f t="shared" si="19"/>
        <v>1.8751185603522815E-2</v>
      </c>
      <c r="Q153" s="4">
        <v>1.8755743946583643E-2</v>
      </c>
      <c r="R153" s="29">
        <f t="shared" si="20"/>
        <v>-4.5583430608280018E-6</v>
      </c>
    </row>
    <row r="154" spans="1:18" x14ac:dyDescent="0.25">
      <c r="A154" s="53"/>
      <c r="B154" s="54" t="s">
        <v>207</v>
      </c>
      <c r="C154" s="42">
        <v>211.14</v>
      </c>
      <c r="D154" s="56"/>
      <c r="E154" s="37"/>
      <c r="F154" s="138"/>
      <c r="G154" s="138"/>
      <c r="H154" s="56"/>
      <c r="I154" s="139"/>
      <c r="J154" s="139"/>
      <c r="K154" s="139"/>
      <c r="L154" s="56"/>
      <c r="N154" s="28">
        <v>1.0167530263981734E-3</v>
      </c>
      <c r="O154" s="4">
        <f t="shared" si="18"/>
        <v>9.6846708952145772E-4</v>
      </c>
      <c r="P154" s="4">
        <f t="shared" si="19"/>
        <v>1.8751185603522815E-2</v>
      </c>
      <c r="Q154" s="4">
        <v>1.8755743946583643E-2</v>
      </c>
      <c r="R154" s="29">
        <f t="shared" si="20"/>
        <v>-4.5583430608280018E-6</v>
      </c>
    </row>
    <row r="155" spans="1:18" ht="15.75" x14ac:dyDescent="0.25">
      <c r="A155" s="30" t="s">
        <v>208</v>
      </c>
      <c r="B155" s="132" t="s">
        <v>209</v>
      </c>
      <c r="C155" s="133">
        <f>SUBTOTAL(9,C156)</f>
        <v>63.31</v>
      </c>
      <c r="D155" s="134" t="s">
        <v>197</v>
      </c>
      <c r="E155" s="30" t="s">
        <v>27</v>
      </c>
      <c r="F155" s="135">
        <v>0.8</v>
      </c>
      <c r="G155" s="135">
        <f>1-F155</f>
        <v>0.19999999999999996</v>
      </c>
      <c r="H155" s="134" t="s">
        <v>28</v>
      </c>
      <c r="I155" s="136">
        <f>K147-120</f>
        <v>41999</v>
      </c>
      <c r="J155" s="136">
        <f>I155+60</f>
        <v>42059</v>
      </c>
      <c r="K155" s="136">
        <f>J155+180</f>
        <v>42239</v>
      </c>
      <c r="L155" s="137" t="s">
        <v>23</v>
      </c>
      <c r="N155" s="28">
        <v>3.0502590791945197E-4</v>
      </c>
      <c r="O155" s="4">
        <f t="shared" si="18"/>
        <v>2.9039334772001273E-4</v>
      </c>
      <c r="P155" s="4">
        <f t="shared" si="19"/>
        <v>5.6225137849721957E-3</v>
      </c>
      <c r="Q155" s="4">
        <v>5.6267231839750922E-3</v>
      </c>
      <c r="R155" s="29">
        <f t="shared" si="20"/>
        <v>-4.209399002896505E-6</v>
      </c>
    </row>
    <row r="156" spans="1:18" x14ac:dyDescent="0.25">
      <c r="A156" s="53"/>
      <c r="B156" s="54" t="s">
        <v>198</v>
      </c>
      <c r="C156" s="42">
        <v>63.31</v>
      </c>
      <c r="D156" s="56"/>
      <c r="E156" s="37"/>
      <c r="F156" s="138"/>
      <c r="G156" s="138"/>
      <c r="H156" s="56"/>
      <c r="I156" s="139"/>
      <c r="J156" s="139"/>
      <c r="K156" s="139"/>
      <c r="L156" s="56"/>
      <c r="N156" s="28">
        <v>3.0502590791945197E-4</v>
      </c>
      <c r="O156" s="4">
        <f t="shared" si="18"/>
        <v>2.9039334772001273E-4</v>
      </c>
      <c r="P156" s="4">
        <f t="shared" si="19"/>
        <v>5.6225137849721957E-3</v>
      </c>
      <c r="Q156" s="4">
        <v>5.6267231839750922E-3</v>
      </c>
      <c r="R156" s="29">
        <f t="shared" si="20"/>
        <v>-4.209399002896505E-6</v>
      </c>
    </row>
    <row r="157" spans="1:18" ht="15.75" x14ac:dyDescent="0.25">
      <c r="A157" s="30" t="s">
        <v>210</v>
      </c>
      <c r="B157" s="132" t="s">
        <v>211</v>
      </c>
      <c r="C157" s="133">
        <f>SUBTOTAL(9,C158)</f>
        <v>211.14</v>
      </c>
      <c r="D157" s="134" t="s">
        <v>47</v>
      </c>
      <c r="E157" s="30" t="s">
        <v>27</v>
      </c>
      <c r="F157" s="135">
        <v>0.8</v>
      </c>
      <c r="G157" s="135">
        <f>1-F157</f>
        <v>0.19999999999999996</v>
      </c>
      <c r="H157" s="134" t="s">
        <v>28</v>
      </c>
      <c r="I157" s="136">
        <f>K153-60</f>
        <v>42064</v>
      </c>
      <c r="J157" s="136">
        <f>I157+60</f>
        <v>42124</v>
      </c>
      <c r="K157" s="136">
        <f>J157+180</f>
        <v>42304</v>
      </c>
      <c r="L157" s="137" t="s">
        <v>23</v>
      </c>
      <c r="N157" s="28">
        <v>1.0167530263981734E-3</v>
      </c>
      <c r="O157" s="4">
        <f t="shared" si="18"/>
        <v>9.6846708952145772E-4</v>
      </c>
      <c r="P157" s="4">
        <f t="shared" si="19"/>
        <v>1.8751185603522815E-2</v>
      </c>
      <c r="Q157" s="4">
        <v>1.8755743946583643E-2</v>
      </c>
      <c r="R157" s="29">
        <f t="shared" si="20"/>
        <v>-4.5583430608280018E-6</v>
      </c>
    </row>
    <row r="158" spans="1:18" x14ac:dyDescent="0.25">
      <c r="A158" s="53"/>
      <c r="B158" s="54" t="s">
        <v>212</v>
      </c>
      <c r="C158" s="42">
        <v>211.14</v>
      </c>
      <c r="D158" s="56"/>
      <c r="E158" s="37"/>
      <c r="F158" s="138"/>
      <c r="G158" s="138"/>
      <c r="H158" s="56"/>
      <c r="I158" s="139"/>
      <c r="J158" s="139"/>
      <c r="K158" s="139"/>
      <c r="L158" s="56"/>
      <c r="N158" s="28">
        <v>1.0167530263981734E-3</v>
      </c>
      <c r="O158" s="4">
        <f t="shared" si="18"/>
        <v>9.6846708952145772E-4</v>
      </c>
      <c r="P158" s="4">
        <f t="shared" si="19"/>
        <v>1.8751185603522815E-2</v>
      </c>
      <c r="Q158" s="4">
        <v>1.8755743946583643E-2</v>
      </c>
      <c r="R158" s="29">
        <f t="shared" si="20"/>
        <v>-4.5583430608280018E-6</v>
      </c>
    </row>
    <row r="159" spans="1:18" ht="65.25" x14ac:dyDescent="0.25">
      <c r="A159" s="49" t="s">
        <v>213</v>
      </c>
      <c r="B159" s="23" t="s">
        <v>214</v>
      </c>
      <c r="C159" s="50">
        <f>SUBTOTAL(9,C160:C169)</f>
        <v>9337.8279999999995</v>
      </c>
      <c r="D159" s="49"/>
      <c r="E159" s="49"/>
      <c r="F159" s="140"/>
      <c r="G159" s="140"/>
      <c r="H159" s="49"/>
      <c r="I159" s="75">
        <f>MIN(I160:I169)</f>
        <v>41281</v>
      </c>
      <c r="J159" s="75">
        <f>MIN(J160:J169)</f>
        <v>41353</v>
      </c>
      <c r="K159" s="75">
        <f>MAX(K160:K169)</f>
        <v>42004</v>
      </c>
      <c r="L159" s="51"/>
      <c r="N159" s="28">
        <v>4.4955735062195232E-2</v>
      </c>
      <c r="O159" s="4">
        <f t="shared" si="18"/>
        <v>4.2831197810040612E-2</v>
      </c>
      <c r="P159" s="4">
        <f t="shared" si="19"/>
        <v>0.82928552601009864</v>
      </c>
      <c r="Q159" s="4">
        <v>0.82928521859819571</v>
      </c>
      <c r="R159" s="29">
        <f t="shared" si="20"/>
        <v>3.0741190293337439E-7</v>
      </c>
    </row>
    <row r="160" spans="1:18" ht="15.75" x14ac:dyDescent="0.25">
      <c r="A160" s="30" t="s">
        <v>215</v>
      </c>
      <c r="B160" s="132" t="s">
        <v>216</v>
      </c>
      <c r="C160" s="133">
        <f>SUBTOTAL(9,C161:C161)</f>
        <v>4435.0200000000004</v>
      </c>
      <c r="D160" s="134" t="s">
        <v>127</v>
      </c>
      <c r="E160" s="30" t="s">
        <v>27</v>
      </c>
      <c r="F160" s="141">
        <v>0.60811669999999995</v>
      </c>
      <c r="G160" s="135">
        <f>1-F160</f>
        <v>0.39188330000000005</v>
      </c>
      <c r="H160" s="134" t="s">
        <v>28</v>
      </c>
      <c r="I160" s="136">
        <v>41281</v>
      </c>
      <c r="J160" s="136">
        <v>41353</v>
      </c>
      <c r="K160" s="136">
        <v>41749</v>
      </c>
      <c r="L160" s="137" t="s">
        <v>31</v>
      </c>
      <c r="N160" s="28">
        <v>2.1351813554361641E-2</v>
      </c>
      <c r="O160" s="4">
        <f t="shared" si="18"/>
        <v>2.0342762675804944E-2</v>
      </c>
      <c r="P160" s="4">
        <f t="shared" si="19"/>
        <v>0.39387081166683602</v>
      </c>
      <c r="Q160" s="4">
        <v>0.39387062287825647</v>
      </c>
      <c r="R160" s="29">
        <f t="shared" si="20"/>
        <v>1.8878857954707229E-7</v>
      </c>
    </row>
    <row r="161" spans="1:18" x14ac:dyDescent="0.25">
      <c r="A161" s="53"/>
      <c r="B161" s="54" t="s">
        <v>217</v>
      </c>
      <c r="C161" s="42">
        <v>4435.0200000000004</v>
      </c>
      <c r="D161" s="56"/>
      <c r="E161" s="37"/>
      <c r="F161" s="138"/>
      <c r="G161" s="138"/>
      <c r="H161" s="56"/>
      <c r="I161" s="139"/>
      <c r="J161" s="139"/>
      <c r="K161" s="139"/>
      <c r="L161" s="56"/>
      <c r="N161" s="28">
        <v>2.1351813554361641E-2</v>
      </c>
      <c r="O161" s="4">
        <f t="shared" si="18"/>
        <v>2.0342762675804944E-2</v>
      </c>
      <c r="P161" s="4">
        <f t="shared" si="19"/>
        <v>0.39387081166683602</v>
      </c>
      <c r="Q161" s="4">
        <v>0.39387062287825647</v>
      </c>
      <c r="R161" s="29">
        <f t="shared" si="20"/>
        <v>1.8878857954707229E-7</v>
      </c>
    </row>
    <row r="162" spans="1:18" ht="25.5" x14ac:dyDescent="0.25">
      <c r="A162" s="30" t="s">
        <v>218</v>
      </c>
      <c r="B162" s="132" t="s">
        <v>219</v>
      </c>
      <c r="C162" s="133">
        <f>SUBTOTAL(9,C163)</f>
        <v>950.36</v>
      </c>
      <c r="D162" s="134" t="s">
        <v>127</v>
      </c>
      <c r="E162" s="30" t="s">
        <v>27</v>
      </c>
      <c r="F162" s="135">
        <v>0.6</v>
      </c>
      <c r="G162" s="135">
        <f>1-F162</f>
        <v>0.4</v>
      </c>
      <c r="H162" s="134" t="s">
        <v>28</v>
      </c>
      <c r="I162" s="136">
        <v>41339</v>
      </c>
      <c r="J162" s="136">
        <v>41393</v>
      </c>
      <c r="K162" s="136">
        <v>41603</v>
      </c>
      <c r="L162" s="137" t="s">
        <v>31</v>
      </c>
      <c r="N162" s="28">
        <v>4.5753886187917796E-3</v>
      </c>
      <c r="O162" s="4">
        <f t="shared" si="18"/>
        <v>4.359156877889612E-3</v>
      </c>
      <c r="P162" s="4">
        <f t="shared" si="19"/>
        <v>8.4400761343961087E-2</v>
      </c>
      <c r="Q162" s="4">
        <v>8.4400847759626391E-2</v>
      </c>
      <c r="R162" s="29">
        <f t="shared" si="20"/>
        <v>-8.6415665304095945E-8</v>
      </c>
    </row>
    <row r="163" spans="1:18" ht="25.5" x14ac:dyDescent="0.25">
      <c r="A163" s="53"/>
      <c r="B163" s="54" t="s">
        <v>220</v>
      </c>
      <c r="C163" s="42">
        <v>950.36</v>
      </c>
      <c r="D163" s="56"/>
      <c r="E163" s="37"/>
      <c r="F163" s="138"/>
      <c r="G163" s="138"/>
      <c r="H163" s="56"/>
      <c r="I163" s="139"/>
      <c r="J163" s="139"/>
      <c r="K163" s="139"/>
      <c r="L163" s="56"/>
      <c r="N163" s="28">
        <v>4.5753886187917796E-3</v>
      </c>
      <c r="O163" s="4">
        <f t="shared" si="18"/>
        <v>4.359156877889612E-3</v>
      </c>
      <c r="P163" s="4">
        <f t="shared" si="19"/>
        <v>8.4400761343961087E-2</v>
      </c>
      <c r="Q163" s="4">
        <v>8.4400847759626391E-2</v>
      </c>
      <c r="R163" s="29">
        <f t="shared" si="20"/>
        <v>-8.6415665304095945E-8</v>
      </c>
    </row>
    <row r="164" spans="1:18" ht="15.75" x14ac:dyDescent="0.25">
      <c r="A164" s="30" t="s">
        <v>221</v>
      </c>
      <c r="B164" s="132" t="s">
        <v>222</v>
      </c>
      <c r="C164" s="133">
        <f>SUBTOTAL(9,C165:C165)</f>
        <v>1293.55</v>
      </c>
      <c r="D164" s="134" t="s">
        <v>127</v>
      </c>
      <c r="E164" s="30" t="s">
        <v>27</v>
      </c>
      <c r="F164" s="135">
        <v>0.6</v>
      </c>
      <c r="G164" s="135">
        <f>1-F164</f>
        <v>0.4</v>
      </c>
      <c r="H164" s="134" t="s">
        <v>28</v>
      </c>
      <c r="I164" s="136">
        <v>41759</v>
      </c>
      <c r="J164" s="136">
        <v>41820</v>
      </c>
      <c r="K164" s="136">
        <v>42004</v>
      </c>
      <c r="L164" s="137" t="s">
        <v>23</v>
      </c>
      <c r="N164" s="28">
        <v>6.2276122866888111E-3</v>
      </c>
      <c r="O164" s="4">
        <f t="shared" si="18"/>
        <v>5.9333172475631414E-3</v>
      </c>
      <c r="P164" s="4">
        <f t="shared" si="19"/>
        <v>0.11487920875929211</v>
      </c>
      <c r="Q164" s="4">
        <v>0.11487893167282481</v>
      </c>
      <c r="R164" s="29">
        <f t="shared" si="20"/>
        <v>2.7708646729851516E-7</v>
      </c>
    </row>
    <row r="165" spans="1:18" x14ac:dyDescent="0.25">
      <c r="A165" s="53"/>
      <c r="B165" s="54" t="s">
        <v>198</v>
      </c>
      <c r="C165" s="42">
        <v>1293.55</v>
      </c>
      <c r="D165" s="56"/>
      <c r="E165" s="37"/>
      <c r="F165" s="138"/>
      <c r="G165" s="138"/>
      <c r="H165" s="56"/>
      <c r="I165" s="139"/>
      <c r="J165" s="139"/>
      <c r="K165" s="139"/>
      <c r="L165" s="56"/>
      <c r="N165" s="28">
        <v>6.2276122866888111E-3</v>
      </c>
      <c r="O165" s="4">
        <f t="shared" si="18"/>
        <v>5.9333172475631414E-3</v>
      </c>
      <c r="P165" s="4">
        <f t="shared" si="19"/>
        <v>0.11487920875929211</v>
      </c>
      <c r="Q165" s="4">
        <v>0.11487893167282481</v>
      </c>
      <c r="R165" s="29">
        <f t="shared" si="20"/>
        <v>2.7708646729851516E-7</v>
      </c>
    </row>
    <row r="166" spans="1:18" ht="15.75" x14ac:dyDescent="0.25">
      <c r="A166" s="30" t="s">
        <v>223</v>
      </c>
      <c r="B166" s="132" t="s">
        <v>224</v>
      </c>
      <c r="C166" s="133">
        <f>SUBTOTAL(9,C167:C167)</f>
        <v>810.98</v>
      </c>
      <c r="D166" s="134" t="s">
        <v>127</v>
      </c>
      <c r="E166" s="30" t="s">
        <v>27</v>
      </c>
      <c r="F166" s="135">
        <v>0.6</v>
      </c>
      <c r="G166" s="135">
        <f>1-F166</f>
        <v>0.4</v>
      </c>
      <c r="H166" s="134" t="s">
        <v>28</v>
      </c>
      <c r="I166" s="136">
        <v>41728</v>
      </c>
      <c r="J166" s="136">
        <v>41789</v>
      </c>
      <c r="K166" s="136">
        <v>42003</v>
      </c>
      <c r="L166" s="137" t="s">
        <v>23</v>
      </c>
      <c r="N166" s="28">
        <v>3.9043316213689854E-3</v>
      </c>
      <c r="O166" s="4">
        <f t="shared" si="18"/>
        <v>3.7198420018002836E-3</v>
      </c>
      <c r="P166" s="4">
        <f t="shared" si="19"/>
        <v>7.2022527710263018E-2</v>
      </c>
      <c r="Q166" s="4">
        <v>7.2022056754881186E-2</v>
      </c>
      <c r="R166" s="29">
        <f t="shared" si="20"/>
        <v>4.70955381831617E-7</v>
      </c>
    </row>
    <row r="167" spans="1:18" ht="25.5" x14ac:dyDescent="0.25">
      <c r="A167" s="53"/>
      <c r="B167" s="54" t="s">
        <v>201</v>
      </c>
      <c r="C167" s="42">
        <v>810.98</v>
      </c>
      <c r="D167" s="56"/>
      <c r="E167" s="37"/>
      <c r="F167" s="138"/>
      <c r="G167" s="138"/>
      <c r="H167" s="56"/>
      <c r="I167" s="139"/>
      <c r="J167" s="139"/>
      <c r="K167" s="139"/>
      <c r="L167" s="56"/>
      <c r="N167" s="28">
        <v>3.9043316213689854E-3</v>
      </c>
      <c r="O167" s="4">
        <f t="shared" si="18"/>
        <v>3.7198420018002836E-3</v>
      </c>
      <c r="P167" s="4">
        <f t="shared" si="19"/>
        <v>7.2022527710263018E-2</v>
      </c>
      <c r="Q167" s="4">
        <v>7.2022056754881186E-2</v>
      </c>
      <c r="R167" s="29">
        <f t="shared" si="20"/>
        <v>4.70955381831617E-7</v>
      </c>
    </row>
    <row r="168" spans="1:18" ht="15.75" x14ac:dyDescent="0.25">
      <c r="A168" s="30" t="s">
        <v>225</v>
      </c>
      <c r="B168" s="132" t="s">
        <v>226</v>
      </c>
      <c r="C168" s="133">
        <f>SUBTOTAL(9,C169:C169)</f>
        <v>1847.9179999999999</v>
      </c>
      <c r="D168" s="134" t="s">
        <v>127</v>
      </c>
      <c r="E168" s="30" t="s">
        <v>27</v>
      </c>
      <c r="F168" s="135">
        <v>0.6</v>
      </c>
      <c r="G168" s="135">
        <f>1-F168</f>
        <v>0.4</v>
      </c>
      <c r="H168" s="134" t="s">
        <v>28</v>
      </c>
      <c r="I168" s="136">
        <v>41759</v>
      </c>
      <c r="J168" s="136">
        <v>41820</v>
      </c>
      <c r="K168" s="136">
        <v>42004</v>
      </c>
      <c r="L168" s="137" t="s">
        <v>23</v>
      </c>
      <c r="N168" s="28">
        <v>8.8965889809840167E-3</v>
      </c>
      <c r="O168" s="4">
        <f t="shared" si="18"/>
        <v>8.4761190069826322E-3</v>
      </c>
      <c r="P168" s="4">
        <f t="shared" si="19"/>
        <v>0.16411221652974647</v>
      </c>
      <c r="Q168" s="4">
        <v>0.16411275953260687</v>
      </c>
      <c r="R168" s="29">
        <f t="shared" si="20"/>
        <v>-5.4300286039810075E-7</v>
      </c>
    </row>
    <row r="169" spans="1:18" x14ac:dyDescent="0.25">
      <c r="A169" s="53"/>
      <c r="B169" s="54" t="s">
        <v>227</v>
      </c>
      <c r="C169" s="42">
        <v>1847.9179999999999</v>
      </c>
      <c r="D169" s="56"/>
      <c r="E169" s="37"/>
      <c r="F169" s="138"/>
      <c r="G169" s="138"/>
      <c r="H169" s="56"/>
      <c r="I169" s="139"/>
      <c r="J169" s="139"/>
      <c r="K169" s="139"/>
      <c r="L169" s="56"/>
      <c r="N169" s="28">
        <v>8.8965889809840167E-3</v>
      </c>
      <c r="O169" s="4">
        <f t="shared" si="18"/>
        <v>8.4761190069826322E-3</v>
      </c>
      <c r="P169" s="4">
        <f t="shared" si="19"/>
        <v>0.16411221652974647</v>
      </c>
      <c r="Q169" s="4">
        <v>0.16411275953260687</v>
      </c>
      <c r="R169" s="29">
        <f t="shared" si="20"/>
        <v>-5.4300286039810075E-7</v>
      </c>
    </row>
    <row r="170" spans="1:18" ht="18" x14ac:dyDescent="0.25">
      <c r="A170" s="86">
        <v>3</v>
      </c>
      <c r="B170" s="87" t="s">
        <v>228</v>
      </c>
      <c r="C170" s="88">
        <f>SUBTOTAL(9,C139:C169)</f>
        <v>11260.088</v>
      </c>
      <c r="D170" s="89"/>
      <c r="E170" s="89"/>
      <c r="F170" s="90">
        <f>SUMPRODUCT(F139:F169,$C$139:$C$169)</f>
        <v>7108.9325268339999</v>
      </c>
      <c r="G170" s="90">
        <f>SUMPRODUCT(G139:G169,$C$139:$C$169)</f>
        <v>4151.1554731659999</v>
      </c>
      <c r="H170" s="91"/>
      <c r="I170" s="65">
        <f>MIN(I138:I169)</f>
        <v>41281</v>
      </c>
      <c r="J170" s="65">
        <f>MIN(J138:J169)</f>
        <v>41353</v>
      </c>
      <c r="K170" s="65">
        <f>MAX(K138:K169)</f>
        <v>42304</v>
      </c>
      <c r="L170" s="89"/>
      <c r="N170" s="28">
        <v>5.4210221108471401E-2</v>
      </c>
      <c r="O170" s="4">
        <f t="shared" si="18"/>
        <v>5.1648312272025633E-2</v>
      </c>
      <c r="P170" s="4">
        <f t="shared" si="19"/>
        <v>1</v>
      </c>
      <c r="Q170" s="4">
        <v>1</v>
      </c>
      <c r="R170" s="29">
        <f t="shared" si="20"/>
        <v>0</v>
      </c>
    </row>
    <row r="171" spans="1:18" x14ac:dyDescent="0.25">
      <c r="A171" s="122"/>
      <c r="B171" s="68"/>
      <c r="C171" s="70">
        <f>F171+G171</f>
        <v>11260088</v>
      </c>
      <c r="D171" s="70"/>
      <c r="E171" s="70"/>
      <c r="F171" s="70">
        <f>'[1]%'!J9</f>
        <v>7108933</v>
      </c>
      <c r="G171" s="70">
        <f>'[1]%'!K9</f>
        <v>4151155</v>
      </c>
      <c r="H171" s="123"/>
      <c r="I171" s="67"/>
      <c r="J171" s="67"/>
      <c r="K171" s="67"/>
      <c r="L171" s="67"/>
      <c r="N171" s="28"/>
      <c r="R171" s="29">
        <f t="shared" si="20"/>
        <v>0</v>
      </c>
    </row>
    <row r="172" spans="1:18" x14ac:dyDescent="0.25">
      <c r="A172" s="67"/>
      <c r="B172" s="68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N172" s="28"/>
      <c r="R172" s="29">
        <f t="shared" si="20"/>
        <v>0</v>
      </c>
    </row>
    <row r="173" spans="1:18" ht="18" x14ac:dyDescent="0.25">
      <c r="A173" s="97" t="s">
        <v>119</v>
      </c>
      <c r="B173" s="98"/>
      <c r="C173" s="97"/>
      <c r="D173" s="97"/>
      <c r="E173" s="97"/>
      <c r="F173" s="97"/>
      <c r="G173" s="97"/>
      <c r="H173" s="97"/>
      <c r="I173" s="97"/>
      <c r="J173" s="142"/>
      <c r="K173" s="97"/>
      <c r="L173" s="99"/>
      <c r="N173" s="28"/>
      <c r="R173" s="29">
        <f t="shared" si="20"/>
        <v>0</v>
      </c>
    </row>
    <row r="174" spans="1:18" ht="18" x14ac:dyDescent="0.25">
      <c r="A174" s="97" t="s">
        <v>229</v>
      </c>
      <c r="B174" s="98"/>
      <c r="C174" s="97"/>
      <c r="D174" s="97"/>
      <c r="E174" s="97"/>
      <c r="F174" s="97"/>
      <c r="G174" s="97"/>
      <c r="H174" s="97"/>
      <c r="I174" s="97"/>
      <c r="J174" s="97"/>
      <c r="K174" s="97"/>
      <c r="L174" s="99"/>
      <c r="N174" s="28"/>
      <c r="R174" s="29">
        <f t="shared" si="20"/>
        <v>0</v>
      </c>
    </row>
    <row r="175" spans="1:18" ht="25.5" x14ac:dyDescent="0.25">
      <c r="A175" s="100" t="s">
        <v>2</v>
      </c>
      <c r="B175" s="101" t="s">
        <v>3</v>
      </c>
      <c r="C175" s="102" t="s">
        <v>4</v>
      </c>
      <c r="D175" s="103" t="s">
        <v>5</v>
      </c>
      <c r="E175" s="100" t="s">
        <v>6</v>
      </c>
      <c r="F175" s="104" t="s">
        <v>7</v>
      </c>
      <c r="G175" s="105"/>
      <c r="H175" s="103" t="s">
        <v>8</v>
      </c>
      <c r="I175" s="104" t="s">
        <v>9</v>
      </c>
      <c r="J175" s="106"/>
      <c r="K175" s="105"/>
      <c r="L175" s="103" t="s">
        <v>121</v>
      </c>
      <c r="N175" s="28"/>
      <c r="R175" s="29">
        <f t="shared" si="20"/>
        <v>0</v>
      </c>
    </row>
    <row r="176" spans="1:18" ht="51" x14ac:dyDescent="0.25">
      <c r="A176" s="100"/>
      <c r="B176" s="101"/>
      <c r="C176" s="16" t="s">
        <v>122</v>
      </c>
      <c r="D176" s="107"/>
      <c r="E176" s="18" t="s">
        <v>12</v>
      </c>
      <c r="F176" s="108" t="s">
        <v>13</v>
      </c>
      <c r="G176" s="108" t="s">
        <v>14</v>
      </c>
      <c r="H176" s="107"/>
      <c r="I176" s="108" t="s">
        <v>15</v>
      </c>
      <c r="J176" s="109" t="s">
        <v>16</v>
      </c>
      <c r="K176" s="108" t="s">
        <v>17</v>
      </c>
      <c r="L176" s="107"/>
      <c r="N176" s="28"/>
      <c r="R176" s="29">
        <f t="shared" si="20"/>
        <v>0</v>
      </c>
    </row>
    <row r="177" spans="1:18" ht="18" x14ac:dyDescent="0.25">
      <c r="A177" s="143" t="s">
        <v>230</v>
      </c>
      <c r="B177" s="111" t="s">
        <v>161</v>
      </c>
      <c r="C177" s="50">
        <f>SUBTOTAL(9,C178:C183)</f>
        <v>62723.824000000001</v>
      </c>
      <c r="D177" s="144"/>
      <c r="E177" s="144"/>
      <c r="F177" s="144"/>
      <c r="G177" s="144"/>
      <c r="H177" s="144"/>
      <c r="I177" s="145">
        <f>MIN(I178:I183)</f>
        <v>41087</v>
      </c>
      <c r="J177" s="145">
        <f>MIN(J178:J183)</f>
        <v>41669</v>
      </c>
      <c r="K177" s="145">
        <f>MIN(K178:K183)</f>
        <v>41730</v>
      </c>
      <c r="L177" s="144"/>
      <c r="N177" s="28">
        <v>0</v>
      </c>
      <c r="O177" s="4">
        <f>C177/$C$201</f>
        <v>0.28770464749898722</v>
      </c>
      <c r="R177" s="29">
        <f t="shared" si="20"/>
        <v>0</v>
      </c>
    </row>
    <row r="178" spans="1:18" ht="76.5" x14ac:dyDescent="0.25">
      <c r="A178" s="114" t="s">
        <v>231</v>
      </c>
      <c r="B178" s="115" t="s">
        <v>232</v>
      </c>
      <c r="C178" s="76">
        <f>SUBTOTAL(9,C179:C183)</f>
        <v>62723.824000000001</v>
      </c>
      <c r="D178" s="114" t="s">
        <v>26</v>
      </c>
      <c r="E178" s="114" t="s">
        <v>175</v>
      </c>
      <c r="F178" s="146">
        <v>0.63133905999999995</v>
      </c>
      <c r="G178" s="147">
        <f>1-F178</f>
        <v>0.36866094000000005</v>
      </c>
      <c r="H178" s="114" t="s">
        <v>28</v>
      </c>
      <c r="I178" s="148">
        <f>MIN(I179:I183)</f>
        <v>41087</v>
      </c>
      <c r="J178" s="148">
        <f>MIN(J179:J183)</f>
        <v>41669</v>
      </c>
      <c r="K178" s="148">
        <f>MAX(K179:K183)</f>
        <v>42619</v>
      </c>
      <c r="L178" s="118" t="s">
        <v>29</v>
      </c>
      <c r="N178" s="28">
        <v>0.28698587045669866</v>
      </c>
      <c r="O178" s="4">
        <f>C178/$C$201</f>
        <v>0.28770464749898722</v>
      </c>
      <c r="R178" s="29">
        <f t="shared" si="20"/>
        <v>0</v>
      </c>
    </row>
    <row r="179" spans="1:18" x14ac:dyDescent="0.25">
      <c r="A179" s="149"/>
      <c r="B179" s="150" t="s">
        <v>233</v>
      </c>
      <c r="C179" s="151">
        <v>34280</v>
      </c>
      <c r="D179" s="149"/>
      <c r="E179" s="149"/>
      <c r="F179" s="152"/>
      <c r="G179" s="152"/>
      <c r="H179" s="149"/>
      <c r="I179" s="82">
        <v>41087</v>
      </c>
      <c r="J179" s="153">
        <v>41669</v>
      </c>
      <c r="K179" s="153">
        <f>J179+61</f>
        <v>41730</v>
      </c>
      <c r="L179" s="154"/>
      <c r="N179" s="28"/>
      <c r="R179" s="29"/>
    </row>
    <row r="180" spans="1:18" x14ac:dyDescent="0.25">
      <c r="A180" s="149"/>
      <c r="B180" s="150" t="s">
        <v>234</v>
      </c>
      <c r="C180" s="151">
        <v>16426.824000000001</v>
      </c>
      <c r="D180" s="149"/>
      <c r="E180" s="149"/>
      <c r="F180" s="152"/>
      <c r="G180" s="152"/>
      <c r="H180" s="149"/>
      <c r="I180" s="82">
        <v>41087</v>
      </c>
      <c r="J180" s="153">
        <v>41669</v>
      </c>
      <c r="K180" s="153">
        <f>J180+910</f>
        <v>42579</v>
      </c>
      <c r="L180" s="154"/>
      <c r="N180" s="28"/>
      <c r="R180" s="29"/>
    </row>
    <row r="181" spans="1:18" x14ac:dyDescent="0.25">
      <c r="A181" s="149"/>
      <c r="B181" s="150" t="s">
        <v>235</v>
      </c>
      <c r="C181" s="151">
        <v>8500</v>
      </c>
      <c r="D181" s="149"/>
      <c r="E181" s="149"/>
      <c r="F181" s="152"/>
      <c r="G181" s="152"/>
      <c r="H181" s="149"/>
      <c r="I181" s="82">
        <v>41087</v>
      </c>
      <c r="J181" s="153">
        <v>41669</v>
      </c>
      <c r="K181" s="153">
        <f>J181+185</f>
        <v>41854</v>
      </c>
      <c r="L181" s="154"/>
      <c r="N181" s="28"/>
      <c r="R181" s="29"/>
    </row>
    <row r="182" spans="1:18" x14ac:dyDescent="0.25">
      <c r="A182" s="149"/>
      <c r="B182" s="150" t="s">
        <v>236</v>
      </c>
      <c r="C182" s="151">
        <v>917</v>
      </c>
      <c r="D182" s="149"/>
      <c r="E182" s="149"/>
      <c r="F182" s="152"/>
      <c r="G182" s="152"/>
      <c r="H182" s="149"/>
      <c r="I182" s="82">
        <v>41087</v>
      </c>
      <c r="J182" s="153">
        <v>41669</v>
      </c>
      <c r="K182" s="153">
        <f>J182+815</f>
        <v>42484</v>
      </c>
      <c r="L182" s="154"/>
      <c r="N182" s="28"/>
      <c r="R182" s="29"/>
    </row>
    <row r="183" spans="1:18" x14ac:dyDescent="0.25">
      <c r="A183" s="149"/>
      <c r="B183" s="150" t="s">
        <v>237</v>
      </c>
      <c r="C183" s="151">
        <v>2600</v>
      </c>
      <c r="D183" s="149"/>
      <c r="E183" s="149"/>
      <c r="F183" s="152"/>
      <c r="G183" s="152"/>
      <c r="H183" s="149"/>
      <c r="I183" s="82">
        <v>41087</v>
      </c>
      <c r="J183" s="153">
        <v>41669</v>
      </c>
      <c r="K183" s="153">
        <f>J183+950</f>
        <v>42619</v>
      </c>
      <c r="L183" s="154"/>
      <c r="N183" s="28"/>
      <c r="R183" s="29"/>
    </row>
    <row r="184" spans="1:18" ht="18" x14ac:dyDescent="0.25">
      <c r="A184" s="86">
        <v>4</v>
      </c>
      <c r="B184" s="87" t="s">
        <v>238</v>
      </c>
      <c r="C184" s="88">
        <f>SUBTOTAL(9,C178:C183)</f>
        <v>62723.824000000001</v>
      </c>
      <c r="D184" s="89"/>
      <c r="E184" s="89"/>
      <c r="F184" s="90">
        <f>SUMPRODUCT(F178:F183,$C$178:$C$183)</f>
        <v>39600.000083765437</v>
      </c>
      <c r="G184" s="90">
        <f>SUMPRODUCT(G178:G183,$C$178:$C$183)</f>
        <v>23123.823916234564</v>
      </c>
      <c r="H184" s="91"/>
      <c r="I184" s="65">
        <f>MIN(I178:I178)</f>
        <v>41087</v>
      </c>
      <c r="J184" s="65">
        <f>MIN(J178:J178)</f>
        <v>41669</v>
      </c>
      <c r="K184" s="65">
        <f>MAX(K178:K178)</f>
        <v>42619</v>
      </c>
      <c r="L184" s="89"/>
      <c r="N184" s="28">
        <v>0.28698587045669866</v>
      </c>
      <c r="O184" s="4">
        <f>C184/$C$201</f>
        <v>0.28770464749898722</v>
      </c>
      <c r="R184" s="29">
        <f t="shared" si="20"/>
        <v>0</v>
      </c>
    </row>
    <row r="185" spans="1:18" x14ac:dyDescent="0.25">
      <c r="A185" s="67"/>
      <c r="B185" s="68"/>
      <c r="C185" s="70">
        <f>F185+G185</f>
        <v>62723824</v>
      </c>
      <c r="D185" s="67"/>
      <c r="E185" s="67"/>
      <c r="F185" s="70">
        <f>'[1]%'!J10</f>
        <v>39600000</v>
      </c>
      <c r="G185" s="70">
        <f>'[1]%'!K10</f>
        <v>23123824</v>
      </c>
      <c r="H185" s="67"/>
      <c r="I185" s="67"/>
      <c r="J185" s="67"/>
      <c r="K185" s="67"/>
      <c r="L185" s="67"/>
      <c r="N185" s="28"/>
      <c r="R185" s="29">
        <f t="shared" si="20"/>
        <v>0</v>
      </c>
    </row>
    <row r="186" spans="1:18" x14ac:dyDescent="0.25">
      <c r="A186" s="67"/>
      <c r="B186" s="68"/>
      <c r="C186" s="70"/>
      <c r="D186" s="67"/>
      <c r="E186" s="67"/>
      <c r="F186" s="70"/>
      <c r="G186" s="70"/>
      <c r="H186" s="67"/>
      <c r="I186" s="67"/>
      <c r="J186" s="67"/>
      <c r="K186" s="67"/>
      <c r="L186" s="67"/>
      <c r="N186" s="28"/>
      <c r="R186" s="29"/>
    </row>
    <row r="187" spans="1:18" ht="18" x14ac:dyDescent="0.25">
      <c r="A187" s="97" t="str">
        <f>A122</f>
        <v>PROGRAMA DE INVESTIMENTOS DA CEEE-D - FINANCIAMENTO BID - PLANO DE AQUISIÇÃO</v>
      </c>
      <c r="B187" s="98"/>
      <c r="C187" s="97"/>
      <c r="D187" s="97"/>
      <c r="E187" s="97"/>
      <c r="F187" s="97"/>
      <c r="G187" s="97"/>
      <c r="H187" s="97"/>
      <c r="I187" s="97"/>
      <c r="J187" s="97"/>
      <c r="K187" s="97"/>
      <c r="L187" s="99"/>
      <c r="N187" s="28"/>
      <c r="R187" s="29"/>
    </row>
    <row r="188" spans="1:18" ht="18" x14ac:dyDescent="0.25">
      <c r="A188" s="97" t="str">
        <f t="shared" ref="A188:K195" si="21">A123</f>
        <v>ENGENHARIA, ADMINISTRAÇÃO E AUDITORIA</v>
      </c>
      <c r="B188" s="98"/>
      <c r="C188" s="97"/>
      <c r="D188" s="97"/>
      <c r="E188" s="97"/>
      <c r="F188" s="97"/>
      <c r="G188" s="97"/>
      <c r="H188" s="97"/>
      <c r="I188" s="97"/>
      <c r="J188" s="97"/>
      <c r="K188" s="97"/>
      <c r="L188" s="99"/>
      <c r="N188" s="28"/>
      <c r="R188" s="29"/>
    </row>
    <row r="189" spans="1:18" ht="25.5" x14ac:dyDescent="0.25">
      <c r="A189" s="8" t="str">
        <f t="shared" si="21"/>
        <v>N°</v>
      </c>
      <c r="B189" s="9" t="str">
        <f t="shared" si="21"/>
        <v>Descrição Contrato e Montante (Estimado)</v>
      </c>
      <c r="C189" s="10" t="str">
        <f t="shared" si="21"/>
        <v>total</v>
      </c>
      <c r="D189" s="11" t="str">
        <f t="shared" si="21"/>
        <v>Método de Aquisição</v>
      </c>
      <c r="E189" s="8" t="str">
        <f t="shared" si="21"/>
        <v>Revisão</v>
      </c>
      <c r="F189" s="12" t="str">
        <f t="shared" si="21"/>
        <v>Fonte de Financiamento e Porcentagem</v>
      </c>
      <c r="G189" s="13">
        <f t="shared" si="21"/>
        <v>0</v>
      </c>
      <c r="H189" s="11" t="str">
        <f t="shared" si="21"/>
        <v>Préqualificação (sim/Não)</v>
      </c>
      <c r="I189" s="12" t="str">
        <f t="shared" si="21"/>
        <v>Datas Estimadas</v>
      </c>
      <c r="J189" s="14">
        <f t="shared" si="21"/>
        <v>0</v>
      </c>
      <c r="K189" s="13">
        <f t="shared" si="21"/>
        <v>0</v>
      </c>
      <c r="L189" s="11" t="str">
        <f>L124</f>
        <v>Situação: (Pendente/ Em processo/Adjudicado/Cancelado)</v>
      </c>
    </row>
    <row r="190" spans="1:18" ht="51" x14ac:dyDescent="0.2">
      <c r="A190" s="8"/>
      <c r="B190" s="9"/>
      <c r="C190" s="16" t="str">
        <f t="shared" si="21"/>
        <v>Valor  (US$ x 1.000)</v>
      </c>
      <c r="D190" s="17">
        <f t="shared" si="21"/>
        <v>0</v>
      </c>
      <c r="E190" s="18" t="str">
        <f t="shared" si="21"/>
        <v>Ex-ante ou Ex-post</v>
      </c>
      <c r="F190" s="18" t="str">
        <f t="shared" si="21"/>
        <v>BID%</v>
      </c>
      <c r="G190" s="18" t="str">
        <f t="shared" si="21"/>
        <v>Local/AFD%</v>
      </c>
      <c r="H190" s="17">
        <f t="shared" si="21"/>
        <v>0</v>
      </c>
      <c r="I190" s="18" t="str">
        <f t="shared" si="21"/>
        <v>Publicação Anúncio Específico de Aquisição</v>
      </c>
      <c r="J190" s="19" t="str">
        <f t="shared" si="21"/>
        <v>Início de contrato</v>
      </c>
      <c r="K190" s="18" t="str">
        <f t="shared" si="21"/>
        <v>Término do contrato</v>
      </c>
      <c r="L190" s="17">
        <f>L125</f>
        <v>0</v>
      </c>
      <c r="N190" s="20"/>
      <c r="O190" s="20"/>
      <c r="P190" s="20"/>
      <c r="Q190" s="21"/>
    </row>
    <row r="191" spans="1:18" ht="18" x14ac:dyDescent="0.25">
      <c r="A191" s="110" t="s">
        <v>239</v>
      </c>
      <c r="B191" s="111" t="str">
        <f t="shared" si="21"/>
        <v>Custos Operativos</v>
      </c>
      <c r="C191" s="50">
        <f>SUBTOTAL(9,C192:C194)</f>
        <v>1266.2310000000002</v>
      </c>
      <c r="D191" s="113"/>
      <c r="E191" s="113"/>
      <c r="F191" s="113"/>
      <c r="G191" s="113"/>
      <c r="H191" s="113"/>
      <c r="I191" s="113"/>
      <c r="J191" s="113"/>
      <c r="K191" s="113"/>
      <c r="L191" s="113"/>
      <c r="N191" s="28"/>
      <c r="R191" s="29"/>
    </row>
    <row r="192" spans="1:18" x14ac:dyDescent="0.25">
      <c r="A192" s="114" t="s">
        <v>176</v>
      </c>
      <c r="B192" s="115" t="str">
        <f t="shared" si="21"/>
        <v xml:space="preserve"> Engenharia e administração</v>
      </c>
      <c r="C192" s="155">
        <f t="shared" si="21"/>
        <v>843.23100000000022</v>
      </c>
      <c r="D192" s="114" t="str">
        <f t="shared" si="21"/>
        <v>AD</v>
      </c>
      <c r="E192" s="30" t="str">
        <f t="shared" si="21"/>
        <v>EXP</v>
      </c>
      <c r="F192" s="79">
        <v>0.87772530000000004</v>
      </c>
      <c r="G192" s="33">
        <f>1-F192</f>
        <v>0.12227469999999996</v>
      </c>
      <c r="H192" s="114" t="str">
        <f t="shared" si="21"/>
        <v>Não</v>
      </c>
      <c r="I192" s="114"/>
      <c r="J192" s="77">
        <f t="shared" si="21"/>
        <v>40909</v>
      </c>
      <c r="K192" s="77">
        <f>K127-90</f>
        <v>42269</v>
      </c>
      <c r="L192" s="118" t="s">
        <v>31</v>
      </c>
      <c r="N192" s="28"/>
      <c r="R192" s="29"/>
    </row>
    <row r="193" spans="1:18" x14ac:dyDescent="0.25">
      <c r="A193" s="114" t="s">
        <v>171</v>
      </c>
      <c r="B193" s="115" t="str">
        <f t="shared" si="21"/>
        <v>Auditoria externa</v>
      </c>
      <c r="C193" s="155">
        <f t="shared" si="21"/>
        <v>223</v>
      </c>
      <c r="D193" s="114">
        <f t="shared" si="21"/>
        <v>8666</v>
      </c>
      <c r="E193" s="30" t="s">
        <v>27</v>
      </c>
      <c r="F193" s="119">
        <f t="shared" si="21"/>
        <v>0</v>
      </c>
      <c r="G193" s="33">
        <f t="shared" si="21"/>
        <v>1</v>
      </c>
      <c r="H193" s="114" t="str">
        <f t="shared" si="21"/>
        <v>Não</v>
      </c>
      <c r="I193" s="77">
        <f>I128+30</f>
        <v>41213</v>
      </c>
      <c r="J193" s="77">
        <f t="shared" si="21"/>
        <v>41214</v>
      </c>
      <c r="K193" s="77">
        <f>K128-90</f>
        <v>42269</v>
      </c>
      <c r="L193" s="118" t="s">
        <v>31</v>
      </c>
      <c r="N193" s="28"/>
      <c r="R193" s="29"/>
    </row>
    <row r="194" spans="1:18" ht="25.5" x14ac:dyDescent="0.25">
      <c r="A194" s="114" t="s">
        <v>172</v>
      </c>
      <c r="B194" s="115" t="str">
        <f t="shared" si="21"/>
        <v>Monitoramento, avaliação de médio prazo e final</v>
      </c>
      <c r="C194" s="155">
        <f t="shared" si="21"/>
        <v>200</v>
      </c>
      <c r="D194" s="114" t="str">
        <f t="shared" si="21"/>
        <v>AF-200</v>
      </c>
      <c r="E194" s="30" t="str">
        <f t="shared" si="21"/>
        <v>EXA</v>
      </c>
      <c r="F194" s="119">
        <f t="shared" si="21"/>
        <v>0</v>
      </c>
      <c r="G194" s="33">
        <f t="shared" si="21"/>
        <v>1</v>
      </c>
      <c r="H194" s="114" t="str">
        <f t="shared" si="21"/>
        <v>Não</v>
      </c>
      <c r="I194" s="77">
        <f t="shared" si="21"/>
        <v>41760</v>
      </c>
      <c r="J194" s="77">
        <f t="shared" si="21"/>
        <v>41821</v>
      </c>
      <c r="K194" s="77">
        <f>K129-90</f>
        <v>42269</v>
      </c>
      <c r="L194" s="118" t="s">
        <v>23</v>
      </c>
      <c r="N194" s="28"/>
      <c r="R194" s="29"/>
    </row>
    <row r="195" spans="1:18" x14ac:dyDescent="0.25">
      <c r="A195" s="114" t="s">
        <v>240</v>
      </c>
      <c r="B195" s="115" t="s">
        <v>177</v>
      </c>
      <c r="C195" s="155">
        <f t="shared" si="21"/>
        <v>1418</v>
      </c>
      <c r="D195" s="114" t="str">
        <f t="shared" si="21"/>
        <v>SBQC</v>
      </c>
      <c r="E195" s="30" t="str">
        <f t="shared" si="21"/>
        <v>EXP</v>
      </c>
      <c r="F195" s="119">
        <f t="shared" si="21"/>
        <v>0.87772555799999996</v>
      </c>
      <c r="G195" s="33">
        <f t="shared" si="21"/>
        <v>0.12227444200000004</v>
      </c>
      <c r="H195" s="114" t="str">
        <f t="shared" si="21"/>
        <v>Não</v>
      </c>
      <c r="I195" s="77">
        <v>41544</v>
      </c>
      <c r="J195" s="77">
        <v>41639</v>
      </c>
      <c r="K195" s="77">
        <f>K130-90</f>
        <v>42269</v>
      </c>
      <c r="L195" s="118" t="s">
        <v>29</v>
      </c>
      <c r="N195" s="28"/>
      <c r="R195" s="29"/>
    </row>
    <row r="196" spans="1:18" ht="18" x14ac:dyDescent="0.25">
      <c r="A196" s="86">
        <v>5</v>
      </c>
      <c r="B196" s="87" t="str">
        <f>B131</f>
        <v>TOTAL</v>
      </c>
      <c r="C196" s="88">
        <f>C131</f>
        <v>2684.2310000000002</v>
      </c>
      <c r="D196" s="89"/>
      <c r="E196" s="89"/>
      <c r="F196" s="90">
        <f>SUMPRODUCT(F192:F195,$C$192:$C$195)</f>
        <v>1984.7400236883002</v>
      </c>
      <c r="G196" s="90">
        <f>SUMPRODUCT(G192:G195,$C$192:$C$195)</f>
        <v>699.49097631170002</v>
      </c>
      <c r="H196" s="91"/>
      <c r="I196" s="156">
        <f>MIN(I192:I195)</f>
        <v>41213</v>
      </c>
      <c r="J196" s="156">
        <f>MIN(J192:J195)+J84</f>
        <v>40909</v>
      </c>
      <c r="K196" s="156">
        <f>MAX(K192:K195)</f>
        <v>42269</v>
      </c>
      <c r="L196" s="120"/>
      <c r="N196" s="28"/>
      <c r="R196" s="29"/>
    </row>
    <row r="197" spans="1:18" x14ac:dyDescent="0.25">
      <c r="A197" s="122"/>
      <c r="B197" s="68"/>
      <c r="C197" s="70">
        <f>C132</f>
        <v>2684231</v>
      </c>
      <c r="D197" s="123"/>
      <c r="E197" s="123"/>
      <c r="F197" s="70">
        <f>'[1]%'!J12</f>
        <v>1984740</v>
      </c>
      <c r="G197" s="70">
        <f>'[1]%'!K12</f>
        <v>699491</v>
      </c>
      <c r="H197" s="123"/>
      <c r="I197" s="67"/>
      <c r="J197" s="67"/>
      <c r="K197" s="67"/>
      <c r="L197" s="67"/>
      <c r="N197" s="28"/>
      <c r="R197" s="29"/>
    </row>
    <row r="198" spans="1:18" ht="18" x14ac:dyDescent="0.25">
      <c r="A198" s="97" t="s">
        <v>241</v>
      </c>
      <c r="B198" s="68"/>
      <c r="C198" s="67"/>
      <c r="D198" s="67"/>
      <c r="E198" s="67"/>
      <c r="F198" s="67"/>
      <c r="G198" s="67"/>
      <c r="H198" s="67"/>
      <c r="I198" s="67"/>
      <c r="J198" s="67"/>
      <c r="K198" s="67"/>
      <c r="L198" s="67"/>
      <c r="N198" s="28"/>
      <c r="R198" s="29">
        <f t="shared" si="20"/>
        <v>0</v>
      </c>
    </row>
    <row r="199" spans="1:18" ht="20.25" x14ac:dyDescent="0.25">
      <c r="A199" s="157" t="s">
        <v>242</v>
      </c>
      <c r="B199" s="158" t="str">
        <f>'[1]%'!I11</f>
        <v>Contingências</v>
      </c>
      <c r="C199" s="61">
        <f>G199</f>
        <v>10766.52</v>
      </c>
      <c r="D199" s="159"/>
      <c r="E199" s="159"/>
      <c r="F199" s="160"/>
      <c r="G199" s="63">
        <f>'[1]%'!K11/1000</f>
        <v>10766.52</v>
      </c>
      <c r="H199" s="159"/>
      <c r="I199" s="156"/>
      <c r="J199" s="156">
        <v>41275</v>
      </c>
      <c r="K199" s="156">
        <v>41974</v>
      </c>
      <c r="L199" s="161"/>
      <c r="N199" s="28"/>
      <c r="R199" s="29">
        <f t="shared" si="20"/>
        <v>0</v>
      </c>
    </row>
    <row r="200" spans="1:18" x14ac:dyDescent="0.2">
      <c r="A200" s="67"/>
      <c r="B200" s="68"/>
      <c r="C200" s="67"/>
      <c r="D200" s="67"/>
      <c r="E200" s="67"/>
      <c r="F200" s="162">
        <f>'[1]%'!J17</f>
        <v>130556650</v>
      </c>
      <c r="G200" s="162">
        <f>'[1]%'!K17</f>
        <v>87457986</v>
      </c>
      <c r="H200" s="67"/>
      <c r="I200" s="67"/>
      <c r="J200" s="67"/>
      <c r="K200" s="67"/>
      <c r="L200" s="67"/>
      <c r="N200" s="28"/>
      <c r="R200" s="29">
        <f t="shared" si="20"/>
        <v>0</v>
      </c>
    </row>
    <row r="201" spans="1:18" ht="20.25" x14ac:dyDescent="0.25">
      <c r="A201" s="159"/>
      <c r="B201" s="158" t="s">
        <v>243</v>
      </c>
      <c r="C201" s="163">
        <f>C89+C120+C131+C170+C184+C199</f>
        <v>218014.63599999997</v>
      </c>
      <c r="D201" s="164"/>
      <c r="E201" s="164"/>
      <c r="F201" s="163">
        <f>F89+F120+F131+F170+F184+F199</f>
        <v>130556.65480300823</v>
      </c>
      <c r="G201" s="163">
        <f>G89+G120+G131+G170+G184+G199</f>
        <v>87457.981196991765</v>
      </c>
      <c r="H201" s="164"/>
      <c r="I201" s="156">
        <f>MIN(I6:I200)</f>
        <v>40254</v>
      </c>
      <c r="J201" s="156">
        <f>MIN(J6:J200)+J89</f>
        <v>40361</v>
      </c>
      <c r="K201" s="156">
        <f>MAX(K6:K200)</f>
        <v>42735</v>
      </c>
      <c r="L201" s="161"/>
    </row>
    <row r="202" spans="1:18" x14ac:dyDescent="0.25">
      <c r="C202" s="165">
        <f>'[1]%'!L17</f>
        <v>218014636</v>
      </c>
      <c r="F202" s="166">
        <f>F201+G201</f>
        <v>218014.636</v>
      </c>
      <c r="G202" s="167"/>
    </row>
    <row r="203" spans="1:18" x14ac:dyDescent="0.25">
      <c r="F203" s="168">
        <f>F201/C201</f>
        <v>0.59884353270212676</v>
      </c>
      <c r="G203" s="168">
        <f>G201/C201</f>
        <v>0.40115646729787341</v>
      </c>
    </row>
  </sheetData>
  <mergeCells count="30">
    <mergeCell ref="D175:D176"/>
    <mergeCell ref="F175:G175"/>
    <mergeCell ref="H175:H176"/>
    <mergeCell ref="I175:K175"/>
    <mergeCell ref="L175:L176"/>
    <mergeCell ref="D189:D190"/>
    <mergeCell ref="F189:G189"/>
    <mergeCell ref="H189:H190"/>
    <mergeCell ref="I189:K189"/>
    <mergeCell ref="L189:L190"/>
    <mergeCell ref="D124:D125"/>
    <mergeCell ref="F124:G124"/>
    <mergeCell ref="H124:H125"/>
    <mergeCell ref="I124:K124"/>
    <mergeCell ref="L124:L125"/>
    <mergeCell ref="D136:D137"/>
    <mergeCell ref="F136:G136"/>
    <mergeCell ref="H136:H137"/>
    <mergeCell ref="I136:K136"/>
    <mergeCell ref="L136:L137"/>
    <mergeCell ref="D4:D5"/>
    <mergeCell ref="F4:G4"/>
    <mergeCell ref="H4:H5"/>
    <mergeCell ref="I4:K4"/>
    <mergeCell ref="L4:L5"/>
    <mergeCell ref="D94:D95"/>
    <mergeCell ref="F94:G94"/>
    <mergeCell ref="H94:H95"/>
    <mergeCell ref="I94:K94"/>
    <mergeCell ref="L94:L95"/>
  </mergeCells>
  <conditionalFormatting sqref="I2:K7 I25:K26 J21:K21 K32 I89:K90 K91 I12:K12 I18:K19 I33:K39 I41:K43 I198:K1048576 I47:K47 I110:K110 I92:K105 I107:K108 I45:K45 I28:K29 I74:K74 I49:K51 J13:K13 J8:K9 I54:K72 I76:K76 I78:K87 I113:K186">
    <cfRule type="cellIs" dxfId="69" priority="70" stopIfTrue="1" operator="lessThan">
      <formula>TODAY()</formula>
    </cfRule>
  </conditionalFormatting>
  <conditionalFormatting sqref="I187:K188 I191:K191 I193:K194 J192:K192 I197:K197">
    <cfRule type="cellIs" dxfId="68" priority="69" stopIfTrue="1" operator="lessThan">
      <formula>TODAY()</formula>
    </cfRule>
  </conditionalFormatting>
  <conditionalFormatting sqref="I189:K190">
    <cfRule type="cellIs" dxfId="67" priority="68" stopIfTrue="1" operator="lessThan">
      <formula>TODAY()</formula>
    </cfRule>
  </conditionalFormatting>
  <conditionalFormatting sqref="K30">
    <cfRule type="cellIs" dxfId="66" priority="67" stopIfTrue="1" operator="lessThan">
      <formula>TODAY()</formula>
    </cfRule>
  </conditionalFormatting>
  <conditionalFormatting sqref="J24:K24">
    <cfRule type="cellIs" dxfId="65" priority="66" stopIfTrue="1" operator="lessThan">
      <formula>TODAY()</formula>
    </cfRule>
  </conditionalFormatting>
  <conditionalFormatting sqref="I20:K20">
    <cfRule type="cellIs" dxfId="64" priority="65" stopIfTrue="1" operator="lessThan">
      <formula>TODAY()</formula>
    </cfRule>
  </conditionalFormatting>
  <conditionalFormatting sqref="I21 I24">
    <cfRule type="cellIs" dxfId="63" priority="64" stopIfTrue="1" operator="lessThan">
      <formula>TODAY()</formula>
    </cfRule>
  </conditionalFormatting>
  <conditionalFormatting sqref="E41:E43 E2:E9 E89:E97 E54:E72 E24 E47 E110:E111 E26 E30 E100:E103 E161:E192 E105 E107:E108 E196:E1048576 E45 E28 E32:E39 E74:E87 E49:E51 E12:E21 E113:E159 E194">
    <cfRule type="cellIs" dxfId="62" priority="63" operator="equal">
      <formula>"EXA"</formula>
    </cfRule>
  </conditionalFormatting>
  <conditionalFormatting sqref="I40:K40">
    <cfRule type="cellIs" dxfId="61" priority="62" stopIfTrue="1" operator="lessThan">
      <formula>TODAY()</formula>
    </cfRule>
  </conditionalFormatting>
  <conditionalFormatting sqref="E40">
    <cfRule type="cellIs" dxfId="60" priority="61" operator="equal">
      <formula>"EXA"</formula>
    </cfRule>
  </conditionalFormatting>
  <conditionalFormatting sqref="I53:K53">
    <cfRule type="cellIs" dxfId="59" priority="60" stopIfTrue="1" operator="lessThan">
      <formula>TODAY()</formula>
    </cfRule>
  </conditionalFormatting>
  <conditionalFormatting sqref="E53">
    <cfRule type="cellIs" dxfId="58" priority="59" operator="equal">
      <formula>"EXA"</formula>
    </cfRule>
  </conditionalFormatting>
  <conditionalFormatting sqref="I8">
    <cfRule type="cellIs" dxfId="57" priority="58" stopIfTrue="1" operator="lessThan">
      <formula>TODAY()</formula>
    </cfRule>
  </conditionalFormatting>
  <conditionalFormatting sqref="I9">
    <cfRule type="cellIs" dxfId="56" priority="57" stopIfTrue="1" operator="lessThan">
      <formula>TODAY()</formula>
    </cfRule>
  </conditionalFormatting>
  <conditionalFormatting sqref="I13">
    <cfRule type="cellIs" dxfId="55" priority="56" stopIfTrue="1" operator="lessThan">
      <formula>TODAY()</formula>
    </cfRule>
  </conditionalFormatting>
  <conditionalFormatting sqref="I52 K52">
    <cfRule type="cellIs" dxfId="54" priority="55" stopIfTrue="1" operator="lessThan">
      <formula>TODAY()</formula>
    </cfRule>
  </conditionalFormatting>
  <conditionalFormatting sqref="E52">
    <cfRule type="cellIs" dxfId="53" priority="54" operator="equal">
      <formula>"EXA"</formula>
    </cfRule>
  </conditionalFormatting>
  <conditionalFormatting sqref="I30:J30">
    <cfRule type="cellIs" dxfId="52" priority="53" stopIfTrue="1" operator="lessThan">
      <formula>TODAY()</formula>
    </cfRule>
  </conditionalFormatting>
  <conditionalFormatting sqref="I32:J32">
    <cfRule type="cellIs" dxfId="51" priority="52" stopIfTrue="1" operator="lessThan">
      <formula>TODAY()</formula>
    </cfRule>
  </conditionalFormatting>
  <conditionalFormatting sqref="I14:K17">
    <cfRule type="cellIs" dxfId="50" priority="51" stopIfTrue="1" operator="lessThan">
      <formula>TODAY()</formula>
    </cfRule>
  </conditionalFormatting>
  <conditionalFormatting sqref="I88 K88">
    <cfRule type="cellIs" dxfId="49" priority="50" stopIfTrue="1" operator="lessThan">
      <formula>TODAY()</formula>
    </cfRule>
  </conditionalFormatting>
  <conditionalFormatting sqref="E88">
    <cfRule type="cellIs" dxfId="48" priority="49" operator="equal">
      <formula>"EXA"</formula>
    </cfRule>
  </conditionalFormatting>
  <conditionalFormatting sqref="J88">
    <cfRule type="cellIs" dxfId="47" priority="48" stopIfTrue="1" operator="lessThan">
      <formula>TODAY()</formula>
    </cfRule>
  </conditionalFormatting>
  <conditionalFormatting sqref="I23:K23">
    <cfRule type="cellIs" dxfId="46" priority="47" stopIfTrue="1" operator="lessThan">
      <formula>TODAY()</formula>
    </cfRule>
  </conditionalFormatting>
  <conditionalFormatting sqref="E23">
    <cfRule type="cellIs" dxfId="45" priority="46" operator="equal">
      <formula>"EXA"</formula>
    </cfRule>
  </conditionalFormatting>
  <conditionalFormatting sqref="K22">
    <cfRule type="cellIs" dxfId="44" priority="45" stopIfTrue="1" operator="lessThan">
      <formula>TODAY()</formula>
    </cfRule>
  </conditionalFormatting>
  <conditionalFormatting sqref="I22">
    <cfRule type="cellIs" dxfId="43" priority="44" stopIfTrue="1" operator="lessThan">
      <formula>TODAY()</formula>
    </cfRule>
  </conditionalFormatting>
  <conditionalFormatting sqref="E22">
    <cfRule type="cellIs" dxfId="42" priority="43" operator="equal">
      <formula>"EXA"</formula>
    </cfRule>
  </conditionalFormatting>
  <conditionalFormatting sqref="J22">
    <cfRule type="cellIs" dxfId="41" priority="42" stopIfTrue="1" operator="lessThan">
      <formula>TODAY()</formula>
    </cfRule>
  </conditionalFormatting>
  <conditionalFormatting sqref="I46:K46">
    <cfRule type="cellIs" dxfId="40" priority="41" stopIfTrue="1" operator="lessThan">
      <formula>TODAY()</formula>
    </cfRule>
  </conditionalFormatting>
  <conditionalFormatting sqref="E46">
    <cfRule type="cellIs" dxfId="39" priority="40" operator="equal">
      <formula>"EXA"</formula>
    </cfRule>
  </conditionalFormatting>
  <conditionalFormatting sqref="J52">
    <cfRule type="cellIs" dxfId="38" priority="39" stopIfTrue="1" operator="lessThan">
      <formula>TODAY()</formula>
    </cfRule>
  </conditionalFormatting>
  <conditionalFormatting sqref="E98">
    <cfRule type="cellIs" dxfId="37" priority="36" operator="equal">
      <formula>"EXA"</formula>
    </cfRule>
  </conditionalFormatting>
  <conditionalFormatting sqref="E25">
    <cfRule type="cellIs" dxfId="36" priority="38" operator="equal">
      <formula>"EXA"</formula>
    </cfRule>
  </conditionalFormatting>
  <conditionalFormatting sqref="E29">
    <cfRule type="cellIs" dxfId="35" priority="37" operator="equal">
      <formula>"EXA"</formula>
    </cfRule>
  </conditionalFormatting>
  <conditionalFormatting sqref="E99">
    <cfRule type="cellIs" dxfId="34" priority="35" operator="equal">
      <formula>"EXA"</formula>
    </cfRule>
  </conditionalFormatting>
  <conditionalFormatting sqref="E104">
    <cfRule type="cellIs" dxfId="33" priority="34" operator="equal">
      <formula>"EXA"</formula>
    </cfRule>
  </conditionalFormatting>
  <conditionalFormatting sqref="E112">
    <cfRule type="cellIs" dxfId="32" priority="33" operator="equal">
      <formula>"EXA"</formula>
    </cfRule>
  </conditionalFormatting>
  <conditionalFormatting sqref="E160">
    <cfRule type="cellIs" dxfId="31" priority="32" operator="equal">
      <formula>"EXA"</formula>
    </cfRule>
  </conditionalFormatting>
  <conditionalFormatting sqref="E193">
    <cfRule type="cellIs" dxfId="30" priority="31" operator="equal">
      <formula>"EXA"</formula>
    </cfRule>
  </conditionalFormatting>
  <conditionalFormatting sqref="I106:K106">
    <cfRule type="cellIs" dxfId="29" priority="30" stopIfTrue="1" operator="lessThan">
      <formula>TODAY()</formula>
    </cfRule>
  </conditionalFormatting>
  <conditionalFormatting sqref="E106">
    <cfRule type="cellIs" dxfId="28" priority="29" operator="equal">
      <formula>"EXA"</formula>
    </cfRule>
  </conditionalFormatting>
  <conditionalFormatting sqref="I109:K109">
    <cfRule type="cellIs" dxfId="27" priority="28" stopIfTrue="1" operator="lessThan">
      <formula>TODAY()</formula>
    </cfRule>
  </conditionalFormatting>
  <conditionalFormatting sqref="E109">
    <cfRule type="cellIs" dxfId="26" priority="27" operator="equal">
      <formula>"EXA"</formula>
    </cfRule>
  </conditionalFormatting>
  <conditionalFormatting sqref="J195:K195">
    <cfRule type="cellIs" dxfId="25" priority="26" stopIfTrue="1" operator="lessThan">
      <formula>TODAY()</formula>
    </cfRule>
  </conditionalFormatting>
  <conditionalFormatting sqref="E195">
    <cfRule type="cellIs" dxfId="24" priority="25" operator="equal">
      <formula>"EXA"</formula>
    </cfRule>
  </conditionalFormatting>
  <conditionalFormatting sqref="I195">
    <cfRule type="cellIs" dxfId="23" priority="24" stopIfTrue="1" operator="lessThan">
      <formula>TODAY()</formula>
    </cfRule>
  </conditionalFormatting>
  <conditionalFormatting sqref="D20">
    <cfRule type="cellIs" dxfId="22" priority="23" operator="equal">
      <formula>"EXA"</formula>
    </cfRule>
  </conditionalFormatting>
  <conditionalFormatting sqref="I44:K44">
    <cfRule type="cellIs" dxfId="21" priority="22" stopIfTrue="1" operator="lessThan">
      <formula>TODAY()</formula>
    </cfRule>
  </conditionalFormatting>
  <conditionalFormatting sqref="E44">
    <cfRule type="cellIs" dxfId="20" priority="21" operator="equal">
      <formula>"EXA"</formula>
    </cfRule>
  </conditionalFormatting>
  <conditionalFormatting sqref="I27:K27">
    <cfRule type="cellIs" dxfId="19" priority="20" stopIfTrue="1" operator="lessThan">
      <formula>TODAY()</formula>
    </cfRule>
  </conditionalFormatting>
  <conditionalFormatting sqref="E27">
    <cfRule type="cellIs" dxfId="18" priority="19" operator="equal">
      <formula>"EXA"</formula>
    </cfRule>
  </conditionalFormatting>
  <conditionalFormatting sqref="I31:K31">
    <cfRule type="cellIs" dxfId="17" priority="18" stopIfTrue="1" operator="lessThan">
      <formula>TODAY()</formula>
    </cfRule>
  </conditionalFormatting>
  <conditionalFormatting sqref="E31">
    <cfRule type="cellIs" dxfId="16" priority="17" operator="equal">
      <formula>"EXA"</formula>
    </cfRule>
  </conditionalFormatting>
  <conditionalFormatting sqref="E73">
    <cfRule type="cellIs" dxfId="15" priority="16" operator="equal">
      <formula>"EXA"</formula>
    </cfRule>
  </conditionalFormatting>
  <conditionalFormatting sqref="I48:K48">
    <cfRule type="cellIs" dxfId="14" priority="15" stopIfTrue="1" operator="lessThan">
      <formula>TODAY()</formula>
    </cfRule>
  </conditionalFormatting>
  <conditionalFormatting sqref="E48">
    <cfRule type="cellIs" dxfId="13" priority="14" operator="equal">
      <formula>"EXA"</formula>
    </cfRule>
  </conditionalFormatting>
  <conditionalFormatting sqref="E10:E11">
    <cfRule type="cellIs" dxfId="12" priority="13" operator="equal">
      <formula>"EXA"</formula>
    </cfRule>
  </conditionalFormatting>
  <conditionalFormatting sqref="I10">
    <cfRule type="cellIs" dxfId="11" priority="12" stopIfTrue="1" operator="lessThan">
      <formula>TODAY()</formula>
    </cfRule>
  </conditionalFormatting>
  <conditionalFormatting sqref="I11">
    <cfRule type="cellIs" dxfId="10" priority="11" stopIfTrue="1" operator="lessThan">
      <formula>TODAY()</formula>
    </cfRule>
  </conditionalFormatting>
  <conditionalFormatting sqref="J10">
    <cfRule type="cellIs" dxfId="9" priority="10" stopIfTrue="1" operator="lessThan">
      <formula>TODAY()</formula>
    </cfRule>
  </conditionalFormatting>
  <conditionalFormatting sqref="J11">
    <cfRule type="cellIs" dxfId="8" priority="9" stopIfTrue="1" operator="lessThan">
      <formula>TODAY()</formula>
    </cfRule>
  </conditionalFormatting>
  <conditionalFormatting sqref="K10">
    <cfRule type="cellIs" dxfId="7" priority="8" stopIfTrue="1" operator="lessThan">
      <formula>TODAY()</formula>
    </cfRule>
  </conditionalFormatting>
  <conditionalFormatting sqref="K11">
    <cfRule type="cellIs" dxfId="6" priority="7" stopIfTrue="1" operator="lessThan">
      <formula>TODAY()</formula>
    </cfRule>
  </conditionalFormatting>
  <conditionalFormatting sqref="I73:K73">
    <cfRule type="cellIs" dxfId="5" priority="6" stopIfTrue="1" operator="lessThan">
      <formula>TODAY()</formula>
    </cfRule>
  </conditionalFormatting>
  <conditionalFormatting sqref="I75:K75">
    <cfRule type="cellIs" dxfId="4" priority="5" stopIfTrue="1" operator="lessThan">
      <formula>TODAY()</formula>
    </cfRule>
  </conditionalFormatting>
  <conditionalFormatting sqref="I77:K77">
    <cfRule type="cellIs" dxfId="3" priority="4" stopIfTrue="1" operator="lessThan">
      <formula>TODAY()</formula>
    </cfRule>
  </conditionalFormatting>
  <conditionalFormatting sqref="I111:K111">
    <cfRule type="cellIs" dxfId="2" priority="3" stopIfTrue="1" operator="lessThan">
      <formula>TODAY()</formula>
    </cfRule>
  </conditionalFormatting>
  <conditionalFormatting sqref="I112:K112">
    <cfRule type="cellIs" dxfId="1" priority="2" stopIfTrue="1" operator="lessThan">
      <formula>TODAY()</formula>
    </cfRule>
  </conditionalFormatting>
  <conditionalFormatting sqref="I196:K196">
    <cfRule type="cellIs" dxfId="0" priority="1" stopIfTrue="1" operator="lessThan">
      <formula>TODAY()</formula>
    </cfRule>
  </conditionalFormatting>
  <dataValidations count="1">
    <dataValidation type="list" allowBlank="1" showInputMessage="1" showErrorMessage="1" sqref="L198:L201 L6:L186 L192:L195">
      <formula1>$T$6:$T$9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6A9A4056F68DC45A50BBA6CFA0B9E22" ma:contentTypeVersion="0" ma:contentTypeDescription="A content type to manage public (operations) IDB documents" ma:contentTypeScope="" ma:versionID="9bd21c70b47b58d23670ba0db11e825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38246905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2700/OC-BR</Approval_x0020_Number>
    <Document_x0020_Author xmlns="9c571b2f-e523-4ab2-ba2e-09e151a03ef4">Larrea, Sylvia Virginia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2A78E91A-E01C-4E4A-9100-33FFC8D99A59}"/>
</file>

<file path=customXml/itemProps2.xml><?xml version="1.0" encoding="utf-8"?>
<ds:datastoreItem xmlns:ds="http://schemas.openxmlformats.org/officeDocument/2006/customXml" ds:itemID="{46D881C6-AB42-4F52-835B-78DCE346985A}"/>
</file>

<file path=customXml/itemProps3.xml><?xml version="1.0" encoding="utf-8"?>
<ds:datastoreItem xmlns:ds="http://schemas.openxmlformats.org/officeDocument/2006/customXml" ds:itemID="{77F4D81E-1497-4B7A-9A71-7BEB9A114E91}"/>
</file>

<file path=customXml/itemProps4.xml><?xml version="1.0" encoding="utf-8"?>
<ds:datastoreItem xmlns:ds="http://schemas.openxmlformats.org/officeDocument/2006/customXml" ds:itemID="{02A16725-B1A4-4129-B1CB-58FB99951264}"/>
</file>

<file path=customXml/itemProps5.xml><?xml version="1.0" encoding="utf-8"?>
<ds:datastoreItem xmlns:ds="http://schemas.openxmlformats.org/officeDocument/2006/customXml" ds:itemID="{CBACA0C3-F450-45A9-A09B-05113CFBD6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- 2700_OC-BR;BR-L1284</dc:title>
  <dc:creator>Test</dc:creator>
  <cp:lastModifiedBy>Test</cp:lastModifiedBy>
  <dcterms:created xsi:type="dcterms:W3CDTF">2013-11-18T20:29:43Z</dcterms:created>
  <dcterms:modified xsi:type="dcterms:W3CDTF">2013-11-18T20:38:02Z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0x01010046CF21643EE8D14686A648AA6DAD089200A6A9A4056F68DC45A50BBA6CFA0B9E22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