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charts/chart1.xml" ContentType="application/vnd.openxmlformats-officedocument.drawingml.chart+xml"/>
  <Override PartName="/xl/drawings/drawing1.xml" ContentType="application/vnd.openxmlformats-officedocument.drawing+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xl/charts/colors1.xml" ContentType="application/vnd.ms-office.chartcolorstyle+xml"/>
  <Override PartName="/xl/charts/style1.xml" ContentType="application/vnd.ms-office.chartstyle+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19035" windowHeight="8445" tabRatio="841" activeTab="1"/>
  </bookViews>
  <sheets>
    <sheet name="Costos v1" sheetId="8" r:id="rId1"/>
    <sheet name="Desembolsos v1" sheetId="10" r:id="rId2"/>
    <sheet name="Costos de la Operación" sheetId="12" r:id="rId3"/>
    <sheet name="Desglose x componentes" sheetId="4" r:id="rId4"/>
    <sheet name="Parametros de costeo C1" sheetId="7" r:id="rId5"/>
    <sheet name="Parametros de costeo C2" sheetId="5" r:id="rId6"/>
    <sheet name="Parametros Centro de Salud" sheetId="13" r:id="rId7"/>
    <sheet name="Parametros de Costeo C3" sheetId="6" r:id="rId8"/>
    <sheet name="Datos" sheetId="3" r:id="rId9"/>
  </sheets>
  <definedNames>
    <definedName name="_xlnm._FilterDatabase" localSheetId="0" hidden="1">'Costos v1'!$C$1:$C$77</definedName>
    <definedName name="_ftn1" localSheetId="8">Datos!#REF!</definedName>
    <definedName name="_ftnref1" localSheetId="8">Datos!$C$2</definedName>
  </definedNames>
  <calcPr calcId="145621"/>
</workbook>
</file>

<file path=xl/calcChain.xml><?xml version="1.0" encoding="utf-8"?>
<calcChain xmlns="http://schemas.openxmlformats.org/spreadsheetml/2006/main">
  <c r="D15" i="13" l="1"/>
  <c r="D10" i="13" s="1"/>
  <c r="D20" i="13"/>
  <c r="D37" i="13"/>
  <c r="D34" i="13"/>
  <c r="D25" i="13"/>
  <c r="D43" i="13"/>
  <c r="D35" i="13" s="1"/>
  <c r="D36" i="13"/>
  <c r="D19" i="13"/>
  <c r="D40" i="13"/>
  <c r="D39" i="13"/>
  <c r="D38" i="13"/>
  <c r="D33" i="13"/>
  <c r="D32" i="13"/>
  <c r="D31" i="13"/>
  <c r="D30" i="13"/>
  <c r="D29" i="13"/>
  <c r="D28" i="13"/>
  <c r="D27" i="13"/>
  <c r="D26" i="13"/>
  <c r="D18" i="13"/>
  <c r="D24" i="13"/>
  <c r="D23" i="13"/>
  <c r="D22" i="13"/>
  <c r="D21" i="13"/>
  <c r="D17" i="13"/>
  <c r="D16" i="13"/>
  <c r="D14" i="13"/>
  <c r="D13" i="13"/>
  <c r="D12" i="13"/>
  <c r="D11" i="13"/>
  <c r="D45" i="13" l="1"/>
  <c r="V44" i="8" l="1"/>
  <c r="E44" i="8"/>
  <c r="F6" i="4" l="1"/>
  <c r="G6" i="4"/>
  <c r="H6" i="4"/>
  <c r="I6" i="4"/>
  <c r="J6" i="4"/>
  <c r="K6" i="4"/>
  <c r="L6" i="4"/>
  <c r="M6" i="4"/>
  <c r="N6" i="4"/>
  <c r="O6" i="4"/>
  <c r="P6" i="4"/>
  <c r="Q6" i="4"/>
  <c r="R6" i="4"/>
  <c r="S6" i="4"/>
  <c r="T6" i="4"/>
  <c r="U6" i="4"/>
  <c r="V6" i="4"/>
  <c r="F7" i="4"/>
  <c r="G7" i="4"/>
  <c r="H7" i="4"/>
  <c r="I7" i="4"/>
  <c r="J7" i="4"/>
  <c r="K7" i="4"/>
  <c r="L7" i="4"/>
  <c r="M7" i="4"/>
  <c r="N7" i="4"/>
  <c r="O7" i="4"/>
  <c r="P7" i="4"/>
  <c r="Q7" i="4"/>
  <c r="R7" i="4"/>
  <c r="S7" i="4"/>
  <c r="T7" i="4"/>
  <c r="U7" i="4"/>
  <c r="V7" i="4"/>
  <c r="F8" i="4"/>
  <c r="G8" i="4"/>
  <c r="H8" i="4"/>
  <c r="I8" i="4"/>
  <c r="J8" i="4"/>
  <c r="K8" i="4"/>
  <c r="L8" i="4"/>
  <c r="M8" i="4"/>
  <c r="N8" i="4"/>
  <c r="O8" i="4"/>
  <c r="P8" i="4"/>
  <c r="Q8" i="4"/>
  <c r="R8" i="4"/>
  <c r="S8" i="4"/>
  <c r="T8" i="4"/>
  <c r="U8" i="4"/>
  <c r="V8" i="4"/>
  <c r="F9" i="4"/>
  <c r="G9" i="4"/>
  <c r="H9" i="4"/>
  <c r="I9" i="4"/>
  <c r="J9" i="4"/>
  <c r="K9" i="4"/>
  <c r="L9" i="4"/>
  <c r="M9" i="4"/>
  <c r="N9" i="4"/>
  <c r="O9" i="4"/>
  <c r="P9" i="4"/>
  <c r="Q9" i="4"/>
  <c r="R9" i="4"/>
  <c r="S9" i="4"/>
  <c r="T9" i="4"/>
  <c r="U9" i="4"/>
  <c r="V9" i="4"/>
  <c r="F11" i="4"/>
  <c r="G11" i="4"/>
  <c r="H11" i="4"/>
  <c r="I11" i="4"/>
  <c r="J11" i="4"/>
  <c r="K11" i="4"/>
  <c r="L11" i="4"/>
  <c r="M11" i="4"/>
  <c r="N11" i="4"/>
  <c r="O11" i="4"/>
  <c r="P11" i="4"/>
  <c r="Q11" i="4"/>
  <c r="R11" i="4"/>
  <c r="S11" i="4"/>
  <c r="T11" i="4"/>
  <c r="U11" i="4"/>
  <c r="V11" i="4"/>
  <c r="F12" i="4"/>
  <c r="G12" i="4"/>
  <c r="H12" i="4"/>
  <c r="I12" i="4"/>
  <c r="J12" i="4"/>
  <c r="K12" i="4"/>
  <c r="L12" i="4"/>
  <c r="M12" i="4"/>
  <c r="N12" i="4"/>
  <c r="O12" i="4"/>
  <c r="P12" i="4"/>
  <c r="Q12" i="4"/>
  <c r="R12" i="4"/>
  <c r="S12" i="4"/>
  <c r="T12" i="4"/>
  <c r="U12" i="4"/>
  <c r="V12" i="4"/>
  <c r="F13" i="4"/>
  <c r="G13" i="4"/>
  <c r="H13" i="4"/>
  <c r="I13" i="4"/>
  <c r="J13" i="4"/>
  <c r="K13" i="4"/>
  <c r="L13" i="4"/>
  <c r="M13" i="4"/>
  <c r="N13" i="4"/>
  <c r="O13" i="4"/>
  <c r="P13" i="4"/>
  <c r="Q13" i="4"/>
  <c r="R13" i="4"/>
  <c r="S13" i="4"/>
  <c r="T13" i="4"/>
  <c r="U13" i="4"/>
  <c r="V13" i="4"/>
  <c r="F15" i="4"/>
  <c r="G15" i="4"/>
  <c r="H15" i="4"/>
  <c r="I15" i="4"/>
  <c r="J15" i="4"/>
  <c r="K15" i="4"/>
  <c r="L15" i="4"/>
  <c r="M15" i="4"/>
  <c r="N15" i="4"/>
  <c r="O15" i="4"/>
  <c r="P15" i="4"/>
  <c r="Q15" i="4"/>
  <c r="R15" i="4"/>
  <c r="S15" i="4"/>
  <c r="T15" i="4"/>
  <c r="U15" i="4"/>
  <c r="V15" i="4"/>
  <c r="F16" i="4"/>
  <c r="G16" i="4"/>
  <c r="H16" i="4"/>
  <c r="I16" i="4"/>
  <c r="J16" i="4"/>
  <c r="K16" i="4"/>
  <c r="L16" i="4"/>
  <c r="M16" i="4"/>
  <c r="N16" i="4"/>
  <c r="O16" i="4"/>
  <c r="P16" i="4"/>
  <c r="Q16" i="4"/>
  <c r="R16" i="4"/>
  <c r="S16" i="4"/>
  <c r="T16" i="4"/>
  <c r="U16" i="4"/>
  <c r="V16" i="4"/>
  <c r="F17" i="4"/>
  <c r="G17" i="4"/>
  <c r="H17" i="4"/>
  <c r="I17" i="4"/>
  <c r="J17" i="4"/>
  <c r="K17" i="4"/>
  <c r="L17" i="4"/>
  <c r="M17" i="4"/>
  <c r="N17" i="4"/>
  <c r="O17" i="4"/>
  <c r="P17" i="4"/>
  <c r="Q17" i="4"/>
  <c r="R17" i="4"/>
  <c r="S17" i="4"/>
  <c r="T17" i="4"/>
  <c r="U17" i="4"/>
  <c r="V17" i="4"/>
  <c r="F18" i="4"/>
  <c r="G18" i="4"/>
  <c r="H18" i="4"/>
  <c r="I18" i="4"/>
  <c r="J18" i="4"/>
  <c r="K18" i="4"/>
  <c r="L18" i="4"/>
  <c r="M18" i="4"/>
  <c r="N18" i="4"/>
  <c r="O18" i="4"/>
  <c r="P18" i="4"/>
  <c r="Q18" i="4"/>
  <c r="R18" i="4"/>
  <c r="S18" i="4"/>
  <c r="T18" i="4"/>
  <c r="U18" i="4"/>
  <c r="V18" i="4"/>
  <c r="F20" i="4"/>
  <c r="G20" i="4"/>
  <c r="H20" i="4"/>
  <c r="I20" i="4"/>
  <c r="J20" i="4"/>
  <c r="K20" i="4"/>
  <c r="L20" i="4"/>
  <c r="M20" i="4"/>
  <c r="N20" i="4"/>
  <c r="O20" i="4"/>
  <c r="P20" i="4"/>
  <c r="Q20" i="4"/>
  <c r="R20" i="4"/>
  <c r="S20" i="4"/>
  <c r="T20" i="4"/>
  <c r="U20" i="4"/>
  <c r="V20" i="4"/>
  <c r="F22" i="4"/>
  <c r="G22" i="4"/>
  <c r="H22" i="4"/>
  <c r="I22" i="4"/>
  <c r="J22" i="4"/>
  <c r="K22" i="4"/>
  <c r="L22" i="4"/>
  <c r="M22" i="4"/>
  <c r="N22" i="4"/>
  <c r="O22" i="4"/>
  <c r="P22" i="4"/>
  <c r="Q22" i="4"/>
  <c r="R22" i="4"/>
  <c r="S22" i="4"/>
  <c r="T22" i="4"/>
  <c r="U22" i="4"/>
  <c r="V22" i="4"/>
  <c r="E22" i="4"/>
  <c r="E20" i="4"/>
  <c r="E18" i="4"/>
  <c r="E17" i="4"/>
  <c r="E16" i="4"/>
  <c r="E15" i="4"/>
  <c r="E13" i="4"/>
  <c r="E12" i="4"/>
  <c r="E11" i="4"/>
  <c r="E9" i="4"/>
  <c r="E8" i="4"/>
  <c r="E7" i="4"/>
  <c r="E6" i="4"/>
  <c r="U9" i="12"/>
  <c r="V9" i="12"/>
  <c r="T9" i="12"/>
  <c r="V8" i="12"/>
  <c r="U8" i="12"/>
  <c r="T8" i="12"/>
  <c r="F70" i="8"/>
  <c r="G70" i="8"/>
  <c r="H70" i="8"/>
  <c r="I70" i="8"/>
  <c r="J70" i="8"/>
  <c r="K70" i="8"/>
  <c r="L70" i="8"/>
  <c r="M70" i="8"/>
  <c r="N70" i="8"/>
  <c r="O70" i="8"/>
  <c r="P70" i="8"/>
  <c r="Q70" i="8"/>
  <c r="R70" i="8"/>
  <c r="S70" i="8"/>
  <c r="T70" i="8"/>
  <c r="U70" i="8"/>
  <c r="V70" i="8"/>
  <c r="E70" i="8"/>
  <c r="F44" i="8"/>
  <c r="G44" i="8"/>
  <c r="H44" i="8"/>
  <c r="I44" i="8"/>
  <c r="J44" i="8"/>
  <c r="K44" i="8"/>
  <c r="L44" i="8"/>
  <c r="M44" i="8"/>
  <c r="N44" i="8"/>
  <c r="O44" i="8"/>
  <c r="P44" i="8"/>
  <c r="Q44" i="8"/>
  <c r="R44" i="8"/>
  <c r="S44" i="8"/>
  <c r="T44" i="8"/>
  <c r="U44" i="8"/>
  <c r="F56" i="8"/>
  <c r="G56" i="8"/>
  <c r="H56" i="8"/>
  <c r="I56" i="8"/>
  <c r="J56" i="8"/>
  <c r="K56" i="8"/>
  <c r="L56" i="8"/>
  <c r="M56" i="8"/>
  <c r="N56" i="8"/>
  <c r="O56" i="8"/>
  <c r="P56" i="8"/>
  <c r="Q56" i="8"/>
  <c r="R56" i="8"/>
  <c r="S56" i="8"/>
  <c r="T56" i="8"/>
  <c r="U56" i="8"/>
  <c r="V56" i="8"/>
  <c r="E56" i="8"/>
  <c r="F64" i="8"/>
  <c r="G64" i="8"/>
  <c r="H64" i="8"/>
  <c r="I64" i="8"/>
  <c r="J64" i="8"/>
  <c r="K64" i="8"/>
  <c r="L64" i="8"/>
  <c r="M64" i="8"/>
  <c r="N64" i="8"/>
  <c r="O64" i="8"/>
  <c r="P64" i="8"/>
  <c r="Q64" i="8"/>
  <c r="R64" i="8"/>
  <c r="S64" i="8"/>
  <c r="T64" i="8"/>
  <c r="U64" i="8"/>
  <c r="V64" i="8"/>
  <c r="E64" i="8"/>
  <c r="E52" i="8"/>
  <c r="E45" i="8"/>
  <c r="L7" i="5" l="1"/>
  <c r="L23" i="7"/>
  <c r="E8" i="8"/>
  <c r="K8" i="8"/>
  <c r="N8" i="8"/>
  <c r="G36" i="8" l="1"/>
  <c r="J36" i="8"/>
  <c r="M36" i="8"/>
  <c r="P36" i="8"/>
  <c r="V36" i="8" s="1"/>
  <c r="S36" i="8"/>
  <c r="T36" i="8"/>
  <c r="U36" i="8"/>
  <c r="Q45" i="8"/>
  <c r="K31" i="8"/>
  <c r="L6" i="5"/>
  <c r="K30" i="8"/>
  <c r="H9" i="8"/>
  <c r="I9" i="8"/>
  <c r="L9" i="8"/>
  <c r="N9" i="8"/>
  <c r="O9" i="8"/>
  <c r="Q9" i="8"/>
  <c r="R9" i="8"/>
  <c r="E9" i="8"/>
  <c r="Q67" i="8" l="1"/>
  <c r="T67" i="8" s="1"/>
  <c r="I68" i="8"/>
  <c r="L11" i="6"/>
  <c r="F8" i="7"/>
  <c r="H8" i="7" s="1"/>
  <c r="F7" i="7"/>
  <c r="H7" i="7" s="1"/>
  <c r="F6" i="7"/>
  <c r="H6" i="7" s="1"/>
  <c r="F5" i="7"/>
  <c r="H5" i="7" s="1"/>
  <c r="C5" i="7"/>
  <c r="C6" i="7" s="1"/>
  <c r="C7" i="7" s="1"/>
  <c r="C8" i="7" s="1"/>
  <c r="F4" i="7"/>
  <c r="H4" i="7" s="1"/>
  <c r="Q8" i="8"/>
  <c r="H8" i="8"/>
  <c r="G8" i="8"/>
  <c r="F8" i="8"/>
  <c r="I8" i="8"/>
  <c r="L8" i="8"/>
  <c r="M8" i="8" s="1"/>
  <c r="O8" i="8"/>
  <c r="P8" i="8" s="1"/>
  <c r="R8" i="8"/>
  <c r="F68" i="8"/>
  <c r="R68" i="8"/>
  <c r="O68" i="8"/>
  <c r="L68" i="8"/>
  <c r="T68" i="8"/>
  <c r="U67" i="8"/>
  <c r="U66" i="8"/>
  <c r="T66" i="8"/>
  <c r="T65" i="8"/>
  <c r="U12" i="8"/>
  <c r="T58" i="8"/>
  <c r="T57" i="8"/>
  <c r="U62" i="8"/>
  <c r="T62" i="8"/>
  <c r="T61" i="8"/>
  <c r="T60" i="8"/>
  <c r="T59" i="8"/>
  <c r="U54" i="8"/>
  <c r="T54" i="8"/>
  <c r="T49" i="8"/>
  <c r="T48" i="8"/>
  <c r="T47" i="8"/>
  <c r="T42" i="8"/>
  <c r="T41" i="8"/>
  <c r="T40" i="8"/>
  <c r="T39" i="8"/>
  <c r="T38" i="8"/>
  <c r="T37" i="8"/>
  <c r="T35" i="8"/>
  <c r="T34" i="8"/>
  <c r="U31" i="8"/>
  <c r="U30" i="8"/>
  <c r="U29" i="8"/>
  <c r="U28" i="8"/>
  <c r="T27" i="8"/>
  <c r="T26" i="8"/>
  <c r="U22" i="8"/>
  <c r="U21" i="8"/>
  <c r="U20" i="8"/>
  <c r="T20" i="8"/>
  <c r="T19" i="8"/>
  <c r="T18" i="8"/>
  <c r="T17" i="8"/>
  <c r="T16" i="8"/>
  <c r="T15" i="8"/>
  <c r="T11" i="8"/>
  <c r="T10" i="8"/>
  <c r="L4" i="5"/>
  <c r="S8" i="8" l="1"/>
  <c r="J8" i="8"/>
  <c r="U8" i="8"/>
  <c r="H9" i="7"/>
  <c r="F9" i="7"/>
  <c r="T8" i="8"/>
  <c r="V8" i="8"/>
  <c r="U68" i="8"/>
  <c r="H30" i="8" l="1"/>
  <c r="T30" i="8" s="1"/>
  <c r="Q28" i="8"/>
  <c r="N28" i="8"/>
  <c r="P28" i="8" s="1"/>
  <c r="K28" i="8"/>
  <c r="H28" i="8"/>
  <c r="Q29" i="8"/>
  <c r="K29" i="8"/>
  <c r="N29" i="8"/>
  <c r="S28" i="8"/>
  <c r="S29" i="8"/>
  <c r="P68" i="8"/>
  <c r="P67" i="8"/>
  <c r="P66" i="8"/>
  <c r="O65" i="8"/>
  <c r="P65" i="8" s="1"/>
  <c r="P12" i="8"/>
  <c r="O58" i="8"/>
  <c r="P58" i="8" s="1"/>
  <c r="P57" i="8"/>
  <c r="P62" i="8"/>
  <c r="O61" i="8"/>
  <c r="P61" i="8" s="1"/>
  <c r="O60" i="8"/>
  <c r="P60" i="8" s="1"/>
  <c r="O59" i="8"/>
  <c r="P54" i="8"/>
  <c r="N53" i="8"/>
  <c r="N52" i="8" s="1"/>
  <c r="P50" i="8"/>
  <c r="P49" i="8"/>
  <c r="P48" i="8"/>
  <c r="P47" i="8"/>
  <c r="P42" i="8"/>
  <c r="P41" i="8"/>
  <c r="P40" i="8"/>
  <c r="O39" i="8"/>
  <c r="P39" i="8" s="1"/>
  <c r="O38" i="8"/>
  <c r="P38" i="8" s="1"/>
  <c r="O37" i="8"/>
  <c r="P37" i="8" s="1"/>
  <c r="P35" i="8"/>
  <c r="P34" i="8"/>
  <c r="N33" i="8"/>
  <c r="P31" i="8"/>
  <c r="P30" i="8"/>
  <c r="P29" i="8"/>
  <c r="P27" i="8"/>
  <c r="P26" i="8"/>
  <c r="O25" i="8"/>
  <c r="N22" i="8"/>
  <c r="P22" i="8" s="1"/>
  <c r="N21" i="8"/>
  <c r="P21" i="8" s="1"/>
  <c r="P20" i="8"/>
  <c r="P19" i="8"/>
  <c r="P18" i="8"/>
  <c r="P17" i="8"/>
  <c r="P16" i="8"/>
  <c r="P15" i="8"/>
  <c r="P14" i="8"/>
  <c r="O13" i="8"/>
  <c r="P11" i="8"/>
  <c r="P10" i="8"/>
  <c r="O7" i="8"/>
  <c r="N7" i="8"/>
  <c r="U7" i="8"/>
  <c r="F7" i="8"/>
  <c r="G7" i="8"/>
  <c r="H7" i="8"/>
  <c r="I7" i="8"/>
  <c r="J7" i="8"/>
  <c r="K7" i="8"/>
  <c r="L7" i="8"/>
  <c r="M7" i="8"/>
  <c r="Q7" i="8"/>
  <c r="R7" i="8"/>
  <c r="S7" i="8"/>
  <c r="T7" i="8"/>
  <c r="V7" i="8"/>
  <c r="E7" i="8"/>
  <c r="P9" i="8" l="1"/>
  <c r="O33" i="8"/>
  <c r="O24" i="8" s="1"/>
  <c r="T28" i="8"/>
  <c r="N13" i="8"/>
  <c r="N6" i="8" s="1"/>
  <c r="O6" i="8"/>
  <c r="P13" i="8"/>
  <c r="P25" i="8"/>
  <c r="P33" i="8"/>
  <c r="P7" i="8"/>
  <c r="P59" i="8"/>
  <c r="N25" i="8"/>
  <c r="N24" i="8" s="1"/>
  <c r="O53" i="8"/>
  <c r="I25" i="8"/>
  <c r="L25" i="8"/>
  <c r="Q25" i="8"/>
  <c r="R25" i="8"/>
  <c r="E25" i="8"/>
  <c r="H33" i="8"/>
  <c r="K33" i="8"/>
  <c r="Q33" i="8"/>
  <c r="P6" i="8" l="1"/>
  <c r="P24" i="8"/>
  <c r="O52" i="8"/>
  <c r="P53" i="8"/>
  <c r="P52" i="8" s="1"/>
  <c r="Q24" i="8"/>
  <c r="K12" i="8"/>
  <c r="H29" i="8"/>
  <c r="J29" i="8"/>
  <c r="K25" i="8"/>
  <c r="H31" i="8"/>
  <c r="J30" i="8"/>
  <c r="S12" i="8"/>
  <c r="J12" i="8"/>
  <c r="S67" i="8"/>
  <c r="M67" i="8"/>
  <c r="J67" i="8"/>
  <c r="S66" i="8"/>
  <c r="M66" i="8"/>
  <c r="J66" i="8"/>
  <c r="S62" i="8"/>
  <c r="S68" i="8"/>
  <c r="M68" i="8"/>
  <c r="J68" i="8"/>
  <c r="G68" i="8"/>
  <c r="G67" i="8"/>
  <c r="G66" i="8"/>
  <c r="R65" i="8"/>
  <c r="S65" i="8" s="1"/>
  <c r="L65" i="8"/>
  <c r="M65" i="8" s="1"/>
  <c r="I65" i="8"/>
  <c r="F65" i="8"/>
  <c r="G12" i="8"/>
  <c r="R58" i="8"/>
  <c r="L58" i="8"/>
  <c r="M58" i="8" s="1"/>
  <c r="I58" i="8"/>
  <c r="J58" i="8" s="1"/>
  <c r="F58" i="8"/>
  <c r="S57" i="8"/>
  <c r="M57" i="8"/>
  <c r="J57" i="8"/>
  <c r="F57" i="8"/>
  <c r="U57" i="8" s="1"/>
  <c r="M62" i="8"/>
  <c r="J62" i="8"/>
  <c r="G62" i="8"/>
  <c r="R61" i="8"/>
  <c r="S61" i="8" s="1"/>
  <c r="L61" i="8"/>
  <c r="M61" i="8" s="1"/>
  <c r="I61" i="8"/>
  <c r="J61" i="8" s="1"/>
  <c r="F61" i="8"/>
  <c r="R60" i="8"/>
  <c r="S60" i="8" s="1"/>
  <c r="L60" i="8"/>
  <c r="M60" i="8" s="1"/>
  <c r="I60" i="8"/>
  <c r="F60" i="8"/>
  <c r="R59" i="8"/>
  <c r="L59" i="8"/>
  <c r="M59" i="8" s="1"/>
  <c r="J59" i="8"/>
  <c r="F59" i="8"/>
  <c r="S54" i="8"/>
  <c r="M54" i="8"/>
  <c r="J54" i="8"/>
  <c r="G54" i="8"/>
  <c r="Q53" i="8"/>
  <c r="Q52" i="8" s="1"/>
  <c r="K53" i="8"/>
  <c r="H53" i="8"/>
  <c r="E53" i="8"/>
  <c r="S50" i="8"/>
  <c r="K50" i="8"/>
  <c r="L50" i="8" s="1"/>
  <c r="M50" i="8" s="1"/>
  <c r="H50" i="8"/>
  <c r="T50" i="8" s="1"/>
  <c r="G50" i="8"/>
  <c r="S49" i="8"/>
  <c r="M49" i="8"/>
  <c r="J49" i="8"/>
  <c r="F49" i="8"/>
  <c r="U49" i="8" s="1"/>
  <c r="S48" i="8"/>
  <c r="M48" i="8"/>
  <c r="J48" i="8"/>
  <c r="F48" i="8"/>
  <c r="U48" i="8" s="1"/>
  <c r="S47" i="8"/>
  <c r="M47" i="8"/>
  <c r="F47" i="8"/>
  <c r="R46" i="8"/>
  <c r="R45" i="8" s="1"/>
  <c r="K46" i="8"/>
  <c r="K45" i="8" s="1"/>
  <c r="H46" i="8"/>
  <c r="F46" i="8"/>
  <c r="S42" i="8"/>
  <c r="M42" i="8"/>
  <c r="I42" i="8"/>
  <c r="J42" i="8" s="1"/>
  <c r="F42" i="8"/>
  <c r="S41" i="8"/>
  <c r="M41" i="8"/>
  <c r="I41" i="8"/>
  <c r="J41" i="8" s="1"/>
  <c r="F41" i="8"/>
  <c r="S40" i="8"/>
  <c r="M40" i="8"/>
  <c r="I40" i="8"/>
  <c r="F40" i="8"/>
  <c r="R39" i="8"/>
  <c r="S39" i="8" s="1"/>
  <c r="L39" i="8"/>
  <c r="I39" i="8"/>
  <c r="G39" i="8"/>
  <c r="R38" i="8"/>
  <c r="S38" i="8" s="1"/>
  <c r="L38" i="8"/>
  <c r="M38" i="8" s="1"/>
  <c r="I38" i="8"/>
  <c r="F38" i="8"/>
  <c r="R37" i="8"/>
  <c r="R33" i="8" s="1"/>
  <c r="L37" i="8"/>
  <c r="I37" i="8"/>
  <c r="J37" i="8" s="1"/>
  <c r="F37" i="8"/>
  <c r="S35" i="8"/>
  <c r="M35" i="8"/>
  <c r="J35" i="8"/>
  <c r="F35" i="8"/>
  <c r="S34" i="8"/>
  <c r="M34" i="8"/>
  <c r="J34" i="8"/>
  <c r="F34" i="8"/>
  <c r="E33" i="8"/>
  <c r="E24" i="8" s="1"/>
  <c r="S31" i="8"/>
  <c r="M31" i="8"/>
  <c r="J31" i="8"/>
  <c r="G31" i="8"/>
  <c r="S30" i="8"/>
  <c r="G30" i="8"/>
  <c r="G29" i="8"/>
  <c r="G28" i="8"/>
  <c r="S27" i="8"/>
  <c r="M27" i="8"/>
  <c r="J27" i="8"/>
  <c r="F27" i="8"/>
  <c r="U27" i="8" s="1"/>
  <c r="S26" i="8"/>
  <c r="M26" i="8"/>
  <c r="J26" i="8"/>
  <c r="F26" i="8"/>
  <c r="Q22" i="8"/>
  <c r="S22" i="8" s="1"/>
  <c r="K22" i="8"/>
  <c r="M22" i="8" s="1"/>
  <c r="H22" i="8"/>
  <c r="J22" i="8" s="1"/>
  <c r="E22" i="8"/>
  <c r="Q21" i="8"/>
  <c r="S21" i="8" s="1"/>
  <c r="K21" i="8"/>
  <c r="M21" i="8" s="1"/>
  <c r="H21" i="8"/>
  <c r="J21" i="8" s="1"/>
  <c r="E21" i="8"/>
  <c r="S20" i="8"/>
  <c r="M20" i="8"/>
  <c r="J20" i="8"/>
  <c r="G20" i="8"/>
  <c r="S19" i="8"/>
  <c r="M19" i="8"/>
  <c r="J19" i="8"/>
  <c r="F19" i="8"/>
  <c r="U19" i="8" s="1"/>
  <c r="S18" i="8"/>
  <c r="M18" i="8"/>
  <c r="J18" i="8"/>
  <c r="F18" i="8"/>
  <c r="S17" i="8"/>
  <c r="M17" i="8"/>
  <c r="J17" i="8"/>
  <c r="F17" i="8"/>
  <c r="U17" i="8" s="1"/>
  <c r="S16" i="8"/>
  <c r="M16" i="8"/>
  <c r="J16" i="8"/>
  <c r="F16" i="8"/>
  <c r="U16" i="8" s="1"/>
  <c r="S15" i="8"/>
  <c r="M15" i="8"/>
  <c r="J15" i="8"/>
  <c r="S14" i="8"/>
  <c r="M14" i="8"/>
  <c r="J14" i="8"/>
  <c r="E14" i="8"/>
  <c r="T14" i="8" s="1"/>
  <c r="R13" i="8"/>
  <c r="L13" i="8"/>
  <c r="I13" i="8"/>
  <c r="S11" i="8"/>
  <c r="M11" i="8"/>
  <c r="J11" i="8"/>
  <c r="F11" i="8"/>
  <c r="S10" i="8"/>
  <c r="M10" i="8"/>
  <c r="J10" i="8"/>
  <c r="F10" i="8"/>
  <c r="H45" i="8" l="1"/>
  <c r="K9" i="8"/>
  <c r="T12" i="8"/>
  <c r="F45" i="8"/>
  <c r="U10" i="8"/>
  <c r="F9" i="8"/>
  <c r="J9" i="8"/>
  <c r="S9" i="8"/>
  <c r="L53" i="8"/>
  <c r="M53" i="8" s="1"/>
  <c r="K52" i="8"/>
  <c r="G21" i="8"/>
  <c r="V21" i="8" s="1"/>
  <c r="T21" i="8"/>
  <c r="G22" i="8"/>
  <c r="V22" i="8" s="1"/>
  <c r="T22" i="8"/>
  <c r="U58" i="8"/>
  <c r="T29" i="8"/>
  <c r="H25" i="8"/>
  <c r="J39" i="8"/>
  <c r="U39" i="8"/>
  <c r="I53" i="8"/>
  <c r="I52" i="8" s="1"/>
  <c r="H52" i="8"/>
  <c r="M37" i="8"/>
  <c r="L33" i="8"/>
  <c r="U37" i="8"/>
  <c r="T53" i="8"/>
  <c r="T52" i="8" s="1"/>
  <c r="T31" i="8"/>
  <c r="M12" i="8"/>
  <c r="V12" i="8" s="1"/>
  <c r="T9" i="8"/>
  <c r="S25" i="8"/>
  <c r="U40" i="8"/>
  <c r="U41" i="8"/>
  <c r="V67" i="8"/>
  <c r="V66" i="8"/>
  <c r="L52" i="8"/>
  <c r="G65" i="8"/>
  <c r="U65" i="8"/>
  <c r="U26" i="8"/>
  <c r="F25" i="8"/>
  <c r="V31" i="8"/>
  <c r="V54" i="8"/>
  <c r="U34" i="8"/>
  <c r="F33" i="8"/>
  <c r="G35" i="8"/>
  <c r="V35" i="8" s="1"/>
  <c r="U35" i="8"/>
  <c r="G38" i="8"/>
  <c r="U38" i="8"/>
  <c r="G42" i="8"/>
  <c r="V42" i="8" s="1"/>
  <c r="U42" i="8"/>
  <c r="G60" i="8"/>
  <c r="U60" i="8"/>
  <c r="G61" i="8"/>
  <c r="V61" i="8" s="1"/>
  <c r="U61" i="8"/>
  <c r="V62" i="8"/>
  <c r="I46" i="8"/>
  <c r="N46" i="8"/>
  <c r="J40" i="8"/>
  <c r="I33" i="8"/>
  <c r="I47" i="8"/>
  <c r="U47" i="8" s="1"/>
  <c r="G18" i="8"/>
  <c r="V18" i="8" s="1"/>
  <c r="U18" i="8"/>
  <c r="V20" i="8"/>
  <c r="G11" i="8"/>
  <c r="V11" i="8" s="1"/>
  <c r="U11" i="8"/>
  <c r="S59" i="8"/>
  <c r="U59" i="8"/>
  <c r="V68" i="8"/>
  <c r="T33" i="8"/>
  <c r="H24" i="8"/>
  <c r="J28" i="8"/>
  <c r="J25" i="8" s="1"/>
  <c r="K24" i="8"/>
  <c r="G34" i="8"/>
  <c r="G47" i="8"/>
  <c r="G10" i="8"/>
  <c r="M30" i="8"/>
  <c r="V30" i="8" s="1"/>
  <c r="G19" i="8"/>
  <c r="V19" i="8" s="1"/>
  <c r="S13" i="8"/>
  <c r="G17" i="8"/>
  <c r="V17" i="8" s="1"/>
  <c r="G37" i="8"/>
  <c r="G48" i="8"/>
  <c r="V48" i="8" s="1"/>
  <c r="J65" i="8"/>
  <c r="H13" i="8"/>
  <c r="Q13" i="8"/>
  <c r="G16" i="8"/>
  <c r="V16" i="8" s="1"/>
  <c r="M39" i="8"/>
  <c r="G41" i="8"/>
  <c r="V41" i="8" s="1"/>
  <c r="G49" i="8"/>
  <c r="V49" i="8" s="1"/>
  <c r="S58" i="8"/>
  <c r="K13" i="8"/>
  <c r="J38" i="8"/>
  <c r="G40" i="8"/>
  <c r="V40" i="8" s="1"/>
  <c r="G58" i="8"/>
  <c r="M29" i="8"/>
  <c r="V29" i="8" s="1"/>
  <c r="R53" i="8"/>
  <c r="G26" i="8"/>
  <c r="M28" i="8"/>
  <c r="M13" i="8"/>
  <c r="L46" i="8"/>
  <c r="L45" i="8" s="1"/>
  <c r="J47" i="8"/>
  <c r="F53" i="8"/>
  <c r="J60" i="8"/>
  <c r="G57" i="8"/>
  <c r="V57" i="8" s="1"/>
  <c r="F15" i="8"/>
  <c r="U15" i="8" s="1"/>
  <c r="F14" i="8"/>
  <c r="U14" i="8" s="1"/>
  <c r="E13" i="8"/>
  <c r="S46" i="8"/>
  <c r="I50" i="8"/>
  <c r="U50" i="8" s="1"/>
  <c r="S37" i="8"/>
  <c r="S33" i="8" s="1"/>
  <c r="G46" i="8"/>
  <c r="J13" i="8"/>
  <c r="G27" i="8"/>
  <c r="V27" i="8" s="1"/>
  <c r="G59" i="8"/>
  <c r="S10" i="12"/>
  <c r="R10" i="12"/>
  <c r="Q10" i="12"/>
  <c r="P10" i="12"/>
  <c r="O10" i="12"/>
  <c r="N10" i="12"/>
  <c r="M10" i="12"/>
  <c r="L10" i="12"/>
  <c r="K10" i="12"/>
  <c r="J10" i="12"/>
  <c r="I10" i="12"/>
  <c r="H10" i="12"/>
  <c r="G10" i="12"/>
  <c r="F10" i="12"/>
  <c r="E10" i="12"/>
  <c r="S8" i="12"/>
  <c r="R8" i="12"/>
  <c r="Q8" i="12"/>
  <c r="P8" i="12"/>
  <c r="O8" i="12"/>
  <c r="N8" i="12"/>
  <c r="M8" i="12"/>
  <c r="L8" i="12"/>
  <c r="K8" i="12"/>
  <c r="J8" i="12"/>
  <c r="I8" i="12"/>
  <c r="H8" i="12"/>
  <c r="G8" i="12"/>
  <c r="F8" i="12"/>
  <c r="E8" i="12"/>
  <c r="S7" i="12"/>
  <c r="R7" i="12"/>
  <c r="Q7" i="12"/>
  <c r="P7" i="12"/>
  <c r="O7" i="12"/>
  <c r="N7" i="12"/>
  <c r="M7" i="12"/>
  <c r="L7" i="12"/>
  <c r="K7" i="12"/>
  <c r="J7" i="12"/>
  <c r="I7" i="12"/>
  <c r="H7" i="12"/>
  <c r="G7" i="12"/>
  <c r="F7" i="12"/>
  <c r="E7" i="12"/>
  <c r="S6" i="12"/>
  <c r="R6" i="12"/>
  <c r="Q6" i="12"/>
  <c r="P6" i="12"/>
  <c r="O6" i="12"/>
  <c r="N6" i="12"/>
  <c r="M6" i="12"/>
  <c r="L6" i="12"/>
  <c r="K6" i="12"/>
  <c r="J6" i="12"/>
  <c r="I6" i="12"/>
  <c r="H6" i="12"/>
  <c r="G6" i="12"/>
  <c r="F6" i="12"/>
  <c r="E6" i="12"/>
  <c r="M33" i="8" l="1"/>
  <c r="I45" i="8"/>
  <c r="S45" i="8"/>
  <c r="G45" i="8"/>
  <c r="T46" i="8"/>
  <c r="N45" i="8"/>
  <c r="F6" i="10" s="1"/>
  <c r="M9" i="8"/>
  <c r="V10" i="8"/>
  <c r="V9" i="8" s="1"/>
  <c r="G9" i="8"/>
  <c r="J53" i="8"/>
  <c r="U9" i="8"/>
  <c r="J33" i="8"/>
  <c r="L24" i="8"/>
  <c r="V65" i="8"/>
  <c r="U33" i="8"/>
  <c r="V28" i="8"/>
  <c r="V47" i="8"/>
  <c r="I24" i="8"/>
  <c r="V60" i="8"/>
  <c r="V39" i="8"/>
  <c r="R52" i="8"/>
  <c r="J52" i="8"/>
  <c r="J46" i="8"/>
  <c r="V37" i="8"/>
  <c r="V38" i="8"/>
  <c r="U53" i="8"/>
  <c r="U52" i="8" s="1"/>
  <c r="F52" i="8"/>
  <c r="V34" i="8"/>
  <c r="G33" i="8"/>
  <c r="O46" i="8"/>
  <c r="V26" i="8"/>
  <c r="G25" i="8"/>
  <c r="V58" i="8"/>
  <c r="M52" i="8"/>
  <c r="H6" i="8"/>
  <c r="E6" i="8"/>
  <c r="V59" i="8"/>
  <c r="T25" i="8"/>
  <c r="M25" i="8"/>
  <c r="U25" i="8"/>
  <c r="K6" i="8"/>
  <c r="Q6" i="8"/>
  <c r="I6" i="8"/>
  <c r="R6" i="8"/>
  <c r="L6" i="8"/>
  <c r="J6" i="8"/>
  <c r="S6" i="8"/>
  <c r="M6" i="8"/>
  <c r="S24" i="8"/>
  <c r="R24" i="8"/>
  <c r="F13" i="8"/>
  <c r="G15" i="8"/>
  <c r="V15" i="8" s="1"/>
  <c r="F24" i="8"/>
  <c r="S53" i="8"/>
  <c r="S52" i="8" s="1"/>
  <c r="T13" i="8"/>
  <c r="J50" i="8"/>
  <c r="V50" i="8" s="1"/>
  <c r="G14" i="8"/>
  <c r="V14" i="8" s="1"/>
  <c r="M46" i="8"/>
  <c r="M45" i="8" s="1"/>
  <c r="G53" i="8"/>
  <c r="E7" i="10" l="1"/>
  <c r="J45" i="8"/>
  <c r="T45" i="8"/>
  <c r="O45" i="8"/>
  <c r="F7" i="10" s="1"/>
  <c r="E6" i="10"/>
  <c r="J24" i="8"/>
  <c r="V33" i="8"/>
  <c r="U46" i="8"/>
  <c r="P46" i="8"/>
  <c r="P45" i="8" s="1"/>
  <c r="V53" i="8"/>
  <c r="V52" i="8" s="1"/>
  <c r="G52" i="8"/>
  <c r="F6" i="8"/>
  <c r="V25" i="8"/>
  <c r="U24" i="8"/>
  <c r="T6" i="8"/>
  <c r="T24" i="8"/>
  <c r="T7" i="12" s="1"/>
  <c r="M24" i="8"/>
  <c r="V13" i="8"/>
  <c r="G13" i="8"/>
  <c r="U13" i="8"/>
  <c r="G24" i="8"/>
  <c r="L32" i="7"/>
  <c r="E23" i="6"/>
  <c r="E24" i="6"/>
  <c r="E25" i="6"/>
  <c r="E26" i="6"/>
  <c r="E22" i="6"/>
  <c r="L18" i="6"/>
  <c r="L10" i="6"/>
  <c r="L9" i="6"/>
  <c r="L13" i="6"/>
  <c r="L12" i="6"/>
  <c r="C7" i="10" l="1"/>
  <c r="H6" i="10"/>
  <c r="U45" i="8"/>
  <c r="D6" i="10"/>
  <c r="F8" i="10"/>
  <c r="V46" i="8"/>
  <c r="V45" i="8" s="1"/>
  <c r="G6" i="10"/>
  <c r="G8" i="10"/>
  <c r="C6" i="10"/>
  <c r="G6" i="8"/>
  <c r="V6" i="8"/>
  <c r="U7" i="12"/>
  <c r="D8" i="10"/>
  <c r="U6" i="8"/>
  <c r="V24" i="8"/>
  <c r="D7" i="10"/>
  <c r="T6" i="12"/>
  <c r="E8" i="10"/>
  <c r="U6" i="12" l="1"/>
  <c r="U10" i="12"/>
  <c r="G7" i="10"/>
  <c r="C8" i="10"/>
  <c r="V6" i="12"/>
  <c r="V7" i="12"/>
  <c r="T10" i="12"/>
  <c r="L7" i="6"/>
  <c r="L6" i="6"/>
  <c r="L4" i="6"/>
  <c r="L3" i="6"/>
  <c r="L2" i="6"/>
  <c r="L14" i="5"/>
  <c r="L13" i="5"/>
  <c r="L11" i="5"/>
  <c r="L12" i="5"/>
  <c r="L5" i="5"/>
  <c r="L3" i="5"/>
  <c r="L34" i="7"/>
  <c r="L33" i="7"/>
  <c r="L31" i="7"/>
  <c r="L30" i="7"/>
  <c r="L29" i="7"/>
  <c r="L28" i="7"/>
  <c r="H7" i="10" l="1"/>
  <c r="H8" i="10" l="1"/>
  <c r="V10" i="12"/>
  <c r="D46" i="13"/>
  <c r="D47" i="13" s="1"/>
</calcChain>
</file>

<file path=xl/sharedStrings.xml><?xml version="1.0" encoding="utf-8"?>
<sst xmlns="http://schemas.openxmlformats.org/spreadsheetml/2006/main" count="408" uniqueCount="229">
  <si>
    <t xml:space="preserve">BID </t>
  </si>
  <si>
    <t>Local</t>
  </si>
  <si>
    <t>Unidad de medida</t>
  </si>
  <si>
    <t xml:space="preserve">TOTAL </t>
  </si>
  <si>
    <t xml:space="preserve">Subtotal </t>
  </si>
  <si>
    <t xml:space="preserve">Programación de desemboslos detallada </t>
  </si>
  <si>
    <t xml:space="preserve">Local </t>
  </si>
  <si>
    <t>LOCAL</t>
  </si>
  <si>
    <t>TOTAL</t>
  </si>
  <si>
    <t>Bienes</t>
  </si>
  <si>
    <t>Obras</t>
  </si>
  <si>
    <t>Servicios distintos de Consultoría</t>
  </si>
  <si>
    <t xml:space="preserve">Servicios de Consultoría </t>
  </si>
  <si>
    <t>Costos Operativos</t>
  </si>
  <si>
    <t>Tabla de costos estimada (versión preliminar)</t>
  </si>
  <si>
    <t>(US$)</t>
  </si>
  <si>
    <t xml:space="preserve">COMPONENTE 1: Ampliación de la cobertura y consolidación de las redes integradas de salud </t>
  </si>
  <si>
    <t>Subcomponente 1. Ampliación de la cobertura</t>
  </si>
  <si>
    <t>COMPONENTE 2: Mejora en la calidad de los servicios</t>
  </si>
  <si>
    <t xml:space="preserve">Subcomponente 1. Habilitación del primer y segundo nivel de atención </t>
  </si>
  <si>
    <t>Subcomponente 2. Apoyo a la definición de la estrategia de aseguramiento de la calidad</t>
  </si>
  <si>
    <t>COMPONENTE 3: Apoyo a los sistemas gestión, monitoreo y evaluación</t>
  </si>
  <si>
    <t xml:space="preserve">Programa de Fortalecimiento de Redes Integradas en Salud (PN-L1115) </t>
  </si>
  <si>
    <t>Producto Asociado</t>
  </si>
  <si>
    <t xml:space="preserve">Provisión de la cartera de prestaciones priorizadas a personas que forman parte del padrón de beneficiarios </t>
  </si>
  <si>
    <t xml:space="preserve">1.4 Regiones de salud con redes de salud conformadas </t>
  </si>
  <si>
    <t>2.1 Norma de habilitación de toda la red servicios actualizada</t>
  </si>
  <si>
    <t>1.5 Plan de implementación de la red de servicios de salud elaborado y aprobado</t>
  </si>
  <si>
    <t>Asistencia Técnica para la actualización de los Protocolos de atención</t>
  </si>
  <si>
    <t>Talleres para la actualización de los Protocolos de atención</t>
  </si>
  <si>
    <t xml:space="preserve">Programa de capacitación en la aplicación de protocolos dirigido al Personal de salud </t>
  </si>
  <si>
    <t>Talleres para implementación de las adecuaciones culturales  de los Protocolos de atención en los Hospitales de Referencia</t>
  </si>
  <si>
    <t>Talleres para implementación de las adecuaciones culturales  de los Protocolos de atención en los Centros de Salud</t>
  </si>
  <si>
    <t>Asistencia Técnica para la elaboración de la Estrategia de aseguramiento de la calidad</t>
  </si>
  <si>
    <t>Asistencia Técnica para la elaboración del Plan nacional de calidad de la atención</t>
  </si>
  <si>
    <t xml:space="preserve">Servicios de Auditoría Técnica Externa </t>
  </si>
  <si>
    <t xml:space="preserve">Servicios de Auditoría Financiera </t>
  </si>
  <si>
    <t xml:space="preserve">Evaluación de impacto de AIN-C </t>
  </si>
  <si>
    <t>Subcomponente 3. Consolidación de redes integradas en salud</t>
  </si>
  <si>
    <t>Subcomponente 2. Mejoramiento del modelo de gestión de pago per capita y por desempeño</t>
  </si>
  <si>
    <t>Talleres para el diseño e implementación de convenios de gestión</t>
  </si>
  <si>
    <t>Asistencia Técnica para el desarrollo de la metodología de conformación de las redes de servicios de salud.</t>
  </si>
  <si>
    <t xml:space="preserve">Programa de capacitación dirigido al personal de salud institucional y comunitario  en la aplicación de la  metodología para la conformación de redes de salud  </t>
  </si>
  <si>
    <t>Asistencia Técnica para el diseño de la normatividad para la conformación del sistema de redes</t>
  </si>
  <si>
    <t>Talleres para la concreción de acuerdos regionales para la operación del sistema de redes</t>
  </si>
  <si>
    <t xml:space="preserve">Asistencia Técnica para la definición del Plan de implementación de la red de servicios de salud </t>
  </si>
  <si>
    <t>Asistencia Técnica para el diseño de estrategia de organización y funcionamiento de la Plataformas Comunitarias</t>
  </si>
  <si>
    <t>Identificación, selección y capacitación de agentes comunitarios como parte de las plataformas comunitarias</t>
  </si>
  <si>
    <t>Asistencia Técnica para la actualización y puesta en marcha de la Norma de habilitación de los establecimientos que conforman la red integrada de servicios</t>
  </si>
  <si>
    <t>Talleres para la actualización y puesta en marcha de la Norma de habilitación de toda la red servicios</t>
  </si>
  <si>
    <t>Adecuaciones de infraestructura en Centros de Salud de las Comarcas Indigenas Ngäbe Bugle, Guna Yala y Emberá-Wuonaan para  cumplir los estándares de la norma de habilitación</t>
  </si>
  <si>
    <t>Equipamiento en Centros de Salud de las Comarcas Indigenas Ngäbe Bugle, Guna Yala y Emberá-Wuonaan para  cumplir los estándares de la norma de habilitación</t>
  </si>
  <si>
    <t>Adecuaciones de infraestructura en Hospitales de Referencia de las Comarcas Indigenas Ngäbe Bugle, Guna Yala y Emberá-Wuonaan para  cumplir los estándares de la norma de habilitación</t>
  </si>
  <si>
    <t>Equipamiento en Hospitales de Referencia de las Comarcas Indigenas Ngäbe Bugle, Guna Yala y Emberá-Wuonaan para  cumplir los estándares de la norma de habilitación</t>
  </si>
  <si>
    <t>Talleres de implementación de los comites de mejora de la calidad</t>
  </si>
  <si>
    <t>Subcomponente 1. Fortalecimiento de capacidades del nivel nacional</t>
  </si>
  <si>
    <t xml:space="preserve">Subcomponente 2. Fortalecimiento de capacidades del nivel regional y local </t>
  </si>
  <si>
    <t xml:space="preserve">Servicio de optimización y operación del Sistema de información de salud </t>
  </si>
  <si>
    <t>Talleres para la operación del Sistema de información de salud</t>
  </si>
  <si>
    <t>Asistencia Técnica para el diseño e incorporación de ajustes a los Reglamentos y manuales operativos del programa de redes</t>
  </si>
  <si>
    <t>Adecuaciones básicas de las instalaciones del MINSA</t>
  </si>
  <si>
    <t>Talleres de divulgación de los reglamentos y manuales operativos del programa de redes</t>
  </si>
  <si>
    <t>Asistencia Técnica para el fortalecimiento de las capacidades de operación, seguimiento y evaluación del programa de redes</t>
  </si>
  <si>
    <t>Programa de capacitación sobre el manejo del sistema de información de salud</t>
  </si>
  <si>
    <t xml:space="preserve">Evaluación del modelo de pago por desempeño </t>
  </si>
  <si>
    <t>Asistencia Técnica para el diseño e implementación de la Encuesta Nacional de Salud</t>
  </si>
  <si>
    <t xml:space="preserve">Evaluación de impacto del Programa de Apoyo Comunitarios (PACO) </t>
  </si>
  <si>
    <t>Asistencia Técnica para el diseño de la Estrategia de comunicación del Programa de redes</t>
  </si>
  <si>
    <t>Implementación de la Estrategia de comunicación del Programa de Redes</t>
  </si>
  <si>
    <t>Asistencia Técnica para la operación de la Unidad Ejecutora</t>
  </si>
  <si>
    <t>Asistencias Técnicas para las áreas claves del Proyecto</t>
  </si>
  <si>
    <t>Servicio de Agente Fiduciario del Proyecto</t>
  </si>
  <si>
    <t xml:space="preserve">Pago per cápita y por desempeño </t>
  </si>
  <si>
    <t>Población Objetivo (MR)</t>
  </si>
  <si>
    <t>Periodo</t>
  </si>
  <si>
    <t>Se inicia con un per cápita promedio de US$ 74.00 cuyo valor surge del análisis de población y cápita asignado a 90 UBAS que operan durante el 2015. Al variar la población de estas UBA aproximadamente en 50 mil personas disminuye la cápita promedio en 4%. Valor utilizado para ajustar los años siguientes.</t>
  </si>
  <si>
    <t>Monto Total</t>
  </si>
  <si>
    <t>Per Cápita Promedio (1)</t>
  </si>
  <si>
    <t>Per Cápita ajustado por IPC</t>
  </si>
  <si>
    <t>Monto a Pagar</t>
  </si>
  <si>
    <t>IPC (2)</t>
  </si>
  <si>
    <t>Indice de Precios periodo 2014 según informe del INEC. Se incluye en el análisis por los incrementos de precios que se reporta en el país que debera tomar en cuenta la metodología de costeo. Es representativo toda vez que los ajustes salariales representan una mayor proporción en la estructura de costos. Para el 2016 se reportan incrementos aprobados para el personal de enfermería por ejemplo.</t>
  </si>
  <si>
    <t>Porcentaje de ajuste por descuentos y penalizaciones (3)</t>
  </si>
  <si>
    <t>Ajuste por descuentos y penalidades se incluye para diferenciar el costo del desembolso. Se estima en un 10% considerando: descuentos por no alcance de metas de coberturas y desempeño, penalizaciones por supervisiones y evaluaciones de los entregables y verificaciones de la ATE. El valor es representativo y puede variar según DRS y tipo de prestador GI u OE.</t>
  </si>
  <si>
    <t>Pari Passu (BID - PN) (4)</t>
  </si>
  <si>
    <t>Se introduce un esquema progresivo de pago según fuente de financiamiento aumentando la participación del país para mitigar los efectos del riesgo fiscal que comprometa la sostenibilidad del Programa.</t>
  </si>
  <si>
    <t>OBSERVACIONES</t>
  </si>
  <si>
    <t>*</t>
  </si>
  <si>
    <t>Transferencia monetaria</t>
  </si>
  <si>
    <t>1.1 Número de personas beneficiadas de la Cartera de Prestaciones Priorizadas (CPP)                                   1.2 Número de personas que recibieron al menos un servicio de la CPP</t>
  </si>
  <si>
    <t>1.2 Número de personas que recibieron al menos un servicio de la CPP</t>
  </si>
  <si>
    <t>1.3 Lineamientos metodologicos de conformación de las redes y microredes integradas de servicios de salud elaborada</t>
  </si>
  <si>
    <r>
      <rPr>
        <sz val="9"/>
        <rFont val="Times New Roman"/>
        <family val="1"/>
      </rPr>
      <t>1.5</t>
    </r>
    <r>
      <rPr>
        <sz val="9"/>
        <color theme="1"/>
        <rFont val="Times New Roman"/>
        <family val="1"/>
      </rPr>
      <t xml:space="preserve"> Plan de implementación de la red de servicios de salud elaborado y aprobado</t>
    </r>
  </si>
  <si>
    <r>
      <rPr>
        <sz val="9"/>
        <rFont val="Times New Roman"/>
        <family val="1"/>
      </rPr>
      <t>1.6</t>
    </r>
    <r>
      <rPr>
        <sz val="9"/>
        <color theme="1"/>
        <rFont val="Times New Roman"/>
        <family val="1"/>
      </rPr>
      <t xml:space="preserve"> Personal de salud institucional y comunitario  capacitados en la metodología para la conformación de redes de salud  </t>
    </r>
  </si>
  <si>
    <t>1.7 Propuesta de estrategia metodológica de organización y funcionamiento de la Plataforma Comunitaria elaborado</t>
  </si>
  <si>
    <t>1.8 Comunidades céntricas con agentes comunitarios que forman parte de la plataforma comunitaria (que reciben incentivos)</t>
  </si>
  <si>
    <t xml:space="preserve">1.9 Mujeres embarazadas que reciben apoyos comunitarios    </t>
  </si>
  <si>
    <t>1.10 Promotores voluntarios de salud que reciben apoyos comunitarios.</t>
  </si>
  <si>
    <r>
      <rPr>
        <sz val="9"/>
        <rFont val="Times New Roman"/>
        <family val="1"/>
      </rPr>
      <t>3.3</t>
    </r>
    <r>
      <rPr>
        <sz val="9"/>
        <color theme="1"/>
        <rFont val="Times New Roman"/>
        <family val="1"/>
      </rPr>
      <t xml:space="preserve"> Reglamento operativo del programa de microredes diseñado</t>
    </r>
  </si>
  <si>
    <r>
      <rPr>
        <sz val="9"/>
        <rFont val="Times New Roman"/>
        <family val="1"/>
      </rPr>
      <t>3.2</t>
    </r>
    <r>
      <rPr>
        <sz val="9"/>
        <color theme="1"/>
        <rFont val="Times New Roman"/>
        <family val="1"/>
      </rPr>
      <t xml:space="preserve"> Áreas del MINSA central adecuadas </t>
    </r>
  </si>
  <si>
    <t xml:space="preserve">3.4 Sistema de información diseñado </t>
  </si>
  <si>
    <t>3.6 Número de Captadores de datos y técnicos de registros de establecimientos de salud capacitados para el manejo del sistema de información y en uso de tecnologías innovadoras.</t>
  </si>
  <si>
    <t>3.7 Estrategia de comunicación con pertinencia cultural y enfoque de genero implementada</t>
  </si>
  <si>
    <t xml:space="preserve">2.2 Número de  Centros de salud con adecuaciones de infraestructura </t>
  </si>
  <si>
    <t>2.4 Número de Hospitales de referencia para comarcas indígenas adecuados</t>
  </si>
  <si>
    <t>Hito: Convenios de Gestión firmados antes del primer mes de cada año calendario de prestación</t>
  </si>
  <si>
    <t>Hito: Contratos con Organizaciones Extra-Institucionales firmados antes del primer año calendario de prestación</t>
  </si>
  <si>
    <t xml:space="preserve">1.6 Personal de salud institucional y comunitario  capacitados en la metodología para la conformación de redes de salud  </t>
  </si>
  <si>
    <t>Transferencia monetaria (incentivo) a mujeres embarazadas</t>
  </si>
  <si>
    <t>Transferencia Monetaria  (incentivo) a Promotores voluntarios de salud</t>
  </si>
  <si>
    <t>Asistencia Técnica para el diseño e implementación de 12 convenios de gestión entre las DRS y prestadores de servicios (del MINSA y OE)</t>
  </si>
  <si>
    <t>Asistencia Técnica para el diseño e implementación de 12 convenios de gestión entre las DRS y prestadores de servicios (del MINSA y OE): Nivel de esfuerzo de cinco días por DRS a un costo día consultor de US$200. Actualmente existen las referencias de experiencia nacional que ajusta el nivel de esfuerzo al propuesto.</t>
  </si>
  <si>
    <t xml:space="preserve">Asistencia Técnica para la definición del Plan de implementación de la red de servicios de salud. Nivel de esfuerzo de cinco días por DRS a un costo día consultor de US$200. </t>
  </si>
  <si>
    <t>Asistencia Técnica para el diseño de estrategia de organización y funcionamiento de la Plataformas Comunitarias. Nivel de esfuerzo de cinco días por DRS a un costo día consultor de US$200.</t>
  </si>
  <si>
    <t>Asistencia Técnica para el desarrollo de la metodología de conformación de las redes de servicios de salud. Nivel de esfuerzo de veinte días por DRS a un costo día consultor de US$250 un equipo mínimo de tres consultores.</t>
  </si>
  <si>
    <t>Asistencia Técnica para el diseño de la normatividad para la conformación del sistema de redes. Nivel de esfuerzo de treinta días para elaborar el producto a un costo día consultor de US$300.</t>
  </si>
  <si>
    <t>Transferencia monetaria (incentivo) a mujeres embarazadas. Cobertura de 25 embarazadas por UBA por año a razón de US$50 de incentivos. El monto se puede redistribuir según criterios de priorización.</t>
  </si>
  <si>
    <t>Transferencia Monetaria  (incentivo) a Promotores voluntarios de salud. Cobertura de 20 promotores por UBA por año a razón de US$50 de incentivos. El monto se puede redistribuir según criterios de priorización.</t>
  </si>
  <si>
    <t>Asistencia Técnica para la actualización y puesta en marcha de la Norma de habilitación de los establecimientos que conforman la red integrada de servicios. Nivel de esfuerzo de cuarenta días a un costo día consultor de US$250 un equipo mínimo de tres consultores (Insfraestructura, Equipos e insumos y RRHH).</t>
  </si>
  <si>
    <t xml:space="preserve">Equipamiento en Centros de Salud de las Comarcas Indigenas Ngäbe Bugle, Guna Yala y Emberá-Wuonaan para  cumplir los estándares de la norma de habilitación. Se recomienda un POA de US$125 mil por centro de salud que incluye reemplazo, reparaciones, adquisiciones nuevas y ajustes a los sistemas de servicios básicos (Luz y agua) para el funcionamiento de los equipos. </t>
  </si>
  <si>
    <t>Programa de capacitación en la aplicación de protocolos dirigido al Personal de salud. Cobertura 740 personas a un costo por persona de US$50 incluye materiales, alimentación, logística y facilitador</t>
  </si>
  <si>
    <t>Asistencia Técnica para la actualización de los Protocolos de atención. Nivel de esfuerzo de sesenta días a un costo día consultor de US$300 un equipo mínimo de tres consultores (Promoción, prevención y atención).</t>
  </si>
  <si>
    <t>Asistencia Técnica para la elaboración de la Estrategia de aseguramiento de la calidad. Nivel de esfuerzo de treinta días a un costo día consultor de US$300 un equipo mínimo de cuatro consultores (Infraestructura, Equipos e insumos, protocolos, RRHH).</t>
  </si>
  <si>
    <t>Asistencia Técnica para la elaboración del Plan nacional de calidad de la atención. Nivel de esfuerzo de veinte días a un costo día consultor de US$300 un equipo mínimo de cuatro consultores (Infraestructura, Equipos e insumos, protocolos, RRHH).</t>
  </si>
  <si>
    <t>Servicio de optimización y operación del Sistema de información de salud. Nivel de esfuerzo de ciento veinte días hábiles (seis meses) con un equipo de trabajo mínimo de Desarrollador, programador y analista a un costo mensual de 15 mil.</t>
  </si>
  <si>
    <t>3.3 Reglamento operativo del programa de microredes diseñado</t>
  </si>
  <si>
    <t xml:space="preserve">3.1 Diagnóstico de infraestructura del Ministerio a nivel central elaborado.  3.2 Áreas del MINSA central adecuadas </t>
  </si>
  <si>
    <t>Asistencia Técnica para el diseño e incorporación de ajustes a los Reglamentos y manuales operativos del programa de redes. Nivel de esfuerzo 30 días consultor a un costo por día de 300.</t>
  </si>
  <si>
    <t>Adecuaciones básicas de las instalaciones del MINSA. Costo promedio de 75 mil por Dirección; incluye dimensión de cada dirección (aproximadamente 200m2), costo por m2 (375). Los trabajos son sobre la estructura existente.</t>
  </si>
  <si>
    <t>Asistencia Técnica para el fortalecimiento de las capacidades de operación, seguimiento y evaluación del programa de redes. Nivel de esfuerzo 10 días consultor por doce meses a un costo por día de 200. Un consultor por Comarca Indigena (3) por año</t>
  </si>
  <si>
    <t>Programa de capacitación sobre el manejo del sistema de información de salud. Cobertura 150 personas a un costo por persona de US$100 incluye equipo, materiales, alimentación, logística y facilitador</t>
  </si>
  <si>
    <t>Evaluación de impacto de AIN-C. Nivel de esfuerzo dos mediciones (inicial y final), equipo consultor de seguimiento y análisis, días consultor cinco x 10 mes y 20 x 2 meses (90 días por año) a un costo equipo consultor de 1000 por día. Trabajo de campo por instrumento aplicado a razón de 100 muestra del 10% del total de menores a evaluar.</t>
  </si>
  <si>
    <t xml:space="preserve">Evaluación del modelo de pago por desempeño. Nivel de esfuerzo dos mediciones (inicial y final), equipo consultor de seguimiento y análisis, días consultor cinco x 10 mes y 20 x 2 meses (90 días por año) a un costo equipo consultor de 1000 por día. Trabajo de campo por instrumento aplicado a razón de 50 muestra del 10% del total de beneficiarios a evaluar. </t>
  </si>
  <si>
    <t>Asistencia Técnica para el diseño de la Estrategia de comunicación del Programa de redes. Nivel de esfuerzo 20 días consultor por dos meses a un costo por día de 200.</t>
  </si>
  <si>
    <t>Implementación de la Estrategia de comunicación del Programa de Redes. Cobertura radial en cada RS e impresión de material promocional para beneficiarios directos a razón de 100 mil folletos impresos por año.</t>
  </si>
  <si>
    <t xml:space="preserve">Servicios de Auditoría Técnica Externa. Cobertura de 90 UBA a un costo de 10 mil por paquete de productos auditados por año. </t>
  </si>
  <si>
    <t xml:space="preserve">Servicios de Auditoría Financiera. Equipo consultor con dos mediciones semestral y anual a razón de 12,500 por revisión. </t>
  </si>
  <si>
    <t>Asistencia Técnica para la operación de la Unidad Ejecutora. Consultorias de Director Médico (86,670) Asesor (64,200) y tres subdirectores (51,360)</t>
  </si>
  <si>
    <t>Asistencias Técnicas para las áreas claves del Proyecto. Nivel de esfuerzo de 165 días consultor por año a un costo día consultor de 200. Un consultor por DRS</t>
  </si>
  <si>
    <t>Flujo de Pago</t>
  </si>
  <si>
    <t>Costo Fiduciario</t>
  </si>
  <si>
    <t>Monto a pagar por servicio</t>
  </si>
  <si>
    <t>Servicio de Agente Fiduciario del Proyecto. Costo estimado del servicio 3% sobre lo pagado. Depende del flujo de pago estimado.</t>
  </si>
  <si>
    <t xml:space="preserve">Identificación, selección y capacitación de agentes comunitarios como parte de las plataformas comunitarias. Costos operativos de las DRS a razón de un POA de 1000. (viáticos y movilización) </t>
  </si>
  <si>
    <t>COMPONENTES</t>
  </si>
  <si>
    <t>Cuadro I.1: Costos de la Operación</t>
  </si>
  <si>
    <t>BID (US$)</t>
  </si>
  <si>
    <t xml:space="preserve">LOCAL (US$) </t>
  </si>
  <si>
    <t>TOTAL (US$)</t>
  </si>
  <si>
    <t>Adecuaciones de infraestructura en Centros de Salud de las Comarcas Indigenas Ngäbe Bugle, Guna Yala y Emberá-Wuonaan para  cumplir los estándares de la norma de habilitación. Cobertura de 37 Centros de salud a un costo promedio de adecuación según las normas de US$252 mil basado en las áreas (según ficha de habilitación), dimensión (promedio 400mt2) y costo por m2 (US$525) según ubicación de cada Centro de salud se adiciona el costo de administración de la obra que considera el grado de dificultad según área (20%).</t>
  </si>
  <si>
    <t xml:space="preserve">Evaluación de impacto del Programa de Apoyo Comunitarios (PACO). Nivel de esfuerzo tres mediciones (inicial, intermedia y final), equipo consultor de seguimiento y análisis, días consultor seis x 10 mes y 30 x 2 meses (120 días por año) a un costo equipo consultor de 1000 por día.  </t>
  </si>
  <si>
    <t>Asistencia Técnica para las intervenciones de cambio de comportamiento y consejería en PF</t>
  </si>
  <si>
    <t>Se incorpora un ajuste a la baja por año de aproximadamente 1.5 millones en total 8 millones por todo el periodo del Proyecto por población no elegible que conlleven ajustes en los montos por grupo poblacional</t>
  </si>
  <si>
    <t>Asistencia Técnica para las intervenciones de cambio de comportamiento y consejería en PF. Contratación Directa a APLAFA</t>
  </si>
  <si>
    <t xml:space="preserve">Equipamiento en Hospitales de Referencia de las Comarcas Indigenas Ngäbe Bugle, Guna Yala y Emberá-Wuonaan para  cumplir los estándares de la norma de habilitación. Se recomienda un POA de US$125 mil por Hospital que incluye reemplazo, reparaciones, adquisiciones nuevas y ajustes a los sistemas de servicios básicos (Luz y agua) para el funcionamiento de los equipos. </t>
  </si>
  <si>
    <t>Asistencia Técnica para el diseño e implementación de la Encuesta Nacional de Salud. Contratación Directa al ICGES.</t>
  </si>
  <si>
    <t xml:space="preserve">2.5 Número de Protocolos de atención actualizados </t>
  </si>
  <si>
    <t>2.6 Número de Personal de salud capacitados en la aplicación de protocolos de atención actualizados con elementos culturales</t>
  </si>
  <si>
    <t>2.7 Estrategia de aseguramiento de la calidad elaborada</t>
  </si>
  <si>
    <t>2.8 Número de UBAS que cuentan con consolidado mensual de AIN-C en el que el 80% de los niños &lt; de 24 meses estan nominalizados</t>
  </si>
  <si>
    <t>2.3 Número de Centros de salud y Hospitales de referencia equipados</t>
  </si>
  <si>
    <t>3.5 Centros de Salud y Hospitales equipados con hardware y software para contar con el sistema de información operando.  3.6 Número de Captadores de datos y técnicos de registros de establecimientos de salud capacitados para el manejo del sistema de información y en uso de tecnologías innovadoras.</t>
  </si>
  <si>
    <t>Subcomponente 3. Gestión de la Información y Evaluación</t>
  </si>
  <si>
    <t>ADMINISTRACIÓN Y SEGUIMIENTO</t>
  </si>
  <si>
    <t>Subcomponente 3. Geestión de la Información y Evaluación</t>
  </si>
  <si>
    <t>Administración y Seguimiento</t>
  </si>
  <si>
    <t xml:space="preserve">Auditoría Financiera contratada  </t>
  </si>
  <si>
    <t xml:space="preserve">1.11 Auditoría Técnica Externa contratada   </t>
  </si>
  <si>
    <t xml:space="preserve">3.8 Evaluación de impacto de AIN-C finalizada </t>
  </si>
  <si>
    <t xml:space="preserve">3.9 Evaluación de impacto y cualitativa del Programa de Apoyo Comunitarios (PACO) finalizada  </t>
  </si>
  <si>
    <t xml:space="preserve">3.10 Evaluación del modelo de pago por desempeño y financiamiento capitado finalizada </t>
  </si>
  <si>
    <t xml:space="preserve">3.11 Encuesta Nacional de Salud Finalizada  </t>
  </si>
  <si>
    <t xml:space="preserve">Adecuaciones de infraestructura en Centros de Salud de las Comarcas Indigenas Ngäbe Bugle, Guna Yala y Emberá-Wuonaan </t>
  </si>
  <si>
    <t>ADECUACIONES NECESARIAS PARA CUMPLIR CON ESTÁNDARES MÍNIMOS ESTABLECIDOS</t>
  </si>
  <si>
    <t>INVERSIÓN</t>
  </si>
  <si>
    <t>SERVICIOS ADMINISTRATIVOS</t>
  </si>
  <si>
    <t>SERVICIOS GENERALES</t>
  </si>
  <si>
    <t>TIPO DE INSTALACIÓN DE SALUD</t>
  </si>
  <si>
    <t>POBLACIÓN BENEFICIARIA PROMEDIO</t>
  </si>
  <si>
    <t>Centro de Salud</t>
  </si>
  <si>
    <t>Regular</t>
  </si>
  <si>
    <t>ESTADO ACTUAL</t>
  </si>
  <si>
    <t>SERVICIOS DE SALUD</t>
  </si>
  <si>
    <t xml:space="preserve">Trabajo Social                                Inspeccción y Saneamiento Ambiental        Educación para la Salud                   Control Alimentos / Vigilancia Veterinaria     Farmacia                                  Laboratorio clínico                                 Consultorios Médicina General                         Consultorio Ginecología                         Consultorio Pediatría                   Crecimiento y Desarrollo              Vacunación                                           Odontología                                                    Urgencias       -Inhaloterapia  -Hidratación Hospitalización  -  Área Séptica    -  Labor                                 </t>
  </si>
  <si>
    <t>Costo estimado contempla: (1) adecuación de las áreas según ficha de habilitación, (2) dimensión promedio 400mt2 (área de construccción), (3) costo de US$525 por m2 y (4) costo de administración de la obra de 20% (considera el grado de dificultad según área).</t>
  </si>
  <si>
    <t>Oficinas administrativas</t>
  </si>
  <si>
    <t>Caja</t>
  </si>
  <si>
    <t>Oficina Enfermera Jefe</t>
  </si>
  <si>
    <t>Oficina Estadísticas</t>
  </si>
  <si>
    <t>Depósito Materiales</t>
  </si>
  <si>
    <t>Depósito Nutrición</t>
  </si>
  <si>
    <t>Trabajo social</t>
  </si>
  <si>
    <t>Educación para la Salud</t>
  </si>
  <si>
    <t>Depósito Medicamentos</t>
  </si>
  <si>
    <t>Laboratorio clínico</t>
  </si>
  <si>
    <t>Consultorio Ginecología</t>
  </si>
  <si>
    <t>Consultorio Pediatría</t>
  </si>
  <si>
    <t>Crecimiento y Desarrollo</t>
  </si>
  <si>
    <t>Vacunación</t>
  </si>
  <si>
    <t>Odontología</t>
  </si>
  <si>
    <t>Cocina</t>
  </si>
  <si>
    <t>Lavandería</t>
  </si>
  <si>
    <t>Esterilización</t>
  </si>
  <si>
    <t>Almacén general</t>
  </si>
  <si>
    <t>Servicios sanitarios</t>
  </si>
  <si>
    <t>Tanque Reserva de agua</t>
  </si>
  <si>
    <t>Desechos comunes y peligrosos</t>
  </si>
  <si>
    <t>Áreas comunes</t>
  </si>
  <si>
    <r>
      <t>Costo/M</t>
    </r>
    <r>
      <rPr>
        <b/>
        <vertAlign val="superscript"/>
        <sz val="11"/>
        <rFont val="Times New Roman"/>
        <family val="1"/>
      </rPr>
      <t>2</t>
    </r>
  </si>
  <si>
    <r>
      <t>Área M</t>
    </r>
    <r>
      <rPr>
        <b/>
        <vertAlign val="superscript"/>
        <sz val="11"/>
        <rFont val="Times New Roman"/>
        <family val="1"/>
      </rPr>
      <t>2</t>
    </r>
  </si>
  <si>
    <t>Costo Estimado por Área</t>
  </si>
  <si>
    <t>Centro de Salud (Prototipo)</t>
  </si>
  <si>
    <t>Servicios Administrativos</t>
  </si>
  <si>
    <t xml:space="preserve">Oficinas administrativas                   Caja                                  Oficina Enfermera Jefe       Oficina Estadísticas          Depósito Materiales                   Depósito Nutrición                       Depósito Medicamentos   Almacén general                                            </t>
  </si>
  <si>
    <t xml:space="preserve">Sala de espera                                   Servicios sanitarios                                                          Cocina                                Lavandería                            Esterilización                                                     Tanque Reserva de agua                 Área de Aseo                              Desechos comunes y peligrosos                             </t>
  </si>
  <si>
    <t>Servicios de Salud</t>
  </si>
  <si>
    <t>Inspección y Saneamiento Ambiental</t>
  </si>
  <si>
    <t>Control Alimentos /Vigilancia Veterinaria</t>
  </si>
  <si>
    <t>Urgencias</t>
  </si>
  <si>
    <t>Farmacia</t>
  </si>
  <si>
    <t>Hospitalización</t>
  </si>
  <si>
    <t>Costo Estimado de la Adecuación</t>
  </si>
  <si>
    <t>Costo de Administración (área díficil acceso)</t>
  </si>
  <si>
    <t>Costo Total</t>
  </si>
  <si>
    <t>Sala de Espera</t>
  </si>
  <si>
    <t>Servicios de Generales</t>
  </si>
  <si>
    <t xml:space="preserve">Consultorios Médicina General </t>
  </si>
  <si>
    <t>Archivo Clínico</t>
  </si>
  <si>
    <t>Adecuaciones de infraestructura en Hospitales de Referencia de las Comarcas Indigenas Ngäbe Bugle, Guna Yala y Emberá-Wuonaan para  cumplir los estándares de la norma de habilitación. Cobertura de 4 Hospitales de Referencia a un costo promedio de adecuación según las normas de US$504 mil basado en las áreas (según ficha de habilitación), dimensión (promedio 600mt2) y costo por m2 (US$700) según ubicación de cada Hospital se adiciona el costo de administración de la obra que considera el grado de dificultad según área (20%).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</si>
</sst>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
    <numFmt numFmtId="167" formatCode="0.0%"/>
    <numFmt numFmtId="168" formatCode="&quot;B/.&quot;\ #,##0.00"/>
  </numFmts>
  <fonts count="23" x14ac:knownFonts="1">
    <font>
      <sz val="11"/>
      <color theme="1"/>
      <name val="Calibri"/>
      <family val="2"/>
      <scheme val="minor"/>
    </font>
    <font>
      <b/>
      <sz val="9"/>
      <color theme="1"/>
      <name val="Times New Roman"/>
      <family val="1"/>
    </font>
    <font>
      <sz val="9"/>
      <color theme="1"/>
      <name val="Times New Roman"/>
      <family val="1"/>
    </font>
    <font>
      <b/>
      <sz val="9"/>
      <name val="Times New Roman"/>
      <family val="1"/>
    </font>
    <font>
      <sz val="11"/>
      <color theme="1"/>
      <name val="Calibri"/>
      <family val="2"/>
      <scheme val="minor"/>
    </font>
    <font>
      <b/>
      <sz val="11"/>
      <color theme="1"/>
      <name val="Calibri"/>
      <family val="2"/>
      <scheme val="minor"/>
    </font>
    <font>
      <b/>
      <sz val="11"/>
      <color rgb="FFFF0000"/>
      <name val="Calibri"/>
      <family val="2"/>
      <scheme val="minor"/>
    </font>
    <font>
      <b/>
      <sz val="12"/>
      <color theme="1"/>
      <name val="Times New Roman"/>
      <family val="1"/>
    </font>
    <font>
      <sz val="9"/>
      <name val="Times New Roman"/>
      <family val="1"/>
    </font>
    <font>
      <sz val="9"/>
      <color theme="1"/>
      <name val="Calibri"/>
      <family val="2"/>
      <scheme val="minor"/>
    </font>
    <font>
      <b/>
      <sz val="9"/>
      <color theme="1"/>
      <name val="Calibri"/>
      <family val="2"/>
      <scheme val="minor"/>
    </font>
    <font>
      <sz val="12"/>
      <color theme="1"/>
      <name val="Times New Roman"/>
      <family val="1"/>
    </font>
    <font>
      <b/>
      <sz val="11"/>
      <color indexed="8"/>
      <name val="Times New Roman"/>
      <family val="1"/>
    </font>
    <font>
      <b/>
      <i/>
      <sz val="11"/>
      <name val="Times New Roman"/>
      <family val="1"/>
    </font>
    <font>
      <sz val="11"/>
      <name val="Times New Roman"/>
      <family val="1"/>
    </font>
    <font>
      <b/>
      <vertAlign val="superscript"/>
      <sz val="11"/>
      <name val="Times New Roman"/>
      <family val="1"/>
    </font>
    <font>
      <sz val="11"/>
      <color indexed="62"/>
      <name val="Times New Roman"/>
      <family val="1"/>
    </font>
    <font>
      <b/>
      <sz val="11"/>
      <name val="Times New Roman"/>
      <family val="1"/>
    </font>
    <font>
      <b/>
      <sz val="11"/>
      <color indexed="62"/>
      <name val="Times New Roman"/>
      <family val="1"/>
    </font>
    <font>
      <b/>
      <sz val="16"/>
      <color theme="1"/>
      <name val="Times New Roman"/>
      <family val="1"/>
    </font>
    <font>
      <b/>
      <sz val="9"/>
      <color theme="1"/>
      <name val="Arial"/>
      <family val="2"/>
    </font>
    <font>
      <sz val="9"/>
      <color theme="1"/>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rgb="FF33CC33"/>
        <bgColor indexed="64"/>
      </patternFill>
    </fill>
    <fill>
      <patternFill patternType="solid">
        <fgColor rgb="FFFFFF99"/>
        <bgColor indexed="64"/>
      </patternFill>
    </fill>
    <fill>
      <patternFill patternType="solid">
        <fgColor theme="3" tint="0.59999389629810485"/>
        <bgColor indexed="64"/>
      </patternFill>
    </fill>
    <fill>
      <patternFill patternType="solid">
        <fgColor rgb="FFFFFF00"/>
        <bgColor indexed="64"/>
      </patternFill>
    </fill>
    <fill>
      <patternFill patternType="solid">
        <fgColor indexed="9"/>
        <bgColor indexed="26"/>
      </patternFill>
    </fill>
    <fill>
      <patternFill patternType="solid">
        <fgColor indexed="13"/>
        <bgColor indexed="64"/>
      </patternFill>
    </fill>
    <fill>
      <patternFill patternType="solid">
        <fgColor rgb="FFFFFF00"/>
        <bgColor indexed="42"/>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137">
    <xf numFmtId="0" fontId="0" fillId="0" borderId="0" xfId="0"/>
    <xf numFmtId="0" fontId="1" fillId="2" borderId="0" xfId="0" applyFont="1" applyFill="1" applyBorder="1" applyAlignment="1">
      <alignment vertical="top"/>
    </xf>
    <xf numFmtId="0" fontId="2" fillId="2" borderId="0" xfId="0" applyFont="1" applyFill="1" applyAlignment="1">
      <alignment vertical="center" wrapText="1"/>
    </xf>
    <xf numFmtId="0" fontId="1" fillId="2" borderId="1" xfId="0" applyFont="1" applyFill="1" applyBorder="1" applyAlignment="1">
      <alignment vertical="center" wrapText="1"/>
    </xf>
    <xf numFmtId="3" fontId="1" fillId="2" borderId="1" xfId="0" applyNumberFormat="1" applyFont="1" applyFill="1" applyBorder="1" applyAlignment="1">
      <alignment vertical="center" wrapText="1"/>
    </xf>
    <xf numFmtId="0" fontId="2" fillId="2" borderId="1" xfId="0" applyFont="1" applyFill="1" applyBorder="1" applyAlignment="1">
      <alignment horizontal="left" vertical="center" wrapText="1"/>
    </xf>
    <xf numFmtId="3" fontId="2" fillId="2" borderId="1" xfId="0" applyNumberFormat="1" applyFont="1" applyFill="1" applyBorder="1" applyAlignment="1">
      <alignment vertical="center" wrapText="1"/>
    </xf>
    <xf numFmtId="0" fontId="1"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wrapText="1" indent="1"/>
    </xf>
    <xf numFmtId="0" fontId="2" fillId="2" borderId="1" xfId="0" applyFont="1" applyFill="1" applyBorder="1" applyAlignment="1">
      <alignment horizontal="left" vertical="center" wrapText="1" indent="2"/>
    </xf>
    <xf numFmtId="0" fontId="2" fillId="2" borderId="0" xfId="0" applyFont="1" applyFill="1"/>
    <xf numFmtId="0" fontId="2" fillId="2" borderId="0" xfId="0" applyFont="1" applyFill="1" applyAlignment="1">
      <alignment wrapText="1"/>
    </xf>
    <xf numFmtId="0" fontId="1" fillId="2" borderId="0" xfId="0" applyFont="1" applyFill="1"/>
    <xf numFmtId="164" fontId="2" fillId="2" borderId="0" xfId="0" applyNumberFormat="1" applyFont="1" applyFill="1" applyAlignment="1">
      <alignmen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3" borderId="1" xfId="0" applyFont="1" applyFill="1" applyBorder="1" applyAlignment="1">
      <alignment vertical="center" wrapText="1"/>
    </xf>
    <xf numFmtId="0" fontId="2" fillId="3" borderId="1" xfId="0" applyFont="1" applyFill="1" applyBorder="1" applyAlignment="1">
      <alignment vertical="center" wrapText="1"/>
    </xf>
    <xf numFmtId="3" fontId="1" fillId="3" borderId="1" xfId="0" applyNumberFormat="1" applyFont="1" applyFill="1" applyBorder="1" applyAlignment="1">
      <alignment vertical="center" wrapText="1"/>
    </xf>
    <xf numFmtId="0" fontId="1" fillId="4" borderId="1" xfId="0" applyFont="1" applyFill="1" applyBorder="1" applyAlignment="1">
      <alignment vertical="center" wrapText="1"/>
    </xf>
    <xf numFmtId="3" fontId="1" fillId="4" borderId="1" xfId="0" applyNumberFormat="1" applyFont="1" applyFill="1" applyBorder="1" applyAlignment="1">
      <alignment vertical="center" wrapText="1"/>
    </xf>
    <xf numFmtId="0" fontId="3" fillId="2" borderId="0" xfId="0" applyFont="1" applyFill="1" applyBorder="1" applyAlignment="1">
      <alignment vertical="center" wrapText="1"/>
    </xf>
    <xf numFmtId="0" fontId="2" fillId="2" borderId="3" xfId="0" applyFont="1" applyFill="1" applyBorder="1" applyAlignment="1">
      <alignment horizontal="left" vertical="center" wrapText="1"/>
    </xf>
    <xf numFmtId="0" fontId="0" fillId="0" borderId="0" xfId="0" applyAlignment="1">
      <alignment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horizontal="center" vertical="center"/>
    </xf>
    <xf numFmtId="3" fontId="0" fillId="0" borderId="1" xfId="0" applyNumberFormat="1" applyBorder="1" applyAlignment="1">
      <alignment horizontal="center" vertical="center"/>
    </xf>
    <xf numFmtId="2" fontId="0" fillId="0" borderId="1" xfId="0" applyNumberFormat="1" applyBorder="1" applyAlignment="1">
      <alignment vertical="center"/>
    </xf>
    <xf numFmtId="164" fontId="0" fillId="0" borderId="1" xfId="1" applyNumberFormat="1" applyFont="1" applyBorder="1" applyAlignment="1">
      <alignment vertical="center"/>
    </xf>
    <xf numFmtId="4" fontId="0" fillId="0" borderId="1" xfId="0" applyNumberFormat="1" applyBorder="1" applyAlignment="1">
      <alignment vertical="center"/>
    </xf>
    <xf numFmtId="9" fontId="0" fillId="0" borderId="1" xfId="0" applyNumberFormat="1" applyBorder="1" applyAlignment="1">
      <alignment vertical="center"/>
    </xf>
    <xf numFmtId="0" fontId="0" fillId="0" borderId="1" xfId="0" applyBorder="1" applyAlignment="1">
      <alignment vertical="center"/>
    </xf>
    <xf numFmtId="2" fontId="0" fillId="0" borderId="1" xfId="1" applyNumberFormat="1" applyFont="1" applyBorder="1" applyAlignment="1">
      <alignment vertical="center"/>
    </xf>
    <xf numFmtId="4" fontId="0" fillId="3" borderId="1" xfId="0" applyNumberFormat="1" applyFill="1" applyBorder="1" applyAlignment="1">
      <alignment vertical="center"/>
    </xf>
    <xf numFmtId="0" fontId="5" fillId="4" borderId="1" xfId="0" applyFont="1" applyFill="1" applyBorder="1" applyAlignment="1">
      <alignment vertical="center" wrapText="1"/>
    </xf>
    <xf numFmtId="0" fontId="0" fillId="0" borderId="0" xfId="0" applyBorder="1" applyAlignment="1">
      <alignment horizontal="center" vertical="center"/>
    </xf>
    <xf numFmtId="0" fontId="2" fillId="2" borderId="5" xfId="0" applyFont="1" applyFill="1" applyBorder="1" applyAlignment="1">
      <alignment horizontal="left" vertical="center" wrapText="1"/>
    </xf>
    <xf numFmtId="3" fontId="9" fillId="0" borderId="0" xfId="0" applyNumberFormat="1" applyFont="1" applyAlignment="1">
      <alignment vertical="center"/>
    </xf>
    <xf numFmtId="3" fontId="9" fillId="0" borderId="0" xfId="0" applyNumberFormat="1" applyFont="1"/>
    <xf numFmtId="0" fontId="10" fillId="4" borderId="1" xfId="0" applyFont="1" applyFill="1" applyBorder="1" applyAlignment="1">
      <alignment horizontal="center" vertical="center" wrapText="1"/>
    </xf>
    <xf numFmtId="3" fontId="9" fillId="0" borderId="1" xfId="0" applyNumberFormat="1" applyFont="1" applyBorder="1" applyAlignment="1">
      <alignment vertical="center"/>
    </xf>
    <xf numFmtId="0" fontId="1" fillId="3" borderId="1" xfId="0" applyFont="1" applyFill="1" applyBorder="1" applyAlignment="1">
      <alignment horizontal="center" vertical="center" wrapText="1"/>
    </xf>
    <xf numFmtId="0" fontId="1" fillId="2" borderId="0" xfId="0" applyFont="1" applyFill="1" applyBorder="1" applyAlignment="1">
      <alignment vertical="center" wrapText="1"/>
    </xf>
    <xf numFmtId="0" fontId="1" fillId="3" borderId="1" xfId="0" applyFont="1" applyFill="1" applyBorder="1" applyAlignment="1">
      <alignment horizontal="center" vertical="center" wrapText="1"/>
    </xf>
    <xf numFmtId="0" fontId="1" fillId="2" borderId="0" xfId="0" applyFont="1" applyFill="1" applyBorder="1" applyAlignment="1">
      <alignment vertical="center" wrapText="1"/>
    </xf>
    <xf numFmtId="0" fontId="1" fillId="2" borderId="0" xfId="0" applyFont="1" applyFill="1" applyBorder="1" applyAlignment="1">
      <alignment vertical="center" wrapText="1"/>
    </xf>
    <xf numFmtId="0" fontId="5" fillId="4" borderId="1" xfId="0" applyFont="1" applyFill="1" applyBorder="1" applyAlignment="1">
      <alignment horizontal="center" vertical="center" wrapText="1"/>
    </xf>
    <xf numFmtId="3" fontId="8" fillId="2" borderId="1" xfId="0" applyNumberFormat="1" applyFont="1" applyFill="1" applyBorder="1" applyAlignment="1">
      <alignment vertical="center" wrapText="1"/>
    </xf>
    <xf numFmtId="9" fontId="2" fillId="2" borderId="0" xfId="1" applyFont="1" applyFill="1" applyAlignment="1">
      <alignment vertical="center" wrapText="1"/>
    </xf>
    <xf numFmtId="165" fontId="2" fillId="2" borderId="0" xfId="0" applyNumberFormat="1" applyFont="1" applyFill="1" applyAlignment="1">
      <alignment vertical="center" wrapText="1"/>
    </xf>
    <xf numFmtId="166" fontId="0" fillId="0" borderId="1" xfId="1" applyNumberFormat="1" applyFont="1" applyBorder="1" applyAlignment="1">
      <alignment vertical="center"/>
    </xf>
    <xf numFmtId="167" fontId="9" fillId="0" borderId="1" xfId="1" applyNumberFormat="1" applyFont="1" applyBorder="1" applyAlignment="1">
      <alignment vertical="center"/>
    </xf>
    <xf numFmtId="0" fontId="2" fillId="6" borderId="1" xfId="0" applyFont="1" applyFill="1" applyBorder="1" applyAlignment="1">
      <alignment horizontal="left" vertical="center" wrapText="1" indent="2"/>
    </xf>
    <xf numFmtId="3" fontId="8" fillId="6" borderId="1" xfId="0" applyNumberFormat="1" applyFont="1" applyFill="1" applyBorder="1" applyAlignment="1">
      <alignment vertical="center" wrapText="1"/>
    </xf>
    <xf numFmtId="3" fontId="2" fillId="6" borderId="1" xfId="0" applyNumberFormat="1" applyFont="1" applyFill="1" applyBorder="1" applyAlignment="1">
      <alignment vertical="center" wrapText="1"/>
    </xf>
    <xf numFmtId="0" fontId="2" fillId="0" borderId="1" xfId="0" applyFont="1" applyFill="1" applyBorder="1" applyAlignment="1">
      <alignment horizontal="left" vertical="center" wrapText="1" indent="2"/>
    </xf>
    <xf numFmtId="3" fontId="8" fillId="0" borderId="1" xfId="0" applyNumberFormat="1" applyFont="1" applyFill="1" applyBorder="1" applyAlignment="1">
      <alignment vertical="center" wrapText="1"/>
    </xf>
    <xf numFmtId="3" fontId="2" fillId="0" borderId="1" xfId="0" applyNumberFormat="1" applyFont="1" applyFill="1" applyBorder="1" applyAlignment="1">
      <alignment vertical="center" wrapText="1"/>
    </xf>
    <xf numFmtId="0" fontId="11" fillId="0" borderId="0" xfId="0" applyFont="1"/>
    <xf numFmtId="0" fontId="13" fillId="7" borderId="1" xfId="0" applyFont="1" applyFill="1" applyBorder="1" applyAlignment="1">
      <alignment horizontal="center" vertical="center" wrapText="1"/>
    </xf>
    <xf numFmtId="0" fontId="14" fillId="0" borderId="1" xfId="0" applyFont="1" applyBorder="1" applyAlignment="1">
      <alignment vertical="center"/>
    </xf>
    <xf numFmtId="0" fontId="14" fillId="0" borderId="1" xfId="0" applyFont="1" applyBorder="1" applyAlignment="1">
      <alignment horizontal="center" vertical="center"/>
    </xf>
    <xf numFmtId="3" fontId="14" fillId="0" borderId="1" xfId="0" applyNumberFormat="1" applyFont="1" applyBorder="1" applyAlignment="1">
      <alignment horizontal="center" vertical="center"/>
    </xf>
    <xf numFmtId="0" fontId="14" fillId="0" borderId="1" xfId="0" applyFont="1" applyFill="1" applyBorder="1" applyAlignment="1">
      <alignment vertical="center" wrapText="1"/>
    </xf>
    <xf numFmtId="168" fontId="14" fillId="0" borderId="1" xfId="0" applyNumberFormat="1" applyFont="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Border="1" applyAlignment="1">
      <alignment horizontal="left" vertical="center"/>
    </xf>
    <xf numFmtId="4" fontId="14" fillId="0" borderId="1" xfId="0" applyNumberFormat="1" applyFont="1" applyBorder="1" applyAlignment="1">
      <alignment horizontal="center"/>
    </xf>
    <xf numFmtId="168" fontId="14" fillId="0" borderId="1" xfId="0" applyNumberFormat="1" applyFont="1" applyBorder="1" applyAlignment="1">
      <alignment horizontal="center"/>
    </xf>
    <xf numFmtId="168" fontId="14" fillId="0" borderId="1" xfId="0" applyNumberFormat="1" applyFont="1" applyBorder="1"/>
    <xf numFmtId="168" fontId="17" fillId="0" borderId="3" xfId="0" applyNumberFormat="1" applyFont="1" applyFill="1" applyBorder="1" applyAlignment="1">
      <alignment horizontal="center" vertical="center" wrapText="1"/>
    </xf>
    <xf numFmtId="0" fontId="14" fillId="0" borderId="1" xfId="0" applyFont="1" applyBorder="1" applyAlignment="1">
      <alignment horizontal="left" vertical="center" indent="1"/>
    </xf>
    <xf numFmtId="168" fontId="16" fillId="3" borderId="8" xfId="0" applyNumberFormat="1" applyFont="1" applyFill="1" applyBorder="1"/>
    <xf numFmtId="168" fontId="14" fillId="8" borderId="8" xfId="0" applyNumberFormat="1" applyFont="1" applyFill="1" applyBorder="1"/>
    <xf numFmtId="168" fontId="18" fillId="3" borderId="8" xfId="0" applyNumberFormat="1" applyFont="1" applyFill="1" applyBorder="1"/>
    <xf numFmtId="0" fontId="20" fillId="2" borderId="0" xfId="0" applyFont="1" applyFill="1" applyBorder="1" applyAlignment="1">
      <alignment vertical="top"/>
    </xf>
    <xf numFmtId="0" fontId="21" fillId="2" borderId="0" xfId="0" applyFont="1" applyFill="1"/>
    <xf numFmtId="0" fontId="20" fillId="4" borderId="2" xfId="0" applyFont="1" applyFill="1" applyBorder="1" applyAlignment="1">
      <alignment horizontal="center" vertical="top" wrapText="1"/>
    </xf>
    <xf numFmtId="0" fontId="20" fillId="4" borderId="1" xfId="0" applyFont="1" applyFill="1" applyBorder="1" applyAlignment="1">
      <alignment horizontal="center" vertical="top" wrapText="1"/>
    </xf>
    <xf numFmtId="0" fontId="20" fillId="3" borderId="1" xfId="0" applyFont="1" applyFill="1" applyBorder="1" applyAlignment="1">
      <alignment horizontal="center" vertical="top" wrapText="1"/>
    </xf>
    <xf numFmtId="0" fontId="20" fillId="2" borderId="1" xfId="0" applyFont="1" applyFill="1" applyBorder="1" applyAlignment="1">
      <alignment vertical="top"/>
    </xf>
    <xf numFmtId="3" fontId="20" fillId="2" borderId="1" xfId="0" applyNumberFormat="1" applyFont="1" applyFill="1" applyBorder="1" applyAlignment="1">
      <alignment vertical="top"/>
    </xf>
    <xf numFmtId="0" fontId="20" fillId="3" borderId="1" xfId="0" applyFont="1" applyFill="1" applyBorder="1" applyAlignment="1">
      <alignment vertical="top"/>
    </xf>
    <xf numFmtId="3" fontId="20" fillId="3" borderId="1" xfId="0" applyNumberFormat="1" applyFont="1" applyFill="1" applyBorder="1" applyAlignment="1">
      <alignment wrapText="1"/>
    </xf>
    <xf numFmtId="0" fontId="22" fillId="2" borderId="0" xfId="0" applyFont="1" applyFill="1" applyBorder="1" applyAlignment="1">
      <alignment vertical="center" wrapText="1"/>
    </xf>
    <xf numFmtId="0" fontId="21" fillId="2" borderId="0" xfId="0" applyFont="1" applyFill="1" applyAlignment="1">
      <alignment vertical="center" wrapText="1"/>
    </xf>
    <xf numFmtId="0" fontId="20" fillId="2" borderId="0" xfId="0" applyFont="1" applyFill="1" applyBorder="1" applyAlignment="1">
      <alignment vertical="center" wrapText="1"/>
    </xf>
    <xf numFmtId="0" fontId="20" fillId="3" borderId="1"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5" borderId="1" xfId="0" applyFont="1" applyFill="1" applyBorder="1" applyAlignment="1">
      <alignment vertical="center" wrapText="1"/>
    </xf>
    <xf numFmtId="0" fontId="21" fillId="3" borderId="1" xfId="0" applyFont="1" applyFill="1" applyBorder="1" applyAlignment="1">
      <alignment vertical="center" wrapText="1"/>
    </xf>
    <xf numFmtId="3" fontId="20" fillId="3" borderId="1" xfId="0" applyNumberFormat="1" applyFont="1" applyFill="1" applyBorder="1" applyAlignment="1">
      <alignment vertical="center" wrapText="1"/>
    </xf>
    <xf numFmtId="3" fontId="20" fillId="5" borderId="1" xfId="0" applyNumberFormat="1" applyFont="1" applyFill="1" applyBorder="1" applyAlignment="1">
      <alignment vertical="center" wrapText="1"/>
    </xf>
    <xf numFmtId="0" fontId="20" fillId="3" borderId="1" xfId="0" applyFont="1" applyFill="1" applyBorder="1" applyAlignment="1">
      <alignment vertical="center" wrapText="1"/>
    </xf>
    <xf numFmtId="0" fontId="21" fillId="2" borderId="1" xfId="0" applyFont="1" applyFill="1" applyBorder="1" applyAlignment="1">
      <alignment horizontal="left" vertical="center" wrapText="1"/>
    </xf>
    <xf numFmtId="3" fontId="21" fillId="2" borderId="1" xfId="0" applyNumberFormat="1" applyFont="1" applyFill="1" applyBorder="1" applyAlignment="1">
      <alignment vertical="center" wrapText="1"/>
    </xf>
    <xf numFmtId="0" fontId="20" fillId="4" borderId="1" xfId="0" applyFont="1" applyFill="1" applyBorder="1" applyAlignment="1">
      <alignment vertical="center" wrapText="1"/>
    </xf>
    <xf numFmtId="3" fontId="20" fillId="4" borderId="1" xfId="0" applyNumberFormat="1" applyFont="1" applyFill="1" applyBorder="1" applyAlignment="1">
      <alignment vertical="center" wrapText="1"/>
    </xf>
    <xf numFmtId="3" fontId="20" fillId="2" borderId="1" xfId="0" applyNumberFormat="1" applyFont="1" applyFill="1" applyBorder="1" applyAlignment="1">
      <alignment vertical="center" wrapText="1"/>
    </xf>
    <xf numFmtId="0" fontId="20" fillId="2" borderId="1" xfId="0" applyFont="1" applyFill="1" applyBorder="1" applyAlignment="1">
      <alignment horizontal="left" vertical="center" wrapText="1" indent="1"/>
    </xf>
    <xf numFmtId="0" fontId="21" fillId="2" borderId="1" xfId="0" applyFont="1" applyFill="1" applyBorder="1" applyAlignment="1">
      <alignment horizontal="left" vertical="center" wrapText="1" indent="2"/>
    </xf>
    <xf numFmtId="0" fontId="1" fillId="3" borderId="1" xfId="0" applyFont="1" applyFill="1" applyBorder="1" applyAlignment="1">
      <alignment horizontal="center" vertical="center" wrapText="1"/>
    </xf>
    <xf numFmtId="0" fontId="1" fillId="2" borderId="0" xfId="0" applyFont="1" applyFill="1" applyBorder="1" applyAlignment="1">
      <alignment vertical="center" wrapText="1"/>
    </xf>
    <xf numFmtId="0" fontId="20" fillId="2" borderId="0" xfId="0" applyFont="1" applyFill="1" applyBorder="1" applyAlignment="1">
      <alignment horizontal="left" vertical="center" wrapText="1"/>
    </xf>
    <xf numFmtId="0" fontId="20" fillId="5" borderId="1" xfId="0" applyFont="1" applyFill="1" applyBorder="1" applyAlignment="1">
      <alignment horizontal="center" vertical="center" wrapText="1"/>
    </xf>
    <xf numFmtId="0" fontId="20" fillId="2" borderId="0" xfId="0" applyFont="1" applyFill="1" applyBorder="1" applyAlignment="1">
      <alignment vertical="center" wrapText="1"/>
    </xf>
    <xf numFmtId="0" fontId="20" fillId="3" borderId="1" xfId="0" applyFont="1" applyFill="1" applyBorder="1" applyAlignment="1">
      <alignment horizontal="center" vertical="center" wrapText="1"/>
    </xf>
    <xf numFmtId="0" fontId="0" fillId="0" borderId="0" xfId="0" applyAlignment="1">
      <alignment horizontal="left" vertical="center" wrapText="1"/>
    </xf>
    <xf numFmtId="0" fontId="7" fillId="3" borderId="4" xfId="0" applyFont="1" applyFill="1" applyBorder="1" applyAlignment="1">
      <alignment horizontal="left" vertical="center" wrapText="1"/>
    </xf>
    <xf numFmtId="0" fontId="7" fillId="3" borderId="0"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6" fillId="0" borderId="0" xfId="0" applyFont="1" applyAlignment="1">
      <alignment horizontal="center" vertical="center"/>
    </xf>
    <xf numFmtId="0" fontId="0" fillId="6" borderId="0" xfId="0" applyFill="1" applyAlignment="1">
      <alignment horizontal="left" vertical="center" wrapText="1"/>
    </xf>
    <xf numFmtId="0" fontId="2" fillId="2" borderId="0" xfId="0" applyFont="1" applyFill="1" applyBorder="1" applyAlignment="1">
      <alignment horizontal="left" vertical="center" wrapText="1"/>
    </xf>
    <xf numFmtId="0" fontId="2" fillId="6" borderId="0"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2" fillId="0"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3" fillId="6" borderId="1" xfId="0" applyFont="1" applyFill="1" applyBorder="1" applyAlignment="1">
      <alignment horizontal="left" vertical="center" wrapText="1"/>
    </xf>
    <xf numFmtId="168" fontId="17" fillId="9" borderId="6" xfId="0" applyNumberFormat="1" applyFont="1" applyFill="1" applyBorder="1" applyAlignment="1">
      <alignment horizontal="center" vertical="center" wrapText="1"/>
    </xf>
    <xf numFmtId="168" fontId="17" fillId="9" borderId="3" xfId="0" applyNumberFormat="1" applyFont="1" applyFill="1" applyBorder="1" applyAlignment="1">
      <alignment horizontal="center" vertical="center" wrapText="1"/>
    </xf>
    <xf numFmtId="4" fontId="17" fillId="9" borderId="6" xfId="0" applyNumberFormat="1" applyFont="1" applyFill="1" applyBorder="1" applyAlignment="1">
      <alignment horizontal="center" vertical="center" wrapText="1"/>
    </xf>
    <xf numFmtId="4" fontId="17" fillId="9" borderId="3" xfId="0" applyNumberFormat="1" applyFont="1" applyFill="1" applyBorder="1" applyAlignment="1">
      <alignment horizontal="center" vertical="center" wrapText="1"/>
    </xf>
    <xf numFmtId="168" fontId="12" fillId="0" borderId="1" xfId="0" applyNumberFormat="1" applyFont="1" applyFill="1" applyBorder="1" applyAlignment="1">
      <alignment horizontal="center" vertical="center" wrapText="1"/>
    </xf>
    <xf numFmtId="0" fontId="11" fillId="0" borderId="0" xfId="0" applyFont="1" applyAlignment="1">
      <alignment horizontal="center"/>
    </xf>
    <xf numFmtId="0" fontId="17" fillId="0" borderId="1" xfId="0" applyFont="1" applyBorder="1" applyAlignment="1">
      <alignment horizontal="left" vertical="center"/>
    </xf>
    <xf numFmtId="0" fontId="7" fillId="0" borderId="1" xfId="0" applyFont="1" applyBorder="1" applyAlignment="1">
      <alignment horizontal="left"/>
    </xf>
    <xf numFmtId="0" fontId="7" fillId="6" borderId="4" xfId="0" applyFont="1" applyFill="1" applyBorder="1" applyAlignment="1">
      <alignment horizontal="left" vertical="center" wrapText="1"/>
    </xf>
    <xf numFmtId="0" fontId="7" fillId="6" borderId="0"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Light16"/>
  <colors>
    <mruColors>
      <color rgb="FF33CC33"/>
      <color rgb="FFFFFF99"/>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Nivel</a:t>
            </a:r>
            <a:r>
              <a:rPr lang="en-US" baseline="0"/>
              <a:t> de Desembolsos programado por año de ejecución</a:t>
            </a:r>
            <a:endParaRPr lang="en-US"/>
          </a:p>
        </c:rich>
      </c:tx>
      <c:layout/>
      <c:overlay val="0"/>
      <c:spPr>
        <a:noFill/>
        <a:ln>
          <a:noFill/>
        </a:ln>
        <a:effectLst/>
      </c:spPr>
    </c:title>
    <c:autoTitleDeleted val="0"/>
    <c:plotArea>
      <c:layout/>
      <c:lineChart>
        <c:grouping val="standard"/>
        <c:varyColors val="0"/>
        <c:ser>
          <c:idx val="0"/>
          <c:order val="0"/>
          <c:tx>
            <c:v>BID</c:v>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'Desembolsos v1'!$C$4:$G$4</c:f>
              <c:numCache>
                <c:formatCode>General</c:formatCode>
                <c:ptCount val="5"/>
                <c:pt idx="0">
                  <c:v>2016</c:v>
                </c:pt>
                <c:pt idx="1">
                  <c:v>2017</c:v>
                </c:pt>
                <c:pt idx="2">
                  <c:v>2018</c:v>
                </c:pt>
                <c:pt idx="3">
                  <c:v>2019</c:v>
                </c:pt>
                <c:pt idx="4">
                  <c:v>2020</c:v>
                </c:pt>
              </c:numCache>
            </c:numRef>
          </c:cat>
          <c:val>
            <c:numRef>
              <c:f>'Desembolsos v1'!$C$6:$G$6</c:f>
              <c:numCache>
                <c:formatCode>#,##0</c:formatCode>
                <c:ptCount val="5"/>
                <c:pt idx="0">
                  <c:v>22750910</c:v>
                </c:pt>
                <c:pt idx="1">
                  <c:v>29897452.999999996</c:v>
                </c:pt>
                <c:pt idx="2">
                  <c:v>32525170.000000004</c:v>
                </c:pt>
                <c:pt idx="3">
                  <c:v>29496146</c:v>
                </c:pt>
                <c:pt idx="4">
                  <c:v>25330321</c:v>
                </c:pt>
              </c:numCache>
            </c:numRef>
          </c:val>
          <c:smooth val="0"/>
        </c:ser>
        <c:ser>
          <c:idx val="1"/>
          <c:order val="1"/>
          <c:tx>
            <c:v>Local</c:v>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'Desembolsos v1'!$C$4:$G$4</c:f>
              <c:numCache>
                <c:formatCode>General</c:formatCode>
                <c:ptCount val="5"/>
                <c:pt idx="0">
                  <c:v>2016</c:v>
                </c:pt>
                <c:pt idx="1">
                  <c:v>2017</c:v>
                </c:pt>
                <c:pt idx="2">
                  <c:v>2018</c:v>
                </c:pt>
                <c:pt idx="3">
                  <c:v>2019</c:v>
                </c:pt>
                <c:pt idx="4">
                  <c:v>2020</c:v>
                </c:pt>
              </c:numCache>
            </c:numRef>
          </c:cat>
          <c:val>
            <c:numRef>
              <c:f>'Desembolsos v1'!$C$7:$G$7</c:f>
              <c:numCache>
                <c:formatCode>#,##0</c:formatCode>
                <c:ptCount val="5"/>
                <c:pt idx="0">
                  <c:v>3049125</c:v>
                </c:pt>
                <c:pt idx="1">
                  <c:v>3450673</c:v>
                </c:pt>
                <c:pt idx="2">
                  <c:v>6697710.0000000009</c:v>
                </c:pt>
                <c:pt idx="3">
                  <c:v>10123497</c:v>
                </c:pt>
                <c:pt idx="4">
                  <c:v>10678995</c:v>
                </c:pt>
              </c:numCache>
            </c:numRef>
          </c:val>
          <c:smooth val="0"/>
        </c:ser>
        <c:ser>
          <c:idx val="2"/>
          <c:order val="2"/>
          <c:tx>
            <c:strRef>
              <c:f>'Desembolsos v1'!$B$8</c:f>
              <c:strCache>
                <c:ptCount val="1"/>
                <c:pt idx="0">
                  <c:v>TOTAL </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'Desembolsos v1'!$C$4:$G$4</c:f>
              <c:numCache>
                <c:formatCode>General</c:formatCode>
                <c:ptCount val="5"/>
                <c:pt idx="0">
                  <c:v>2016</c:v>
                </c:pt>
                <c:pt idx="1">
                  <c:v>2017</c:v>
                </c:pt>
                <c:pt idx="2">
                  <c:v>2018</c:v>
                </c:pt>
                <c:pt idx="3">
                  <c:v>2019</c:v>
                </c:pt>
                <c:pt idx="4">
                  <c:v>2020</c:v>
                </c:pt>
              </c:numCache>
            </c:numRef>
          </c:cat>
          <c:val>
            <c:numRef>
              <c:f>'Desembolsos v1'!$C$8:$G$8</c:f>
              <c:numCache>
                <c:formatCode>#,##0</c:formatCode>
                <c:ptCount val="5"/>
                <c:pt idx="0">
                  <c:v>25800035</c:v>
                </c:pt>
                <c:pt idx="1">
                  <c:v>33348125.999999996</c:v>
                </c:pt>
                <c:pt idx="2">
                  <c:v>39222880</c:v>
                </c:pt>
                <c:pt idx="3">
                  <c:v>39619643</c:v>
                </c:pt>
                <c:pt idx="4">
                  <c:v>36009316</c:v>
                </c:pt>
              </c:numCache>
            </c:numRef>
          </c:val>
          <c:smooth val="0"/>
        </c:ser>
        <c:dLbls>
          <c:showLegendKey val="0"/>
          <c:showVal val="0"/>
          <c:showCatName val="0"/>
          <c:showSerName val="0"/>
          <c:showPercent val="0"/>
          <c:showBubbleSize val="0"/>
        </c:dLbls>
        <c:marker val="1"/>
        <c:smooth val="0"/>
        <c:axId val="243742976"/>
        <c:axId val="243757440"/>
      </c:lineChart>
      <c:catAx>
        <c:axId val="243742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757440"/>
        <c:crossesAt val="0"/>
        <c:auto val="1"/>
        <c:lblAlgn val="ctr"/>
        <c:lblOffset val="100"/>
        <c:noMultiLvlLbl val="0"/>
      </c:catAx>
      <c:valAx>
        <c:axId val="2437574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742976"/>
        <c:crossesAt val="1"/>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7620</xdr:colOff>
      <xdr:row>0</xdr:row>
      <xdr:rowOff>76200</xdr:rowOff>
    </xdr:from>
    <xdr:to>
      <xdr:col>16</xdr:col>
      <xdr:colOff>205740</xdr:colOff>
      <xdr:row>18</xdr:row>
      <xdr:rowOff>144780</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77"/>
  <sheetViews>
    <sheetView topLeftCell="A22" zoomScale="92" zoomScaleNormal="92" workbookViewId="0">
      <selection activeCell="H30" sqref="H30"/>
    </sheetView>
  </sheetViews>
  <sheetFormatPr defaultColWidth="9.140625" defaultRowHeight="12" x14ac:dyDescent="0.25"/>
  <cols>
    <col min="1" max="1" width="3" style="2" customWidth="1"/>
    <col min="2" max="2" width="69.140625" style="2" customWidth="1"/>
    <col min="3" max="4" width="18" style="2" customWidth="1"/>
    <col min="5" max="5" width="9.5703125" style="2" customWidth="1"/>
    <col min="6" max="6" width="8.7109375" style="2" customWidth="1"/>
    <col min="7" max="7" width="11.28515625" style="2" customWidth="1"/>
    <col min="8" max="8" width="9.7109375" style="2" customWidth="1"/>
    <col min="9" max="9" width="9.5703125" style="2" customWidth="1"/>
    <col min="10" max="13" width="11.28515625" style="2" customWidth="1"/>
    <col min="14" max="14" width="10.28515625" style="2" customWidth="1"/>
    <col min="15" max="15" width="9.5703125" style="2" customWidth="1"/>
    <col min="16" max="16" width="11.28515625" style="2" customWidth="1"/>
    <col min="17" max="17" width="10.28515625" style="2" customWidth="1"/>
    <col min="18" max="18" width="9.5703125" style="2" customWidth="1"/>
    <col min="19" max="19" width="11.28515625" style="2" customWidth="1"/>
    <col min="20" max="22" width="10.5703125" style="2" customWidth="1"/>
    <col min="23" max="23" width="12.5703125" style="2" bestFit="1" customWidth="1"/>
    <col min="24" max="16384" width="9.140625" style="2"/>
  </cols>
  <sheetData>
    <row r="1" spans="2:23" ht="14.25" customHeight="1" x14ac:dyDescent="0.3">
      <c r="B1" s="22" t="s">
        <v>22</v>
      </c>
    </row>
    <row r="2" spans="2:23" ht="10.5" customHeight="1" x14ac:dyDescent="0.25">
      <c r="B2" s="47" t="s">
        <v>14</v>
      </c>
      <c r="C2" s="106" t="s">
        <v>15</v>
      </c>
      <c r="D2" s="106"/>
      <c r="E2" s="106"/>
      <c r="F2" s="47"/>
      <c r="G2" s="47"/>
      <c r="H2" s="47"/>
      <c r="I2" s="47"/>
      <c r="J2" s="47"/>
      <c r="K2" s="47"/>
      <c r="L2" s="47"/>
      <c r="M2" s="47"/>
      <c r="N2" s="48"/>
      <c r="Q2" s="47"/>
    </row>
    <row r="3" spans="2:23" x14ac:dyDescent="0.3">
      <c r="C3" s="47"/>
      <c r="D3" s="47"/>
      <c r="E3" s="47"/>
      <c r="F3" s="47"/>
      <c r="G3" s="47"/>
      <c r="H3" s="47"/>
      <c r="I3" s="47"/>
      <c r="J3" s="47"/>
      <c r="K3" s="47"/>
      <c r="L3" s="47"/>
      <c r="M3" s="47"/>
      <c r="N3" s="48"/>
      <c r="Q3" s="47"/>
    </row>
    <row r="4" spans="2:23" x14ac:dyDescent="0.3">
      <c r="C4" s="46" t="s">
        <v>2</v>
      </c>
      <c r="D4" s="46" t="s">
        <v>23</v>
      </c>
      <c r="E4" s="105">
        <v>2016</v>
      </c>
      <c r="F4" s="105"/>
      <c r="G4" s="105"/>
      <c r="H4" s="105">
        <v>2017</v>
      </c>
      <c r="I4" s="105"/>
      <c r="J4" s="105"/>
      <c r="K4" s="105">
        <v>2018</v>
      </c>
      <c r="L4" s="105"/>
      <c r="M4" s="105"/>
      <c r="N4" s="105">
        <v>2019</v>
      </c>
      <c r="O4" s="105"/>
      <c r="P4" s="105"/>
      <c r="Q4" s="105">
        <v>2020</v>
      </c>
      <c r="R4" s="105"/>
      <c r="S4" s="105"/>
      <c r="T4" s="105" t="s">
        <v>3</v>
      </c>
      <c r="U4" s="105"/>
      <c r="V4" s="105"/>
    </row>
    <row r="5" spans="2:23" ht="15.75" customHeight="1" x14ac:dyDescent="0.3">
      <c r="B5" s="16"/>
      <c r="C5" s="16"/>
      <c r="D5" s="16"/>
      <c r="E5" s="16" t="s">
        <v>0</v>
      </c>
      <c r="F5" s="16" t="s">
        <v>1</v>
      </c>
      <c r="G5" s="16" t="s">
        <v>4</v>
      </c>
      <c r="H5" s="16" t="s">
        <v>0</v>
      </c>
      <c r="I5" s="16" t="s">
        <v>1</v>
      </c>
      <c r="J5" s="16" t="s">
        <v>4</v>
      </c>
      <c r="K5" s="16" t="s">
        <v>0</v>
      </c>
      <c r="L5" s="16" t="s">
        <v>1</v>
      </c>
      <c r="M5" s="16" t="s">
        <v>4</v>
      </c>
      <c r="N5" s="16" t="s">
        <v>0</v>
      </c>
      <c r="O5" s="16" t="s">
        <v>1</v>
      </c>
      <c r="P5" s="16" t="s">
        <v>4</v>
      </c>
      <c r="Q5" s="16" t="s">
        <v>0</v>
      </c>
      <c r="R5" s="16" t="s">
        <v>1</v>
      </c>
      <c r="S5" s="16" t="s">
        <v>4</v>
      </c>
      <c r="T5" s="16" t="s">
        <v>0</v>
      </c>
      <c r="U5" s="16" t="s">
        <v>7</v>
      </c>
      <c r="V5" s="16" t="s">
        <v>8</v>
      </c>
    </row>
    <row r="6" spans="2:23" ht="24" x14ac:dyDescent="0.25">
      <c r="B6" s="17" t="s">
        <v>16</v>
      </c>
      <c r="C6" s="18"/>
      <c r="D6" s="18"/>
      <c r="E6" s="19">
        <f>E7+E9+E13</f>
        <v>21054400</v>
      </c>
      <c r="F6" s="19">
        <f t="shared" ref="F6:V6" si="0">F7+F9+F13</f>
        <v>2447145</v>
      </c>
      <c r="G6" s="19">
        <f t="shared" si="0"/>
        <v>23501545</v>
      </c>
      <c r="H6" s="19">
        <f t="shared" si="0"/>
        <v>24443942.999999996</v>
      </c>
      <c r="I6" s="19">
        <f t="shared" si="0"/>
        <v>2743827</v>
      </c>
      <c r="J6" s="19">
        <f t="shared" si="0"/>
        <v>27187769.999999996</v>
      </c>
      <c r="K6" s="19">
        <f t="shared" si="0"/>
        <v>23228660.000000004</v>
      </c>
      <c r="L6" s="19">
        <f t="shared" si="0"/>
        <v>5913540.0000000009</v>
      </c>
      <c r="M6" s="19">
        <f t="shared" si="0"/>
        <v>29142200.000000004</v>
      </c>
      <c r="N6" s="19">
        <f t="shared" ref="N6:P6" si="1">N7+N9+N13</f>
        <v>21120736</v>
      </c>
      <c r="O6" s="19">
        <f t="shared" si="1"/>
        <v>9422244</v>
      </c>
      <c r="P6" s="19">
        <f t="shared" si="1"/>
        <v>30542980</v>
      </c>
      <c r="Q6" s="19">
        <f t="shared" si="0"/>
        <v>23301645</v>
      </c>
      <c r="R6" s="19">
        <f t="shared" si="0"/>
        <v>10001205</v>
      </c>
      <c r="S6" s="19">
        <f t="shared" si="0"/>
        <v>33302850</v>
      </c>
      <c r="T6" s="19">
        <f t="shared" si="0"/>
        <v>113149384</v>
      </c>
      <c r="U6" s="19">
        <f t="shared" si="0"/>
        <v>30527961</v>
      </c>
      <c r="V6" s="19">
        <f t="shared" si="0"/>
        <v>143677345</v>
      </c>
      <c r="W6" s="14"/>
    </row>
    <row r="7" spans="2:23" s="7" customFormat="1" x14ac:dyDescent="0.25">
      <c r="B7" s="9" t="s">
        <v>17</v>
      </c>
      <c r="C7" s="8"/>
      <c r="D7" s="8"/>
      <c r="E7" s="4">
        <f>SUM(E8)</f>
        <v>20028400</v>
      </c>
      <c r="F7" s="4">
        <f t="shared" ref="F7:V7" si="2">SUM(F8)</f>
        <v>2397600</v>
      </c>
      <c r="G7" s="4">
        <f t="shared" si="2"/>
        <v>22426000</v>
      </c>
      <c r="H7" s="4">
        <f t="shared" si="2"/>
        <v>23278442.999999996</v>
      </c>
      <c r="I7" s="4">
        <f t="shared" si="2"/>
        <v>2719827</v>
      </c>
      <c r="J7" s="4">
        <f t="shared" si="2"/>
        <v>25998269.999999996</v>
      </c>
      <c r="K7" s="4">
        <f t="shared" si="2"/>
        <v>21700160.000000004</v>
      </c>
      <c r="L7" s="4">
        <f t="shared" si="2"/>
        <v>5913540.0000000009</v>
      </c>
      <c r="M7" s="4">
        <f t="shared" si="2"/>
        <v>27613700.000000004</v>
      </c>
      <c r="N7" s="4">
        <f t="shared" ref="N7" si="3">SUM(N8)</f>
        <v>19955236</v>
      </c>
      <c r="O7" s="4">
        <f t="shared" ref="O7" si="4">SUM(O8)</f>
        <v>9422244</v>
      </c>
      <c r="P7" s="4">
        <f t="shared" ref="P7" si="5">SUM(P8)</f>
        <v>29377480</v>
      </c>
      <c r="Q7" s="4">
        <f t="shared" si="2"/>
        <v>22136145</v>
      </c>
      <c r="R7" s="4">
        <f t="shared" si="2"/>
        <v>10001205</v>
      </c>
      <c r="S7" s="4">
        <f t="shared" si="2"/>
        <v>32137350</v>
      </c>
      <c r="T7" s="4">
        <f t="shared" si="2"/>
        <v>107098384</v>
      </c>
      <c r="U7" s="4">
        <f t="shared" si="2"/>
        <v>30454416</v>
      </c>
      <c r="V7" s="4">
        <f t="shared" si="2"/>
        <v>137552800</v>
      </c>
      <c r="W7" s="14"/>
    </row>
    <row r="8" spans="2:23" ht="84" x14ac:dyDescent="0.25">
      <c r="B8" s="55" t="s">
        <v>24</v>
      </c>
      <c r="C8" s="5" t="s">
        <v>72</v>
      </c>
      <c r="D8" s="5" t="s">
        <v>89</v>
      </c>
      <c r="E8" s="57">
        <f>((360000*74)*0.9)*0.9-1200000-350000</f>
        <v>20028400</v>
      </c>
      <c r="F8" s="6">
        <f>((360000*74)*0.9)*0.1</f>
        <v>2397600</v>
      </c>
      <c r="G8" s="6">
        <f>SUM(E8:F8)</f>
        <v>22426000</v>
      </c>
      <c r="H8" s="6">
        <f>(((415000*72.82)*0.9)*0.9)-1200000</f>
        <v>23278442.999999996</v>
      </c>
      <c r="I8" s="6">
        <f>(((415000*72.82)*0.9)*0.1)</f>
        <v>2719827</v>
      </c>
      <c r="J8" s="6">
        <f>SUM(H8:I8)</f>
        <v>25998269.999999996</v>
      </c>
      <c r="K8" s="57">
        <f>(((470000*69.9)*0.9)*0.8)-1200000-754000</f>
        <v>21700160.000000004</v>
      </c>
      <c r="L8" s="6">
        <f>(((470000*69.9)*0.9)*0.2)</f>
        <v>5913540.0000000009</v>
      </c>
      <c r="M8" s="6">
        <f t="shared" ref="M8" si="6">SUM(K8:L8)</f>
        <v>27613700.000000004</v>
      </c>
      <c r="N8" s="57">
        <f>(((520000*67.11)*0.9)*0.7)-1200000-830000</f>
        <v>19955236</v>
      </c>
      <c r="O8" s="6">
        <f>(((520000*67.11)*0.9)*0.3)</f>
        <v>9422244</v>
      </c>
      <c r="P8" s="6">
        <f t="shared" ref="P8" si="7">SUM(N8:O8)</f>
        <v>29377480</v>
      </c>
      <c r="Q8" s="6">
        <f>(((575000*64.42)*0.9)*0.7)-1200000</f>
        <v>22136145</v>
      </c>
      <c r="R8" s="6">
        <f>(((575000*64.42)*0.9)*0.3)</f>
        <v>10001205</v>
      </c>
      <c r="S8" s="6">
        <f t="shared" ref="S8" si="8">SUM(Q8:R8)</f>
        <v>32137350</v>
      </c>
      <c r="T8" s="57">
        <f>E8+H8+K8+N8+Q8</f>
        <v>107098384</v>
      </c>
      <c r="U8" s="6">
        <f>F8+I8+L8+O8+R8</f>
        <v>30454416</v>
      </c>
      <c r="V8" s="6">
        <f>G8+J8+M8+P8+S8</f>
        <v>137552800</v>
      </c>
      <c r="W8" s="14"/>
    </row>
    <row r="9" spans="2:23" ht="24" x14ac:dyDescent="0.25">
      <c r="B9" s="9" t="s">
        <v>39</v>
      </c>
      <c r="C9" s="5"/>
      <c r="D9" s="5"/>
      <c r="E9" s="4">
        <f>SUM(E10:E12)</f>
        <v>612000</v>
      </c>
      <c r="F9" s="4">
        <f t="shared" ref="F9:V9" si="9">SUM(F10:F12)</f>
        <v>3240</v>
      </c>
      <c r="G9" s="4">
        <f t="shared" si="9"/>
        <v>615240</v>
      </c>
      <c r="H9" s="4">
        <f t="shared" si="9"/>
        <v>963000</v>
      </c>
      <c r="I9" s="4">
        <f t="shared" si="9"/>
        <v>0</v>
      </c>
      <c r="J9" s="4">
        <f t="shared" si="9"/>
        <v>963000</v>
      </c>
      <c r="K9" s="4">
        <f t="shared" si="9"/>
        <v>1326000</v>
      </c>
      <c r="L9" s="4">
        <f t="shared" si="9"/>
        <v>0</v>
      </c>
      <c r="M9" s="4">
        <f t="shared" si="9"/>
        <v>1326000</v>
      </c>
      <c r="N9" s="4">
        <f t="shared" si="9"/>
        <v>963000</v>
      </c>
      <c r="O9" s="4">
        <f t="shared" si="9"/>
        <v>0</v>
      </c>
      <c r="P9" s="4">
        <f t="shared" si="9"/>
        <v>963000</v>
      </c>
      <c r="Q9" s="4">
        <f t="shared" si="9"/>
        <v>963000</v>
      </c>
      <c r="R9" s="4">
        <f t="shared" si="9"/>
        <v>0</v>
      </c>
      <c r="S9" s="4">
        <f t="shared" si="9"/>
        <v>963000</v>
      </c>
      <c r="T9" s="4">
        <f t="shared" si="9"/>
        <v>4827000</v>
      </c>
      <c r="U9" s="4">
        <f t="shared" si="9"/>
        <v>3240</v>
      </c>
      <c r="V9" s="4">
        <f t="shared" si="9"/>
        <v>4830240</v>
      </c>
      <c r="W9" s="14"/>
    </row>
    <row r="10" spans="2:23" ht="84" x14ac:dyDescent="0.25">
      <c r="B10" s="10" t="s">
        <v>110</v>
      </c>
      <c r="C10" s="5" t="s">
        <v>12</v>
      </c>
      <c r="D10" s="5" t="s">
        <v>89</v>
      </c>
      <c r="E10" s="6">
        <v>12000</v>
      </c>
      <c r="F10" s="6">
        <f>E10*0.07</f>
        <v>840.00000000000011</v>
      </c>
      <c r="G10" s="6">
        <f>SUM(E10:F10)</f>
        <v>12840</v>
      </c>
      <c r="H10" s="6">
        <v>0</v>
      </c>
      <c r="I10" s="6">
        <v>0</v>
      </c>
      <c r="J10" s="6">
        <f>SUM(H10:I10)</f>
        <v>0</v>
      </c>
      <c r="K10" s="6">
        <v>0</v>
      </c>
      <c r="L10" s="6">
        <v>0</v>
      </c>
      <c r="M10" s="6">
        <f t="shared" ref="M10:M11" si="10">SUM(K10:L10)</f>
        <v>0</v>
      </c>
      <c r="N10" s="6">
        <v>0</v>
      </c>
      <c r="O10" s="6">
        <v>0</v>
      </c>
      <c r="P10" s="6">
        <f t="shared" ref="P10:P11" si="11">SUM(N10:O10)</f>
        <v>0</v>
      </c>
      <c r="Q10" s="6">
        <v>0</v>
      </c>
      <c r="R10" s="6">
        <v>0</v>
      </c>
      <c r="S10" s="6">
        <f t="shared" ref="S10:S11" si="12">SUM(Q10:R10)</f>
        <v>0</v>
      </c>
      <c r="T10" s="6">
        <f t="shared" ref="T10:T11" si="13">E10+H10+K10+N10+Q10</f>
        <v>12000</v>
      </c>
      <c r="U10" s="6">
        <f t="shared" ref="U10:U11" si="14">F10+I10+L10+O10+R10</f>
        <v>840.00000000000011</v>
      </c>
      <c r="V10" s="6">
        <f t="shared" ref="V10:V11" si="15">G10+J10+M10+P10+S10</f>
        <v>12840</v>
      </c>
      <c r="W10" s="14"/>
    </row>
    <row r="11" spans="2:23" ht="84" x14ac:dyDescent="0.25">
      <c r="B11" s="10" t="s">
        <v>40</v>
      </c>
      <c r="C11" s="5" t="s">
        <v>11</v>
      </c>
      <c r="D11" s="5" t="s">
        <v>89</v>
      </c>
      <c r="E11" s="6">
        <v>0</v>
      </c>
      <c r="F11" s="6">
        <f>E10*0.2</f>
        <v>2400</v>
      </c>
      <c r="G11" s="6">
        <f t="shared" ref="G11" si="16">SUM(E11:F11)</f>
        <v>2400</v>
      </c>
      <c r="H11" s="6">
        <v>0</v>
      </c>
      <c r="I11" s="6">
        <v>0</v>
      </c>
      <c r="J11" s="6">
        <f t="shared" ref="J11" si="17">SUM(H11:I11)</f>
        <v>0</v>
      </c>
      <c r="K11" s="6">
        <v>0</v>
      </c>
      <c r="L11" s="6">
        <v>0</v>
      </c>
      <c r="M11" s="6">
        <f t="shared" si="10"/>
        <v>0</v>
      </c>
      <c r="N11" s="6">
        <v>0</v>
      </c>
      <c r="O11" s="6">
        <v>0</v>
      </c>
      <c r="P11" s="6">
        <f t="shared" si="11"/>
        <v>0</v>
      </c>
      <c r="Q11" s="6">
        <v>0</v>
      </c>
      <c r="R11" s="6">
        <v>0</v>
      </c>
      <c r="S11" s="6">
        <f t="shared" si="12"/>
        <v>0</v>
      </c>
      <c r="T11" s="6">
        <f t="shared" si="13"/>
        <v>0</v>
      </c>
      <c r="U11" s="6">
        <f t="shared" si="14"/>
        <v>2400</v>
      </c>
      <c r="V11" s="6">
        <f t="shared" si="15"/>
        <v>2400</v>
      </c>
      <c r="W11" s="14"/>
    </row>
    <row r="12" spans="2:23" s="7" customFormat="1" ht="24" x14ac:dyDescent="0.25">
      <c r="B12" s="55" t="s">
        <v>35</v>
      </c>
      <c r="C12" s="5" t="s">
        <v>12</v>
      </c>
      <c r="D12" s="5" t="s">
        <v>167</v>
      </c>
      <c r="E12" s="6">
        <v>600000</v>
      </c>
      <c r="F12" s="6">
        <v>0</v>
      </c>
      <c r="G12" s="6">
        <f>SUM(E12:F12)</f>
        <v>600000</v>
      </c>
      <c r="H12" s="6">
        <v>963000</v>
      </c>
      <c r="I12" s="6">
        <v>0</v>
      </c>
      <c r="J12" s="6">
        <f t="shared" ref="J12" si="18">SUM(H12:I12)</f>
        <v>963000</v>
      </c>
      <c r="K12" s="6">
        <f>963000+363000</f>
        <v>1326000</v>
      </c>
      <c r="L12" s="6">
        <v>0</v>
      </c>
      <c r="M12" s="6">
        <f t="shared" ref="M12" si="19">SUM(K12:L12)</f>
        <v>1326000</v>
      </c>
      <c r="N12" s="6">
        <v>963000</v>
      </c>
      <c r="O12" s="6">
        <v>0</v>
      </c>
      <c r="P12" s="6">
        <f t="shared" ref="P12" si="20">SUM(N12:O12)</f>
        <v>963000</v>
      </c>
      <c r="Q12" s="6">
        <v>963000</v>
      </c>
      <c r="R12" s="6">
        <v>0</v>
      </c>
      <c r="S12" s="6">
        <f t="shared" ref="S12" si="21">SUM(Q12:R12)</f>
        <v>963000</v>
      </c>
      <c r="T12" s="6">
        <f>E12+H12+K12+N12+Q12</f>
        <v>4815000</v>
      </c>
      <c r="U12" s="6">
        <f>F12+I12+L12+O12+R12</f>
        <v>0</v>
      </c>
      <c r="V12" s="6">
        <f>G12+J12+M12+P12+S12</f>
        <v>4815000</v>
      </c>
      <c r="W12" s="14"/>
    </row>
    <row r="13" spans="2:23" x14ac:dyDescent="0.25">
      <c r="B13" s="9" t="s">
        <v>38</v>
      </c>
      <c r="C13" s="5"/>
      <c r="D13" s="5"/>
      <c r="E13" s="4">
        <f>SUM(E14:E22)</f>
        <v>414000</v>
      </c>
      <c r="F13" s="4">
        <f t="shared" ref="F13:V13" si="22">SUM(F14:F22)</f>
        <v>46305</v>
      </c>
      <c r="G13" s="4">
        <f t="shared" si="22"/>
        <v>460305</v>
      </c>
      <c r="H13" s="4">
        <f t="shared" si="22"/>
        <v>202500</v>
      </c>
      <c r="I13" s="4">
        <f t="shared" si="22"/>
        <v>24000</v>
      </c>
      <c r="J13" s="4">
        <f t="shared" si="22"/>
        <v>226500</v>
      </c>
      <c r="K13" s="4">
        <f t="shared" si="22"/>
        <v>202500</v>
      </c>
      <c r="L13" s="4">
        <f t="shared" si="22"/>
        <v>0</v>
      </c>
      <c r="M13" s="4">
        <f t="shared" si="22"/>
        <v>202500</v>
      </c>
      <c r="N13" s="4">
        <f t="shared" ref="N13:P13" si="23">SUM(N14:N22)</f>
        <v>202500</v>
      </c>
      <c r="O13" s="4">
        <f t="shared" si="23"/>
        <v>0</v>
      </c>
      <c r="P13" s="4">
        <f t="shared" si="23"/>
        <v>202500</v>
      </c>
      <c r="Q13" s="4">
        <f t="shared" si="22"/>
        <v>202500</v>
      </c>
      <c r="R13" s="4">
        <f t="shared" si="22"/>
        <v>0</v>
      </c>
      <c r="S13" s="4">
        <f t="shared" si="22"/>
        <v>202500</v>
      </c>
      <c r="T13" s="4">
        <f t="shared" si="22"/>
        <v>1224000</v>
      </c>
      <c r="U13" s="4">
        <f t="shared" si="22"/>
        <v>70305</v>
      </c>
      <c r="V13" s="4">
        <f t="shared" si="22"/>
        <v>1294305</v>
      </c>
      <c r="W13" s="14"/>
    </row>
    <row r="14" spans="2:23" ht="72" x14ac:dyDescent="0.25">
      <c r="B14" s="10" t="s">
        <v>41</v>
      </c>
      <c r="C14" s="5" t="s">
        <v>12</v>
      </c>
      <c r="D14" s="5" t="s">
        <v>91</v>
      </c>
      <c r="E14" s="6">
        <f>12*15000</f>
        <v>180000</v>
      </c>
      <c r="F14" s="6">
        <f>E14*0.07</f>
        <v>12600.000000000002</v>
      </c>
      <c r="G14" s="6">
        <f>SUM(E14:F14)</f>
        <v>192600</v>
      </c>
      <c r="H14" s="6">
        <v>0</v>
      </c>
      <c r="I14" s="6">
        <v>0</v>
      </c>
      <c r="J14" s="6">
        <f>SUM(H14:I14)</f>
        <v>0</v>
      </c>
      <c r="K14" s="6">
        <v>0</v>
      </c>
      <c r="L14" s="6">
        <v>0</v>
      </c>
      <c r="M14" s="6">
        <f t="shared" ref="M14" si="24">SUM(K14:L14)</f>
        <v>0</v>
      </c>
      <c r="N14" s="6">
        <v>0</v>
      </c>
      <c r="O14" s="6">
        <v>0</v>
      </c>
      <c r="P14" s="6">
        <f t="shared" ref="P14" si="25">SUM(N14:O14)</f>
        <v>0</v>
      </c>
      <c r="Q14" s="6">
        <v>0</v>
      </c>
      <c r="R14" s="6">
        <v>0</v>
      </c>
      <c r="S14" s="6">
        <f t="shared" ref="S14" si="26">SUM(Q14:R14)</f>
        <v>0</v>
      </c>
      <c r="T14" s="6">
        <f t="shared" ref="T14:T22" si="27">E14+H14+K14+N14+Q14</f>
        <v>180000</v>
      </c>
      <c r="U14" s="6">
        <f t="shared" ref="U14:U22" si="28">F14+I14+L14+O14+R14</f>
        <v>12600.000000000002</v>
      </c>
      <c r="V14" s="6">
        <f t="shared" ref="V14:V22" si="29">G14+J14+M14+P14+S14</f>
        <v>192600</v>
      </c>
      <c r="W14" s="14"/>
    </row>
    <row r="15" spans="2:23" ht="86.45" customHeight="1" x14ac:dyDescent="0.25">
      <c r="B15" s="10" t="s">
        <v>42</v>
      </c>
      <c r="C15" s="5" t="s">
        <v>11</v>
      </c>
      <c r="D15" s="5" t="s">
        <v>107</v>
      </c>
      <c r="E15" s="6">
        <v>0</v>
      </c>
      <c r="F15" s="6">
        <f>E14*0.1</f>
        <v>18000</v>
      </c>
      <c r="G15" s="6">
        <f>SUM(E15:F15)</f>
        <v>18000</v>
      </c>
      <c r="H15" s="6">
        <v>0</v>
      </c>
      <c r="I15" s="6">
        <v>12000</v>
      </c>
      <c r="J15" s="6">
        <f>SUM(H15:I15)</f>
        <v>12000</v>
      </c>
      <c r="K15" s="6">
        <v>0</v>
      </c>
      <c r="L15" s="6">
        <v>0</v>
      </c>
      <c r="M15" s="6">
        <f>SUM(K15:L15)</f>
        <v>0</v>
      </c>
      <c r="N15" s="6">
        <v>0</v>
      </c>
      <c r="O15" s="6">
        <v>0</v>
      </c>
      <c r="P15" s="6">
        <f>SUM(N15:O15)</f>
        <v>0</v>
      </c>
      <c r="Q15" s="6">
        <v>0</v>
      </c>
      <c r="R15" s="6">
        <v>0</v>
      </c>
      <c r="S15" s="6">
        <f>SUM(Q15:R15)</f>
        <v>0</v>
      </c>
      <c r="T15" s="6">
        <f t="shared" si="27"/>
        <v>0</v>
      </c>
      <c r="U15" s="6">
        <f t="shared" si="28"/>
        <v>30000</v>
      </c>
      <c r="V15" s="6">
        <f t="shared" si="29"/>
        <v>30000</v>
      </c>
      <c r="W15" s="14"/>
    </row>
    <row r="16" spans="2:23" ht="74.45" customHeight="1" x14ac:dyDescent="0.25">
      <c r="B16" s="10" t="s">
        <v>43</v>
      </c>
      <c r="C16" s="5" t="s">
        <v>12</v>
      </c>
      <c r="D16" s="5" t="s">
        <v>25</v>
      </c>
      <c r="E16" s="6">
        <v>7500</v>
      </c>
      <c r="F16" s="6">
        <f>E16*0.07</f>
        <v>525</v>
      </c>
      <c r="G16" s="6">
        <f t="shared" ref="G16:G22" si="30">SUM(E16:F16)</f>
        <v>8025</v>
      </c>
      <c r="H16" s="6">
        <v>0</v>
      </c>
      <c r="I16" s="6">
        <v>0</v>
      </c>
      <c r="J16" s="6">
        <f t="shared" ref="J16:J19" si="31">SUM(H16:I16)</f>
        <v>0</v>
      </c>
      <c r="K16" s="6">
        <v>0</v>
      </c>
      <c r="L16" s="6">
        <v>0</v>
      </c>
      <c r="M16" s="6">
        <f t="shared" ref="M16:M22" si="32">SUM(K16:L16)</f>
        <v>0</v>
      </c>
      <c r="N16" s="6">
        <v>0</v>
      </c>
      <c r="O16" s="6">
        <v>0</v>
      </c>
      <c r="P16" s="6">
        <f t="shared" ref="P16:P22" si="33">SUM(N16:O16)</f>
        <v>0</v>
      </c>
      <c r="Q16" s="6">
        <v>0</v>
      </c>
      <c r="R16" s="6">
        <v>0</v>
      </c>
      <c r="S16" s="6">
        <f t="shared" ref="S16:S22" si="34">SUM(Q16:R16)</f>
        <v>0</v>
      </c>
      <c r="T16" s="6">
        <f t="shared" si="27"/>
        <v>7500</v>
      </c>
      <c r="U16" s="6">
        <f t="shared" si="28"/>
        <v>525</v>
      </c>
      <c r="V16" s="6">
        <f t="shared" si="29"/>
        <v>8025</v>
      </c>
      <c r="W16" s="14"/>
    </row>
    <row r="17" spans="2:27" ht="63" customHeight="1" x14ac:dyDescent="0.25">
      <c r="B17" s="10" t="s">
        <v>44</v>
      </c>
      <c r="C17" s="5" t="s">
        <v>11</v>
      </c>
      <c r="D17" s="5" t="s">
        <v>25</v>
      </c>
      <c r="E17" s="6"/>
      <c r="F17" s="6">
        <f>E16*0.2</f>
        <v>1500</v>
      </c>
      <c r="G17" s="6">
        <f t="shared" si="30"/>
        <v>1500</v>
      </c>
      <c r="H17" s="6">
        <v>0</v>
      </c>
      <c r="I17" s="6">
        <v>0</v>
      </c>
      <c r="J17" s="6">
        <f t="shared" si="31"/>
        <v>0</v>
      </c>
      <c r="K17" s="6">
        <v>0</v>
      </c>
      <c r="L17" s="6">
        <v>0</v>
      </c>
      <c r="M17" s="6">
        <f t="shared" si="32"/>
        <v>0</v>
      </c>
      <c r="N17" s="6">
        <v>0</v>
      </c>
      <c r="O17" s="6">
        <v>0</v>
      </c>
      <c r="P17" s="6">
        <f t="shared" si="33"/>
        <v>0</v>
      </c>
      <c r="Q17" s="6">
        <v>0</v>
      </c>
      <c r="R17" s="6">
        <v>0</v>
      </c>
      <c r="S17" s="6">
        <f t="shared" si="34"/>
        <v>0</v>
      </c>
      <c r="T17" s="6">
        <f t="shared" si="27"/>
        <v>0</v>
      </c>
      <c r="U17" s="6">
        <f t="shared" si="28"/>
        <v>1500</v>
      </c>
      <c r="V17" s="6">
        <f t="shared" si="29"/>
        <v>1500</v>
      </c>
      <c r="W17" s="14"/>
    </row>
    <row r="18" spans="2:27" ht="60.6" customHeight="1" x14ac:dyDescent="0.25">
      <c r="B18" s="10" t="s">
        <v>45</v>
      </c>
      <c r="C18" s="5" t="s">
        <v>12</v>
      </c>
      <c r="D18" s="5" t="s">
        <v>27</v>
      </c>
      <c r="E18" s="6">
        <v>12000</v>
      </c>
      <c r="F18" s="6">
        <f>E18*0.07</f>
        <v>840.00000000000011</v>
      </c>
      <c r="G18" s="6">
        <f t="shared" si="30"/>
        <v>12840</v>
      </c>
      <c r="H18" s="6">
        <v>0</v>
      </c>
      <c r="I18" s="6">
        <v>0</v>
      </c>
      <c r="J18" s="6">
        <f t="shared" si="31"/>
        <v>0</v>
      </c>
      <c r="K18" s="6">
        <v>0</v>
      </c>
      <c r="L18" s="6">
        <v>0</v>
      </c>
      <c r="M18" s="6">
        <f t="shared" si="32"/>
        <v>0</v>
      </c>
      <c r="N18" s="6">
        <v>0</v>
      </c>
      <c r="O18" s="6">
        <v>0</v>
      </c>
      <c r="P18" s="6">
        <f t="shared" si="33"/>
        <v>0</v>
      </c>
      <c r="Q18" s="6">
        <v>0</v>
      </c>
      <c r="R18" s="6">
        <v>0</v>
      </c>
      <c r="S18" s="6">
        <f t="shared" si="34"/>
        <v>0</v>
      </c>
      <c r="T18" s="6">
        <f t="shared" si="27"/>
        <v>12000</v>
      </c>
      <c r="U18" s="6">
        <f t="shared" si="28"/>
        <v>840.00000000000011</v>
      </c>
      <c r="V18" s="6">
        <f t="shared" si="29"/>
        <v>12840</v>
      </c>
      <c r="W18" s="14"/>
    </row>
    <row r="19" spans="2:27" ht="72" x14ac:dyDescent="0.25">
      <c r="B19" s="10" t="s">
        <v>46</v>
      </c>
      <c r="C19" s="5" t="s">
        <v>12</v>
      </c>
      <c r="D19" s="5" t="s">
        <v>94</v>
      </c>
      <c r="E19" s="6">
        <v>12000</v>
      </c>
      <c r="F19" s="6">
        <f>E19*0.07</f>
        <v>840.00000000000011</v>
      </c>
      <c r="G19" s="6">
        <f t="shared" si="30"/>
        <v>12840</v>
      </c>
      <c r="H19" s="6">
        <v>0</v>
      </c>
      <c r="I19" s="6">
        <v>0</v>
      </c>
      <c r="J19" s="6">
        <f t="shared" si="31"/>
        <v>0</v>
      </c>
      <c r="K19" s="6">
        <v>0</v>
      </c>
      <c r="L19" s="6">
        <v>0</v>
      </c>
      <c r="M19" s="6">
        <f t="shared" si="32"/>
        <v>0</v>
      </c>
      <c r="N19" s="6">
        <v>0</v>
      </c>
      <c r="O19" s="6">
        <v>0</v>
      </c>
      <c r="P19" s="6">
        <f t="shared" si="33"/>
        <v>0</v>
      </c>
      <c r="Q19" s="6">
        <v>0</v>
      </c>
      <c r="R19" s="6">
        <v>0</v>
      </c>
      <c r="S19" s="6">
        <f t="shared" si="34"/>
        <v>0</v>
      </c>
      <c r="T19" s="6">
        <f t="shared" si="27"/>
        <v>12000</v>
      </c>
      <c r="U19" s="6">
        <f t="shared" si="28"/>
        <v>840.00000000000011</v>
      </c>
      <c r="V19" s="6">
        <f t="shared" si="29"/>
        <v>12840</v>
      </c>
      <c r="W19" s="14"/>
    </row>
    <row r="20" spans="2:27" ht="72" x14ac:dyDescent="0.25">
      <c r="B20" s="10" t="s">
        <v>47</v>
      </c>
      <c r="C20" s="5" t="s">
        <v>11</v>
      </c>
      <c r="D20" s="5" t="s">
        <v>95</v>
      </c>
      <c r="E20" s="6">
        <v>0</v>
      </c>
      <c r="F20" s="6">
        <v>12000</v>
      </c>
      <c r="G20" s="6">
        <f t="shared" si="30"/>
        <v>12000</v>
      </c>
      <c r="H20" s="6">
        <v>0</v>
      </c>
      <c r="I20" s="6">
        <v>12000</v>
      </c>
      <c r="J20" s="6">
        <f t="shared" ref="J20:J22" si="35">SUM(H20:I20)</f>
        <v>12000</v>
      </c>
      <c r="K20" s="6">
        <v>0</v>
      </c>
      <c r="L20" s="6">
        <v>0</v>
      </c>
      <c r="M20" s="6">
        <f t="shared" si="32"/>
        <v>0</v>
      </c>
      <c r="N20" s="6">
        <v>0</v>
      </c>
      <c r="O20" s="6">
        <v>0</v>
      </c>
      <c r="P20" s="6">
        <f t="shared" si="33"/>
        <v>0</v>
      </c>
      <c r="Q20" s="6">
        <v>0</v>
      </c>
      <c r="R20" s="6">
        <v>0</v>
      </c>
      <c r="S20" s="6">
        <f t="shared" si="34"/>
        <v>0</v>
      </c>
      <c r="T20" s="6">
        <f t="shared" si="27"/>
        <v>0</v>
      </c>
      <c r="U20" s="6">
        <f t="shared" si="28"/>
        <v>24000</v>
      </c>
      <c r="V20" s="6">
        <f t="shared" si="29"/>
        <v>24000</v>
      </c>
      <c r="W20" s="14"/>
    </row>
    <row r="21" spans="2:27" ht="46.9" customHeight="1" x14ac:dyDescent="0.3">
      <c r="B21" s="10" t="s">
        <v>108</v>
      </c>
      <c r="C21" s="5" t="s">
        <v>88</v>
      </c>
      <c r="D21" s="5" t="s">
        <v>96</v>
      </c>
      <c r="E21" s="6">
        <f>25*90*50</f>
        <v>112500</v>
      </c>
      <c r="F21" s="6">
        <v>0</v>
      </c>
      <c r="G21" s="6">
        <f t="shared" si="30"/>
        <v>112500</v>
      </c>
      <c r="H21" s="6">
        <f>25*90*50</f>
        <v>112500</v>
      </c>
      <c r="I21" s="6">
        <v>0</v>
      </c>
      <c r="J21" s="6">
        <f t="shared" si="35"/>
        <v>112500</v>
      </c>
      <c r="K21" s="6">
        <f>25*90*50</f>
        <v>112500</v>
      </c>
      <c r="L21" s="6">
        <v>0</v>
      </c>
      <c r="M21" s="6">
        <f t="shared" si="32"/>
        <v>112500</v>
      </c>
      <c r="N21" s="6">
        <f>25*90*50</f>
        <v>112500</v>
      </c>
      <c r="O21" s="6">
        <v>0</v>
      </c>
      <c r="P21" s="6">
        <f t="shared" si="33"/>
        <v>112500</v>
      </c>
      <c r="Q21" s="6">
        <f>25*90*50</f>
        <v>112500</v>
      </c>
      <c r="R21" s="6">
        <v>0</v>
      </c>
      <c r="S21" s="6">
        <f t="shared" si="34"/>
        <v>112500</v>
      </c>
      <c r="T21" s="6">
        <f t="shared" si="27"/>
        <v>562500</v>
      </c>
      <c r="U21" s="6">
        <f t="shared" si="28"/>
        <v>0</v>
      </c>
      <c r="V21" s="6">
        <f t="shared" si="29"/>
        <v>562500</v>
      </c>
      <c r="W21" s="14"/>
    </row>
    <row r="22" spans="2:27" ht="48" x14ac:dyDescent="0.3">
      <c r="B22" s="10" t="s">
        <v>109</v>
      </c>
      <c r="C22" s="5" t="s">
        <v>88</v>
      </c>
      <c r="D22" s="5" t="s">
        <v>97</v>
      </c>
      <c r="E22" s="6">
        <f>20*90*50</f>
        <v>90000</v>
      </c>
      <c r="F22" s="6">
        <v>0</v>
      </c>
      <c r="G22" s="6">
        <f t="shared" si="30"/>
        <v>90000</v>
      </c>
      <c r="H22" s="6">
        <f>20*90*50</f>
        <v>90000</v>
      </c>
      <c r="I22" s="6">
        <v>0</v>
      </c>
      <c r="J22" s="6">
        <f t="shared" si="35"/>
        <v>90000</v>
      </c>
      <c r="K22" s="6">
        <f>20*90*50</f>
        <v>90000</v>
      </c>
      <c r="L22" s="6">
        <v>0</v>
      </c>
      <c r="M22" s="6">
        <f t="shared" si="32"/>
        <v>90000</v>
      </c>
      <c r="N22" s="6">
        <f>20*90*50</f>
        <v>90000</v>
      </c>
      <c r="O22" s="6">
        <v>0</v>
      </c>
      <c r="P22" s="6">
        <f t="shared" si="33"/>
        <v>90000</v>
      </c>
      <c r="Q22" s="6">
        <f>20*90*50</f>
        <v>90000</v>
      </c>
      <c r="R22" s="6">
        <v>0</v>
      </c>
      <c r="S22" s="6">
        <f t="shared" si="34"/>
        <v>90000</v>
      </c>
      <c r="T22" s="6">
        <f t="shared" si="27"/>
        <v>450000</v>
      </c>
      <c r="U22" s="6">
        <f t="shared" si="28"/>
        <v>0</v>
      </c>
      <c r="V22" s="6">
        <f t="shared" si="29"/>
        <v>450000</v>
      </c>
      <c r="W22" s="14"/>
    </row>
    <row r="23" spans="2:27" x14ac:dyDescent="0.3">
      <c r="B23" s="10"/>
      <c r="C23" s="5"/>
      <c r="D23" s="5"/>
      <c r="E23" s="6"/>
      <c r="F23" s="6"/>
      <c r="G23" s="6"/>
      <c r="H23" s="6"/>
      <c r="I23" s="6"/>
      <c r="J23" s="6"/>
      <c r="K23" s="6"/>
      <c r="L23" s="6"/>
      <c r="M23" s="6"/>
      <c r="N23" s="6"/>
      <c r="O23" s="6"/>
      <c r="P23" s="6"/>
      <c r="Q23" s="6"/>
      <c r="R23" s="6"/>
      <c r="S23" s="6"/>
      <c r="T23" s="6"/>
      <c r="U23" s="6"/>
      <c r="V23" s="6"/>
      <c r="W23" s="14"/>
    </row>
    <row r="24" spans="2:27" x14ac:dyDescent="0.3">
      <c r="B24" s="17" t="s">
        <v>18</v>
      </c>
      <c r="C24" s="17"/>
      <c r="D24" s="17"/>
      <c r="E24" s="19">
        <f>E25+E33</f>
        <v>434000</v>
      </c>
      <c r="F24" s="19">
        <f t="shared" ref="F24:T24" si="36">F25+F33</f>
        <v>14280</v>
      </c>
      <c r="G24" s="19">
        <f t="shared" si="36"/>
        <v>448280</v>
      </c>
      <c r="H24" s="19">
        <f t="shared" si="36"/>
        <v>3701000</v>
      </c>
      <c r="I24" s="19">
        <f t="shared" si="36"/>
        <v>48900</v>
      </c>
      <c r="J24" s="19">
        <f t="shared" si="36"/>
        <v>3749900</v>
      </c>
      <c r="K24" s="19">
        <f t="shared" si="36"/>
        <v>7163000</v>
      </c>
      <c r="L24" s="19">
        <f t="shared" si="36"/>
        <v>37500</v>
      </c>
      <c r="M24" s="19">
        <f t="shared" si="36"/>
        <v>7200500</v>
      </c>
      <c r="N24" s="19">
        <f t="shared" ref="N24:P24" si="37">N25+N33</f>
        <v>4905000</v>
      </c>
      <c r="O24" s="19">
        <f t="shared" si="37"/>
        <v>36000</v>
      </c>
      <c r="P24" s="19">
        <f t="shared" si="37"/>
        <v>4941000</v>
      </c>
      <c r="Q24" s="19">
        <f t="shared" si="36"/>
        <v>1256000</v>
      </c>
      <c r="R24" s="19">
        <f t="shared" si="36"/>
        <v>36000</v>
      </c>
      <c r="S24" s="19">
        <f t="shared" si="36"/>
        <v>1292000</v>
      </c>
      <c r="T24" s="19">
        <f t="shared" si="36"/>
        <v>17459000</v>
      </c>
      <c r="U24" s="19">
        <f>U25+U33</f>
        <v>172680</v>
      </c>
      <c r="V24" s="19">
        <f>V25+V33</f>
        <v>17631680</v>
      </c>
      <c r="W24" s="14"/>
    </row>
    <row r="25" spans="2:27" x14ac:dyDescent="0.25">
      <c r="B25" s="9" t="s">
        <v>19</v>
      </c>
      <c r="C25" s="3"/>
      <c r="D25" s="3"/>
      <c r="E25" s="4">
        <f>SUM(E26:E32)</f>
        <v>30000</v>
      </c>
      <c r="F25" s="4">
        <f t="shared" ref="F25:V25" si="38">SUM(F26:F32)</f>
        <v>5100</v>
      </c>
      <c r="G25" s="4">
        <f t="shared" si="38"/>
        <v>35100</v>
      </c>
      <c r="H25" s="4">
        <f t="shared" si="38"/>
        <v>3641000</v>
      </c>
      <c r="I25" s="4">
        <f t="shared" si="38"/>
        <v>0</v>
      </c>
      <c r="J25" s="4">
        <f t="shared" si="38"/>
        <v>3641000</v>
      </c>
      <c r="K25" s="4">
        <f t="shared" si="38"/>
        <v>7163000</v>
      </c>
      <c r="L25" s="4">
        <f t="shared" si="38"/>
        <v>0</v>
      </c>
      <c r="M25" s="4">
        <f t="shared" si="38"/>
        <v>7163000</v>
      </c>
      <c r="N25" s="4">
        <f t="shared" ref="N25:P25" si="39">SUM(N26:N32)</f>
        <v>4905000</v>
      </c>
      <c r="O25" s="4">
        <f t="shared" si="39"/>
        <v>0</v>
      </c>
      <c r="P25" s="4">
        <f t="shared" si="39"/>
        <v>4905000</v>
      </c>
      <c r="Q25" s="4">
        <f t="shared" si="38"/>
        <v>1256000</v>
      </c>
      <c r="R25" s="4">
        <f t="shared" si="38"/>
        <v>0</v>
      </c>
      <c r="S25" s="4">
        <f t="shared" si="38"/>
        <v>1256000</v>
      </c>
      <c r="T25" s="4">
        <f t="shared" si="38"/>
        <v>16995000</v>
      </c>
      <c r="U25" s="4">
        <f t="shared" si="38"/>
        <v>5100</v>
      </c>
      <c r="V25" s="4">
        <f t="shared" si="38"/>
        <v>17000100</v>
      </c>
      <c r="W25" s="14"/>
    </row>
    <row r="26" spans="2:27" ht="36" x14ac:dyDescent="0.25">
      <c r="B26" s="10" t="s">
        <v>48</v>
      </c>
      <c r="C26" s="5" t="s">
        <v>12</v>
      </c>
      <c r="D26" s="5" t="s">
        <v>26</v>
      </c>
      <c r="E26" s="6">
        <v>30000</v>
      </c>
      <c r="F26" s="6">
        <f>E26*0.07</f>
        <v>2100</v>
      </c>
      <c r="G26" s="6">
        <f>SUM(E26:F26)</f>
        <v>32100</v>
      </c>
      <c r="H26" s="6">
        <v>0</v>
      </c>
      <c r="I26" s="6">
        <v>0</v>
      </c>
      <c r="J26" s="6">
        <f>SUM(H26:I26)</f>
        <v>0</v>
      </c>
      <c r="K26" s="6">
        <v>0</v>
      </c>
      <c r="L26" s="6">
        <v>0</v>
      </c>
      <c r="M26" s="6">
        <f>SUM(K26:L26)</f>
        <v>0</v>
      </c>
      <c r="N26" s="6">
        <v>0</v>
      </c>
      <c r="O26" s="6">
        <v>0</v>
      </c>
      <c r="P26" s="6">
        <f>SUM(N26:O26)</f>
        <v>0</v>
      </c>
      <c r="Q26" s="6">
        <v>0</v>
      </c>
      <c r="R26" s="6">
        <v>0</v>
      </c>
      <c r="S26" s="6">
        <f>SUM(Q26:R26)</f>
        <v>0</v>
      </c>
      <c r="T26" s="6">
        <f t="shared" ref="T26:T31" si="40">E26+H26+K26+N26+Q26</f>
        <v>30000</v>
      </c>
      <c r="U26" s="6">
        <f t="shared" ref="U26:U31" si="41">F26+I26+L26+O26+R26</f>
        <v>2100</v>
      </c>
      <c r="V26" s="6">
        <f t="shared" ref="V26:V31" si="42">G26+J26+M26+P26+S26</f>
        <v>32100</v>
      </c>
      <c r="W26" s="14"/>
    </row>
    <row r="27" spans="2:27" ht="36" x14ac:dyDescent="0.25">
      <c r="B27" s="10" t="s">
        <v>49</v>
      </c>
      <c r="C27" s="5" t="s">
        <v>11</v>
      </c>
      <c r="D27" s="5" t="s">
        <v>26</v>
      </c>
      <c r="E27" s="6">
        <v>0</v>
      </c>
      <c r="F27" s="6">
        <f>E26*0.1</f>
        <v>3000</v>
      </c>
      <c r="G27" s="6">
        <f t="shared" ref="G27:G28" si="43">SUM(E27:F27)</f>
        <v>3000</v>
      </c>
      <c r="H27" s="6">
        <v>0</v>
      </c>
      <c r="I27" s="6">
        <v>0</v>
      </c>
      <c r="J27" s="6">
        <f t="shared" ref="J27:J31" si="44">SUM(H27:I27)</f>
        <v>0</v>
      </c>
      <c r="K27" s="6">
        <v>0</v>
      </c>
      <c r="L27" s="6">
        <v>0</v>
      </c>
      <c r="M27" s="6">
        <f t="shared" ref="M27:M31" si="45">SUM(K27:L27)</f>
        <v>0</v>
      </c>
      <c r="N27" s="6">
        <v>0</v>
      </c>
      <c r="O27" s="6">
        <v>0</v>
      </c>
      <c r="P27" s="6">
        <f t="shared" ref="P27:P28" si="46">SUM(N27:O27)</f>
        <v>0</v>
      </c>
      <c r="Q27" s="6">
        <v>0</v>
      </c>
      <c r="R27" s="6">
        <v>0</v>
      </c>
      <c r="S27" s="6">
        <f t="shared" ref="S27:S28" si="47">SUM(Q27:R27)</f>
        <v>0</v>
      </c>
      <c r="T27" s="6">
        <f t="shared" si="40"/>
        <v>0</v>
      </c>
      <c r="U27" s="6">
        <f t="shared" si="41"/>
        <v>3000</v>
      </c>
      <c r="V27" s="6">
        <f t="shared" si="42"/>
        <v>3000</v>
      </c>
      <c r="W27" s="14"/>
    </row>
    <row r="28" spans="2:27" ht="48" x14ac:dyDescent="0.25">
      <c r="B28" s="10" t="s">
        <v>50</v>
      </c>
      <c r="C28" s="5" t="s">
        <v>10</v>
      </c>
      <c r="D28" s="5" t="s">
        <v>103</v>
      </c>
      <c r="E28" s="6">
        <v>0</v>
      </c>
      <c r="F28" s="6">
        <v>0</v>
      </c>
      <c r="G28" s="6">
        <f t="shared" si="43"/>
        <v>0</v>
      </c>
      <c r="H28" s="6">
        <f>4*252000</f>
        <v>1008000</v>
      </c>
      <c r="I28" s="6">
        <v>0</v>
      </c>
      <c r="J28" s="6">
        <f t="shared" si="44"/>
        <v>1008000</v>
      </c>
      <c r="K28" s="6">
        <f>15*252000</f>
        <v>3780000</v>
      </c>
      <c r="L28" s="6">
        <v>0</v>
      </c>
      <c r="M28" s="6">
        <f t="shared" si="45"/>
        <v>3780000</v>
      </c>
      <c r="N28" s="6">
        <f>15*252000</f>
        <v>3780000</v>
      </c>
      <c r="O28" s="6">
        <v>0</v>
      </c>
      <c r="P28" s="6">
        <f t="shared" si="46"/>
        <v>3780000</v>
      </c>
      <c r="Q28" s="6">
        <f>3*252000</f>
        <v>756000</v>
      </c>
      <c r="R28" s="6">
        <v>0</v>
      </c>
      <c r="S28" s="6">
        <f t="shared" si="47"/>
        <v>756000</v>
      </c>
      <c r="T28" s="6">
        <f t="shared" si="40"/>
        <v>9324000</v>
      </c>
      <c r="U28" s="6">
        <f t="shared" si="41"/>
        <v>0</v>
      </c>
      <c r="V28" s="6">
        <f t="shared" si="42"/>
        <v>9324000</v>
      </c>
      <c r="W28" s="14"/>
    </row>
    <row r="29" spans="2:27" ht="36" x14ac:dyDescent="0.25">
      <c r="B29" s="10" t="s">
        <v>51</v>
      </c>
      <c r="C29" s="5" t="s">
        <v>9</v>
      </c>
      <c r="D29" s="5" t="s">
        <v>160</v>
      </c>
      <c r="E29" s="6">
        <v>0</v>
      </c>
      <c r="F29" s="6">
        <v>0</v>
      </c>
      <c r="G29" s="6">
        <f t="shared" ref="G29:G31" si="48">SUM(E29:F29)</f>
        <v>0</v>
      </c>
      <c r="H29" s="6">
        <f>9*125000</f>
        <v>1125000</v>
      </c>
      <c r="I29" s="6">
        <v>0</v>
      </c>
      <c r="J29" s="6">
        <f t="shared" si="44"/>
        <v>1125000</v>
      </c>
      <c r="K29" s="6">
        <f>15*125000</f>
        <v>1875000</v>
      </c>
      <c r="L29" s="6">
        <v>0</v>
      </c>
      <c r="M29" s="6">
        <f t="shared" si="45"/>
        <v>1875000</v>
      </c>
      <c r="N29" s="6">
        <f>9*125000</f>
        <v>1125000</v>
      </c>
      <c r="O29" s="6">
        <v>0</v>
      </c>
      <c r="P29" s="6">
        <f>SUM(N29:O29)</f>
        <v>1125000</v>
      </c>
      <c r="Q29" s="6">
        <f>4*125000</f>
        <v>500000</v>
      </c>
      <c r="R29" s="6">
        <v>0</v>
      </c>
      <c r="S29" s="6">
        <f>SUM(Q29:R29)</f>
        <v>500000</v>
      </c>
      <c r="T29" s="6">
        <f t="shared" si="40"/>
        <v>4625000</v>
      </c>
      <c r="U29" s="6">
        <f t="shared" si="41"/>
        <v>0</v>
      </c>
      <c r="V29" s="6">
        <f t="shared" si="42"/>
        <v>4625000</v>
      </c>
      <c r="W29" s="14"/>
      <c r="AA29" s="52"/>
    </row>
    <row r="30" spans="2:27" ht="46.9" customHeight="1" x14ac:dyDescent="0.25">
      <c r="B30" s="55" t="s">
        <v>52</v>
      </c>
      <c r="C30" s="5" t="s">
        <v>10</v>
      </c>
      <c r="D30" s="5" t="s">
        <v>104</v>
      </c>
      <c r="E30" s="6">
        <v>0</v>
      </c>
      <c r="F30" s="6">
        <v>0</v>
      </c>
      <c r="G30" s="6">
        <f t="shared" si="48"/>
        <v>0</v>
      </c>
      <c r="H30" s="6">
        <f>2*504000</f>
        <v>1008000</v>
      </c>
      <c r="I30" s="6">
        <v>0</v>
      </c>
      <c r="J30" s="6">
        <f t="shared" si="44"/>
        <v>1008000</v>
      </c>
      <c r="K30" s="57">
        <f>2*504000</f>
        <v>1008000</v>
      </c>
      <c r="L30" s="6">
        <v>0</v>
      </c>
      <c r="M30" s="57">
        <f t="shared" si="45"/>
        <v>1008000</v>
      </c>
      <c r="N30" s="6">
        <v>0</v>
      </c>
      <c r="O30" s="6">
        <v>0</v>
      </c>
      <c r="P30" s="6">
        <f>SUM(N30:O30)</f>
        <v>0</v>
      </c>
      <c r="Q30" s="6">
        <v>0</v>
      </c>
      <c r="R30" s="6">
        <v>0</v>
      </c>
      <c r="S30" s="6">
        <f>SUM(Q30:R30)</f>
        <v>0</v>
      </c>
      <c r="T30" s="6">
        <f t="shared" si="40"/>
        <v>2016000</v>
      </c>
      <c r="U30" s="6">
        <f t="shared" si="41"/>
        <v>0</v>
      </c>
      <c r="V30" s="6">
        <f t="shared" si="42"/>
        <v>2016000</v>
      </c>
      <c r="W30" s="14"/>
    </row>
    <row r="31" spans="2:27" ht="48" customHeight="1" x14ac:dyDescent="0.25">
      <c r="B31" s="55" t="s">
        <v>53</v>
      </c>
      <c r="C31" s="5" t="s">
        <v>9</v>
      </c>
      <c r="D31" s="5" t="s">
        <v>160</v>
      </c>
      <c r="E31" s="6">
        <v>0</v>
      </c>
      <c r="F31" s="6">
        <v>0</v>
      </c>
      <c r="G31" s="6">
        <f t="shared" si="48"/>
        <v>0</v>
      </c>
      <c r="H31" s="6">
        <f>2*250000</f>
        <v>500000</v>
      </c>
      <c r="I31" s="6">
        <v>0</v>
      </c>
      <c r="J31" s="6">
        <f t="shared" si="44"/>
        <v>500000</v>
      </c>
      <c r="K31" s="57">
        <f>2*250000</f>
        <v>500000</v>
      </c>
      <c r="L31" s="6">
        <v>0</v>
      </c>
      <c r="M31" s="57">
        <f t="shared" si="45"/>
        <v>500000</v>
      </c>
      <c r="N31" s="6">
        <v>0</v>
      </c>
      <c r="O31" s="6">
        <v>0</v>
      </c>
      <c r="P31" s="6">
        <f t="shared" ref="P31" si="49">SUM(N31:O31)</f>
        <v>0</v>
      </c>
      <c r="Q31" s="6">
        <v>0</v>
      </c>
      <c r="R31" s="6">
        <v>0</v>
      </c>
      <c r="S31" s="6">
        <f t="shared" ref="S31" si="50">SUM(Q31:R31)</f>
        <v>0</v>
      </c>
      <c r="T31" s="6">
        <f t="shared" si="40"/>
        <v>1000000</v>
      </c>
      <c r="U31" s="6">
        <f t="shared" si="41"/>
        <v>0</v>
      </c>
      <c r="V31" s="6">
        <f t="shared" si="42"/>
        <v>1000000</v>
      </c>
      <c r="W31" s="14"/>
    </row>
    <row r="32" spans="2:27" x14ac:dyDescent="0.3">
      <c r="B32" s="10"/>
      <c r="C32" s="5"/>
      <c r="D32" s="5"/>
      <c r="E32" s="6"/>
      <c r="F32" s="6"/>
      <c r="G32" s="6"/>
      <c r="H32" s="6"/>
      <c r="I32" s="6"/>
      <c r="J32" s="6"/>
      <c r="K32" s="6"/>
      <c r="L32" s="6"/>
      <c r="M32" s="6"/>
      <c r="N32" s="6"/>
      <c r="O32" s="6"/>
      <c r="P32" s="6"/>
      <c r="Q32" s="6"/>
      <c r="R32" s="6"/>
      <c r="S32" s="6"/>
      <c r="T32" s="6"/>
      <c r="U32" s="6"/>
      <c r="V32" s="6"/>
      <c r="W32" s="14"/>
    </row>
    <row r="33" spans="2:23" s="7" customFormat="1" ht="24.6" customHeight="1" x14ac:dyDescent="0.25">
      <c r="B33" s="9" t="s">
        <v>20</v>
      </c>
      <c r="C33" s="8"/>
      <c r="D33" s="5"/>
      <c r="E33" s="4">
        <f>SUM(E34:E42)</f>
        <v>404000</v>
      </c>
      <c r="F33" s="4">
        <f t="shared" ref="F33:V33" si="51">SUM(F34:F42)</f>
        <v>9180</v>
      </c>
      <c r="G33" s="4">
        <f t="shared" si="51"/>
        <v>413180</v>
      </c>
      <c r="H33" s="4">
        <f t="shared" si="51"/>
        <v>60000</v>
      </c>
      <c r="I33" s="4">
        <f t="shared" si="51"/>
        <v>48900</v>
      </c>
      <c r="J33" s="4">
        <f t="shared" si="51"/>
        <v>108900</v>
      </c>
      <c r="K33" s="4">
        <f t="shared" si="51"/>
        <v>0</v>
      </c>
      <c r="L33" s="4">
        <f t="shared" si="51"/>
        <v>37500</v>
      </c>
      <c r="M33" s="4">
        <f t="shared" si="51"/>
        <v>37500</v>
      </c>
      <c r="N33" s="4">
        <f t="shared" ref="N33:P33" si="52">SUM(N34:N42)</f>
        <v>0</v>
      </c>
      <c r="O33" s="4">
        <f t="shared" si="52"/>
        <v>36000</v>
      </c>
      <c r="P33" s="4">
        <f t="shared" si="52"/>
        <v>36000</v>
      </c>
      <c r="Q33" s="4">
        <f t="shared" si="51"/>
        <v>0</v>
      </c>
      <c r="R33" s="4">
        <f t="shared" si="51"/>
        <v>36000</v>
      </c>
      <c r="S33" s="4">
        <f t="shared" si="51"/>
        <v>36000</v>
      </c>
      <c r="T33" s="4">
        <f t="shared" si="51"/>
        <v>464000</v>
      </c>
      <c r="U33" s="4">
        <f t="shared" si="51"/>
        <v>167580</v>
      </c>
      <c r="V33" s="4">
        <f t="shared" si="51"/>
        <v>631580</v>
      </c>
      <c r="W33" s="14"/>
    </row>
    <row r="34" spans="2:23" s="7" customFormat="1" ht="46.9" customHeight="1" x14ac:dyDescent="0.25">
      <c r="B34" s="10" t="s">
        <v>28</v>
      </c>
      <c r="C34" s="5" t="s">
        <v>12</v>
      </c>
      <c r="D34" s="5" t="s">
        <v>156</v>
      </c>
      <c r="E34" s="6">
        <v>54000</v>
      </c>
      <c r="F34" s="6">
        <f>E34*0.07</f>
        <v>3780.0000000000005</v>
      </c>
      <c r="G34" s="6">
        <f>SUM(E34:F34)</f>
        <v>57780</v>
      </c>
      <c r="H34" s="6">
        <v>0</v>
      </c>
      <c r="I34" s="6">
        <v>0</v>
      </c>
      <c r="J34" s="6">
        <f>SUM(H34:I34)</f>
        <v>0</v>
      </c>
      <c r="K34" s="6">
        <v>0</v>
      </c>
      <c r="L34" s="6">
        <v>0</v>
      </c>
      <c r="M34" s="6">
        <f t="shared" ref="M34:M37" si="53">SUM(K34:L34)</f>
        <v>0</v>
      </c>
      <c r="N34" s="6">
        <v>0</v>
      </c>
      <c r="O34" s="6">
        <v>0</v>
      </c>
      <c r="P34" s="6">
        <f t="shared" ref="P34:P42" si="54">SUM(N34:O34)</f>
        <v>0</v>
      </c>
      <c r="Q34" s="6">
        <v>0</v>
      </c>
      <c r="R34" s="6">
        <v>0</v>
      </c>
      <c r="S34" s="6">
        <f t="shared" ref="S34:S37" si="55">SUM(Q34:R34)</f>
        <v>0</v>
      </c>
      <c r="T34" s="6">
        <f t="shared" ref="T34:T42" si="56">E34+H34+K34+N34+Q34</f>
        <v>54000</v>
      </c>
      <c r="U34" s="6">
        <f t="shared" ref="U34:U42" si="57">F34+I34+L34+O34+R34</f>
        <v>3780.0000000000005</v>
      </c>
      <c r="V34" s="6">
        <f t="shared" ref="V34:V42" si="58">G34+J34+M34+P34+S34</f>
        <v>57780</v>
      </c>
      <c r="W34" s="14"/>
    </row>
    <row r="35" spans="2:23" s="7" customFormat="1" ht="54.6" customHeight="1" x14ac:dyDescent="0.25">
      <c r="B35" s="10" t="s">
        <v>29</v>
      </c>
      <c r="C35" s="5" t="s">
        <v>11</v>
      </c>
      <c r="D35" s="5" t="s">
        <v>156</v>
      </c>
      <c r="E35" s="6">
        <v>0</v>
      </c>
      <c r="F35" s="6">
        <f>E34*0.1</f>
        <v>5400</v>
      </c>
      <c r="G35" s="6">
        <f t="shared" ref="G35:G42" si="59">SUM(E35:F35)</f>
        <v>5400</v>
      </c>
      <c r="H35" s="6">
        <v>0</v>
      </c>
      <c r="I35" s="6">
        <v>0</v>
      </c>
      <c r="J35" s="6">
        <f t="shared" ref="J35:J39" si="60">SUM(H35:I35)</f>
        <v>0</v>
      </c>
      <c r="K35" s="6">
        <v>0</v>
      </c>
      <c r="L35" s="6">
        <v>0</v>
      </c>
      <c r="M35" s="6">
        <f t="shared" si="53"/>
        <v>0</v>
      </c>
      <c r="N35" s="6">
        <v>0</v>
      </c>
      <c r="O35" s="6">
        <v>0</v>
      </c>
      <c r="P35" s="6">
        <f t="shared" si="54"/>
        <v>0</v>
      </c>
      <c r="Q35" s="6">
        <v>0</v>
      </c>
      <c r="R35" s="6">
        <v>0</v>
      </c>
      <c r="S35" s="6">
        <f t="shared" si="55"/>
        <v>0</v>
      </c>
      <c r="T35" s="6">
        <f t="shared" si="56"/>
        <v>0</v>
      </c>
      <c r="U35" s="6">
        <f t="shared" si="57"/>
        <v>5400</v>
      </c>
      <c r="V35" s="6">
        <f t="shared" si="58"/>
        <v>5400</v>
      </c>
      <c r="W35" s="14"/>
    </row>
    <row r="36" spans="2:23" s="7" customFormat="1" ht="54.6" customHeight="1" x14ac:dyDescent="0.25">
      <c r="B36" s="55" t="s">
        <v>151</v>
      </c>
      <c r="C36" s="5" t="s">
        <v>12</v>
      </c>
      <c r="D36" s="5" t="s">
        <v>156</v>
      </c>
      <c r="E36" s="57">
        <v>350000</v>
      </c>
      <c r="F36" s="6">
        <v>0</v>
      </c>
      <c r="G36" s="57">
        <f t="shared" ref="G36" si="61">SUM(E36:F36)</f>
        <v>350000</v>
      </c>
      <c r="H36" s="6">
        <v>0</v>
      </c>
      <c r="I36" s="6">
        <v>0</v>
      </c>
      <c r="J36" s="6">
        <f t="shared" ref="J36" si="62">SUM(H36:I36)</f>
        <v>0</v>
      </c>
      <c r="K36" s="6">
        <v>0</v>
      </c>
      <c r="L36" s="6">
        <v>0</v>
      </c>
      <c r="M36" s="6">
        <f t="shared" ref="M36" si="63">SUM(K36:L36)</f>
        <v>0</v>
      </c>
      <c r="N36" s="6">
        <v>0</v>
      </c>
      <c r="O36" s="6">
        <v>0</v>
      </c>
      <c r="P36" s="6">
        <f t="shared" ref="P36" si="64">SUM(N36:O36)</f>
        <v>0</v>
      </c>
      <c r="Q36" s="6">
        <v>0</v>
      </c>
      <c r="R36" s="6">
        <v>0</v>
      </c>
      <c r="S36" s="6">
        <f t="shared" ref="S36" si="65">SUM(Q36:R36)</f>
        <v>0</v>
      </c>
      <c r="T36" s="6">
        <f t="shared" ref="T36" si="66">E36+H36+K36+N36+Q36</f>
        <v>350000</v>
      </c>
      <c r="U36" s="6">
        <f t="shared" ref="U36" si="67">F36+I36+L36+O36+R36</f>
        <v>0</v>
      </c>
      <c r="V36" s="6">
        <f t="shared" ref="V36" si="68">G36+J36+M36+P36+S36</f>
        <v>350000</v>
      </c>
      <c r="W36" s="14"/>
    </row>
    <row r="37" spans="2:23" s="7" customFormat="1" ht="67.900000000000006" customHeight="1" x14ac:dyDescent="0.25">
      <c r="B37" s="10" t="s">
        <v>30</v>
      </c>
      <c r="C37" s="5" t="s">
        <v>11</v>
      </c>
      <c r="D37" s="5" t="s">
        <v>157</v>
      </c>
      <c r="E37" s="6">
        <v>0</v>
      </c>
      <c r="F37" s="6">
        <f>E37*0.07</f>
        <v>0</v>
      </c>
      <c r="G37" s="6">
        <f t="shared" si="59"/>
        <v>0</v>
      </c>
      <c r="H37" s="6">
        <v>0</v>
      </c>
      <c r="I37" s="6">
        <f>250*50</f>
        <v>12500</v>
      </c>
      <c r="J37" s="6">
        <f t="shared" si="60"/>
        <v>12500</v>
      </c>
      <c r="K37" s="6">
        <v>0</v>
      </c>
      <c r="L37" s="6">
        <f>250*50</f>
        <v>12500</v>
      </c>
      <c r="M37" s="6">
        <f t="shared" si="53"/>
        <v>12500</v>
      </c>
      <c r="N37" s="6">
        <v>0</v>
      </c>
      <c r="O37" s="6">
        <f>240*50</f>
        <v>12000</v>
      </c>
      <c r="P37" s="6">
        <f t="shared" si="54"/>
        <v>12000</v>
      </c>
      <c r="Q37" s="6">
        <v>0</v>
      </c>
      <c r="R37" s="6">
        <f>240*50</f>
        <v>12000</v>
      </c>
      <c r="S37" s="6">
        <f t="shared" si="55"/>
        <v>12000</v>
      </c>
      <c r="T37" s="6">
        <f t="shared" si="56"/>
        <v>0</v>
      </c>
      <c r="U37" s="6">
        <f t="shared" si="57"/>
        <v>49000</v>
      </c>
      <c r="V37" s="6">
        <f t="shared" si="58"/>
        <v>49000</v>
      </c>
      <c r="W37" s="14"/>
    </row>
    <row r="38" spans="2:23" s="7" customFormat="1" ht="142.15" customHeight="1" x14ac:dyDescent="0.25">
      <c r="B38" s="10" t="s">
        <v>32</v>
      </c>
      <c r="C38" s="5" t="s">
        <v>11</v>
      </c>
      <c r="D38" s="5" t="s">
        <v>157</v>
      </c>
      <c r="E38" s="6">
        <v>0</v>
      </c>
      <c r="F38" s="6">
        <f>E37*0.1</f>
        <v>0</v>
      </c>
      <c r="G38" s="6">
        <f t="shared" si="59"/>
        <v>0</v>
      </c>
      <c r="H38" s="6">
        <v>0</v>
      </c>
      <c r="I38" s="6">
        <f>250*50</f>
        <v>12500</v>
      </c>
      <c r="J38" s="6">
        <f t="shared" si="60"/>
        <v>12500</v>
      </c>
      <c r="K38" s="6">
        <v>0</v>
      </c>
      <c r="L38" s="6">
        <f>250*50</f>
        <v>12500</v>
      </c>
      <c r="M38" s="6">
        <f t="shared" ref="M38:M41" si="69">SUM(K38:L38)</f>
        <v>12500</v>
      </c>
      <c r="N38" s="6">
        <v>0</v>
      </c>
      <c r="O38" s="6">
        <f>240*50</f>
        <v>12000</v>
      </c>
      <c r="P38" s="6">
        <f t="shared" si="54"/>
        <v>12000</v>
      </c>
      <c r="Q38" s="6">
        <v>0</v>
      </c>
      <c r="R38" s="6">
        <f>240*50</f>
        <v>12000</v>
      </c>
      <c r="S38" s="6">
        <f t="shared" ref="S38:S41" si="70">SUM(Q38:R38)</f>
        <v>12000</v>
      </c>
      <c r="T38" s="6">
        <f t="shared" si="56"/>
        <v>0</v>
      </c>
      <c r="U38" s="6">
        <f t="shared" si="57"/>
        <v>49000</v>
      </c>
      <c r="V38" s="6">
        <f t="shared" si="58"/>
        <v>49000</v>
      </c>
      <c r="W38" s="14"/>
    </row>
    <row r="39" spans="2:23" s="7" customFormat="1" ht="113.45" customHeight="1" x14ac:dyDescent="0.25">
      <c r="B39" s="10" t="s">
        <v>31</v>
      </c>
      <c r="C39" s="5" t="s">
        <v>11</v>
      </c>
      <c r="D39" s="5" t="s">
        <v>157</v>
      </c>
      <c r="E39" s="6">
        <v>0</v>
      </c>
      <c r="F39" s="6">
        <v>0</v>
      </c>
      <c r="G39" s="6">
        <f>SUM(E39:F39)</f>
        <v>0</v>
      </c>
      <c r="H39" s="6">
        <v>0</v>
      </c>
      <c r="I39" s="6">
        <f>250*50</f>
        <v>12500</v>
      </c>
      <c r="J39" s="6">
        <f t="shared" si="60"/>
        <v>12500</v>
      </c>
      <c r="K39" s="6">
        <v>0</v>
      </c>
      <c r="L39" s="6">
        <f>250*50</f>
        <v>12500</v>
      </c>
      <c r="M39" s="6">
        <f t="shared" si="69"/>
        <v>12500</v>
      </c>
      <c r="N39" s="6">
        <v>0</v>
      </c>
      <c r="O39" s="6">
        <f>240*50</f>
        <v>12000</v>
      </c>
      <c r="P39" s="6">
        <f t="shared" si="54"/>
        <v>12000</v>
      </c>
      <c r="Q39" s="6">
        <v>0</v>
      </c>
      <c r="R39" s="6">
        <f>240*50</f>
        <v>12000</v>
      </c>
      <c r="S39" s="6">
        <f t="shared" si="70"/>
        <v>12000</v>
      </c>
      <c r="T39" s="6">
        <f t="shared" si="56"/>
        <v>0</v>
      </c>
      <c r="U39" s="6">
        <f t="shared" si="57"/>
        <v>49000</v>
      </c>
      <c r="V39" s="6">
        <f t="shared" si="58"/>
        <v>49000</v>
      </c>
      <c r="W39" s="14"/>
    </row>
    <row r="40" spans="2:23" s="7" customFormat="1" ht="36" x14ac:dyDescent="0.25">
      <c r="B40" s="10" t="s">
        <v>33</v>
      </c>
      <c r="C40" s="5" t="s">
        <v>12</v>
      </c>
      <c r="D40" s="5" t="s">
        <v>158</v>
      </c>
      <c r="E40" s="6">
        <v>0</v>
      </c>
      <c r="F40" s="6">
        <f t="shared" ref="F40:F42" si="71">E40*0.07</f>
        <v>0</v>
      </c>
      <c r="G40" s="6">
        <f t="shared" ref="G40" si="72">SUM(E40:F40)</f>
        <v>0</v>
      </c>
      <c r="H40" s="6">
        <v>36000</v>
      </c>
      <c r="I40" s="6">
        <f t="shared" ref="I40:I42" si="73">H40*0.07</f>
        <v>2520.0000000000005</v>
      </c>
      <c r="J40" s="6">
        <f t="shared" ref="J40:J41" si="74">SUM(H40:I40)</f>
        <v>38520</v>
      </c>
      <c r="K40" s="6">
        <v>0</v>
      </c>
      <c r="L40" s="6">
        <v>0</v>
      </c>
      <c r="M40" s="6">
        <f t="shared" si="69"/>
        <v>0</v>
      </c>
      <c r="N40" s="6">
        <v>0</v>
      </c>
      <c r="O40" s="6">
        <v>0</v>
      </c>
      <c r="P40" s="6">
        <f t="shared" si="54"/>
        <v>0</v>
      </c>
      <c r="Q40" s="6">
        <v>0</v>
      </c>
      <c r="R40" s="6">
        <v>0</v>
      </c>
      <c r="S40" s="6">
        <f t="shared" si="70"/>
        <v>0</v>
      </c>
      <c r="T40" s="6">
        <f t="shared" si="56"/>
        <v>36000</v>
      </c>
      <c r="U40" s="6">
        <f t="shared" si="57"/>
        <v>2520.0000000000005</v>
      </c>
      <c r="V40" s="6">
        <f t="shared" si="58"/>
        <v>38520</v>
      </c>
      <c r="W40" s="14"/>
    </row>
    <row r="41" spans="2:23" s="7" customFormat="1" ht="36" x14ac:dyDescent="0.25">
      <c r="B41" s="10" t="s">
        <v>54</v>
      </c>
      <c r="C41" s="5" t="s">
        <v>11</v>
      </c>
      <c r="D41" s="5" t="s">
        <v>158</v>
      </c>
      <c r="E41" s="6">
        <v>0</v>
      </c>
      <c r="F41" s="6">
        <f t="shared" si="71"/>
        <v>0</v>
      </c>
      <c r="G41" s="6">
        <f t="shared" ref="G41" si="75">SUM(E41:F41)</f>
        <v>0</v>
      </c>
      <c r="H41" s="6">
        <v>0</v>
      </c>
      <c r="I41" s="6">
        <f>H40*0.2</f>
        <v>7200</v>
      </c>
      <c r="J41" s="6">
        <f t="shared" si="74"/>
        <v>7200</v>
      </c>
      <c r="K41" s="6">
        <v>0</v>
      </c>
      <c r="L41" s="6">
        <v>0</v>
      </c>
      <c r="M41" s="6">
        <f t="shared" si="69"/>
        <v>0</v>
      </c>
      <c r="N41" s="6">
        <v>0</v>
      </c>
      <c r="O41" s="6">
        <v>0</v>
      </c>
      <c r="P41" s="6">
        <f t="shared" si="54"/>
        <v>0</v>
      </c>
      <c r="Q41" s="6">
        <v>0</v>
      </c>
      <c r="R41" s="6">
        <v>0</v>
      </c>
      <c r="S41" s="6">
        <f t="shared" si="70"/>
        <v>0</v>
      </c>
      <c r="T41" s="6">
        <f t="shared" si="56"/>
        <v>0</v>
      </c>
      <c r="U41" s="6">
        <f t="shared" si="57"/>
        <v>7200</v>
      </c>
      <c r="V41" s="6">
        <f t="shared" si="58"/>
        <v>7200</v>
      </c>
      <c r="W41" s="14"/>
    </row>
    <row r="42" spans="2:23" s="7" customFormat="1" ht="36" x14ac:dyDescent="0.25">
      <c r="B42" s="10" t="s">
        <v>34</v>
      </c>
      <c r="C42" s="5" t="s">
        <v>12</v>
      </c>
      <c r="D42" s="5" t="s">
        <v>158</v>
      </c>
      <c r="E42" s="6">
        <v>0</v>
      </c>
      <c r="F42" s="6">
        <f t="shared" si="71"/>
        <v>0</v>
      </c>
      <c r="G42" s="6">
        <f t="shared" si="59"/>
        <v>0</v>
      </c>
      <c r="H42" s="6">
        <v>24000</v>
      </c>
      <c r="I42" s="6">
        <f t="shared" si="73"/>
        <v>1680.0000000000002</v>
      </c>
      <c r="J42" s="6">
        <f t="shared" ref="J42" si="76">SUM(H42:I42)</f>
        <v>25680</v>
      </c>
      <c r="K42" s="6">
        <v>0</v>
      </c>
      <c r="L42" s="6">
        <v>0</v>
      </c>
      <c r="M42" s="6">
        <f t="shared" ref="M42" si="77">SUM(K42:L42)</f>
        <v>0</v>
      </c>
      <c r="N42" s="6">
        <v>0</v>
      </c>
      <c r="O42" s="6">
        <v>0</v>
      </c>
      <c r="P42" s="6">
        <f t="shared" si="54"/>
        <v>0</v>
      </c>
      <c r="Q42" s="6">
        <v>0</v>
      </c>
      <c r="R42" s="6">
        <v>0</v>
      </c>
      <c r="S42" s="6">
        <f t="shared" ref="S42" si="78">SUM(Q42:R42)</f>
        <v>0</v>
      </c>
      <c r="T42" s="6">
        <f t="shared" si="56"/>
        <v>24000</v>
      </c>
      <c r="U42" s="6">
        <f t="shared" si="57"/>
        <v>1680.0000000000002</v>
      </c>
      <c r="V42" s="6">
        <f t="shared" si="58"/>
        <v>25680</v>
      </c>
      <c r="W42" s="14"/>
    </row>
    <row r="43" spans="2:23" s="7" customFormat="1" x14ac:dyDescent="0.25">
      <c r="B43" s="10"/>
      <c r="C43" s="5"/>
      <c r="D43" s="5"/>
      <c r="E43" s="6"/>
      <c r="F43" s="6"/>
      <c r="G43" s="6"/>
      <c r="H43" s="6"/>
      <c r="I43" s="6"/>
      <c r="J43" s="6"/>
      <c r="K43" s="6"/>
      <c r="L43" s="6"/>
      <c r="M43" s="6"/>
      <c r="N43" s="6"/>
      <c r="O43" s="6"/>
      <c r="P43" s="6"/>
      <c r="Q43" s="6"/>
      <c r="R43" s="6"/>
      <c r="S43" s="6"/>
      <c r="T43" s="6"/>
      <c r="U43" s="6"/>
      <c r="V43" s="6"/>
      <c r="W43" s="14"/>
    </row>
    <row r="44" spans="2:23" s="7" customFormat="1" x14ac:dyDescent="0.25">
      <c r="B44" s="17" t="s">
        <v>21</v>
      </c>
      <c r="C44" s="17"/>
      <c r="D44" s="17"/>
      <c r="E44" s="19">
        <f>E45+E52+E56</f>
        <v>624400</v>
      </c>
      <c r="F44" s="19">
        <f t="shared" ref="F44:U44" si="79">F45+F52+F56</f>
        <v>85950</v>
      </c>
      <c r="G44" s="19">
        <f t="shared" si="79"/>
        <v>710350</v>
      </c>
      <c r="H44" s="19">
        <f t="shared" si="79"/>
        <v>1114400</v>
      </c>
      <c r="I44" s="19">
        <f t="shared" si="79"/>
        <v>102250</v>
      </c>
      <c r="J44" s="19">
        <f t="shared" si="79"/>
        <v>1216650</v>
      </c>
      <c r="K44" s="19">
        <f t="shared" si="79"/>
        <v>1495400</v>
      </c>
      <c r="L44" s="19">
        <f t="shared" si="79"/>
        <v>119920</v>
      </c>
      <c r="M44" s="19">
        <f t="shared" si="79"/>
        <v>1615320</v>
      </c>
      <c r="N44" s="19">
        <f t="shared" si="79"/>
        <v>2832300</v>
      </c>
      <c r="O44" s="19">
        <f t="shared" si="79"/>
        <v>38503</v>
      </c>
      <c r="P44" s="19">
        <f t="shared" si="79"/>
        <v>2870803</v>
      </c>
      <c r="Q44" s="19">
        <f t="shared" si="79"/>
        <v>211400</v>
      </c>
      <c r="R44" s="19">
        <f t="shared" si="79"/>
        <v>15040</v>
      </c>
      <c r="S44" s="19">
        <f t="shared" si="79"/>
        <v>226440</v>
      </c>
      <c r="T44" s="19">
        <f t="shared" si="79"/>
        <v>6277900</v>
      </c>
      <c r="U44" s="19">
        <f t="shared" si="79"/>
        <v>361663</v>
      </c>
      <c r="V44" s="19">
        <f>V45+V52+V56</f>
        <v>6639563</v>
      </c>
      <c r="W44" s="14"/>
    </row>
    <row r="45" spans="2:23" s="7" customFormat="1" ht="15" customHeight="1" x14ac:dyDescent="0.25">
      <c r="B45" s="9" t="s">
        <v>55</v>
      </c>
      <c r="C45" s="3"/>
      <c r="D45" s="3"/>
      <c r="E45" s="4">
        <f t="shared" ref="E45:V45" si="80">SUM(E46:E51)</f>
        <v>99000</v>
      </c>
      <c r="F45" s="4">
        <f t="shared" si="80"/>
        <v>33930</v>
      </c>
      <c r="G45" s="4">
        <f t="shared" si="80"/>
        <v>132930</v>
      </c>
      <c r="H45" s="4">
        <f t="shared" si="80"/>
        <v>159000</v>
      </c>
      <c r="I45" s="4">
        <f t="shared" si="80"/>
        <v>20130</v>
      </c>
      <c r="J45" s="4">
        <f t="shared" si="80"/>
        <v>179130</v>
      </c>
      <c r="K45" s="4">
        <f t="shared" si="80"/>
        <v>234000</v>
      </c>
      <c r="L45" s="4">
        <f t="shared" si="80"/>
        <v>16380.000000000002</v>
      </c>
      <c r="M45" s="4">
        <f t="shared" si="80"/>
        <v>250380</v>
      </c>
      <c r="N45" s="4">
        <f t="shared" si="80"/>
        <v>900</v>
      </c>
      <c r="O45" s="4">
        <f t="shared" si="80"/>
        <v>63.000000000000007</v>
      </c>
      <c r="P45" s="4">
        <f t="shared" si="80"/>
        <v>963</v>
      </c>
      <c r="Q45" s="4">
        <f t="shared" si="80"/>
        <v>0</v>
      </c>
      <c r="R45" s="4">
        <f t="shared" si="80"/>
        <v>0</v>
      </c>
      <c r="S45" s="4">
        <f t="shared" si="80"/>
        <v>0</v>
      </c>
      <c r="T45" s="4">
        <f t="shared" si="80"/>
        <v>492900</v>
      </c>
      <c r="U45" s="4">
        <f t="shared" si="80"/>
        <v>70503</v>
      </c>
      <c r="V45" s="4">
        <f t="shared" si="80"/>
        <v>563403</v>
      </c>
      <c r="W45" s="14"/>
    </row>
    <row r="46" spans="2:23" ht="24" x14ac:dyDescent="0.25">
      <c r="B46" s="10" t="s">
        <v>57</v>
      </c>
      <c r="C46" s="5" t="s">
        <v>11</v>
      </c>
      <c r="D46" s="5" t="s">
        <v>100</v>
      </c>
      <c r="E46" s="6">
        <v>90000</v>
      </c>
      <c r="F46" s="6">
        <f>E46*0.07</f>
        <v>6300.0000000000009</v>
      </c>
      <c r="G46" s="6">
        <f t="shared" ref="G46" si="81">SUM(E46:F46)</f>
        <v>96300</v>
      </c>
      <c r="H46" s="6">
        <f>E46*0.1</f>
        <v>9000</v>
      </c>
      <c r="I46" s="6">
        <f>H46*0.07</f>
        <v>630.00000000000011</v>
      </c>
      <c r="J46" s="6">
        <f t="shared" ref="J46" si="82">SUM(H46:I46)</f>
        <v>9630</v>
      </c>
      <c r="K46" s="6">
        <f>E46*0.1</f>
        <v>9000</v>
      </c>
      <c r="L46" s="6">
        <f>K46*0.07</f>
        <v>630.00000000000011</v>
      </c>
      <c r="M46" s="6">
        <f t="shared" ref="M46" si="83">SUM(K46:L46)</f>
        <v>9630</v>
      </c>
      <c r="N46" s="6">
        <f>H46*0.1</f>
        <v>900</v>
      </c>
      <c r="O46" s="6">
        <f>N46*0.07</f>
        <v>63.000000000000007</v>
      </c>
      <c r="P46" s="6">
        <f t="shared" ref="P46" si="84">SUM(N46:O46)</f>
        <v>963</v>
      </c>
      <c r="Q46" s="6">
        <v>0</v>
      </c>
      <c r="R46" s="6">
        <f>Q46*0.07</f>
        <v>0</v>
      </c>
      <c r="S46" s="6">
        <f t="shared" ref="S46" si="85">SUM(Q46:R46)</f>
        <v>0</v>
      </c>
      <c r="T46" s="6">
        <f>E46+H46+K46+N46+Q46</f>
        <v>108900</v>
      </c>
      <c r="U46" s="6">
        <f>F46+I46+L46+O46+R46</f>
        <v>7623.0000000000009</v>
      </c>
      <c r="V46" s="6">
        <f>G46+J46+M46+P46+S46</f>
        <v>116523</v>
      </c>
      <c r="W46" s="14"/>
    </row>
    <row r="47" spans="2:23" s="7" customFormat="1" ht="166.9" customHeight="1" x14ac:dyDescent="0.25">
      <c r="B47" s="10" t="s">
        <v>58</v>
      </c>
      <c r="C47" s="5" t="s">
        <v>11</v>
      </c>
      <c r="D47" s="5" t="s">
        <v>161</v>
      </c>
      <c r="E47" s="6">
        <v>0</v>
      </c>
      <c r="F47" s="6">
        <f>E46*0.1</f>
        <v>9000</v>
      </c>
      <c r="G47" s="6">
        <f t="shared" ref="G47:G50" si="86">SUM(E47:F47)</f>
        <v>9000</v>
      </c>
      <c r="H47" s="6">
        <v>0</v>
      </c>
      <c r="I47" s="6">
        <f>F47</f>
        <v>9000</v>
      </c>
      <c r="J47" s="6">
        <f>SUM(H47:I47)</f>
        <v>9000</v>
      </c>
      <c r="K47" s="6">
        <v>0</v>
      </c>
      <c r="L47" s="6">
        <v>0</v>
      </c>
      <c r="M47" s="6">
        <f>SUM(K47:L47)</f>
        <v>0</v>
      </c>
      <c r="N47" s="6">
        <v>0</v>
      </c>
      <c r="O47" s="6">
        <v>0</v>
      </c>
      <c r="P47" s="6">
        <f>SUM(N47:O47)</f>
        <v>0</v>
      </c>
      <c r="Q47" s="6">
        <v>0</v>
      </c>
      <c r="R47" s="6">
        <v>0</v>
      </c>
      <c r="S47" s="6">
        <f>SUM(Q47:R47)</f>
        <v>0</v>
      </c>
      <c r="T47" s="6">
        <f t="shared" ref="T47:T50" si="87">E47+H47+K47+N47+Q47</f>
        <v>0</v>
      </c>
      <c r="U47" s="6">
        <f t="shared" ref="U47:U50" si="88">F47+I47+L47+O47+R47</f>
        <v>18000</v>
      </c>
      <c r="V47" s="6">
        <f t="shared" ref="V47:V50" si="89">G47+J47+M47+P47+S47</f>
        <v>18000</v>
      </c>
      <c r="W47" s="14"/>
    </row>
    <row r="48" spans="2:23" ht="36" x14ac:dyDescent="0.25">
      <c r="B48" s="10" t="s">
        <v>59</v>
      </c>
      <c r="C48" s="5" t="s">
        <v>12</v>
      </c>
      <c r="D48" s="5" t="s">
        <v>125</v>
      </c>
      <c r="E48" s="6">
        <v>9000</v>
      </c>
      <c r="F48" s="6">
        <f t="shared" ref="F48" si="90">E48*0.07</f>
        <v>630.00000000000011</v>
      </c>
      <c r="G48" s="6">
        <f t="shared" si="86"/>
        <v>9630</v>
      </c>
      <c r="H48" s="6">
        <v>0</v>
      </c>
      <c r="I48" s="6">
        <v>0</v>
      </c>
      <c r="J48" s="6">
        <f>SUM(H48:I48)</f>
        <v>0</v>
      </c>
      <c r="K48" s="6">
        <v>0</v>
      </c>
      <c r="L48" s="6">
        <v>0</v>
      </c>
      <c r="M48" s="6">
        <f t="shared" ref="M48" si="91">SUM(K48:L48)</f>
        <v>0</v>
      </c>
      <c r="N48" s="6">
        <v>0</v>
      </c>
      <c r="O48" s="6">
        <v>0</v>
      </c>
      <c r="P48" s="6">
        <f t="shared" ref="P48" si="92">SUM(N48:O48)</f>
        <v>0</v>
      </c>
      <c r="Q48" s="6">
        <v>0</v>
      </c>
      <c r="R48" s="6">
        <v>0</v>
      </c>
      <c r="S48" s="6">
        <f t="shared" ref="S48" si="93">SUM(Q48:R48)</f>
        <v>0</v>
      </c>
      <c r="T48" s="6">
        <f t="shared" si="87"/>
        <v>9000</v>
      </c>
      <c r="U48" s="6">
        <f t="shared" si="88"/>
        <v>630.00000000000011</v>
      </c>
      <c r="V48" s="6">
        <f t="shared" si="89"/>
        <v>9630</v>
      </c>
      <c r="W48" s="14"/>
    </row>
    <row r="49" spans="2:23" s="7" customFormat="1" ht="36" x14ac:dyDescent="0.25">
      <c r="B49" s="10" t="s">
        <v>61</v>
      </c>
      <c r="C49" s="5" t="s">
        <v>11</v>
      </c>
      <c r="D49" s="5" t="s">
        <v>125</v>
      </c>
      <c r="E49" s="6">
        <v>0</v>
      </c>
      <c r="F49" s="6">
        <f>1500*12</f>
        <v>18000</v>
      </c>
      <c r="G49" s="6">
        <f t="shared" si="86"/>
        <v>18000</v>
      </c>
      <c r="H49" s="6">
        <v>0</v>
      </c>
      <c r="I49" s="6">
        <v>0</v>
      </c>
      <c r="J49" s="6">
        <f>SUM(H49:I49)</f>
        <v>0</v>
      </c>
      <c r="K49" s="6">
        <v>0</v>
      </c>
      <c r="L49" s="6">
        <v>0</v>
      </c>
      <c r="M49" s="6">
        <f>SUM(K49:L49)</f>
        <v>0</v>
      </c>
      <c r="N49" s="6">
        <v>0</v>
      </c>
      <c r="O49" s="6">
        <v>0</v>
      </c>
      <c r="P49" s="6">
        <f>SUM(N49:O49)</f>
        <v>0</v>
      </c>
      <c r="Q49" s="6">
        <v>0</v>
      </c>
      <c r="R49" s="6">
        <v>0</v>
      </c>
      <c r="S49" s="6">
        <f>SUM(Q49:R49)</f>
        <v>0</v>
      </c>
      <c r="T49" s="6">
        <f t="shared" si="87"/>
        <v>0</v>
      </c>
      <c r="U49" s="6">
        <f t="shared" si="88"/>
        <v>18000</v>
      </c>
      <c r="V49" s="6">
        <f t="shared" si="89"/>
        <v>18000</v>
      </c>
      <c r="W49" s="14"/>
    </row>
    <row r="50" spans="2:23" ht="72" x14ac:dyDescent="0.25">
      <c r="B50" s="10" t="s">
        <v>60</v>
      </c>
      <c r="C50" s="5" t="s">
        <v>10</v>
      </c>
      <c r="D50" s="5" t="s">
        <v>126</v>
      </c>
      <c r="E50" s="6">
        <v>0</v>
      </c>
      <c r="F50" s="6">
        <v>0</v>
      </c>
      <c r="G50" s="6">
        <f t="shared" si="86"/>
        <v>0</v>
      </c>
      <c r="H50" s="6">
        <f>75000*2</f>
        <v>150000</v>
      </c>
      <c r="I50" s="6">
        <f t="shared" ref="I50" si="94">H50*0.07</f>
        <v>10500.000000000002</v>
      </c>
      <c r="J50" s="6">
        <f>SUM(H50:I50)</f>
        <v>160500</v>
      </c>
      <c r="K50" s="6">
        <f>75000*3</f>
        <v>225000</v>
      </c>
      <c r="L50" s="6">
        <f t="shared" ref="L50" si="95">K50*0.07</f>
        <v>15750.000000000002</v>
      </c>
      <c r="M50" s="6">
        <f t="shared" ref="M50" si="96">SUM(K50:L50)</f>
        <v>240750</v>
      </c>
      <c r="N50" s="6">
        <v>0</v>
      </c>
      <c r="O50" s="6">
        <v>0</v>
      </c>
      <c r="P50" s="6">
        <f>SUM(N50:O50)</f>
        <v>0</v>
      </c>
      <c r="Q50" s="6">
        <v>0</v>
      </c>
      <c r="R50" s="6">
        <v>0</v>
      </c>
      <c r="S50" s="6">
        <f>SUM(Q50:R50)</f>
        <v>0</v>
      </c>
      <c r="T50" s="6">
        <f t="shared" si="87"/>
        <v>375000</v>
      </c>
      <c r="U50" s="6">
        <f t="shared" si="88"/>
        <v>26250.000000000004</v>
      </c>
      <c r="V50" s="6">
        <f t="shared" si="89"/>
        <v>401250</v>
      </c>
      <c r="W50" s="14"/>
    </row>
    <row r="51" spans="2:23" s="7" customFormat="1" x14ac:dyDescent="0.25">
      <c r="B51" s="10"/>
      <c r="C51" s="5"/>
      <c r="D51" s="5"/>
      <c r="E51" s="6"/>
      <c r="F51" s="6"/>
      <c r="G51" s="6"/>
      <c r="H51" s="6"/>
      <c r="I51" s="6"/>
      <c r="J51" s="6"/>
      <c r="K51" s="6"/>
      <c r="L51" s="6"/>
      <c r="M51" s="6"/>
      <c r="N51" s="6"/>
      <c r="O51" s="6"/>
      <c r="P51" s="6"/>
      <c r="Q51" s="6"/>
      <c r="R51" s="6"/>
      <c r="S51" s="6"/>
      <c r="T51" s="6"/>
      <c r="U51" s="6"/>
      <c r="V51" s="6"/>
      <c r="W51" s="14"/>
    </row>
    <row r="52" spans="2:23" s="7" customFormat="1" x14ac:dyDescent="0.25">
      <c r="B52" s="9" t="s">
        <v>56</v>
      </c>
      <c r="C52" s="3"/>
      <c r="D52" s="5"/>
      <c r="E52" s="4">
        <f>SUM(E53:E54)</f>
        <v>72000</v>
      </c>
      <c r="F52" s="4">
        <f t="shared" ref="F52:V52" si="97">SUM(F53:F54)</f>
        <v>20040</v>
      </c>
      <c r="G52" s="4">
        <f t="shared" si="97"/>
        <v>92040</v>
      </c>
      <c r="H52" s="4">
        <f t="shared" si="97"/>
        <v>72000</v>
      </c>
      <c r="I52" s="4">
        <f t="shared" si="97"/>
        <v>20040</v>
      </c>
      <c r="J52" s="4">
        <f t="shared" si="97"/>
        <v>92040</v>
      </c>
      <c r="K52" s="4">
        <f t="shared" si="97"/>
        <v>72000</v>
      </c>
      <c r="L52" s="4">
        <f t="shared" si="97"/>
        <v>20040</v>
      </c>
      <c r="M52" s="4">
        <f t="shared" si="97"/>
        <v>92040</v>
      </c>
      <c r="N52" s="4">
        <f t="shared" si="97"/>
        <v>72000</v>
      </c>
      <c r="O52" s="4">
        <f t="shared" si="97"/>
        <v>20040</v>
      </c>
      <c r="P52" s="4">
        <f t="shared" si="97"/>
        <v>92040</v>
      </c>
      <c r="Q52" s="4">
        <f t="shared" si="97"/>
        <v>72000</v>
      </c>
      <c r="R52" s="4">
        <f t="shared" si="97"/>
        <v>5040.0000000000009</v>
      </c>
      <c r="S52" s="4">
        <f t="shared" si="97"/>
        <v>77040</v>
      </c>
      <c r="T52" s="4">
        <f t="shared" si="97"/>
        <v>360000</v>
      </c>
      <c r="U52" s="4">
        <f t="shared" si="97"/>
        <v>85200</v>
      </c>
      <c r="V52" s="4">
        <f t="shared" si="97"/>
        <v>445200</v>
      </c>
      <c r="W52" s="14"/>
    </row>
    <row r="53" spans="2:23" s="7" customFormat="1" ht="96" x14ac:dyDescent="0.25">
      <c r="B53" s="10" t="s">
        <v>62</v>
      </c>
      <c r="C53" s="5" t="s">
        <v>12</v>
      </c>
      <c r="D53" s="5" t="s">
        <v>101</v>
      </c>
      <c r="E53" s="6">
        <f>24000*3</f>
        <v>72000</v>
      </c>
      <c r="F53" s="6">
        <f>E53*0.07</f>
        <v>5040.0000000000009</v>
      </c>
      <c r="G53" s="6">
        <f>SUM(E53:F53)</f>
        <v>77040</v>
      </c>
      <c r="H53" s="6">
        <f>24000*3</f>
        <v>72000</v>
      </c>
      <c r="I53" s="6">
        <f>H53*0.07</f>
        <v>5040.0000000000009</v>
      </c>
      <c r="J53" s="6">
        <f>SUM(H53:I53)</f>
        <v>77040</v>
      </c>
      <c r="K53" s="6">
        <f>24000*3</f>
        <v>72000</v>
      </c>
      <c r="L53" s="6">
        <f>K53*0.07</f>
        <v>5040.0000000000009</v>
      </c>
      <c r="M53" s="6">
        <f t="shared" ref="M53" si="98">SUM(K53:L53)</f>
        <v>77040</v>
      </c>
      <c r="N53" s="6">
        <f>24000*3</f>
        <v>72000</v>
      </c>
      <c r="O53" s="6">
        <f>N53*0.07</f>
        <v>5040.0000000000009</v>
      </c>
      <c r="P53" s="6">
        <f t="shared" ref="P53" si="99">SUM(N53:O53)</f>
        <v>77040</v>
      </c>
      <c r="Q53" s="6">
        <f>24000*3</f>
        <v>72000</v>
      </c>
      <c r="R53" s="6">
        <f>Q53*0.07</f>
        <v>5040.0000000000009</v>
      </c>
      <c r="S53" s="6">
        <f t="shared" ref="S53" si="100">SUM(Q53:R53)</f>
        <v>77040</v>
      </c>
      <c r="T53" s="6">
        <f t="shared" ref="T53:T54" si="101">E53+H53+K53+N53+Q53</f>
        <v>360000</v>
      </c>
      <c r="U53" s="6">
        <f t="shared" ref="U53:U54" si="102">F53+I53+L53+O53+R53</f>
        <v>25200.000000000004</v>
      </c>
      <c r="V53" s="6">
        <f t="shared" ref="V53:V54" si="103">G53+J53+M53+P53+S53</f>
        <v>385200</v>
      </c>
      <c r="W53" s="14"/>
    </row>
    <row r="54" spans="2:23" s="7" customFormat="1" ht="94.9" customHeight="1" x14ac:dyDescent="0.25">
      <c r="B54" s="10" t="s">
        <v>63</v>
      </c>
      <c r="C54" s="5" t="s">
        <v>11</v>
      </c>
      <c r="D54" s="5" t="s">
        <v>101</v>
      </c>
      <c r="E54" s="6">
        <v>0</v>
      </c>
      <c r="F54" s="6">
        <v>15000</v>
      </c>
      <c r="G54" s="6">
        <f>SUM(E54:F54)</f>
        <v>15000</v>
      </c>
      <c r="H54" s="6">
        <v>0</v>
      </c>
      <c r="I54" s="6">
        <v>15000</v>
      </c>
      <c r="J54" s="6">
        <f>SUM(H54:I54)</f>
        <v>15000</v>
      </c>
      <c r="K54" s="6">
        <v>0</v>
      </c>
      <c r="L54" s="6">
        <v>15000</v>
      </c>
      <c r="M54" s="6">
        <f>SUM(K54:L54)</f>
        <v>15000</v>
      </c>
      <c r="N54" s="6">
        <v>0</v>
      </c>
      <c r="O54" s="6">
        <v>15000</v>
      </c>
      <c r="P54" s="6">
        <f>SUM(N54:O54)</f>
        <v>15000</v>
      </c>
      <c r="Q54" s="6">
        <v>0</v>
      </c>
      <c r="R54" s="6">
        <v>0</v>
      </c>
      <c r="S54" s="6">
        <f>SUM(Q54:R54)</f>
        <v>0</v>
      </c>
      <c r="T54" s="6">
        <f t="shared" si="101"/>
        <v>0</v>
      </c>
      <c r="U54" s="6">
        <f t="shared" si="102"/>
        <v>60000</v>
      </c>
      <c r="V54" s="6">
        <f t="shared" si="103"/>
        <v>60000</v>
      </c>
      <c r="W54" s="14"/>
    </row>
    <row r="55" spans="2:23" s="7" customFormat="1" x14ac:dyDescent="0.25">
      <c r="B55" s="10"/>
      <c r="C55" s="5"/>
      <c r="D55" s="5"/>
      <c r="E55" s="6"/>
      <c r="F55" s="6"/>
      <c r="G55" s="6"/>
      <c r="H55" s="6"/>
      <c r="I55" s="6"/>
      <c r="J55" s="6"/>
      <c r="K55" s="6"/>
      <c r="L55" s="6"/>
      <c r="M55" s="6"/>
      <c r="N55" s="6"/>
      <c r="O55" s="6"/>
      <c r="P55" s="6"/>
      <c r="Q55" s="6"/>
      <c r="R55" s="6"/>
      <c r="S55" s="6"/>
      <c r="T55" s="6"/>
      <c r="U55" s="6"/>
      <c r="V55" s="6"/>
      <c r="W55" s="14"/>
    </row>
    <row r="56" spans="2:23" s="7" customFormat="1" x14ac:dyDescent="0.25">
      <c r="B56" s="9" t="s">
        <v>162</v>
      </c>
      <c r="C56" s="3"/>
      <c r="D56" s="5"/>
      <c r="E56" s="4">
        <f>SUM(E57:E62)</f>
        <v>453400</v>
      </c>
      <c r="F56" s="4">
        <f t="shared" ref="F56:V56" si="104">SUM(F57:F62)</f>
        <v>31980</v>
      </c>
      <c r="G56" s="4">
        <f t="shared" si="104"/>
        <v>485380</v>
      </c>
      <c r="H56" s="4">
        <f t="shared" si="104"/>
        <v>883400</v>
      </c>
      <c r="I56" s="4">
        <f t="shared" si="104"/>
        <v>62080</v>
      </c>
      <c r="J56" s="4">
        <f t="shared" si="104"/>
        <v>945480</v>
      </c>
      <c r="K56" s="4">
        <f t="shared" si="104"/>
        <v>1189400</v>
      </c>
      <c r="L56" s="4">
        <f t="shared" si="104"/>
        <v>83500</v>
      </c>
      <c r="M56" s="4">
        <f t="shared" si="104"/>
        <v>1272900</v>
      </c>
      <c r="N56" s="4">
        <f t="shared" si="104"/>
        <v>2759400</v>
      </c>
      <c r="O56" s="4">
        <f t="shared" si="104"/>
        <v>18400</v>
      </c>
      <c r="P56" s="4">
        <f t="shared" si="104"/>
        <v>2777800</v>
      </c>
      <c r="Q56" s="4">
        <f t="shared" si="104"/>
        <v>139400</v>
      </c>
      <c r="R56" s="4">
        <f t="shared" si="104"/>
        <v>10000</v>
      </c>
      <c r="S56" s="4">
        <f t="shared" si="104"/>
        <v>149400</v>
      </c>
      <c r="T56" s="4">
        <f t="shared" si="104"/>
        <v>5425000</v>
      </c>
      <c r="U56" s="4">
        <f t="shared" si="104"/>
        <v>205960</v>
      </c>
      <c r="V56" s="4">
        <f t="shared" si="104"/>
        <v>5630960</v>
      </c>
      <c r="W56" s="14"/>
    </row>
    <row r="57" spans="2:23" s="7" customFormat="1" ht="89.45" customHeight="1" x14ac:dyDescent="0.25">
      <c r="B57" s="55" t="s">
        <v>67</v>
      </c>
      <c r="C57" s="5" t="s">
        <v>12</v>
      </c>
      <c r="D57" s="5" t="s">
        <v>102</v>
      </c>
      <c r="E57" s="6">
        <v>8000</v>
      </c>
      <c r="F57" s="6">
        <f>E57*0.07</f>
        <v>560</v>
      </c>
      <c r="G57" s="6">
        <f t="shared" ref="G57:G62" si="105">SUM(E57:F57)</f>
        <v>8560</v>
      </c>
      <c r="H57" s="6">
        <v>0</v>
      </c>
      <c r="I57" s="6">
        <v>0</v>
      </c>
      <c r="J57" s="6">
        <f t="shared" ref="J57:J58" si="106">SUM(H57:I57)</f>
        <v>0</v>
      </c>
      <c r="K57" s="6">
        <v>0</v>
      </c>
      <c r="L57" s="6">
        <v>0</v>
      </c>
      <c r="M57" s="6">
        <f t="shared" ref="M57:M58" si="107">SUM(K57:L57)</f>
        <v>0</v>
      </c>
      <c r="N57" s="6">
        <v>0</v>
      </c>
      <c r="O57" s="6">
        <v>0</v>
      </c>
      <c r="P57" s="6">
        <f t="shared" ref="P57:P58" si="108">SUM(N57:O57)</f>
        <v>0</v>
      </c>
      <c r="Q57" s="6">
        <v>0</v>
      </c>
      <c r="R57" s="6">
        <v>0</v>
      </c>
      <c r="S57" s="6">
        <f t="shared" ref="S57:S58" si="109">SUM(Q57:R57)</f>
        <v>0</v>
      </c>
      <c r="T57" s="6">
        <f t="shared" ref="T57:V58" si="110">E57+H57+K57+N57+Q57</f>
        <v>8000</v>
      </c>
      <c r="U57" s="6">
        <f t="shared" si="110"/>
        <v>560</v>
      </c>
      <c r="V57" s="6">
        <f t="shared" si="110"/>
        <v>8560</v>
      </c>
      <c r="W57" s="14"/>
    </row>
    <row r="58" spans="2:23" s="7" customFormat="1" ht="89.45" customHeight="1" x14ac:dyDescent="0.25">
      <c r="B58" s="55" t="s">
        <v>68</v>
      </c>
      <c r="C58" s="5" t="s">
        <v>11</v>
      </c>
      <c r="D58" s="5" t="s">
        <v>102</v>
      </c>
      <c r="E58" s="6">
        <v>139400</v>
      </c>
      <c r="F58" s="6">
        <f>10000</f>
        <v>10000</v>
      </c>
      <c r="G58" s="6">
        <f t="shared" si="105"/>
        <v>149400</v>
      </c>
      <c r="H58" s="6">
        <v>139400</v>
      </c>
      <c r="I58" s="6">
        <f>10000</f>
        <v>10000</v>
      </c>
      <c r="J58" s="6">
        <f t="shared" si="106"/>
        <v>149400</v>
      </c>
      <c r="K58" s="6">
        <v>139400</v>
      </c>
      <c r="L58" s="6">
        <f>10000</f>
        <v>10000</v>
      </c>
      <c r="M58" s="6">
        <f t="shared" si="107"/>
        <v>149400</v>
      </c>
      <c r="N58" s="6">
        <v>139400</v>
      </c>
      <c r="O58" s="6">
        <f>10000</f>
        <v>10000</v>
      </c>
      <c r="P58" s="6">
        <f t="shared" si="108"/>
        <v>149400</v>
      </c>
      <c r="Q58" s="6">
        <v>139400</v>
      </c>
      <c r="R58" s="6">
        <f>10000</f>
        <v>10000</v>
      </c>
      <c r="S58" s="6">
        <f t="shared" si="109"/>
        <v>149400</v>
      </c>
      <c r="T58" s="6">
        <f t="shared" si="110"/>
        <v>697000</v>
      </c>
      <c r="U58" s="6">
        <f t="shared" si="110"/>
        <v>50000</v>
      </c>
      <c r="V58" s="6">
        <f t="shared" si="110"/>
        <v>747000</v>
      </c>
      <c r="W58" s="14"/>
    </row>
    <row r="59" spans="2:23" s="7" customFormat="1" ht="57.6" customHeight="1" x14ac:dyDescent="0.25">
      <c r="B59" s="10" t="s">
        <v>66</v>
      </c>
      <c r="C59" s="5" t="s">
        <v>12</v>
      </c>
      <c r="D59" s="5" t="s">
        <v>169</v>
      </c>
      <c r="E59" s="6">
        <v>120000</v>
      </c>
      <c r="F59" s="6">
        <f>E59*0.07</f>
        <v>8400</v>
      </c>
      <c r="G59" s="6">
        <f t="shared" si="105"/>
        <v>128400</v>
      </c>
      <c r="H59" s="6">
        <v>0</v>
      </c>
      <c r="I59" s="6">
        <v>0</v>
      </c>
      <c r="J59" s="6">
        <f>SUM(H59:I59)</f>
        <v>0</v>
      </c>
      <c r="K59" s="50">
        <v>120000</v>
      </c>
      <c r="L59" s="50">
        <f>K59*0.07</f>
        <v>8400</v>
      </c>
      <c r="M59" s="50">
        <f>SUM(K59:L59)</f>
        <v>128400</v>
      </c>
      <c r="N59" s="50">
        <v>120000</v>
      </c>
      <c r="O59" s="50">
        <f>N59*0.07</f>
        <v>8400</v>
      </c>
      <c r="P59" s="6">
        <f>SUM(N59:O59)</f>
        <v>128400</v>
      </c>
      <c r="Q59" s="50">
        <v>0</v>
      </c>
      <c r="R59" s="50">
        <f>Q59*0.07</f>
        <v>0</v>
      </c>
      <c r="S59" s="6">
        <f>SUM(Q59:R59)</f>
        <v>0</v>
      </c>
      <c r="T59" s="6">
        <f t="shared" ref="T59:T68" si="111">E59+H59+K59+N59+Q59</f>
        <v>360000</v>
      </c>
      <c r="U59" s="6">
        <f t="shared" ref="U59:U68" si="112">F59+I59+L59+O59+R59</f>
        <v>25200</v>
      </c>
      <c r="V59" s="6">
        <f t="shared" ref="V59:V68" si="113">G59+J59+M59+P59+S59</f>
        <v>385200</v>
      </c>
      <c r="W59" s="14"/>
    </row>
    <row r="60" spans="2:23" s="7" customFormat="1" ht="38.450000000000003" customHeight="1" x14ac:dyDescent="0.25">
      <c r="B60" s="10" t="s">
        <v>37</v>
      </c>
      <c r="C60" s="5" t="s">
        <v>12</v>
      </c>
      <c r="D60" s="5" t="s">
        <v>168</v>
      </c>
      <c r="E60" s="6">
        <v>93000</v>
      </c>
      <c r="F60" s="6">
        <f>E60*0.07</f>
        <v>6510.0000000000009</v>
      </c>
      <c r="G60" s="6">
        <f t="shared" si="105"/>
        <v>99510</v>
      </c>
      <c r="H60" s="6">
        <v>372000</v>
      </c>
      <c r="I60" s="6">
        <f>H60*0.07</f>
        <v>26040.000000000004</v>
      </c>
      <c r="J60" s="6">
        <f>SUM(H60:I60)</f>
        <v>398040</v>
      </c>
      <c r="K60" s="50">
        <v>465000</v>
      </c>
      <c r="L60" s="50">
        <f>K60*0.07</f>
        <v>32550.000000000004</v>
      </c>
      <c r="M60" s="50">
        <f>SUM(K60:L60)</f>
        <v>497550</v>
      </c>
      <c r="N60" s="50">
        <v>0</v>
      </c>
      <c r="O60" s="50">
        <f>N60*0.07</f>
        <v>0</v>
      </c>
      <c r="P60" s="6">
        <f>SUM(N60:O60)</f>
        <v>0</v>
      </c>
      <c r="Q60" s="50">
        <v>0</v>
      </c>
      <c r="R60" s="50">
        <f>Q60*0.07</f>
        <v>0</v>
      </c>
      <c r="S60" s="6">
        <f>SUM(Q60:R60)</f>
        <v>0</v>
      </c>
      <c r="T60" s="6">
        <f t="shared" si="111"/>
        <v>930000</v>
      </c>
      <c r="U60" s="6">
        <f t="shared" si="112"/>
        <v>65100.000000000007</v>
      </c>
      <c r="V60" s="6">
        <f t="shared" si="113"/>
        <v>995100</v>
      </c>
      <c r="W60" s="14"/>
    </row>
    <row r="61" spans="2:23" s="7" customFormat="1" ht="60" x14ac:dyDescent="0.25">
      <c r="B61" s="10" t="s">
        <v>64</v>
      </c>
      <c r="C61" s="5" t="s">
        <v>12</v>
      </c>
      <c r="D61" s="5" t="s">
        <v>170</v>
      </c>
      <c r="E61" s="6">
        <v>93000</v>
      </c>
      <c r="F61" s="6">
        <f>E61*0.07</f>
        <v>6510.0000000000009</v>
      </c>
      <c r="G61" s="6">
        <f t="shared" si="105"/>
        <v>99510</v>
      </c>
      <c r="H61" s="6">
        <v>372000</v>
      </c>
      <c r="I61" s="6">
        <f>H61*0.07</f>
        <v>26040.000000000004</v>
      </c>
      <c r="J61" s="6">
        <f>SUM(H61:I61)</f>
        <v>398040</v>
      </c>
      <c r="K61" s="50">
        <v>465000</v>
      </c>
      <c r="L61" s="50">
        <f>K61*0.07</f>
        <v>32550.000000000004</v>
      </c>
      <c r="M61" s="50">
        <f>SUM(K61:L61)</f>
        <v>497550</v>
      </c>
      <c r="N61" s="50">
        <v>0</v>
      </c>
      <c r="O61" s="50">
        <f>N61*0.07</f>
        <v>0</v>
      </c>
      <c r="P61" s="6">
        <f>SUM(N61:O61)</f>
        <v>0</v>
      </c>
      <c r="Q61" s="50">
        <v>0</v>
      </c>
      <c r="R61" s="50">
        <f>Q61*0.07</f>
        <v>0</v>
      </c>
      <c r="S61" s="6">
        <f>SUM(Q61:R61)</f>
        <v>0</v>
      </c>
      <c r="T61" s="6">
        <f t="shared" si="111"/>
        <v>930000</v>
      </c>
      <c r="U61" s="6">
        <f t="shared" si="112"/>
        <v>65100.000000000007</v>
      </c>
      <c r="V61" s="6">
        <f t="shared" si="113"/>
        <v>995100</v>
      </c>
      <c r="W61" s="14"/>
    </row>
    <row r="62" spans="2:23" s="7" customFormat="1" ht="24" x14ac:dyDescent="0.25">
      <c r="B62" s="55" t="s">
        <v>65</v>
      </c>
      <c r="C62" s="5" t="s">
        <v>12</v>
      </c>
      <c r="D62" s="5" t="s">
        <v>171</v>
      </c>
      <c r="E62" s="6">
        <v>0</v>
      </c>
      <c r="F62" s="6">
        <v>0</v>
      </c>
      <c r="G62" s="6">
        <f t="shared" si="105"/>
        <v>0</v>
      </c>
      <c r="H62" s="6">
        <v>0</v>
      </c>
      <c r="I62" s="6">
        <v>0</v>
      </c>
      <c r="J62" s="6">
        <f>SUM(H62:I62)</f>
        <v>0</v>
      </c>
      <c r="K62" s="50">
        <v>0</v>
      </c>
      <c r="L62" s="50">
        <v>0</v>
      </c>
      <c r="M62" s="50">
        <f>SUM(K62:L62)</f>
        <v>0</v>
      </c>
      <c r="N62" s="56">
        <v>2500000</v>
      </c>
      <c r="O62" s="50">
        <v>0</v>
      </c>
      <c r="P62" s="57">
        <f>SUM(N62:O62)</f>
        <v>2500000</v>
      </c>
      <c r="Q62" s="50">
        <v>0</v>
      </c>
      <c r="R62" s="50">
        <v>0</v>
      </c>
      <c r="S62" s="6">
        <f>SUM(Q62:R62)</f>
        <v>0</v>
      </c>
      <c r="T62" s="6">
        <f t="shared" si="111"/>
        <v>2500000</v>
      </c>
      <c r="U62" s="6">
        <f t="shared" si="112"/>
        <v>0</v>
      </c>
      <c r="V62" s="6">
        <f t="shared" si="113"/>
        <v>2500000</v>
      </c>
      <c r="W62" s="14"/>
    </row>
    <row r="63" spans="2:23" s="7" customFormat="1" x14ac:dyDescent="0.25">
      <c r="B63" s="58"/>
      <c r="C63" s="5"/>
      <c r="D63" s="5"/>
      <c r="E63" s="6"/>
      <c r="F63" s="6"/>
      <c r="G63" s="6"/>
      <c r="H63" s="6"/>
      <c r="I63" s="6"/>
      <c r="J63" s="6"/>
      <c r="K63" s="50"/>
      <c r="L63" s="50"/>
      <c r="M63" s="50"/>
      <c r="N63" s="59"/>
      <c r="O63" s="59"/>
      <c r="P63" s="60"/>
      <c r="Q63" s="50"/>
      <c r="R63" s="50"/>
      <c r="S63" s="6"/>
      <c r="T63" s="6"/>
      <c r="U63" s="6"/>
      <c r="V63" s="6"/>
      <c r="W63" s="14"/>
    </row>
    <row r="64" spans="2:23" s="7" customFormat="1" x14ac:dyDescent="0.25">
      <c r="B64" s="17" t="s">
        <v>163</v>
      </c>
      <c r="C64" s="17"/>
      <c r="D64" s="17"/>
      <c r="E64" s="19">
        <f>SUM(E65:E68)</f>
        <v>638110</v>
      </c>
      <c r="F64" s="19">
        <f t="shared" ref="F64:V64" si="114">SUM(F65:F68)</f>
        <v>501750</v>
      </c>
      <c r="G64" s="19">
        <f t="shared" si="114"/>
        <v>1139860</v>
      </c>
      <c r="H64" s="19">
        <f t="shared" si="114"/>
        <v>638110</v>
      </c>
      <c r="I64" s="19">
        <f t="shared" si="114"/>
        <v>555696</v>
      </c>
      <c r="J64" s="19">
        <f t="shared" si="114"/>
        <v>1193806</v>
      </c>
      <c r="K64" s="19">
        <f t="shared" si="114"/>
        <v>638110</v>
      </c>
      <c r="L64" s="19">
        <f t="shared" si="114"/>
        <v>626750</v>
      </c>
      <c r="M64" s="19">
        <f t="shared" si="114"/>
        <v>1264860</v>
      </c>
      <c r="N64" s="19">
        <f t="shared" si="114"/>
        <v>638110</v>
      </c>
      <c r="O64" s="19">
        <f t="shared" si="114"/>
        <v>626750</v>
      </c>
      <c r="P64" s="19">
        <f t="shared" si="114"/>
        <v>1264860</v>
      </c>
      <c r="Q64" s="19">
        <f t="shared" si="114"/>
        <v>561276</v>
      </c>
      <c r="R64" s="19">
        <f t="shared" si="114"/>
        <v>626750</v>
      </c>
      <c r="S64" s="19">
        <f t="shared" si="114"/>
        <v>1188026</v>
      </c>
      <c r="T64" s="19">
        <f t="shared" si="114"/>
        <v>3113716</v>
      </c>
      <c r="U64" s="19">
        <f t="shared" si="114"/>
        <v>2937696</v>
      </c>
      <c r="V64" s="19">
        <f t="shared" si="114"/>
        <v>6051412</v>
      </c>
      <c r="W64" s="14"/>
    </row>
    <row r="65" spans="2:23" s="7" customFormat="1" ht="24" x14ac:dyDescent="0.25">
      <c r="B65" s="10" t="s">
        <v>36</v>
      </c>
      <c r="C65" s="5" t="s">
        <v>11</v>
      </c>
      <c r="D65" s="5" t="s">
        <v>166</v>
      </c>
      <c r="E65" s="6">
        <v>25000</v>
      </c>
      <c r="F65" s="6">
        <f t="shared" ref="F65" si="115">E65*0.07</f>
        <v>1750.0000000000002</v>
      </c>
      <c r="G65" s="6">
        <f t="shared" ref="G65:G68" si="116">SUM(E65:F65)</f>
        <v>26750</v>
      </c>
      <c r="H65" s="6">
        <v>25000</v>
      </c>
      <c r="I65" s="6">
        <f t="shared" ref="I65" si="117">H65*0.07</f>
        <v>1750.0000000000002</v>
      </c>
      <c r="J65" s="6">
        <f t="shared" ref="J65:J68" si="118">SUM(H65:I65)</f>
        <v>26750</v>
      </c>
      <c r="K65" s="6">
        <v>25000</v>
      </c>
      <c r="L65" s="6">
        <f t="shared" ref="L65" si="119">K65*0.07</f>
        <v>1750.0000000000002</v>
      </c>
      <c r="M65" s="6">
        <f t="shared" ref="M65:M68" si="120">SUM(K65:L65)</f>
        <v>26750</v>
      </c>
      <c r="N65" s="6">
        <v>25000</v>
      </c>
      <c r="O65" s="6">
        <f>N65*0.07</f>
        <v>1750.0000000000002</v>
      </c>
      <c r="P65" s="6">
        <f t="shared" ref="P65:P68" si="121">SUM(N65:O65)</f>
        <v>26750</v>
      </c>
      <c r="Q65" s="6">
        <v>25000</v>
      </c>
      <c r="R65" s="6">
        <f>Q65*0.07</f>
        <v>1750.0000000000002</v>
      </c>
      <c r="S65" s="6">
        <f t="shared" ref="S65:S68" si="122">SUM(Q65:R65)</f>
        <v>26750</v>
      </c>
      <c r="T65" s="6">
        <f t="shared" si="111"/>
        <v>125000</v>
      </c>
      <c r="U65" s="6">
        <f t="shared" si="112"/>
        <v>8750.0000000000018</v>
      </c>
      <c r="V65" s="6">
        <f t="shared" si="113"/>
        <v>133750</v>
      </c>
      <c r="W65" s="14"/>
    </row>
    <row r="66" spans="2:23" s="7" customFormat="1" ht="22.15" customHeight="1" x14ac:dyDescent="0.25">
      <c r="B66" s="10" t="s">
        <v>69</v>
      </c>
      <c r="C66" s="5" t="s">
        <v>12</v>
      </c>
      <c r="D66" s="5"/>
      <c r="E66" s="6">
        <v>304950</v>
      </c>
      <c r="F66" s="6">
        <v>0</v>
      </c>
      <c r="G66" s="6">
        <f t="shared" si="116"/>
        <v>304950</v>
      </c>
      <c r="H66" s="6">
        <v>304950</v>
      </c>
      <c r="I66" s="6">
        <v>0</v>
      </c>
      <c r="J66" s="6">
        <f t="shared" si="118"/>
        <v>304950</v>
      </c>
      <c r="K66" s="6">
        <v>304950</v>
      </c>
      <c r="L66" s="6">
        <v>0</v>
      </c>
      <c r="M66" s="6">
        <f t="shared" si="120"/>
        <v>304950</v>
      </c>
      <c r="N66" s="6">
        <v>304950</v>
      </c>
      <c r="O66" s="6">
        <v>0</v>
      </c>
      <c r="P66" s="6">
        <f t="shared" si="121"/>
        <v>304950</v>
      </c>
      <c r="Q66" s="6">
        <v>304950</v>
      </c>
      <c r="R66" s="6">
        <v>0</v>
      </c>
      <c r="S66" s="6">
        <f t="shared" si="122"/>
        <v>304950</v>
      </c>
      <c r="T66" s="6">
        <f t="shared" si="111"/>
        <v>1524750</v>
      </c>
      <c r="U66" s="6">
        <f t="shared" si="112"/>
        <v>0</v>
      </c>
      <c r="V66" s="6">
        <f t="shared" si="113"/>
        <v>1524750</v>
      </c>
      <c r="W66" s="14"/>
    </row>
    <row r="67" spans="2:23" s="7" customFormat="1" ht="22.15" customHeight="1" x14ac:dyDescent="0.25">
      <c r="B67" s="10" t="s">
        <v>70</v>
      </c>
      <c r="C67" s="5" t="s">
        <v>12</v>
      </c>
      <c r="D67" s="5"/>
      <c r="E67" s="6">
        <v>308160</v>
      </c>
      <c r="F67" s="6">
        <v>0</v>
      </c>
      <c r="G67" s="6">
        <f t="shared" si="116"/>
        <v>308160</v>
      </c>
      <c r="H67" s="6">
        <v>308160</v>
      </c>
      <c r="I67" s="6">
        <v>0</v>
      </c>
      <c r="J67" s="6">
        <f t="shared" si="118"/>
        <v>308160</v>
      </c>
      <c r="K67" s="6">
        <v>308160</v>
      </c>
      <c r="L67" s="6">
        <v>0</v>
      </c>
      <c r="M67" s="6">
        <f t="shared" si="120"/>
        <v>308160</v>
      </c>
      <c r="N67" s="6">
        <v>308160</v>
      </c>
      <c r="O67" s="6">
        <v>0</v>
      </c>
      <c r="P67" s="6">
        <f t="shared" si="121"/>
        <v>308160</v>
      </c>
      <c r="Q67" s="6">
        <f>308160-76834</f>
        <v>231326</v>
      </c>
      <c r="R67" s="6">
        <v>0</v>
      </c>
      <c r="S67" s="6">
        <f t="shared" si="122"/>
        <v>231326</v>
      </c>
      <c r="T67" s="6">
        <f t="shared" si="111"/>
        <v>1463966</v>
      </c>
      <c r="U67" s="6">
        <f t="shared" si="112"/>
        <v>0</v>
      </c>
      <c r="V67" s="6">
        <f t="shared" si="113"/>
        <v>1463966</v>
      </c>
      <c r="W67" s="14"/>
    </row>
    <row r="68" spans="2:23" s="7" customFormat="1" ht="22.15" customHeight="1" x14ac:dyDescent="0.25">
      <c r="B68" s="10" t="s">
        <v>71</v>
      </c>
      <c r="C68" s="5" t="s">
        <v>12</v>
      </c>
      <c r="D68" s="5"/>
      <c r="E68" s="6">
        <v>0</v>
      </c>
      <c r="F68" s="6">
        <f>20000000*0.025</f>
        <v>500000</v>
      </c>
      <c r="G68" s="6">
        <f t="shared" si="116"/>
        <v>500000</v>
      </c>
      <c r="H68" s="6">
        <v>0</v>
      </c>
      <c r="I68" s="6">
        <f>25000000*0.025-71054</f>
        <v>553946</v>
      </c>
      <c r="J68" s="6">
        <f t="shared" si="118"/>
        <v>553946</v>
      </c>
      <c r="K68" s="6">
        <v>0</v>
      </c>
      <c r="L68" s="6">
        <f>25000000*0.025</f>
        <v>625000</v>
      </c>
      <c r="M68" s="6">
        <f t="shared" si="120"/>
        <v>625000</v>
      </c>
      <c r="N68" s="6">
        <v>0</v>
      </c>
      <c r="O68" s="6">
        <f>25000000*0.025</f>
        <v>625000</v>
      </c>
      <c r="P68" s="6">
        <f t="shared" si="121"/>
        <v>625000</v>
      </c>
      <c r="Q68" s="6">
        <v>0</v>
      </c>
      <c r="R68" s="6">
        <f>25000000*0.025</f>
        <v>625000</v>
      </c>
      <c r="S68" s="6">
        <f t="shared" si="122"/>
        <v>625000</v>
      </c>
      <c r="T68" s="6">
        <f t="shared" si="111"/>
        <v>0</v>
      </c>
      <c r="U68" s="6">
        <f t="shared" si="112"/>
        <v>2928946</v>
      </c>
      <c r="V68" s="6">
        <f t="shared" si="113"/>
        <v>2928946</v>
      </c>
      <c r="W68" s="14"/>
    </row>
    <row r="69" spans="2:23" s="7" customFormat="1" x14ac:dyDescent="0.25">
      <c r="B69" s="10"/>
      <c r="C69" s="5"/>
      <c r="D69" s="5"/>
      <c r="E69" s="6"/>
      <c r="F69" s="6"/>
      <c r="G69" s="6"/>
      <c r="H69" s="6"/>
      <c r="I69" s="6"/>
      <c r="J69" s="6"/>
      <c r="K69" s="6"/>
      <c r="L69" s="6"/>
      <c r="M69" s="6"/>
      <c r="N69" s="6"/>
      <c r="O69" s="6"/>
      <c r="P69" s="6"/>
      <c r="Q69" s="6"/>
      <c r="R69" s="6"/>
      <c r="S69" s="6"/>
      <c r="T69" s="6"/>
      <c r="U69" s="6"/>
      <c r="V69" s="6"/>
      <c r="W69" s="14"/>
    </row>
    <row r="70" spans="2:23" s="7" customFormat="1" x14ac:dyDescent="0.25">
      <c r="B70" s="20" t="s">
        <v>3</v>
      </c>
      <c r="C70" s="20"/>
      <c r="D70" s="20"/>
      <c r="E70" s="21">
        <f>E6+E24+E44+E64</f>
        <v>22750910</v>
      </c>
      <c r="F70" s="21">
        <f t="shared" ref="F70:V70" si="123">F6+F24+F44+F64</f>
        <v>3049125</v>
      </c>
      <c r="G70" s="21">
        <f t="shared" si="123"/>
        <v>25800035</v>
      </c>
      <c r="H70" s="21">
        <f t="shared" si="123"/>
        <v>29897452.999999996</v>
      </c>
      <c r="I70" s="21">
        <f t="shared" si="123"/>
        <v>3450673</v>
      </c>
      <c r="J70" s="21">
        <f t="shared" si="123"/>
        <v>33348125.999999996</v>
      </c>
      <c r="K70" s="21">
        <f t="shared" si="123"/>
        <v>32525170.000000004</v>
      </c>
      <c r="L70" s="21">
        <f t="shared" si="123"/>
        <v>6697710.0000000009</v>
      </c>
      <c r="M70" s="21">
        <f t="shared" si="123"/>
        <v>39222880</v>
      </c>
      <c r="N70" s="21">
        <f t="shared" si="123"/>
        <v>29496146</v>
      </c>
      <c r="O70" s="21">
        <f t="shared" si="123"/>
        <v>10123497</v>
      </c>
      <c r="P70" s="21">
        <f t="shared" si="123"/>
        <v>39619643</v>
      </c>
      <c r="Q70" s="21">
        <f t="shared" si="123"/>
        <v>25330321</v>
      </c>
      <c r="R70" s="21">
        <f t="shared" si="123"/>
        <v>10678995</v>
      </c>
      <c r="S70" s="21">
        <f t="shared" si="123"/>
        <v>36009316</v>
      </c>
      <c r="T70" s="21">
        <f t="shared" si="123"/>
        <v>140000000</v>
      </c>
      <c r="U70" s="21">
        <f t="shared" si="123"/>
        <v>34000000</v>
      </c>
      <c r="V70" s="21">
        <f t="shared" si="123"/>
        <v>174000000</v>
      </c>
      <c r="W70" s="14"/>
    </row>
    <row r="75" spans="2:23" x14ac:dyDescent="0.25">
      <c r="G75" s="51"/>
    </row>
    <row r="77" spans="2:23" x14ac:dyDescent="0.25">
      <c r="I77" s="51"/>
    </row>
  </sheetData>
  <autoFilter ref="C1:C77"/>
  <mergeCells count="7">
    <mergeCell ref="T4:V4"/>
    <mergeCell ref="N4:P4"/>
    <mergeCell ref="C2:E2"/>
    <mergeCell ref="E4:G4"/>
    <mergeCell ref="H4:J4"/>
    <mergeCell ref="K4:M4"/>
    <mergeCell ref="Q4:S4"/>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Datos!$C$2:$C$13</xm:f>
          </x14:formula1>
          <xm:sqref>D8 D14:D22 D10:D11</xm:sqref>
        </x14:dataValidation>
        <x14:dataValidation type="list" allowBlank="1" showInputMessage="1" showErrorMessage="1">
          <x14:formula1>
            <xm:f>Datos!$A$2:$A$8</xm:f>
          </x14:formula1>
          <xm:sqref>C53:C54 C26:C31 C8 C34:C42 C14:C22 C10:C12 C57:C68 C46:C50</xm:sqref>
        </x14:dataValidation>
        <x14:dataValidation type="list" allowBlank="1" showInputMessage="1" showErrorMessage="1">
          <x14:formula1>
            <xm:f>Datos!$E$2:$E$10</xm:f>
          </x14:formula1>
          <xm:sqref>D26:D42</xm:sqref>
        </x14:dataValidation>
        <x14:dataValidation type="list" allowBlank="1" showInputMessage="1" showErrorMessage="1">
          <x14:formula1>
            <xm:f>Datos!$C$2:$C$14</xm:f>
          </x14:formula1>
          <xm:sqref>D12</xm:sqref>
        </x14:dataValidation>
        <x14:dataValidation type="list" allowBlank="1" showInputMessage="1" showErrorMessage="1">
          <x14:formula1>
            <xm:f>Datos!$G$2:$G$12</xm:f>
          </x14:formula1>
          <xm:sqref>D46:D64 D66:D68</xm:sqref>
        </x14:dataValidation>
        <x14:dataValidation type="list" allowBlank="1" showInputMessage="1" showErrorMessage="1">
          <x14:formula1>
            <xm:f>Datos!$I$2</xm:f>
          </x14:formula1>
          <xm:sqref>D65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
  <sheetViews>
    <sheetView tabSelected="1" workbookViewId="0">
      <selection activeCell="P25" sqref="P25"/>
    </sheetView>
  </sheetViews>
  <sheetFormatPr defaultColWidth="9.140625" defaultRowHeight="12" x14ac:dyDescent="0.2"/>
  <cols>
    <col min="1" max="1" width="3" style="11" customWidth="1"/>
    <col min="2" max="2" width="11.85546875" style="11" customWidth="1"/>
    <col min="3" max="7" width="9.5703125" style="11" customWidth="1"/>
    <col min="8" max="8" width="10.85546875" style="11" bestFit="1" customWidth="1"/>
    <col min="9" max="16384" width="9.140625" style="11"/>
  </cols>
  <sheetData>
    <row r="1" spans="2:8" ht="12" customHeight="1" x14ac:dyDescent="0.2">
      <c r="B1" s="107" t="s">
        <v>22</v>
      </c>
      <c r="C1" s="107"/>
      <c r="D1" s="107"/>
      <c r="E1" s="107"/>
      <c r="F1" s="107"/>
      <c r="G1" s="107"/>
      <c r="H1" s="107"/>
    </row>
    <row r="2" spans="2:8" x14ac:dyDescent="0.2">
      <c r="B2" s="78" t="s">
        <v>5</v>
      </c>
      <c r="C2" s="1"/>
      <c r="D2" s="1"/>
      <c r="E2" s="1"/>
      <c r="F2" s="1"/>
      <c r="G2" s="1"/>
    </row>
    <row r="3" spans="2:8" x14ac:dyDescent="0.25">
      <c r="C3" s="1"/>
      <c r="D3" s="1"/>
      <c r="E3" s="1"/>
      <c r="F3" s="1"/>
      <c r="G3" s="1"/>
    </row>
    <row r="4" spans="2:8" x14ac:dyDescent="0.2">
      <c r="B4" s="79"/>
      <c r="C4" s="80">
        <v>2016</v>
      </c>
      <c r="D4" s="80">
        <v>2017</v>
      </c>
      <c r="E4" s="80">
        <v>2018</v>
      </c>
      <c r="F4" s="80">
        <v>2019</v>
      </c>
      <c r="G4" s="80">
        <v>2020</v>
      </c>
      <c r="H4" s="81" t="s">
        <v>3</v>
      </c>
    </row>
    <row r="5" spans="2:8" ht="7.15" customHeight="1" x14ac:dyDescent="0.2">
      <c r="B5" s="82"/>
      <c r="C5" s="82"/>
      <c r="D5" s="82"/>
      <c r="E5" s="82"/>
      <c r="F5" s="82"/>
      <c r="G5" s="82"/>
      <c r="H5" s="82"/>
    </row>
    <row r="6" spans="2:8" ht="15" customHeight="1" x14ac:dyDescent="0.2">
      <c r="B6" s="83" t="s">
        <v>0</v>
      </c>
      <c r="C6" s="84">
        <f>'Costos v1'!E70</f>
        <v>22750910</v>
      </c>
      <c r="D6" s="84">
        <f>'Costos v1'!H70</f>
        <v>29897452.999999996</v>
      </c>
      <c r="E6" s="84">
        <f>'Costos v1'!K70</f>
        <v>32525170.000000004</v>
      </c>
      <c r="F6" s="84">
        <f>'Costos v1'!N70</f>
        <v>29496146</v>
      </c>
      <c r="G6" s="84">
        <f>'Costos v1'!Q70</f>
        <v>25330321</v>
      </c>
      <c r="H6" s="84">
        <f>'Costos v1'!T70</f>
        <v>140000000</v>
      </c>
    </row>
    <row r="7" spans="2:8" x14ac:dyDescent="0.2">
      <c r="B7" s="83" t="s">
        <v>6</v>
      </c>
      <c r="C7" s="84">
        <f>'Costos v1'!F70</f>
        <v>3049125</v>
      </c>
      <c r="D7" s="84">
        <f>'Costos v1'!I70</f>
        <v>3450673</v>
      </c>
      <c r="E7" s="84">
        <f>'Costos v1'!L70</f>
        <v>6697710.0000000009</v>
      </c>
      <c r="F7" s="84">
        <f>'Costos v1'!O70</f>
        <v>10123497</v>
      </c>
      <c r="G7" s="84">
        <f>'Costos v1'!R70</f>
        <v>10678995</v>
      </c>
      <c r="H7" s="84">
        <f>'Costos v1'!U70</f>
        <v>34000000</v>
      </c>
    </row>
    <row r="8" spans="2:8" s="13" customFormat="1" x14ac:dyDescent="0.2">
      <c r="B8" s="85" t="s">
        <v>3</v>
      </c>
      <c r="C8" s="86">
        <f>'Costos v1'!G70</f>
        <v>25800035</v>
      </c>
      <c r="D8" s="86">
        <f>'Costos v1'!J70</f>
        <v>33348125.999999996</v>
      </c>
      <c r="E8" s="86">
        <f>'Costos v1'!M70</f>
        <v>39222880</v>
      </c>
      <c r="F8" s="86">
        <f>'Costos v1'!P70</f>
        <v>39619643</v>
      </c>
      <c r="G8" s="86">
        <f>'Costos v1'!S70</f>
        <v>36009316</v>
      </c>
      <c r="H8" s="86">
        <f>'Costos v1'!V70</f>
        <v>174000000</v>
      </c>
    </row>
    <row r="9" spans="2:8" x14ac:dyDescent="0.25">
      <c r="C9" s="12"/>
      <c r="D9" s="12"/>
      <c r="E9" s="12"/>
      <c r="F9" s="12"/>
      <c r="G9" s="12"/>
    </row>
    <row r="10" spans="2:8" x14ac:dyDescent="0.25">
      <c r="B10" s="12"/>
    </row>
  </sheetData>
  <mergeCells count="1">
    <mergeCell ref="B1:H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1"/>
  <sheetViews>
    <sheetView workbookViewId="0">
      <selection activeCell="B19" sqref="B19"/>
    </sheetView>
  </sheetViews>
  <sheetFormatPr defaultColWidth="9.140625" defaultRowHeight="12" x14ac:dyDescent="0.25"/>
  <cols>
    <col min="1" max="1" width="3" style="2" customWidth="1"/>
    <col min="2" max="2" width="71.7109375" style="2" customWidth="1"/>
    <col min="3" max="4" width="18" style="2" hidden="1" customWidth="1"/>
    <col min="5" max="5" width="9.5703125" style="2" hidden="1" customWidth="1"/>
    <col min="6" max="6" width="8.7109375" style="2" hidden="1" customWidth="1"/>
    <col min="7" max="7" width="11.28515625" style="2" hidden="1" customWidth="1"/>
    <col min="8" max="8" width="9.7109375" style="2" hidden="1" customWidth="1"/>
    <col min="9" max="9" width="9.5703125" style="2" hidden="1" customWidth="1"/>
    <col min="10" max="13" width="11.28515625" style="2" hidden="1" customWidth="1"/>
    <col min="14" max="14" width="10.28515625" style="2" hidden="1" customWidth="1"/>
    <col min="15" max="15" width="9.5703125" style="2" hidden="1" customWidth="1"/>
    <col min="16" max="16" width="11.28515625" style="2" hidden="1" customWidth="1"/>
    <col min="17" max="17" width="10.28515625" style="2" hidden="1" customWidth="1"/>
    <col min="18" max="18" width="9.5703125" style="2" hidden="1" customWidth="1"/>
    <col min="19" max="19" width="11.28515625" style="2" hidden="1" customWidth="1"/>
    <col min="20" max="22" width="13.28515625" style="2" customWidth="1"/>
    <col min="23" max="23" width="12.5703125" style="2" bestFit="1" customWidth="1"/>
    <col min="24" max="16384" width="9.140625" style="2"/>
  </cols>
  <sheetData>
    <row r="1" spans="2:23" ht="14.25" customHeight="1" x14ac:dyDescent="0.25">
      <c r="B1" s="87" t="s">
        <v>22</v>
      </c>
      <c r="C1" s="88"/>
      <c r="D1" s="88"/>
      <c r="E1" s="88"/>
      <c r="F1" s="88"/>
      <c r="G1" s="88"/>
      <c r="H1" s="88"/>
      <c r="I1" s="88"/>
      <c r="J1" s="88"/>
      <c r="K1" s="88"/>
      <c r="L1" s="88"/>
      <c r="M1" s="88"/>
      <c r="N1" s="88"/>
      <c r="O1" s="88"/>
      <c r="P1" s="88"/>
      <c r="Q1" s="88"/>
      <c r="R1" s="88"/>
      <c r="S1" s="88"/>
      <c r="T1" s="88"/>
      <c r="U1" s="88"/>
      <c r="V1" s="88"/>
    </row>
    <row r="2" spans="2:23" ht="10.5" customHeight="1" x14ac:dyDescent="0.25">
      <c r="B2" s="89" t="s">
        <v>145</v>
      </c>
      <c r="C2" s="109" t="s">
        <v>15</v>
      </c>
      <c r="D2" s="109"/>
      <c r="E2" s="109"/>
      <c r="F2" s="89"/>
      <c r="G2" s="89"/>
      <c r="H2" s="89"/>
      <c r="I2" s="89"/>
      <c r="J2" s="89"/>
      <c r="K2" s="89"/>
      <c r="L2" s="89"/>
      <c r="M2" s="89"/>
      <c r="N2" s="89"/>
      <c r="O2" s="88"/>
      <c r="P2" s="88"/>
      <c r="Q2" s="89"/>
      <c r="R2" s="88"/>
      <c r="S2" s="88"/>
      <c r="T2" s="88"/>
      <c r="U2" s="88"/>
      <c r="V2" s="88"/>
    </row>
    <row r="3" spans="2:23" x14ac:dyDescent="0.25">
      <c r="B3" s="88"/>
      <c r="C3" s="89"/>
      <c r="D3" s="89"/>
      <c r="E3" s="89"/>
      <c r="F3" s="89"/>
      <c r="G3" s="89"/>
      <c r="H3" s="89"/>
      <c r="I3" s="89"/>
      <c r="J3" s="89"/>
      <c r="K3" s="89"/>
      <c r="L3" s="89"/>
      <c r="M3" s="89"/>
      <c r="N3" s="89"/>
      <c r="O3" s="88"/>
      <c r="P3" s="88"/>
      <c r="Q3" s="89"/>
      <c r="R3" s="88"/>
      <c r="S3" s="88"/>
      <c r="T3" s="88"/>
      <c r="U3" s="88"/>
      <c r="V3" s="88"/>
    </row>
    <row r="4" spans="2:23" x14ac:dyDescent="0.25">
      <c r="B4" s="88"/>
      <c r="C4" s="90" t="s">
        <v>2</v>
      </c>
      <c r="D4" s="90" t="s">
        <v>23</v>
      </c>
      <c r="E4" s="110">
        <v>2016</v>
      </c>
      <c r="F4" s="110"/>
      <c r="G4" s="110"/>
      <c r="H4" s="110">
        <v>2017</v>
      </c>
      <c r="I4" s="110"/>
      <c r="J4" s="110"/>
      <c r="K4" s="110">
        <v>2018</v>
      </c>
      <c r="L4" s="110"/>
      <c r="M4" s="110"/>
      <c r="N4" s="110">
        <v>2019</v>
      </c>
      <c r="O4" s="110"/>
      <c r="P4" s="110"/>
      <c r="Q4" s="110">
        <v>2020</v>
      </c>
      <c r="R4" s="110"/>
      <c r="S4" s="110"/>
      <c r="T4" s="108" t="s">
        <v>3</v>
      </c>
      <c r="U4" s="108"/>
      <c r="V4" s="108"/>
    </row>
    <row r="5" spans="2:23" ht="15.75" customHeight="1" x14ac:dyDescent="0.25">
      <c r="B5" s="91" t="s">
        <v>144</v>
      </c>
      <c r="C5" s="92"/>
      <c r="D5" s="92"/>
      <c r="E5" s="92" t="s">
        <v>0</v>
      </c>
      <c r="F5" s="92" t="s">
        <v>1</v>
      </c>
      <c r="G5" s="92" t="s">
        <v>4</v>
      </c>
      <c r="H5" s="92" t="s">
        <v>0</v>
      </c>
      <c r="I5" s="92" t="s">
        <v>1</v>
      </c>
      <c r="J5" s="92" t="s">
        <v>4</v>
      </c>
      <c r="K5" s="92" t="s">
        <v>0</v>
      </c>
      <c r="L5" s="92" t="s">
        <v>1</v>
      </c>
      <c r="M5" s="92" t="s">
        <v>4</v>
      </c>
      <c r="N5" s="92" t="s">
        <v>0</v>
      </c>
      <c r="O5" s="92" t="s">
        <v>1</v>
      </c>
      <c r="P5" s="92" t="s">
        <v>4</v>
      </c>
      <c r="Q5" s="92" t="s">
        <v>0</v>
      </c>
      <c r="R5" s="92" t="s">
        <v>1</v>
      </c>
      <c r="S5" s="92" t="s">
        <v>4</v>
      </c>
      <c r="T5" s="91" t="s">
        <v>146</v>
      </c>
      <c r="U5" s="91" t="s">
        <v>147</v>
      </c>
      <c r="V5" s="91" t="s">
        <v>148</v>
      </c>
    </row>
    <row r="6" spans="2:23" ht="24" x14ac:dyDescent="0.25">
      <c r="B6" s="93" t="s">
        <v>16</v>
      </c>
      <c r="C6" s="94"/>
      <c r="D6" s="94"/>
      <c r="E6" s="95" t="e">
        <f>#REF!</f>
        <v>#REF!</v>
      </c>
      <c r="F6" s="95" t="e">
        <f>#REF!</f>
        <v>#REF!</v>
      </c>
      <c r="G6" s="95" t="e">
        <f>#REF!</f>
        <v>#REF!</v>
      </c>
      <c r="H6" s="95" t="e">
        <f>#REF!</f>
        <v>#REF!</v>
      </c>
      <c r="I6" s="95" t="e">
        <f>#REF!</f>
        <v>#REF!</v>
      </c>
      <c r="J6" s="95" t="e">
        <f>#REF!</f>
        <v>#REF!</v>
      </c>
      <c r="K6" s="95" t="e">
        <f>#REF!</f>
        <v>#REF!</v>
      </c>
      <c r="L6" s="95" t="e">
        <f>#REF!</f>
        <v>#REF!</v>
      </c>
      <c r="M6" s="95" t="e">
        <f>#REF!</f>
        <v>#REF!</v>
      </c>
      <c r="N6" s="95" t="e">
        <f>#REF!</f>
        <v>#REF!</v>
      </c>
      <c r="O6" s="95" t="e">
        <f>#REF!</f>
        <v>#REF!</v>
      </c>
      <c r="P6" s="95" t="e">
        <f>#REF!</f>
        <v>#REF!</v>
      </c>
      <c r="Q6" s="95" t="e">
        <f>#REF!</f>
        <v>#REF!</v>
      </c>
      <c r="R6" s="95" t="e">
        <f>#REF!</f>
        <v>#REF!</v>
      </c>
      <c r="S6" s="95" t="e">
        <f>#REF!</f>
        <v>#REF!</v>
      </c>
      <c r="T6" s="96">
        <f>'Costos v1'!T6</f>
        <v>113149384</v>
      </c>
      <c r="U6" s="96">
        <f>'Costos v1'!U6</f>
        <v>30527961</v>
      </c>
      <c r="V6" s="96">
        <f>'Costos v1'!V6</f>
        <v>143677345</v>
      </c>
      <c r="W6" s="14"/>
    </row>
    <row r="7" spans="2:23" x14ac:dyDescent="0.25">
      <c r="B7" s="93" t="s">
        <v>18</v>
      </c>
      <c r="C7" s="97"/>
      <c r="D7" s="97"/>
      <c r="E7" s="95" t="e">
        <f>#REF!</f>
        <v>#REF!</v>
      </c>
      <c r="F7" s="95" t="e">
        <f>#REF!</f>
        <v>#REF!</v>
      </c>
      <c r="G7" s="95" t="e">
        <f>#REF!</f>
        <v>#REF!</v>
      </c>
      <c r="H7" s="95" t="e">
        <f>#REF!</f>
        <v>#REF!</v>
      </c>
      <c r="I7" s="95" t="e">
        <f>#REF!</f>
        <v>#REF!</v>
      </c>
      <c r="J7" s="95" t="e">
        <f>#REF!</f>
        <v>#REF!</v>
      </c>
      <c r="K7" s="95" t="e">
        <f>#REF!</f>
        <v>#REF!</v>
      </c>
      <c r="L7" s="95" t="e">
        <f>#REF!</f>
        <v>#REF!</v>
      </c>
      <c r="M7" s="95" t="e">
        <f>#REF!</f>
        <v>#REF!</v>
      </c>
      <c r="N7" s="95" t="e">
        <f>#REF!</f>
        <v>#REF!</v>
      </c>
      <c r="O7" s="95" t="e">
        <f>#REF!</f>
        <v>#REF!</v>
      </c>
      <c r="P7" s="95" t="e">
        <f>#REF!</f>
        <v>#REF!</v>
      </c>
      <c r="Q7" s="95" t="e">
        <f>#REF!</f>
        <v>#REF!</v>
      </c>
      <c r="R7" s="95" t="e">
        <f>#REF!</f>
        <v>#REF!</v>
      </c>
      <c r="S7" s="95" t="e">
        <f>#REF!</f>
        <v>#REF!</v>
      </c>
      <c r="T7" s="96">
        <f>'Costos v1'!T24</f>
        <v>17459000</v>
      </c>
      <c r="U7" s="96">
        <f>'Costos v1'!U24</f>
        <v>172680</v>
      </c>
      <c r="V7" s="96">
        <f>'Costos v1'!V24</f>
        <v>17631680</v>
      </c>
      <c r="W7" s="14"/>
    </row>
    <row r="8" spans="2:23" s="7" customFormat="1" x14ac:dyDescent="0.25">
      <c r="B8" s="93" t="s">
        <v>21</v>
      </c>
      <c r="C8" s="97"/>
      <c r="D8" s="97"/>
      <c r="E8" s="95" t="e">
        <f>#REF!</f>
        <v>#REF!</v>
      </c>
      <c r="F8" s="95" t="e">
        <f>#REF!</f>
        <v>#REF!</v>
      </c>
      <c r="G8" s="95" t="e">
        <f>#REF!</f>
        <v>#REF!</v>
      </c>
      <c r="H8" s="95" t="e">
        <f>#REF!</f>
        <v>#REF!</v>
      </c>
      <c r="I8" s="95" t="e">
        <f>#REF!</f>
        <v>#REF!</v>
      </c>
      <c r="J8" s="95" t="e">
        <f>#REF!</f>
        <v>#REF!</v>
      </c>
      <c r="K8" s="95" t="e">
        <f>#REF!</f>
        <v>#REF!</v>
      </c>
      <c r="L8" s="95" t="e">
        <f>#REF!</f>
        <v>#REF!</v>
      </c>
      <c r="M8" s="95" t="e">
        <f>#REF!</f>
        <v>#REF!</v>
      </c>
      <c r="N8" s="95" t="e">
        <f>#REF!</f>
        <v>#REF!</v>
      </c>
      <c r="O8" s="95" t="e">
        <f>#REF!</f>
        <v>#REF!</v>
      </c>
      <c r="P8" s="95" t="e">
        <f>#REF!</f>
        <v>#REF!</v>
      </c>
      <c r="Q8" s="95" t="e">
        <f>#REF!</f>
        <v>#REF!</v>
      </c>
      <c r="R8" s="95" t="e">
        <f>#REF!</f>
        <v>#REF!</v>
      </c>
      <c r="S8" s="95" t="e">
        <f>#REF!</f>
        <v>#REF!</v>
      </c>
      <c r="T8" s="96">
        <f>'Costos v1'!T44</f>
        <v>6277900</v>
      </c>
      <c r="U8" s="96">
        <f>'Costos v1'!U44</f>
        <v>361663</v>
      </c>
      <c r="V8" s="96">
        <f>'Costos v1'!V44</f>
        <v>6639563</v>
      </c>
      <c r="W8" s="14"/>
    </row>
    <row r="9" spans="2:23" s="7" customFormat="1" x14ac:dyDescent="0.25">
      <c r="B9" s="93" t="s">
        <v>163</v>
      </c>
      <c r="C9" s="98"/>
      <c r="D9" s="98"/>
      <c r="E9" s="99"/>
      <c r="F9" s="99"/>
      <c r="G9" s="99"/>
      <c r="H9" s="99"/>
      <c r="I9" s="99"/>
      <c r="J9" s="99"/>
      <c r="K9" s="99"/>
      <c r="L9" s="99"/>
      <c r="M9" s="99"/>
      <c r="N9" s="99"/>
      <c r="O9" s="99"/>
      <c r="P9" s="99"/>
      <c r="Q9" s="99"/>
      <c r="R9" s="99"/>
      <c r="S9" s="99"/>
      <c r="T9" s="96">
        <f>'Costos v1'!T64</f>
        <v>3113716</v>
      </c>
      <c r="U9" s="96">
        <f>'Costos v1'!U64</f>
        <v>2937696</v>
      </c>
      <c r="V9" s="96">
        <f>'Costos v1'!V64</f>
        <v>6051412</v>
      </c>
      <c r="W9" s="14"/>
    </row>
    <row r="10" spans="2:23" s="7" customFormat="1" x14ac:dyDescent="0.25">
      <c r="B10" s="93" t="s">
        <v>3</v>
      </c>
      <c r="C10" s="100"/>
      <c r="D10" s="100"/>
      <c r="E10" s="101" t="e">
        <f>#REF!</f>
        <v>#REF!</v>
      </c>
      <c r="F10" s="101" t="e">
        <f>#REF!</f>
        <v>#REF!</v>
      </c>
      <c r="G10" s="101" t="e">
        <f>#REF!</f>
        <v>#REF!</v>
      </c>
      <c r="H10" s="101" t="e">
        <f>#REF!</f>
        <v>#REF!</v>
      </c>
      <c r="I10" s="101" t="e">
        <f>#REF!</f>
        <v>#REF!</v>
      </c>
      <c r="J10" s="101" t="e">
        <f>#REF!</f>
        <v>#REF!</v>
      </c>
      <c r="K10" s="101" t="e">
        <f>#REF!</f>
        <v>#REF!</v>
      </c>
      <c r="L10" s="101" t="e">
        <f>#REF!</f>
        <v>#REF!</v>
      </c>
      <c r="M10" s="101" t="e">
        <f>#REF!</f>
        <v>#REF!</v>
      </c>
      <c r="N10" s="101" t="e">
        <f>#REF!</f>
        <v>#REF!</v>
      </c>
      <c r="O10" s="101" t="e">
        <f>#REF!</f>
        <v>#REF!</v>
      </c>
      <c r="P10" s="101" t="e">
        <f>#REF!</f>
        <v>#REF!</v>
      </c>
      <c r="Q10" s="101" t="e">
        <f>#REF!</f>
        <v>#REF!</v>
      </c>
      <c r="R10" s="101" t="e">
        <f>#REF!</f>
        <v>#REF!</v>
      </c>
      <c r="S10" s="101" t="e">
        <f>#REF!</f>
        <v>#REF!</v>
      </c>
      <c r="T10" s="96">
        <f>'Costos v1'!T70</f>
        <v>140000000</v>
      </c>
      <c r="U10" s="96">
        <f>'Costos v1'!U70</f>
        <v>34000000</v>
      </c>
      <c r="V10" s="96">
        <f>'Costos v1'!V70</f>
        <v>174000000</v>
      </c>
      <c r="W10" s="14"/>
    </row>
    <row r="11" spans="2:23" x14ac:dyDescent="0.25">
      <c r="B11" s="88"/>
      <c r="C11" s="88"/>
      <c r="D11" s="88"/>
      <c r="E11" s="88"/>
      <c r="F11" s="88"/>
      <c r="G11" s="88"/>
      <c r="H11" s="88"/>
      <c r="I11" s="88"/>
      <c r="J11" s="88"/>
      <c r="K11" s="88"/>
      <c r="L11" s="88"/>
      <c r="M11" s="88"/>
      <c r="N11" s="88"/>
      <c r="O11" s="88"/>
      <c r="P11" s="88"/>
      <c r="Q11" s="88"/>
      <c r="R11" s="88"/>
      <c r="S11" s="88"/>
      <c r="T11" s="88"/>
      <c r="U11" s="88"/>
      <c r="V11" s="88"/>
    </row>
  </sheetData>
  <mergeCells count="7">
    <mergeCell ref="T4:V4"/>
    <mergeCell ref="C2:E2"/>
    <mergeCell ref="E4:G4"/>
    <mergeCell ref="H4:J4"/>
    <mergeCell ref="K4:M4"/>
    <mergeCell ref="N4:P4"/>
    <mergeCell ref="Q4:S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3"/>
  <sheetViews>
    <sheetView topLeftCell="J1" workbookViewId="0">
      <selection activeCell="H25" sqref="H25"/>
    </sheetView>
  </sheetViews>
  <sheetFormatPr defaultColWidth="9.140625" defaultRowHeight="12" x14ac:dyDescent="0.25"/>
  <cols>
    <col min="1" max="1" width="3" style="2" customWidth="1"/>
    <col min="2" max="2" width="71.7109375" style="2" customWidth="1"/>
    <col min="3" max="4" width="18" style="2" hidden="1" customWidth="1"/>
    <col min="5" max="5" width="9.5703125" style="2" customWidth="1"/>
    <col min="6" max="6" width="8.7109375" style="2" customWidth="1"/>
    <col min="7" max="7" width="11.28515625" style="2" customWidth="1"/>
    <col min="8" max="8" width="9.7109375" style="2" customWidth="1"/>
    <col min="9" max="9" width="9.5703125" style="2" customWidth="1"/>
    <col min="10" max="13" width="11.28515625" style="2" customWidth="1"/>
    <col min="14" max="14" width="10.28515625" style="2" customWidth="1"/>
    <col min="15" max="15" width="9.5703125" style="2" customWidth="1"/>
    <col min="16" max="19" width="11.28515625" style="2" customWidth="1"/>
    <col min="20" max="20" width="10.5703125" style="2" customWidth="1"/>
    <col min="21" max="21" width="11.5703125" style="2" customWidth="1"/>
    <col min="22" max="22" width="10.5703125" style="2" customWidth="1"/>
    <col min="23" max="23" width="12.5703125" style="2" bestFit="1" customWidth="1"/>
    <col min="24" max="16384" width="9.140625" style="2"/>
  </cols>
  <sheetData>
    <row r="1" spans="2:23" ht="14.25" customHeight="1" x14ac:dyDescent="0.25">
      <c r="B1" s="87" t="s">
        <v>22</v>
      </c>
    </row>
    <row r="2" spans="2:23" ht="10.5" customHeight="1" x14ac:dyDescent="0.25">
      <c r="B2" s="89" t="s">
        <v>14</v>
      </c>
      <c r="C2" s="109" t="s">
        <v>15</v>
      </c>
      <c r="D2" s="109"/>
      <c r="E2" s="109"/>
      <c r="F2" s="45"/>
      <c r="G2" s="45"/>
      <c r="H2" s="45"/>
      <c r="I2" s="45"/>
      <c r="J2" s="45"/>
      <c r="K2" s="45"/>
      <c r="L2" s="45"/>
      <c r="M2" s="45"/>
      <c r="N2" s="45"/>
    </row>
    <row r="3" spans="2:23" x14ac:dyDescent="0.25">
      <c r="B3" s="88"/>
      <c r="C3" s="45"/>
      <c r="D3" s="45"/>
      <c r="E3" s="45"/>
      <c r="F3" s="45"/>
      <c r="G3" s="45"/>
      <c r="H3" s="45"/>
      <c r="I3" s="45"/>
      <c r="J3" s="45"/>
      <c r="K3" s="45"/>
      <c r="L3" s="45"/>
      <c r="M3" s="45"/>
      <c r="N3" s="45"/>
    </row>
    <row r="4" spans="2:23" x14ac:dyDescent="0.25">
      <c r="B4" s="89" t="s">
        <v>145</v>
      </c>
      <c r="C4" s="44" t="s">
        <v>2</v>
      </c>
      <c r="D4" s="44" t="s">
        <v>23</v>
      </c>
      <c r="E4" s="110">
        <v>2016</v>
      </c>
      <c r="F4" s="110"/>
      <c r="G4" s="110"/>
      <c r="H4" s="110">
        <v>2017</v>
      </c>
      <c r="I4" s="110"/>
      <c r="J4" s="110"/>
      <c r="K4" s="110">
        <v>2018</v>
      </c>
      <c r="L4" s="110"/>
      <c r="M4" s="110"/>
      <c r="N4" s="110">
        <v>2019</v>
      </c>
      <c r="O4" s="110"/>
      <c r="P4" s="110"/>
      <c r="Q4" s="110">
        <v>2020</v>
      </c>
      <c r="R4" s="110"/>
      <c r="S4" s="110"/>
      <c r="T4" s="110" t="s">
        <v>3</v>
      </c>
      <c r="U4" s="110"/>
      <c r="V4" s="110"/>
    </row>
    <row r="5" spans="2:23" ht="15.75" customHeight="1" x14ac:dyDescent="0.25">
      <c r="B5" s="92" t="s">
        <v>144</v>
      </c>
      <c r="C5" s="16"/>
      <c r="D5" s="16"/>
      <c r="E5" s="92" t="s">
        <v>0</v>
      </c>
      <c r="F5" s="92" t="s">
        <v>1</v>
      </c>
      <c r="G5" s="92" t="s">
        <v>4</v>
      </c>
      <c r="H5" s="92" t="s">
        <v>0</v>
      </c>
      <c r="I5" s="92" t="s">
        <v>1</v>
      </c>
      <c r="J5" s="92" t="s">
        <v>4</v>
      </c>
      <c r="K5" s="92" t="s">
        <v>0</v>
      </c>
      <c r="L5" s="92" t="s">
        <v>1</v>
      </c>
      <c r="M5" s="92" t="s">
        <v>4</v>
      </c>
      <c r="N5" s="92" t="s">
        <v>0</v>
      </c>
      <c r="O5" s="92" t="s">
        <v>1</v>
      </c>
      <c r="P5" s="92" t="s">
        <v>4</v>
      </c>
      <c r="Q5" s="92" t="s">
        <v>0</v>
      </c>
      <c r="R5" s="92" t="s">
        <v>1</v>
      </c>
      <c r="S5" s="92" t="s">
        <v>4</v>
      </c>
      <c r="T5" s="92" t="s">
        <v>0</v>
      </c>
      <c r="U5" s="92" t="s">
        <v>7</v>
      </c>
      <c r="V5" s="92" t="s">
        <v>8</v>
      </c>
    </row>
    <row r="6" spans="2:23" ht="24" x14ac:dyDescent="0.25">
      <c r="B6" s="97" t="s">
        <v>16</v>
      </c>
      <c r="C6" s="18"/>
      <c r="D6" s="18"/>
      <c r="E6" s="95">
        <f>'Costos v1'!E6</f>
        <v>21054400</v>
      </c>
      <c r="F6" s="95">
        <f>'Costos v1'!F6</f>
        <v>2447145</v>
      </c>
      <c r="G6" s="95">
        <f>'Costos v1'!G6</f>
        <v>23501545</v>
      </c>
      <c r="H6" s="95">
        <f>'Costos v1'!H6</f>
        <v>24443942.999999996</v>
      </c>
      <c r="I6" s="95">
        <f>'Costos v1'!I6</f>
        <v>2743827</v>
      </c>
      <c r="J6" s="95">
        <f>'Costos v1'!J6</f>
        <v>27187769.999999996</v>
      </c>
      <c r="K6" s="95">
        <f>'Costos v1'!K6</f>
        <v>23228660.000000004</v>
      </c>
      <c r="L6" s="95">
        <f>'Costos v1'!L6</f>
        <v>5913540.0000000009</v>
      </c>
      <c r="M6" s="95">
        <f>'Costos v1'!M6</f>
        <v>29142200.000000004</v>
      </c>
      <c r="N6" s="95">
        <f>'Costos v1'!N6</f>
        <v>21120736</v>
      </c>
      <c r="O6" s="95">
        <f>'Costos v1'!O6</f>
        <v>9422244</v>
      </c>
      <c r="P6" s="95">
        <f>'Costos v1'!P6</f>
        <v>30542980</v>
      </c>
      <c r="Q6" s="95">
        <f>'Costos v1'!Q6</f>
        <v>23301645</v>
      </c>
      <c r="R6" s="95">
        <f>'Costos v1'!R6</f>
        <v>10001205</v>
      </c>
      <c r="S6" s="95">
        <f>'Costos v1'!S6</f>
        <v>33302850</v>
      </c>
      <c r="T6" s="95">
        <f>'Costos v1'!T6</f>
        <v>113149384</v>
      </c>
      <c r="U6" s="95">
        <f>'Costos v1'!U6</f>
        <v>30527961</v>
      </c>
      <c r="V6" s="95">
        <f>'Costos v1'!V6</f>
        <v>143677345</v>
      </c>
      <c r="W6" s="14"/>
    </row>
    <row r="7" spans="2:23" s="7" customFormat="1" x14ac:dyDescent="0.25">
      <c r="B7" s="103" t="s">
        <v>17</v>
      </c>
      <c r="C7" s="8"/>
      <c r="D7" s="8"/>
      <c r="E7" s="102">
        <f>'Costos v1'!E7</f>
        <v>20028400</v>
      </c>
      <c r="F7" s="102">
        <f>'Costos v1'!F7</f>
        <v>2397600</v>
      </c>
      <c r="G7" s="102">
        <f>'Costos v1'!G7</f>
        <v>22426000</v>
      </c>
      <c r="H7" s="102">
        <f>'Costos v1'!H7</f>
        <v>23278442.999999996</v>
      </c>
      <c r="I7" s="102">
        <f>'Costos v1'!I7</f>
        <v>2719827</v>
      </c>
      <c r="J7" s="102">
        <f>'Costos v1'!J7</f>
        <v>25998269.999999996</v>
      </c>
      <c r="K7" s="102">
        <f>'Costos v1'!K7</f>
        <v>21700160.000000004</v>
      </c>
      <c r="L7" s="102">
        <f>'Costos v1'!L7</f>
        <v>5913540.0000000009</v>
      </c>
      <c r="M7" s="102">
        <f>'Costos v1'!M7</f>
        <v>27613700.000000004</v>
      </c>
      <c r="N7" s="102">
        <f>'Costos v1'!N7</f>
        <v>19955236</v>
      </c>
      <c r="O7" s="102">
        <f>'Costos v1'!O7</f>
        <v>9422244</v>
      </c>
      <c r="P7" s="102">
        <f>'Costos v1'!P7</f>
        <v>29377480</v>
      </c>
      <c r="Q7" s="102">
        <f>'Costos v1'!Q7</f>
        <v>22136145</v>
      </c>
      <c r="R7" s="102">
        <f>'Costos v1'!R7</f>
        <v>10001205</v>
      </c>
      <c r="S7" s="102">
        <f>'Costos v1'!S7</f>
        <v>32137350</v>
      </c>
      <c r="T7" s="102">
        <f>'Costos v1'!T7</f>
        <v>107098384</v>
      </c>
      <c r="U7" s="102">
        <f>'Costos v1'!U7</f>
        <v>30454416</v>
      </c>
      <c r="V7" s="102">
        <f>'Costos v1'!V7</f>
        <v>137552800</v>
      </c>
      <c r="W7" s="14"/>
    </row>
    <row r="8" spans="2:23" ht="24" x14ac:dyDescent="0.25">
      <c r="B8" s="103" t="s">
        <v>39</v>
      </c>
      <c r="C8" s="5"/>
      <c r="D8" s="5"/>
      <c r="E8" s="102">
        <f>'Costos v1'!E9</f>
        <v>612000</v>
      </c>
      <c r="F8" s="102">
        <f>'Costos v1'!F9</f>
        <v>3240</v>
      </c>
      <c r="G8" s="102">
        <f>'Costos v1'!G9</f>
        <v>615240</v>
      </c>
      <c r="H8" s="102">
        <f>'Costos v1'!H9</f>
        <v>963000</v>
      </c>
      <c r="I8" s="102">
        <f>'Costos v1'!I9</f>
        <v>0</v>
      </c>
      <c r="J8" s="102">
        <f>'Costos v1'!J9</f>
        <v>963000</v>
      </c>
      <c r="K8" s="102">
        <f>'Costos v1'!K9</f>
        <v>1326000</v>
      </c>
      <c r="L8" s="102">
        <f>'Costos v1'!L9</f>
        <v>0</v>
      </c>
      <c r="M8" s="102">
        <f>'Costos v1'!M9</f>
        <v>1326000</v>
      </c>
      <c r="N8" s="102">
        <f>'Costos v1'!N9</f>
        <v>963000</v>
      </c>
      <c r="O8" s="102">
        <f>'Costos v1'!O9</f>
        <v>0</v>
      </c>
      <c r="P8" s="102">
        <f>'Costos v1'!P9</f>
        <v>963000</v>
      </c>
      <c r="Q8" s="102">
        <f>'Costos v1'!Q9</f>
        <v>963000</v>
      </c>
      <c r="R8" s="102">
        <f>'Costos v1'!R9</f>
        <v>0</v>
      </c>
      <c r="S8" s="102">
        <f>'Costos v1'!S9</f>
        <v>963000</v>
      </c>
      <c r="T8" s="102">
        <f>'Costos v1'!T9</f>
        <v>4827000</v>
      </c>
      <c r="U8" s="102">
        <f>'Costos v1'!U9</f>
        <v>3240</v>
      </c>
      <c r="V8" s="102">
        <f>'Costos v1'!V9</f>
        <v>4830240</v>
      </c>
      <c r="W8" s="14"/>
    </row>
    <row r="9" spans="2:23" x14ac:dyDescent="0.25">
      <c r="B9" s="103" t="s">
        <v>38</v>
      </c>
      <c r="C9" s="5"/>
      <c r="D9" s="5"/>
      <c r="E9" s="102">
        <f>'Costos v1'!E13</f>
        <v>414000</v>
      </c>
      <c r="F9" s="102">
        <f>'Costos v1'!F13</f>
        <v>46305</v>
      </c>
      <c r="G9" s="102">
        <f>'Costos v1'!G13</f>
        <v>460305</v>
      </c>
      <c r="H9" s="102">
        <f>'Costos v1'!H13</f>
        <v>202500</v>
      </c>
      <c r="I9" s="102">
        <f>'Costos v1'!I13</f>
        <v>24000</v>
      </c>
      <c r="J9" s="102">
        <f>'Costos v1'!J13</f>
        <v>226500</v>
      </c>
      <c r="K9" s="102">
        <f>'Costos v1'!K13</f>
        <v>202500</v>
      </c>
      <c r="L9" s="102">
        <f>'Costos v1'!L13</f>
        <v>0</v>
      </c>
      <c r="M9" s="102">
        <f>'Costos v1'!M13</f>
        <v>202500</v>
      </c>
      <c r="N9" s="102">
        <f>'Costos v1'!N13</f>
        <v>202500</v>
      </c>
      <c r="O9" s="102">
        <f>'Costos v1'!O13</f>
        <v>0</v>
      </c>
      <c r="P9" s="102">
        <f>'Costos v1'!P13</f>
        <v>202500</v>
      </c>
      <c r="Q9" s="102">
        <f>'Costos v1'!Q13</f>
        <v>202500</v>
      </c>
      <c r="R9" s="102">
        <f>'Costos v1'!R13</f>
        <v>0</v>
      </c>
      <c r="S9" s="102">
        <f>'Costos v1'!S13</f>
        <v>202500</v>
      </c>
      <c r="T9" s="102">
        <f>'Costos v1'!T13</f>
        <v>1224000</v>
      </c>
      <c r="U9" s="102">
        <f>'Costos v1'!U13</f>
        <v>70305</v>
      </c>
      <c r="V9" s="102">
        <f>'Costos v1'!V13</f>
        <v>1294305</v>
      </c>
      <c r="W9" s="14"/>
    </row>
    <row r="10" spans="2:23" x14ac:dyDescent="0.25">
      <c r="B10" s="104"/>
      <c r="C10" s="5"/>
      <c r="D10" s="5"/>
      <c r="E10" s="99"/>
      <c r="F10" s="99"/>
      <c r="G10" s="99"/>
      <c r="H10" s="99"/>
      <c r="I10" s="99"/>
      <c r="J10" s="99"/>
      <c r="K10" s="99"/>
      <c r="L10" s="99"/>
      <c r="M10" s="99"/>
      <c r="N10" s="99"/>
      <c r="O10" s="99"/>
      <c r="P10" s="99"/>
      <c r="Q10" s="99"/>
      <c r="R10" s="99"/>
      <c r="S10" s="99"/>
      <c r="T10" s="99"/>
      <c r="U10" s="99"/>
      <c r="V10" s="99"/>
      <c r="W10" s="14"/>
    </row>
    <row r="11" spans="2:23" x14ac:dyDescent="0.25">
      <c r="B11" s="97" t="s">
        <v>18</v>
      </c>
      <c r="C11" s="17"/>
      <c r="D11" s="17"/>
      <c r="E11" s="95">
        <f>'Costos v1'!E24</f>
        <v>434000</v>
      </c>
      <c r="F11" s="95">
        <f>'Costos v1'!F24</f>
        <v>14280</v>
      </c>
      <c r="G11" s="95">
        <f>'Costos v1'!G24</f>
        <v>448280</v>
      </c>
      <c r="H11" s="95">
        <f>'Costos v1'!H24</f>
        <v>3701000</v>
      </c>
      <c r="I11" s="95">
        <f>'Costos v1'!I24</f>
        <v>48900</v>
      </c>
      <c r="J11" s="95">
        <f>'Costos v1'!J24</f>
        <v>3749900</v>
      </c>
      <c r="K11" s="95">
        <f>'Costos v1'!K24</f>
        <v>7163000</v>
      </c>
      <c r="L11" s="95">
        <f>'Costos v1'!L24</f>
        <v>37500</v>
      </c>
      <c r="M11" s="95">
        <f>'Costos v1'!M24</f>
        <v>7200500</v>
      </c>
      <c r="N11" s="95">
        <f>'Costos v1'!N24</f>
        <v>4905000</v>
      </c>
      <c r="O11" s="95">
        <f>'Costos v1'!O24</f>
        <v>36000</v>
      </c>
      <c r="P11" s="95">
        <f>'Costos v1'!P24</f>
        <v>4941000</v>
      </c>
      <c r="Q11" s="95">
        <f>'Costos v1'!Q24</f>
        <v>1256000</v>
      </c>
      <c r="R11" s="95">
        <f>'Costos v1'!R24</f>
        <v>36000</v>
      </c>
      <c r="S11" s="95">
        <f>'Costos v1'!S24</f>
        <v>1292000</v>
      </c>
      <c r="T11" s="95">
        <f>'Costos v1'!T24</f>
        <v>17459000</v>
      </c>
      <c r="U11" s="95">
        <f>'Costos v1'!U24</f>
        <v>172680</v>
      </c>
      <c r="V11" s="95">
        <f>'Costos v1'!V24</f>
        <v>17631680</v>
      </c>
      <c r="W11" s="14"/>
    </row>
    <row r="12" spans="2:23" x14ac:dyDescent="0.25">
      <c r="B12" s="103" t="s">
        <v>19</v>
      </c>
      <c r="C12" s="3"/>
      <c r="D12" s="3"/>
      <c r="E12" s="102">
        <f>'Costos v1'!E25</f>
        <v>30000</v>
      </c>
      <c r="F12" s="102">
        <f>'Costos v1'!F25</f>
        <v>5100</v>
      </c>
      <c r="G12" s="102">
        <f>'Costos v1'!G25</f>
        <v>35100</v>
      </c>
      <c r="H12" s="102">
        <f>'Costos v1'!H25</f>
        <v>3641000</v>
      </c>
      <c r="I12" s="102">
        <f>'Costos v1'!I25</f>
        <v>0</v>
      </c>
      <c r="J12" s="102">
        <f>'Costos v1'!J25</f>
        <v>3641000</v>
      </c>
      <c r="K12" s="102">
        <f>'Costos v1'!K25</f>
        <v>7163000</v>
      </c>
      <c r="L12" s="102">
        <f>'Costos v1'!L25</f>
        <v>0</v>
      </c>
      <c r="M12" s="102">
        <f>'Costos v1'!M25</f>
        <v>7163000</v>
      </c>
      <c r="N12" s="102">
        <f>'Costos v1'!N25</f>
        <v>4905000</v>
      </c>
      <c r="O12" s="102">
        <f>'Costos v1'!O25</f>
        <v>0</v>
      </c>
      <c r="P12" s="102">
        <f>'Costos v1'!P25</f>
        <v>4905000</v>
      </c>
      <c r="Q12" s="102">
        <f>'Costos v1'!Q25</f>
        <v>1256000</v>
      </c>
      <c r="R12" s="102">
        <f>'Costos v1'!R25</f>
        <v>0</v>
      </c>
      <c r="S12" s="102">
        <f>'Costos v1'!S25</f>
        <v>1256000</v>
      </c>
      <c r="T12" s="102">
        <f>'Costos v1'!T25</f>
        <v>16995000</v>
      </c>
      <c r="U12" s="102">
        <f>'Costos v1'!U25</f>
        <v>5100</v>
      </c>
      <c r="V12" s="102">
        <f>'Costos v1'!V25</f>
        <v>17000100</v>
      </c>
      <c r="W12" s="14"/>
    </row>
    <row r="13" spans="2:23" s="7" customFormat="1" ht="24" x14ac:dyDescent="0.25">
      <c r="B13" s="103" t="s">
        <v>20</v>
      </c>
      <c r="C13" s="8"/>
      <c r="D13" s="5"/>
      <c r="E13" s="102">
        <f>'Costos v1'!E33</f>
        <v>404000</v>
      </c>
      <c r="F13" s="102">
        <f>'Costos v1'!F33</f>
        <v>9180</v>
      </c>
      <c r="G13" s="102">
        <f>'Costos v1'!G33</f>
        <v>413180</v>
      </c>
      <c r="H13" s="102">
        <f>'Costos v1'!H33</f>
        <v>60000</v>
      </c>
      <c r="I13" s="102">
        <f>'Costos v1'!I33</f>
        <v>48900</v>
      </c>
      <c r="J13" s="102">
        <f>'Costos v1'!J33</f>
        <v>108900</v>
      </c>
      <c r="K13" s="102">
        <f>'Costos v1'!K33</f>
        <v>0</v>
      </c>
      <c r="L13" s="102">
        <f>'Costos v1'!L33</f>
        <v>37500</v>
      </c>
      <c r="M13" s="102">
        <f>'Costos v1'!M33</f>
        <v>37500</v>
      </c>
      <c r="N13" s="102">
        <f>'Costos v1'!N33</f>
        <v>0</v>
      </c>
      <c r="O13" s="102">
        <f>'Costos v1'!O33</f>
        <v>36000</v>
      </c>
      <c r="P13" s="102">
        <f>'Costos v1'!P33</f>
        <v>36000</v>
      </c>
      <c r="Q13" s="102">
        <f>'Costos v1'!Q33</f>
        <v>0</v>
      </c>
      <c r="R13" s="102">
        <f>'Costos v1'!R33</f>
        <v>36000</v>
      </c>
      <c r="S13" s="102">
        <f>'Costos v1'!S33</f>
        <v>36000</v>
      </c>
      <c r="T13" s="102">
        <f>'Costos v1'!T33</f>
        <v>464000</v>
      </c>
      <c r="U13" s="102">
        <f>'Costos v1'!U33</f>
        <v>167580</v>
      </c>
      <c r="V13" s="102">
        <f>'Costos v1'!V33</f>
        <v>631580</v>
      </c>
      <c r="W13" s="14"/>
    </row>
    <row r="14" spans="2:23" s="7" customFormat="1" x14ac:dyDescent="0.25">
      <c r="B14" s="104"/>
      <c r="C14" s="5"/>
      <c r="D14" s="5"/>
      <c r="E14" s="99"/>
      <c r="F14" s="99"/>
      <c r="G14" s="99"/>
      <c r="H14" s="99"/>
      <c r="I14" s="99"/>
      <c r="J14" s="99"/>
      <c r="K14" s="99"/>
      <c r="L14" s="99"/>
      <c r="M14" s="99"/>
      <c r="N14" s="99"/>
      <c r="O14" s="99"/>
      <c r="P14" s="99"/>
      <c r="Q14" s="99"/>
      <c r="R14" s="99"/>
      <c r="S14" s="99"/>
      <c r="T14" s="99"/>
      <c r="U14" s="99"/>
      <c r="V14" s="99"/>
      <c r="W14" s="14"/>
    </row>
    <row r="15" spans="2:23" s="7" customFormat="1" x14ac:dyDescent="0.25">
      <c r="B15" s="97" t="s">
        <v>21</v>
      </c>
      <c r="C15" s="17"/>
      <c r="D15" s="17"/>
      <c r="E15" s="95">
        <f>'Costos v1'!E44</f>
        <v>624400</v>
      </c>
      <c r="F15" s="95">
        <f>'Costos v1'!F44</f>
        <v>85950</v>
      </c>
      <c r="G15" s="95">
        <f>'Costos v1'!G44</f>
        <v>710350</v>
      </c>
      <c r="H15" s="95">
        <f>'Costos v1'!H44</f>
        <v>1114400</v>
      </c>
      <c r="I15" s="95">
        <f>'Costos v1'!I44</f>
        <v>102250</v>
      </c>
      <c r="J15" s="95">
        <f>'Costos v1'!J44</f>
        <v>1216650</v>
      </c>
      <c r="K15" s="95">
        <f>'Costos v1'!K44</f>
        <v>1495400</v>
      </c>
      <c r="L15" s="95">
        <f>'Costos v1'!L44</f>
        <v>119920</v>
      </c>
      <c r="M15" s="95">
        <f>'Costos v1'!M44</f>
        <v>1615320</v>
      </c>
      <c r="N15" s="95">
        <f>'Costos v1'!N44</f>
        <v>2832300</v>
      </c>
      <c r="O15" s="95">
        <f>'Costos v1'!O44</f>
        <v>38503</v>
      </c>
      <c r="P15" s="95">
        <f>'Costos v1'!P44</f>
        <v>2870803</v>
      </c>
      <c r="Q15" s="95">
        <f>'Costos v1'!Q44</f>
        <v>211400</v>
      </c>
      <c r="R15" s="95">
        <f>'Costos v1'!R44</f>
        <v>15040</v>
      </c>
      <c r="S15" s="95">
        <f>'Costos v1'!S44</f>
        <v>226440</v>
      </c>
      <c r="T15" s="95">
        <f>'Costos v1'!T44</f>
        <v>6277900</v>
      </c>
      <c r="U15" s="95">
        <f>'Costos v1'!U44</f>
        <v>361663</v>
      </c>
      <c r="V15" s="95">
        <f>'Costos v1'!V44</f>
        <v>6639563</v>
      </c>
      <c r="W15" s="14"/>
    </row>
    <row r="16" spans="2:23" s="7" customFormat="1" ht="15" customHeight="1" x14ac:dyDescent="0.25">
      <c r="B16" s="103" t="s">
        <v>55</v>
      </c>
      <c r="C16" s="3"/>
      <c r="D16" s="3"/>
      <c r="E16" s="102">
        <f>'Costos v1'!E45</f>
        <v>99000</v>
      </c>
      <c r="F16" s="102">
        <f>'Costos v1'!F45</f>
        <v>33930</v>
      </c>
      <c r="G16" s="102">
        <f>'Costos v1'!G45</f>
        <v>132930</v>
      </c>
      <c r="H16" s="102">
        <f>'Costos v1'!H45</f>
        <v>159000</v>
      </c>
      <c r="I16" s="102">
        <f>'Costos v1'!I45</f>
        <v>20130</v>
      </c>
      <c r="J16" s="102">
        <f>'Costos v1'!J45</f>
        <v>179130</v>
      </c>
      <c r="K16" s="102">
        <f>'Costos v1'!K45</f>
        <v>234000</v>
      </c>
      <c r="L16" s="102">
        <f>'Costos v1'!L45</f>
        <v>16380.000000000002</v>
      </c>
      <c r="M16" s="102">
        <f>'Costos v1'!M45</f>
        <v>250380</v>
      </c>
      <c r="N16" s="102">
        <f>'Costos v1'!N45</f>
        <v>900</v>
      </c>
      <c r="O16" s="102">
        <f>'Costos v1'!O45</f>
        <v>63.000000000000007</v>
      </c>
      <c r="P16" s="102">
        <f>'Costos v1'!P45</f>
        <v>963</v>
      </c>
      <c r="Q16" s="102">
        <f>'Costos v1'!Q45</f>
        <v>0</v>
      </c>
      <c r="R16" s="102">
        <f>'Costos v1'!R45</f>
        <v>0</v>
      </c>
      <c r="S16" s="102">
        <f>'Costos v1'!S45</f>
        <v>0</v>
      </c>
      <c r="T16" s="102">
        <f>'Costos v1'!T45</f>
        <v>492900</v>
      </c>
      <c r="U16" s="102">
        <f>'Costos v1'!U45</f>
        <v>70503</v>
      </c>
      <c r="V16" s="102">
        <f>'Costos v1'!V45</f>
        <v>563403</v>
      </c>
      <c r="W16" s="14"/>
    </row>
    <row r="17" spans="2:23" s="7" customFormat="1" x14ac:dyDescent="0.25">
      <c r="B17" s="103" t="s">
        <v>56</v>
      </c>
      <c r="C17" s="3"/>
      <c r="D17" s="5"/>
      <c r="E17" s="102">
        <f>'Costos v1'!E52</f>
        <v>72000</v>
      </c>
      <c r="F17" s="102">
        <f>'Costos v1'!F52</f>
        <v>20040</v>
      </c>
      <c r="G17" s="102">
        <f>'Costos v1'!G52</f>
        <v>92040</v>
      </c>
      <c r="H17" s="102">
        <f>'Costos v1'!H52</f>
        <v>72000</v>
      </c>
      <c r="I17" s="102">
        <f>'Costos v1'!I52</f>
        <v>20040</v>
      </c>
      <c r="J17" s="102">
        <f>'Costos v1'!J52</f>
        <v>92040</v>
      </c>
      <c r="K17" s="102">
        <f>'Costos v1'!K52</f>
        <v>72000</v>
      </c>
      <c r="L17" s="102">
        <f>'Costos v1'!L52</f>
        <v>20040</v>
      </c>
      <c r="M17" s="102">
        <f>'Costos v1'!M52</f>
        <v>92040</v>
      </c>
      <c r="N17" s="102">
        <f>'Costos v1'!N52</f>
        <v>72000</v>
      </c>
      <c r="O17" s="102">
        <f>'Costos v1'!O52</f>
        <v>20040</v>
      </c>
      <c r="P17" s="102">
        <f>'Costos v1'!P52</f>
        <v>92040</v>
      </c>
      <c r="Q17" s="102">
        <f>'Costos v1'!Q52</f>
        <v>72000</v>
      </c>
      <c r="R17" s="102">
        <f>'Costos v1'!R52</f>
        <v>5040.0000000000009</v>
      </c>
      <c r="S17" s="102">
        <f>'Costos v1'!S52</f>
        <v>77040</v>
      </c>
      <c r="T17" s="102">
        <f>'Costos v1'!T52</f>
        <v>360000</v>
      </c>
      <c r="U17" s="102">
        <f>'Costos v1'!U52</f>
        <v>85200</v>
      </c>
      <c r="V17" s="102">
        <f>'Costos v1'!V52</f>
        <v>445200</v>
      </c>
      <c r="W17" s="14"/>
    </row>
    <row r="18" spans="2:23" s="7" customFormat="1" x14ac:dyDescent="0.25">
      <c r="B18" s="103" t="s">
        <v>162</v>
      </c>
      <c r="C18" s="3"/>
      <c r="D18" s="5"/>
      <c r="E18" s="102">
        <f>'Costos v1'!E56</f>
        <v>453400</v>
      </c>
      <c r="F18" s="102">
        <f>'Costos v1'!F56</f>
        <v>31980</v>
      </c>
      <c r="G18" s="102">
        <f>'Costos v1'!G56</f>
        <v>485380</v>
      </c>
      <c r="H18" s="102">
        <f>'Costos v1'!H56</f>
        <v>883400</v>
      </c>
      <c r="I18" s="102">
        <f>'Costos v1'!I56</f>
        <v>62080</v>
      </c>
      <c r="J18" s="102">
        <f>'Costos v1'!J56</f>
        <v>945480</v>
      </c>
      <c r="K18" s="102">
        <f>'Costos v1'!K56</f>
        <v>1189400</v>
      </c>
      <c r="L18" s="102">
        <f>'Costos v1'!L56</f>
        <v>83500</v>
      </c>
      <c r="M18" s="102">
        <f>'Costos v1'!M56</f>
        <v>1272900</v>
      </c>
      <c r="N18" s="102">
        <f>'Costos v1'!N56</f>
        <v>2759400</v>
      </c>
      <c r="O18" s="102">
        <f>'Costos v1'!O56</f>
        <v>18400</v>
      </c>
      <c r="P18" s="102">
        <f>'Costos v1'!P56</f>
        <v>2777800</v>
      </c>
      <c r="Q18" s="102">
        <f>'Costos v1'!Q56</f>
        <v>139400</v>
      </c>
      <c r="R18" s="102">
        <f>'Costos v1'!R56</f>
        <v>10000</v>
      </c>
      <c r="S18" s="102">
        <f>'Costos v1'!S56</f>
        <v>149400</v>
      </c>
      <c r="T18" s="102">
        <f>'Costos v1'!T56</f>
        <v>5425000</v>
      </c>
      <c r="U18" s="102">
        <f>'Costos v1'!U56</f>
        <v>205960</v>
      </c>
      <c r="V18" s="102">
        <f>'Costos v1'!V56</f>
        <v>5630960</v>
      </c>
      <c r="W18" s="14"/>
    </row>
    <row r="19" spans="2:23" s="7" customFormat="1" x14ac:dyDescent="0.25">
      <c r="B19" s="103"/>
      <c r="C19" s="3"/>
      <c r="D19" s="5"/>
      <c r="E19" s="102"/>
      <c r="F19" s="102"/>
      <c r="G19" s="102"/>
      <c r="H19" s="102"/>
      <c r="I19" s="102"/>
      <c r="J19" s="102"/>
      <c r="K19" s="102"/>
      <c r="L19" s="102"/>
      <c r="M19" s="102"/>
      <c r="N19" s="102"/>
      <c r="O19" s="102"/>
      <c r="P19" s="102"/>
      <c r="Q19" s="102"/>
      <c r="R19" s="102"/>
      <c r="S19" s="102"/>
      <c r="T19" s="102"/>
      <c r="U19" s="102"/>
      <c r="V19" s="102"/>
      <c r="W19" s="14"/>
    </row>
    <row r="20" spans="2:23" s="7" customFormat="1" x14ac:dyDescent="0.25">
      <c r="B20" s="97" t="s">
        <v>163</v>
      </c>
      <c r="C20" s="17"/>
      <c r="D20" s="17"/>
      <c r="E20" s="95">
        <f>'Costos v1'!E64</f>
        <v>638110</v>
      </c>
      <c r="F20" s="95">
        <f>'Costos v1'!F64</f>
        <v>501750</v>
      </c>
      <c r="G20" s="95">
        <f>'Costos v1'!G64</f>
        <v>1139860</v>
      </c>
      <c r="H20" s="95">
        <f>'Costos v1'!H64</f>
        <v>638110</v>
      </c>
      <c r="I20" s="95">
        <f>'Costos v1'!I64</f>
        <v>555696</v>
      </c>
      <c r="J20" s="95">
        <f>'Costos v1'!J64</f>
        <v>1193806</v>
      </c>
      <c r="K20" s="95">
        <f>'Costos v1'!K64</f>
        <v>638110</v>
      </c>
      <c r="L20" s="95">
        <f>'Costos v1'!L64</f>
        <v>626750</v>
      </c>
      <c r="M20" s="95">
        <f>'Costos v1'!M64</f>
        <v>1264860</v>
      </c>
      <c r="N20" s="95">
        <f>'Costos v1'!N64</f>
        <v>638110</v>
      </c>
      <c r="O20" s="95">
        <f>'Costos v1'!O64</f>
        <v>626750</v>
      </c>
      <c r="P20" s="95">
        <f>'Costos v1'!P64</f>
        <v>1264860</v>
      </c>
      <c r="Q20" s="95">
        <f>'Costos v1'!Q64</f>
        <v>561276</v>
      </c>
      <c r="R20" s="95">
        <f>'Costos v1'!R64</f>
        <v>626750</v>
      </c>
      <c r="S20" s="95">
        <f>'Costos v1'!S64</f>
        <v>1188026</v>
      </c>
      <c r="T20" s="95">
        <f>'Costos v1'!T64</f>
        <v>3113716</v>
      </c>
      <c r="U20" s="95">
        <f>'Costos v1'!U64</f>
        <v>2937696</v>
      </c>
      <c r="V20" s="95">
        <f>'Costos v1'!V64</f>
        <v>6051412</v>
      </c>
      <c r="W20" s="14"/>
    </row>
    <row r="21" spans="2:23" s="7" customFormat="1" x14ac:dyDescent="0.25">
      <c r="B21" s="104"/>
      <c r="C21" s="5"/>
      <c r="D21" s="5"/>
      <c r="E21" s="99"/>
      <c r="F21" s="99"/>
      <c r="G21" s="99"/>
      <c r="H21" s="99"/>
      <c r="I21" s="99"/>
      <c r="J21" s="99"/>
      <c r="K21" s="99"/>
      <c r="L21" s="99"/>
      <c r="M21" s="99"/>
      <c r="N21" s="99"/>
      <c r="O21" s="99"/>
      <c r="P21" s="99"/>
      <c r="Q21" s="99"/>
      <c r="R21" s="99"/>
      <c r="S21" s="99"/>
      <c r="T21" s="99"/>
      <c r="U21" s="99"/>
      <c r="V21" s="99"/>
      <c r="W21" s="14"/>
    </row>
    <row r="22" spans="2:23" s="7" customFormat="1" x14ac:dyDescent="0.25">
      <c r="B22" s="100" t="s">
        <v>3</v>
      </c>
      <c r="C22" s="20"/>
      <c r="D22" s="20"/>
      <c r="E22" s="101">
        <f>'Costos v1'!E70</f>
        <v>22750910</v>
      </c>
      <c r="F22" s="101">
        <f>'Costos v1'!F70</f>
        <v>3049125</v>
      </c>
      <c r="G22" s="101">
        <f>'Costos v1'!G70</f>
        <v>25800035</v>
      </c>
      <c r="H22" s="101">
        <f>'Costos v1'!H70</f>
        <v>29897452.999999996</v>
      </c>
      <c r="I22" s="101">
        <f>'Costos v1'!I70</f>
        <v>3450673</v>
      </c>
      <c r="J22" s="101">
        <f>'Costos v1'!J70</f>
        <v>33348125.999999996</v>
      </c>
      <c r="K22" s="101">
        <f>'Costos v1'!K70</f>
        <v>32525170.000000004</v>
      </c>
      <c r="L22" s="101">
        <f>'Costos v1'!L70</f>
        <v>6697710.0000000009</v>
      </c>
      <c r="M22" s="101">
        <f>'Costos v1'!M70</f>
        <v>39222880</v>
      </c>
      <c r="N22" s="101">
        <f>'Costos v1'!N70</f>
        <v>29496146</v>
      </c>
      <c r="O22" s="101">
        <f>'Costos v1'!O70</f>
        <v>10123497</v>
      </c>
      <c r="P22" s="101">
        <f>'Costos v1'!P70</f>
        <v>39619643</v>
      </c>
      <c r="Q22" s="101">
        <f>'Costos v1'!Q70</f>
        <v>25330321</v>
      </c>
      <c r="R22" s="101">
        <f>'Costos v1'!R70</f>
        <v>10678995</v>
      </c>
      <c r="S22" s="101">
        <f>'Costos v1'!S70</f>
        <v>36009316</v>
      </c>
      <c r="T22" s="101">
        <f>'Costos v1'!T70</f>
        <v>140000000</v>
      </c>
      <c r="U22" s="101">
        <f>'Costos v1'!U70</f>
        <v>34000000</v>
      </c>
      <c r="V22" s="101">
        <f>'Costos v1'!V70</f>
        <v>174000000</v>
      </c>
      <c r="W22" s="14"/>
    </row>
    <row r="23" spans="2:23" x14ac:dyDescent="0.25">
      <c r="E23" s="88"/>
      <c r="F23" s="88"/>
      <c r="G23" s="88"/>
      <c r="H23" s="88"/>
      <c r="I23" s="88"/>
      <c r="J23" s="88"/>
      <c r="K23" s="88"/>
      <c r="L23" s="88"/>
      <c r="M23" s="88"/>
      <c r="N23" s="88"/>
      <c r="O23" s="88"/>
      <c r="P23" s="88"/>
      <c r="Q23" s="88"/>
      <c r="R23" s="88"/>
      <c r="S23" s="88"/>
      <c r="T23" s="88"/>
      <c r="U23" s="88"/>
      <c r="V23" s="88"/>
    </row>
  </sheetData>
  <mergeCells count="7">
    <mergeCell ref="N4:P4"/>
    <mergeCell ref="T4:V4"/>
    <mergeCell ref="C2:E2"/>
    <mergeCell ref="E4:G4"/>
    <mergeCell ref="H4:J4"/>
    <mergeCell ref="K4:M4"/>
    <mergeCell ref="Q4:S4"/>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Datos!$E$2:$E$10</xm:f>
          </x14:formula1>
          <xm:sqref>D13</xm:sqref>
        </x14:dataValidation>
        <x14:dataValidation type="list" allowBlank="1" showInputMessage="1" showErrorMessage="1">
          <x14:formula1>
            <xm:f>Datos!$G$2:$G$12</xm:f>
          </x14:formula1>
          <xm:sqref>D17:D20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opLeftCell="A13" workbookViewId="0">
      <selection activeCell="M18" sqref="M18"/>
    </sheetView>
  </sheetViews>
  <sheetFormatPr defaultColWidth="11.5703125" defaultRowHeight="15" x14ac:dyDescent="0.2"/>
  <cols>
    <col min="1" max="1" width="11.5703125" style="26"/>
    <col min="2" max="2" width="14.5703125" style="27" customWidth="1"/>
    <col min="3" max="3" width="12.140625" style="27" customWidth="1"/>
    <col min="4" max="5" width="11.5703125" style="27"/>
    <col min="6" max="6" width="13.42578125" style="27" bestFit="1" customWidth="1"/>
    <col min="7" max="7" width="14.7109375" style="27" customWidth="1"/>
    <col min="8" max="8" width="16.28515625" style="27" customWidth="1"/>
    <col min="9" max="11" width="11.5703125" style="27"/>
    <col min="12" max="12" width="11.5703125" style="41"/>
    <col min="13" max="16384" width="11.5703125" style="27"/>
  </cols>
  <sheetData>
    <row r="1" spans="1:12" ht="15.75" x14ac:dyDescent="0.2">
      <c r="A1" s="112" t="s">
        <v>17</v>
      </c>
      <c r="B1" s="113"/>
      <c r="C1" s="113"/>
      <c r="D1" s="113"/>
      <c r="E1" s="113"/>
      <c r="F1" s="113"/>
      <c r="G1" s="113"/>
      <c r="H1" s="113"/>
      <c r="I1" s="113"/>
      <c r="J1" s="113"/>
    </row>
    <row r="3" spans="1:12" s="24" customFormat="1" ht="75" x14ac:dyDescent="0.25">
      <c r="A3" s="49" t="s">
        <v>74</v>
      </c>
      <c r="B3" s="49" t="s">
        <v>73</v>
      </c>
      <c r="C3" s="49" t="s">
        <v>77</v>
      </c>
      <c r="D3" s="49" t="s">
        <v>80</v>
      </c>
      <c r="E3" s="49" t="s">
        <v>78</v>
      </c>
      <c r="F3" s="37" t="s">
        <v>76</v>
      </c>
      <c r="G3" s="49" t="s">
        <v>82</v>
      </c>
      <c r="H3" s="49" t="s">
        <v>79</v>
      </c>
      <c r="I3" s="114" t="s">
        <v>84</v>
      </c>
      <c r="J3" s="114"/>
      <c r="L3" s="40"/>
    </row>
    <row r="4" spans="1:12" ht="14.45" x14ac:dyDescent="0.3">
      <c r="A4" s="28">
        <v>2016</v>
      </c>
      <c r="B4" s="29">
        <v>360000</v>
      </c>
      <c r="C4" s="30">
        <v>74</v>
      </c>
      <c r="D4" s="31">
        <v>2.5</v>
      </c>
      <c r="E4" s="53"/>
      <c r="F4" s="32">
        <f>B4*C4</f>
        <v>26640000</v>
      </c>
      <c r="G4" s="33">
        <v>0.1</v>
      </c>
      <c r="H4" s="32">
        <f>F4*(100%-G4)</f>
        <v>23976000</v>
      </c>
      <c r="I4" s="34">
        <v>90</v>
      </c>
      <c r="J4" s="34">
        <v>10</v>
      </c>
      <c r="L4" s="40"/>
    </row>
    <row r="5" spans="1:12" ht="14.45" x14ac:dyDescent="0.3">
      <c r="A5" s="28">
        <v>2017</v>
      </c>
      <c r="B5" s="29">
        <v>415000</v>
      </c>
      <c r="C5" s="30">
        <f>C4*(1-0.04)</f>
        <v>71.039999999999992</v>
      </c>
      <c r="D5" s="31">
        <v>2.5</v>
      </c>
      <c r="E5" s="35">
        <v>72.819999999999993</v>
      </c>
      <c r="F5" s="32">
        <f>B5*E5</f>
        <v>30220299.999999996</v>
      </c>
      <c r="G5" s="33">
        <v>0.1</v>
      </c>
      <c r="H5" s="32">
        <f t="shared" ref="H5:H8" si="0">F5*(100%-G5)</f>
        <v>27198269.999999996</v>
      </c>
      <c r="I5" s="34">
        <v>80</v>
      </c>
      <c r="J5" s="34">
        <v>20</v>
      </c>
      <c r="L5" s="40"/>
    </row>
    <row r="6" spans="1:12" ht="14.45" x14ac:dyDescent="0.3">
      <c r="A6" s="28">
        <v>2018</v>
      </c>
      <c r="B6" s="29">
        <v>470000</v>
      </c>
      <c r="C6" s="30">
        <f>C5*(1-0.04)</f>
        <v>68.198399999999992</v>
      </c>
      <c r="D6" s="31">
        <v>2.5</v>
      </c>
      <c r="E6" s="35">
        <v>69.900000000000006</v>
      </c>
      <c r="F6" s="32">
        <f>B6*E6</f>
        <v>32853000.000000004</v>
      </c>
      <c r="G6" s="33">
        <v>0.1</v>
      </c>
      <c r="H6" s="32">
        <f>F6*(100%-G6)</f>
        <v>29567700.000000004</v>
      </c>
      <c r="I6" s="34">
        <v>70</v>
      </c>
      <c r="J6" s="34">
        <v>30</v>
      </c>
      <c r="L6" s="40"/>
    </row>
    <row r="7" spans="1:12" ht="14.45" x14ac:dyDescent="0.3">
      <c r="A7" s="28">
        <v>2019</v>
      </c>
      <c r="B7" s="29">
        <v>520000</v>
      </c>
      <c r="C7" s="30">
        <f t="shared" ref="C7:C8" si="1">C6*(1-0.04)</f>
        <v>65.470463999999993</v>
      </c>
      <c r="D7" s="31">
        <v>2.5</v>
      </c>
      <c r="E7" s="35">
        <v>67.11</v>
      </c>
      <c r="F7" s="32">
        <f t="shared" ref="F7:F8" si="2">B7*E7</f>
        <v>34897200</v>
      </c>
      <c r="G7" s="33">
        <v>0.1</v>
      </c>
      <c r="H7" s="32">
        <f t="shared" si="0"/>
        <v>31407480</v>
      </c>
      <c r="I7" s="34">
        <v>60</v>
      </c>
      <c r="J7" s="34">
        <v>40</v>
      </c>
      <c r="L7" s="40"/>
    </row>
    <row r="8" spans="1:12" ht="14.45" x14ac:dyDescent="0.25">
      <c r="A8" s="28">
        <v>2020</v>
      </c>
      <c r="B8" s="29">
        <v>575000</v>
      </c>
      <c r="C8" s="30">
        <f t="shared" si="1"/>
        <v>62.851645439999992</v>
      </c>
      <c r="D8" s="31">
        <v>2.5</v>
      </c>
      <c r="E8" s="35">
        <v>64.42</v>
      </c>
      <c r="F8" s="32">
        <f t="shared" si="2"/>
        <v>37041500</v>
      </c>
      <c r="G8" s="33">
        <v>0.1</v>
      </c>
      <c r="H8" s="32">
        <f t="shared" si="0"/>
        <v>33337350</v>
      </c>
      <c r="I8" s="34">
        <v>50</v>
      </c>
      <c r="J8" s="34">
        <v>50</v>
      </c>
    </row>
    <row r="9" spans="1:12" ht="14.45" x14ac:dyDescent="0.25">
      <c r="A9" s="28"/>
      <c r="B9" s="34"/>
      <c r="C9" s="34"/>
      <c r="D9" s="34"/>
      <c r="E9" s="34"/>
      <c r="F9" s="36">
        <f>SUM(F4:F8)</f>
        <v>161652000</v>
      </c>
      <c r="G9" s="34"/>
      <c r="H9" s="36">
        <f>SUM(H4:H8)</f>
        <v>145486800</v>
      </c>
      <c r="I9" s="34"/>
      <c r="J9" s="34"/>
    </row>
    <row r="11" spans="1:12" ht="60" customHeight="1" x14ac:dyDescent="0.25">
      <c r="A11" s="26">
        <v>1</v>
      </c>
      <c r="B11" s="111" t="s">
        <v>75</v>
      </c>
      <c r="C11" s="111"/>
      <c r="D11" s="111"/>
      <c r="E11" s="111"/>
      <c r="F11" s="111"/>
      <c r="G11" s="111"/>
      <c r="H11" s="111"/>
      <c r="I11" s="111"/>
      <c r="J11" s="111"/>
      <c r="L11" s="40"/>
    </row>
    <row r="12" spans="1:12" ht="56.45" customHeight="1" x14ac:dyDescent="0.25">
      <c r="A12" s="26">
        <v>2</v>
      </c>
      <c r="B12" s="111" t="s">
        <v>81</v>
      </c>
      <c r="C12" s="111"/>
      <c r="D12" s="111"/>
      <c r="E12" s="111"/>
      <c r="F12" s="111"/>
      <c r="G12" s="111"/>
      <c r="H12" s="111"/>
      <c r="I12" s="111"/>
      <c r="J12" s="111"/>
      <c r="L12" s="40"/>
    </row>
    <row r="13" spans="1:12" ht="43.9" customHeight="1" x14ac:dyDescent="0.25">
      <c r="A13" s="26">
        <v>3</v>
      </c>
      <c r="B13" s="111" t="s">
        <v>83</v>
      </c>
      <c r="C13" s="111"/>
      <c r="D13" s="111"/>
      <c r="E13" s="111"/>
      <c r="F13" s="111"/>
      <c r="G13" s="111"/>
      <c r="H13" s="111"/>
      <c r="I13" s="111"/>
      <c r="J13" s="111"/>
      <c r="L13" s="40"/>
    </row>
    <row r="14" spans="1:12" ht="43.15" customHeight="1" x14ac:dyDescent="0.25">
      <c r="A14" s="26">
        <v>4</v>
      </c>
      <c r="B14" s="111" t="s">
        <v>85</v>
      </c>
      <c r="C14" s="111"/>
      <c r="D14" s="111"/>
      <c r="E14" s="111"/>
      <c r="F14" s="111"/>
      <c r="G14" s="111"/>
      <c r="H14" s="111"/>
      <c r="I14" s="111"/>
      <c r="J14" s="111"/>
      <c r="L14" s="40"/>
    </row>
    <row r="16" spans="1:12" ht="14.45" x14ac:dyDescent="0.25">
      <c r="A16" s="115" t="s">
        <v>86</v>
      </c>
      <c r="B16" s="115"/>
      <c r="C16" s="115"/>
      <c r="D16" s="115"/>
      <c r="E16" s="115"/>
      <c r="F16" s="115"/>
      <c r="G16" s="115"/>
      <c r="H16" s="115"/>
      <c r="I16" s="115"/>
      <c r="J16" s="115"/>
    </row>
    <row r="17" spans="1:12" ht="28.9" customHeight="1" x14ac:dyDescent="0.2">
      <c r="A17" s="26" t="s">
        <v>87</v>
      </c>
      <c r="B17" s="116" t="s">
        <v>152</v>
      </c>
      <c r="C17" s="116"/>
      <c r="D17" s="116"/>
      <c r="E17" s="116"/>
      <c r="F17" s="116"/>
      <c r="G17" s="116"/>
      <c r="H17" s="116"/>
      <c r="I17" s="116"/>
      <c r="J17" s="116"/>
    </row>
    <row r="20" spans="1:12" ht="15.75" x14ac:dyDescent="0.2">
      <c r="A20" s="112" t="s">
        <v>39</v>
      </c>
      <c r="B20" s="113"/>
      <c r="C20" s="113"/>
      <c r="D20" s="113"/>
      <c r="E20" s="113"/>
      <c r="F20" s="113"/>
      <c r="G20" s="113"/>
      <c r="H20" s="113"/>
      <c r="I20" s="113"/>
      <c r="J20" s="113"/>
    </row>
    <row r="22" spans="1:12" ht="28.15" customHeight="1" x14ac:dyDescent="0.2">
      <c r="A22" s="38">
        <v>1</v>
      </c>
      <c r="B22" s="117" t="s">
        <v>111</v>
      </c>
      <c r="C22" s="117"/>
      <c r="D22" s="117"/>
      <c r="E22" s="117"/>
      <c r="F22" s="117"/>
      <c r="G22" s="117"/>
      <c r="H22" s="117"/>
      <c r="I22" s="117"/>
      <c r="J22" s="117"/>
    </row>
    <row r="23" spans="1:12" customFormat="1" x14ac:dyDescent="0.25">
      <c r="A23" s="26">
        <v>2</v>
      </c>
      <c r="B23" s="118" t="s">
        <v>135</v>
      </c>
      <c r="C23" s="118"/>
      <c r="D23" s="118"/>
      <c r="E23" s="118"/>
      <c r="F23" s="118"/>
      <c r="G23" s="118"/>
      <c r="H23" s="118"/>
      <c r="I23" s="118"/>
      <c r="J23" s="118"/>
      <c r="L23" s="40">
        <f>90*10000</f>
        <v>900000</v>
      </c>
    </row>
    <row r="26" spans="1:12" ht="15.75" x14ac:dyDescent="0.2">
      <c r="A26" s="112" t="s">
        <v>38</v>
      </c>
      <c r="B26" s="113"/>
      <c r="C26" s="113"/>
      <c r="D26" s="113"/>
      <c r="E26" s="113"/>
      <c r="F26" s="113"/>
      <c r="G26" s="113"/>
      <c r="H26" s="113"/>
      <c r="I26" s="113"/>
      <c r="J26" s="113"/>
    </row>
    <row r="28" spans="1:12" ht="29.45" customHeight="1" x14ac:dyDescent="0.2">
      <c r="A28" s="26">
        <v>1</v>
      </c>
      <c r="B28" s="117" t="s">
        <v>114</v>
      </c>
      <c r="C28" s="117"/>
      <c r="D28" s="117"/>
      <c r="E28" s="117"/>
      <c r="F28" s="117"/>
      <c r="G28" s="117"/>
      <c r="H28" s="117"/>
      <c r="I28" s="117"/>
      <c r="J28" s="117"/>
      <c r="L28" s="41">
        <f>20*250*3</f>
        <v>15000</v>
      </c>
    </row>
    <row r="29" spans="1:12" ht="29.45" customHeight="1" x14ac:dyDescent="0.2">
      <c r="A29" s="26">
        <v>2</v>
      </c>
      <c r="B29" s="117" t="s">
        <v>115</v>
      </c>
      <c r="C29" s="117"/>
      <c r="D29" s="117"/>
      <c r="E29" s="117"/>
      <c r="F29" s="117"/>
      <c r="G29" s="117"/>
      <c r="H29" s="117"/>
      <c r="I29" s="117"/>
      <c r="J29" s="117"/>
      <c r="L29" s="41">
        <f>30*250</f>
        <v>7500</v>
      </c>
    </row>
    <row r="30" spans="1:12" ht="29.45" customHeight="1" x14ac:dyDescent="0.2">
      <c r="A30" s="26">
        <v>3</v>
      </c>
      <c r="B30" s="117" t="s">
        <v>112</v>
      </c>
      <c r="C30" s="117"/>
      <c r="D30" s="117"/>
      <c r="E30" s="117"/>
      <c r="F30" s="117"/>
      <c r="G30" s="117"/>
      <c r="H30" s="117"/>
      <c r="I30" s="117"/>
      <c r="J30" s="117"/>
      <c r="L30" s="41">
        <f>5*200*12</f>
        <v>12000</v>
      </c>
    </row>
    <row r="31" spans="1:12" ht="29.45" customHeight="1" x14ac:dyDescent="0.2">
      <c r="A31" s="26">
        <v>4</v>
      </c>
      <c r="B31" s="117" t="s">
        <v>113</v>
      </c>
      <c r="C31" s="117"/>
      <c r="D31" s="117"/>
      <c r="E31" s="117"/>
      <c r="F31" s="117"/>
      <c r="G31" s="117"/>
      <c r="H31" s="117"/>
      <c r="I31" s="117"/>
      <c r="J31" s="117"/>
      <c r="L31" s="41">
        <f>5*200*12</f>
        <v>12000</v>
      </c>
    </row>
    <row r="32" spans="1:12" ht="29.45" customHeight="1" x14ac:dyDescent="0.2">
      <c r="A32" s="26">
        <v>5</v>
      </c>
      <c r="B32" s="117" t="s">
        <v>143</v>
      </c>
      <c r="C32" s="117"/>
      <c r="D32" s="117"/>
      <c r="E32" s="117"/>
      <c r="F32" s="117"/>
      <c r="G32" s="117"/>
      <c r="H32" s="117"/>
      <c r="I32" s="117"/>
      <c r="J32" s="117"/>
      <c r="L32" s="41">
        <f>1000*12</f>
        <v>12000</v>
      </c>
    </row>
    <row r="33" spans="1:12" ht="29.45" customHeight="1" x14ac:dyDescent="0.2">
      <c r="A33" s="26">
        <v>6</v>
      </c>
      <c r="B33" s="117" t="s">
        <v>116</v>
      </c>
      <c r="C33" s="117"/>
      <c r="D33" s="117"/>
      <c r="E33" s="117"/>
      <c r="F33" s="117"/>
      <c r="G33" s="117"/>
      <c r="H33" s="117"/>
      <c r="I33" s="117"/>
      <c r="J33" s="117"/>
      <c r="L33" s="41">
        <f>25*90*50</f>
        <v>112500</v>
      </c>
    </row>
    <row r="34" spans="1:12" ht="29.45" customHeight="1" x14ac:dyDescent="0.2">
      <c r="A34" s="26">
        <v>7</v>
      </c>
      <c r="B34" s="117" t="s">
        <v>117</v>
      </c>
      <c r="C34" s="117"/>
      <c r="D34" s="117"/>
      <c r="E34" s="117"/>
      <c r="F34" s="117"/>
      <c r="G34" s="117"/>
      <c r="H34" s="117"/>
      <c r="I34" s="117"/>
      <c r="J34" s="117"/>
      <c r="L34" s="41">
        <f>20*90*50</f>
        <v>90000</v>
      </c>
    </row>
  </sheetData>
  <sheetProtection algorithmName="SHA-512" hashValue="jdhy4M//EK8UvHAU4s1/jzFiWXHnbhxl8MXhCqrPHZnBmBjPmDaqgwsOzqS9U3Rlw8EvxkTyFrcvDdspNtHq0w==" saltValue="Qw1VtCAcVHIJlRN4kl4GRw==" spinCount="100000" sheet="1" objects="1" scenarios="1"/>
  <mergeCells count="19">
    <mergeCell ref="A16:J16"/>
    <mergeCell ref="B17:J17"/>
    <mergeCell ref="B34:J34"/>
    <mergeCell ref="B28:J28"/>
    <mergeCell ref="B29:J29"/>
    <mergeCell ref="B30:J30"/>
    <mergeCell ref="B31:J31"/>
    <mergeCell ref="B32:J32"/>
    <mergeCell ref="B33:J33"/>
    <mergeCell ref="A20:J20"/>
    <mergeCell ref="B22:J22"/>
    <mergeCell ref="A26:J26"/>
    <mergeCell ref="B23:J23"/>
    <mergeCell ref="B13:J13"/>
    <mergeCell ref="B14:J14"/>
    <mergeCell ref="A1:J1"/>
    <mergeCell ref="I3:J3"/>
    <mergeCell ref="B11:J11"/>
    <mergeCell ref="B12:J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N6" sqref="N6:O6"/>
    </sheetView>
  </sheetViews>
  <sheetFormatPr defaultColWidth="11.42578125" defaultRowHeight="15" x14ac:dyDescent="0.25"/>
  <cols>
    <col min="12" max="12" width="11.5703125" style="41"/>
  </cols>
  <sheetData>
    <row r="1" spans="1:12" ht="15.75" x14ac:dyDescent="0.25">
      <c r="A1" s="112" t="s">
        <v>19</v>
      </c>
      <c r="B1" s="113"/>
      <c r="C1" s="113"/>
      <c r="D1" s="113"/>
      <c r="E1" s="113"/>
      <c r="F1" s="113"/>
      <c r="G1" s="113"/>
      <c r="H1" s="113"/>
      <c r="I1" s="113"/>
      <c r="J1" s="113"/>
    </row>
    <row r="3" spans="1:12" ht="29.45" customHeight="1" x14ac:dyDescent="0.25">
      <c r="A3" s="26">
        <v>1</v>
      </c>
      <c r="B3" s="117" t="s">
        <v>118</v>
      </c>
      <c r="C3" s="117"/>
      <c r="D3" s="117"/>
      <c r="E3" s="117"/>
      <c r="F3" s="117"/>
      <c r="G3" s="117"/>
      <c r="H3" s="117"/>
      <c r="I3" s="117"/>
      <c r="J3" s="117"/>
      <c r="L3" s="40">
        <f>40*250*3</f>
        <v>30000</v>
      </c>
    </row>
    <row r="4" spans="1:12" ht="48.6" customHeight="1" x14ac:dyDescent="0.25">
      <c r="A4" s="26">
        <v>2</v>
      </c>
      <c r="B4" s="117" t="s">
        <v>149</v>
      </c>
      <c r="C4" s="117"/>
      <c r="D4" s="117"/>
      <c r="E4" s="117"/>
      <c r="F4" s="117"/>
      <c r="G4" s="117"/>
      <c r="H4" s="117"/>
      <c r="I4" s="117"/>
      <c r="J4" s="117"/>
      <c r="L4" s="40">
        <f>37*252000</f>
        <v>9324000</v>
      </c>
    </row>
    <row r="5" spans="1:12" ht="44.45" customHeight="1" x14ac:dyDescent="0.25">
      <c r="A5" s="26">
        <v>3</v>
      </c>
      <c r="B5" s="117" t="s">
        <v>119</v>
      </c>
      <c r="C5" s="117"/>
      <c r="D5" s="117"/>
      <c r="E5" s="117"/>
      <c r="F5" s="117"/>
      <c r="G5" s="117"/>
      <c r="H5" s="117"/>
      <c r="I5" s="117"/>
      <c r="J5" s="117"/>
      <c r="L5" s="40">
        <f>23*125000</f>
        <v>2875000</v>
      </c>
    </row>
    <row r="6" spans="1:12" ht="62.45" customHeight="1" x14ac:dyDescent="0.25">
      <c r="A6" s="26">
        <v>4</v>
      </c>
      <c r="B6" s="118" t="s">
        <v>228</v>
      </c>
      <c r="C6" s="118"/>
      <c r="D6" s="118"/>
      <c r="E6" s="118"/>
      <c r="F6" s="118"/>
      <c r="G6" s="118"/>
      <c r="H6" s="118"/>
      <c r="I6" s="118"/>
      <c r="J6" s="118"/>
      <c r="L6" s="40">
        <f>4*((600*700)*1.2)</f>
        <v>2016000</v>
      </c>
    </row>
    <row r="7" spans="1:12" ht="40.9" customHeight="1" x14ac:dyDescent="0.25">
      <c r="A7" s="26">
        <v>5</v>
      </c>
      <c r="B7" s="118" t="s">
        <v>154</v>
      </c>
      <c r="C7" s="118"/>
      <c r="D7" s="118"/>
      <c r="E7" s="118"/>
      <c r="F7" s="118"/>
      <c r="G7" s="118"/>
      <c r="H7" s="118"/>
      <c r="I7" s="118"/>
      <c r="J7" s="118"/>
      <c r="L7" s="40">
        <f>4*250000</f>
        <v>1000000</v>
      </c>
    </row>
    <row r="9" spans="1:12" ht="15.75" x14ac:dyDescent="0.25">
      <c r="A9" s="112" t="s">
        <v>20</v>
      </c>
      <c r="B9" s="113"/>
      <c r="C9" s="113"/>
      <c r="D9" s="113"/>
      <c r="E9" s="113"/>
      <c r="F9" s="113"/>
      <c r="G9" s="113"/>
      <c r="H9" s="113"/>
      <c r="I9" s="113"/>
      <c r="J9" s="113"/>
    </row>
    <row r="11" spans="1:12" ht="28.15" customHeight="1" x14ac:dyDescent="0.25">
      <c r="A11" s="25">
        <v>1</v>
      </c>
      <c r="B11" s="117" t="s">
        <v>121</v>
      </c>
      <c r="C11" s="117"/>
      <c r="D11" s="117"/>
      <c r="E11" s="117"/>
      <c r="F11" s="117"/>
      <c r="G11" s="117"/>
      <c r="H11" s="117"/>
      <c r="I11" s="117"/>
      <c r="J11" s="117"/>
      <c r="L11" s="40">
        <f>60*300*3</f>
        <v>54000</v>
      </c>
    </row>
    <row r="12" spans="1:12" ht="28.15" customHeight="1" x14ac:dyDescent="0.25">
      <c r="A12" s="25">
        <v>2</v>
      </c>
      <c r="B12" s="117" t="s">
        <v>120</v>
      </c>
      <c r="C12" s="117"/>
      <c r="D12" s="117"/>
      <c r="E12" s="117"/>
      <c r="F12" s="117"/>
      <c r="G12" s="117"/>
      <c r="H12" s="117"/>
      <c r="I12" s="117"/>
      <c r="J12" s="117"/>
      <c r="L12" s="40">
        <f>740*50</f>
        <v>37000</v>
      </c>
    </row>
    <row r="13" spans="1:12" ht="28.9" customHeight="1" x14ac:dyDescent="0.25">
      <c r="A13" s="25">
        <v>3</v>
      </c>
      <c r="B13" s="117" t="s">
        <v>122</v>
      </c>
      <c r="C13" s="117"/>
      <c r="D13" s="117"/>
      <c r="E13" s="117"/>
      <c r="F13" s="117"/>
      <c r="G13" s="117"/>
      <c r="H13" s="117"/>
      <c r="I13" s="117"/>
      <c r="J13" s="117"/>
      <c r="L13" s="40">
        <f>30*300*4</f>
        <v>36000</v>
      </c>
    </row>
    <row r="14" spans="1:12" ht="30" customHeight="1" x14ac:dyDescent="0.25">
      <c r="A14" s="25">
        <v>4</v>
      </c>
      <c r="B14" s="117" t="s">
        <v>123</v>
      </c>
      <c r="C14" s="117"/>
      <c r="D14" s="117"/>
      <c r="E14" s="117"/>
      <c r="F14" s="117"/>
      <c r="G14" s="117"/>
      <c r="H14" s="117"/>
      <c r="I14" s="117"/>
      <c r="J14" s="117"/>
      <c r="L14" s="40">
        <f>20*300*4</f>
        <v>24000</v>
      </c>
    </row>
    <row r="15" spans="1:12" x14ac:dyDescent="0.25">
      <c r="A15" s="25">
        <v>5</v>
      </c>
      <c r="B15" s="118" t="s">
        <v>153</v>
      </c>
      <c r="C15" s="118"/>
      <c r="D15" s="118"/>
      <c r="E15" s="118"/>
      <c r="F15" s="118"/>
      <c r="G15" s="118"/>
      <c r="H15" s="118"/>
      <c r="I15" s="118"/>
      <c r="J15" s="118"/>
      <c r="L15" s="41">
        <v>350000</v>
      </c>
    </row>
  </sheetData>
  <sheetProtection algorithmName="SHA-512" hashValue="lMrYYtJStKAAiMVSsxODf8D7iTgGwa5SVfxN7wvM3BZjg8aJpe5I5M/8zaH6KLo4Xw1rNGAflEaORKdyH3e64Q==" saltValue="7AmTVrWwXQ8QcI1dxNSCIw==" spinCount="100000" sheet="1" objects="1" scenarios="1"/>
  <mergeCells count="12">
    <mergeCell ref="B15:J15"/>
    <mergeCell ref="A1:J1"/>
    <mergeCell ref="A9:J9"/>
    <mergeCell ref="B11:J11"/>
    <mergeCell ref="B12:J12"/>
    <mergeCell ref="B13:J13"/>
    <mergeCell ref="B14:J14"/>
    <mergeCell ref="B3:J3"/>
    <mergeCell ref="B4:J4"/>
    <mergeCell ref="B5:J5"/>
    <mergeCell ref="B6:J6"/>
    <mergeCell ref="B7:J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opLeftCell="B1" zoomScale="78" zoomScaleNormal="78" workbookViewId="0">
      <selection activeCell="J6" sqref="J6"/>
    </sheetView>
  </sheetViews>
  <sheetFormatPr defaultColWidth="11.5703125" defaultRowHeight="15.75" x14ac:dyDescent="0.25"/>
  <cols>
    <col min="1" max="1" width="34.5703125" style="61" customWidth="1"/>
    <col min="2" max="2" width="13.5703125" style="61" customWidth="1"/>
    <col min="3" max="3" width="17.5703125" style="61" customWidth="1"/>
    <col min="4" max="4" width="28.28515625" style="61" customWidth="1"/>
    <col min="5" max="5" width="35.7109375" style="61" customWidth="1"/>
    <col min="6" max="6" width="27.7109375" style="61" customWidth="1"/>
    <col min="7" max="7" width="14.28515625" style="61" bestFit="1" customWidth="1"/>
    <col min="8" max="8" width="26.7109375" style="61" customWidth="1"/>
    <col min="9" max="16384" width="11.5703125" style="61"/>
  </cols>
  <sheetData>
    <row r="1" spans="1:8" ht="28.9" customHeight="1" x14ac:dyDescent="0.25">
      <c r="A1" s="124" t="s">
        <v>172</v>
      </c>
      <c r="B1" s="125"/>
      <c r="C1" s="125"/>
      <c r="D1" s="125"/>
      <c r="E1" s="125"/>
      <c r="F1" s="125"/>
      <c r="G1" s="125"/>
      <c r="H1" s="125"/>
    </row>
    <row r="3" spans="1:8" ht="30.6" customHeight="1" x14ac:dyDescent="0.25">
      <c r="A3" s="122" t="s">
        <v>177</v>
      </c>
      <c r="B3" s="122" t="s">
        <v>181</v>
      </c>
      <c r="C3" s="123" t="s">
        <v>178</v>
      </c>
      <c r="D3" s="122" t="s">
        <v>173</v>
      </c>
      <c r="E3" s="122"/>
      <c r="F3" s="122"/>
      <c r="G3" s="131" t="s">
        <v>174</v>
      </c>
      <c r="H3" s="122" t="s">
        <v>86</v>
      </c>
    </row>
    <row r="4" spans="1:8" ht="30" x14ac:dyDescent="0.25">
      <c r="A4" s="122"/>
      <c r="B4" s="122"/>
      <c r="C4" s="123"/>
      <c r="D4" s="62" t="s">
        <v>175</v>
      </c>
      <c r="E4" s="62" t="s">
        <v>182</v>
      </c>
      <c r="F4" s="62" t="s">
        <v>176</v>
      </c>
      <c r="G4" s="131"/>
      <c r="H4" s="122"/>
    </row>
    <row r="5" spans="1:8" ht="228" customHeight="1" x14ac:dyDescent="0.25">
      <c r="A5" s="63" t="s">
        <v>179</v>
      </c>
      <c r="B5" s="64" t="s">
        <v>180</v>
      </c>
      <c r="C5" s="65">
        <v>3000</v>
      </c>
      <c r="D5" s="66" t="s">
        <v>213</v>
      </c>
      <c r="E5" s="66" t="s">
        <v>183</v>
      </c>
      <c r="F5" s="66" t="s">
        <v>214</v>
      </c>
      <c r="G5" s="67">
        <v>252000</v>
      </c>
      <c r="H5" s="68" t="s">
        <v>184</v>
      </c>
    </row>
    <row r="8" spans="1:8" ht="17.45" customHeight="1" x14ac:dyDescent="0.25">
      <c r="A8" s="126" t="s">
        <v>211</v>
      </c>
      <c r="B8" s="129" t="s">
        <v>209</v>
      </c>
      <c r="C8" s="127" t="s">
        <v>208</v>
      </c>
      <c r="D8" s="127" t="s">
        <v>210</v>
      </c>
    </row>
    <row r="9" spans="1:8" x14ac:dyDescent="0.25">
      <c r="A9" s="126"/>
      <c r="B9" s="130"/>
      <c r="C9" s="128"/>
      <c r="D9" s="128"/>
    </row>
    <row r="10" spans="1:8" ht="15.6" x14ac:dyDescent="0.3">
      <c r="A10" s="119" t="s">
        <v>212</v>
      </c>
      <c r="B10" s="120"/>
      <c r="C10" s="121"/>
      <c r="D10" s="73">
        <f>SUM(D11:D19)</f>
        <v>46200</v>
      </c>
    </row>
    <row r="11" spans="1:8" ht="15.6" x14ac:dyDescent="0.3">
      <c r="A11" s="74" t="s">
        <v>185</v>
      </c>
      <c r="B11" s="70">
        <v>18</v>
      </c>
      <c r="C11" s="71">
        <v>525</v>
      </c>
      <c r="D11" s="72">
        <f t="shared" ref="D11:D33" si="0">PRODUCT(B11:C11)</f>
        <v>9450</v>
      </c>
    </row>
    <row r="12" spans="1:8" ht="15.6" x14ac:dyDescent="0.3">
      <c r="A12" s="74" t="s">
        <v>186</v>
      </c>
      <c r="B12" s="70">
        <v>4</v>
      </c>
      <c r="C12" s="71">
        <v>525</v>
      </c>
      <c r="D12" s="72">
        <f t="shared" si="0"/>
        <v>2100</v>
      </c>
    </row>
    <row r="13" spans="1:8" ht="15.6" x14ac:dyDescent="0.3">
      <c r="A13" s="74" t="s">
        <v>187</v>
      </c>
      <c r="B13" s="70">
        <v>8</v>
      </c>
      <c r="C13" s="71">
        <v>525</v>
      </c>
      <c r="D13" s="72">
        <f t="shared" si="0"/>
        <v>4200</v>
      </c>
    </row>
    <row r="14" spans="1:8" x14ac:dyDescent="0.25">
      <c r="A14" s="74" t="s">
        <v>188</v>
      </c>
      <c r="B14" s="70">
        <v>8</v>
      </c>
      <c r="C14" s="71">
        <v>525</v>
      </c>
      <c r="D14" s="72">
        <f t="shared" si="0"/>
        <v>4200</v>
      </c>
    </row>
    <row r="15" spans="1:8" x14ac:dyDescent="0.25">
      <c r="A15" s="74" t="s">
        <v>227</v>
      </c>
      <c r="B15" s="70">
        <v>10</v>
      </c>
      <c r="C15" s="71">
        <v>525</v>
      </c>
      <c r="D15" s="72">
        <f t="shared" ref="D15" si="1">PRODUCT(B15:C15)</f>
        <v>5250</v>
      </c>
    </row>
    <row r="16" spans="1:8" x14ac:dyDescent="0.25">
      <c r="A16" s="74" t="s">
        <v>189</v>
      </c>
      <c r="B16" s="70">
        <v>10</v>
      </c>
      <c r="C16" s="71">
        <v>525</v>
      </c>
      <c r="D16" s="72">
        <f t="shared" si="0"/>
        <v>5250</v>
      </c>
    </row>
    <row r="17" spans="1:4" x14ac:dyDescent="0.25">
      <c r="A17" s="74" t="s">
        <v>190</v>
      </c>
      <c r="B17" s="70">
        <v>10</v>
      </c>
      <c r="C17" s="71">
        <v>525</v>
      </c>
      <c r="D17" s="72">
        <f t="shared" si="0"/>
        <v>5250</v>
      </c>
    </row>
    <row r="18" spans="1:4" x14ac:dyDescent="0.25">
      <c r="A18" s="74" t="s">
        <v>193</v>
      </c>
      <c r="B18" s="70">
        <v>10</v>
      </c>
      <c r="C18" s="71">
        <v>525</v>
      </c>
      <c r="D18" s="72">
        <f>PRODUCT(B18:C18)</f>
        <v>5250</v>
      </c>
    </row>
    <row r="19" spans="1:4" x14ac:dyDescent="0.25">
      <c r="A19" s="74" t="s">
        <v>203</v>
      </c>
      <c r="B19" s="70">
        <v>10</v>
      </c>
      <c r="C19" s="71">
        <v>525</v>
      </c>
      <c r="D19" s="72">
        <f>PRODUCT(B19:C19)</f>
        <v>5250</v>
      </c>
    </row>
    <row r="20" spans="1:4" x14ac:dyDescent="0.25">
      <c r="A20" s="119" t="s">
        <v>215</v>
      </c>
      <c r="B20" s="120"/>
      <c r="C20" s="121"/>
      <c r="D20" s="73">
        <f>SUM(D21:D34)</f>
        <v>113925</v>
      </c>
    </row>
    <row r="21" spans="1:4" x14ac:dyDescent="0.25">
      <c r="A21" s="74" t="s">
        <v>191</v>
      </c>
      <c r="B21" s="70">
        <v>8</v>
      </c>
      <c r="C21" s="71">
        <v>525</v>
      </c>
      <c r="D21" s="72">
        <f t="shared" si="0"/>
        <v>4200</v>
      </c>
    </row>
    <row r="22" spans="1:4" x14ac:dyDescent="0.25">
      <c r="A22" s="74" t="s">
        <v>216</v>
      </c>
      <c r="B22" s="70">
        <v>8</v>
      </c>
      <c r="C22" s="71">
        <v>525</v>
      </c>
      <c r="D22" s="72">
        <f t="shared" si="0"/>
        <v>4200</v>
      </c>
    </row>
    <row r="23" spans="1:4" x14ac:dyDescent="0.25">
      <c r="A23" s="74" t="s">
        <v>192</v>
      </c>
      <c r="B23" s="70">
        <v>8</v>
      </c>
      <c r="C23" s="71">
        <v>525</v>
      </c>
      <c r="D23" s="72">
        <f t="shared" si="0"/>
        <v>4200</v>
      </c>
    </row>
    <row r="24" spans="1:4" x14ac:dyDescent="0.25">
      <c r="A24" s="74" t="s">
        <v>217</v>
      </c>
      <c r="B24" s="70">
        <v>8</v>
      </c>
      <c r="C24" s="71">
        <v>525</v>
      </c>
      <c r="D24" s="72">
        <f t="shared" si="0"/>
        <v>4200</v>
      </c>
    </row>
    <row r="25" spans="1:4" x14ac:dyDescent="0.25">
      <c r="A25" s="74" t="s">
        <v>219</v>
      </c>
      <c r="B25" s="70">
        <v>15</v>
      </c>
      <c r="C25" s="71">
        <v>525</v>
      </c>
      <c r="D25" s="72">
        <f t="shared" ref="D25" si="2">PRODUCT(B25:C25)</f>
        <v>7875</v>
      </c>
    </row>
    <row r="26" spans="1:4" x14ac:dyDescent="0.25">
      <c r="A26" s="74" t="s">
        <v>194</v>
      </c>
      <c r="B26" s="70">
        <v>30</v>
      </c>
      <c r="C26" s="71">
        <v>525</v>
      </c>
      <c r="D26" s="72">
        <f t="shared" si="0"/>
        <v>15750</v>
      </c>
    </row>
    <row r="27" spans="1:4" x14ac:dyDescent="0.25">
      <c r="A27" s="74" t="s">
        <v>226</v>
      </c>
      <c r="B27" s="70">
        <v>24</v>
      </c>
      <c r="C27" s="71">
        <v>525</v>
      </c>
      <c r="D27" s="72">
        <f t="shared" si="0"/>
        <v>12600</v>
      </c>
    </row>
    <row r="28" spans="1:4" x14ac:dyDescent="0.25">
      <c r="A28" s="74" t="s">
        <v>195</v>
      </c>
      <c r="B28" s="70">
        <v>20</v>
      </c>
      <c r="C28" s="71">
        <v>525</v>
      </c>
      <c r="D28" s="72">
        <f t="shared" si="0"/>
        <v>10500</v>
      </c>
    </row>
    <row r="29" spans="1:4" x14ac:dyDescent="0.25">
      <c r="A29" s="74" t="s">
        <v>196</v>
      </c>
      <c r="B29" s="70">
        <v>15</v>
      </c>
      <c r="C29" s="71">
        <v>525</v>
      </c>
      <c r="D29" s="72">
        <f t="shared" si="0"/>
        <v>7875</v>
      </c>
    </row>
    <row r="30" spans="1:4" x14ac:dyDescent="0.25">
      <c r="A30" s="74" t="s">
        <v>197</v>
      </c>
      <c r="B30" s="70">
        <v>8</v>
      </c>
      <c r="C30" s="71">
        <v>525</v>
      </c>
      <c r="D30" s="72">
        <f t="shared" si="0"/>
        <v>4200</v>
      </c>
    </row>
    <row r="31" spans="1:4" x14ac:dyDescent="0.25">
      <c r="A31" s="74" t="s">
        <v>198</v>
      </c>
      <c r="B31" s="70">
        <v>8</v>
      </c>
      <c r="C31" s="71">
        <v>525</v>
      </c>
      <c r="D31" s="72">
        <f t="shared" si="0"/>
        <v>4200</v>
      </c>
    </row>
    <row r="32" spans="1:4" x14ac:dyDescent="0.25">
      <c r="A32" s="74" t="s">
        <v>199</v>
      </c>
      <c r="B32" s="70">
        <v>18</v>
      </c>
      <c r="C32" s="71">
        <v>525</v>
      </c>
      <c r="D32" s="72">
        <f t="shared" si="0"/>
        <v>9450</v>
      </c>
    </row>
    <row r="33" spans="1:4" x14ac:dyDescent="0.25">
      <c r="A33" s="74" t="s">
        <v>218</v>
      </c>
      <c r="B33" s="70">
        <v>12</v>
      </c>
      <c r="C33" s="71">
        <v>525</v>
      </c>
      <c r="D33" s="72">
        <f t="shared" si="0"/>
        <v>6300</v>
      </c>
    </row>
    <row r="34" spans="1:4" x14ac:dyDescent="0.25">
      <c r="A34" s="74" t="s">
        <v>220</v>
      </c>
      <c r="B34" s="70">
        <v>35</v>
      </c>
      <c r="C34" s="71">
        <v>525</v>
      </c>
      <c r="D34" s="72">
        <f t="shared" ref="D34" si="3">PRODUCT(B34:C34)</f>
        <v>18375</v>
      </c>
    </row>
    <row r="35" spans="1:4" x14ac:dyDescent="0.25">
      <c r="A35" s="119" t="s">
        <v>225</v>
      </c>
      <c r="B35" s="120"/>
      <c r="C35" s="121"/>
      <c r="D35" s="73">
        <f>SUM(D36:D43)</f>
        <v>49875</v>
      </c>
    </row>
    <row r="36" spans="1:4" x14ac:dyDescent="0.25">
      <c r="A36" s="74" t="s">
        <v>224</v>
      </c>
      <c r="B36" s="70">
        <v>12</v>
      </c>
      <c r="C36" s="71">
        <v>525</v>
      </c>
      <c r="D36" s="72">
        <f>PRODUCT(B36:C36)</f>
        <v>6300</v>
      </c>
    </row>
    <row r="37" spans="1:4" x14ac:dyDescent="0.25">
      <c r="A37" s="74" t="s">
        <v>204</v>
      </c>
      <c r="B37" s="70">
        <v>6.75</v>
      </c>
      <c r="C37" s="71">
        <v>650</v>
      </c>
      <c r="D37" s="72">
        <f>PRODUCT(B37:C37)</f>
        <v>4387.5</v>
      </c>
    </row>
    <row r="38" spans="1:4" x14ac:dyDescent="0.25">
      <c r="A38" s="74" t="s">
        <v>200</v>
      </c>
      <c r="B38" s="70">
        <v>10</v>
      </c>
      <c r="C38" s="71">
        <v>525</v>
      </c>
      <c r="D38" s="72">
        <f>PRODUCT(B38:C38)</f>
        <v>5250</v>
      </c>
    </row>
    <row r="39" spans="1:4" x14ac:dyDescent="0.25">
      <c r="A39" s="74" t="s">
        <v>201</v>
      </c>
      <c r="B39" s="70">
        <v>8</v>
      </c>
      <c r="C39" s="71">
        <v>525</v>
      </c>
      <c r="D39" s="72">
        <f>PRODUCT(B39:C39)</f>
        <v>4200</v>
      </c>
    </row>
    <row r="40" spans="1:4" x14ac:dyDescent="0.25">
      <c r="A40" s="74" t="s">
        <v>202</v>
      </c>
      <c r="B40" s="70">
        <v>8</v>
      </c>
      <c r="C40" s="71">
        <v>525</v>
      </c>
      <c r="D40" s="72">
        <f>PRODUCT(B40:C40)</f>
        <v>4200</v>
      </c>
    </row>
    <row r="41" spans="1:4" x14ac:dyDescent="0.25">
      <c r="A41" s="74" t="s">
        <v>205</v>
      </c>
      <c r="B41" s="70"/>
      <c r="C41" s="71"/>
      <c r="D41" s="72">
        <v>5000</v>
      </c>
    </row>
    <row r="42" spans="1:4" x14ac:dyDescent="0.25">
      <c r="A42" s="74" t="s">
        <v>206</v>
      </c>
      <c r="B42" s="70"/>
      <c r="C42" s="71"/>
      <c r="D42" s="72">
        <v>2162.5</v>
      </c>
    </row>
    <row r="43" spans="1:4" x14ac:dyDescent="0.25">
      <c r="A43" s="74" t="s">
        <v>207</v>
      </c>
      <c r="B43" s="70">
        <v>35</v>
      </c>
      <c r="C43" s="71">
        <v>525</v>
      </c>
      <c r="D43" s="72">
        <f>PRODUCT(B43:C43)</f>
        <v>18375</v>
      </c>
    </row>
    <row r="44" spans="1:4" x14ac:dyDescent="0.25">
      <c r="A44" s="69"/>
      <c r="B44" s="70"/>
      <c r="C44" s="71"/>
      <c r="D44" s="72"/>
    </row>
    <row r="45" spans="1:4" x14ac:dyDescent="0.25">
      <c r="A45" s="133" t="s">
        <v>221</v>
      </c>
      <c r="B45" s="133"/>
      <c r="C45" s="133"/>
      <c r="D45" s="75">
        <f>SUM(D10,D20,D35)</f>
        <v>210000</v>
      </c>
    </row>
    <row r="46" spans="1:4" x14ac:dyDescent="0.25">
      <c r="A46" s="133" t="s">
        <v>222</v>
      </c>
      <c r="B46" s="133"/>
      <c r="C46" s="133"/>
      <c r="D46" s="76">
        <f>D45*0.2</f>
        <v>42000</v>
      </c>
    </row>
    <row r="47" spans="1:4" x14ac:dyDescent="0.25">
      <c r="A47" s="134" t="s">
        <v>223</v>
      </c>
      <c r="B47" s="134"/>
      <c r="C47" s="134"/>
      <c r="D47" s="77">
        <f>D45+D46</f>
        <v>252000</v>
      </c>
    </row>
    <row r="49" spans="1:4" x14ac:dyDescent="0.25">
      <c r="A49" s="132"/>
      <c r="B49" s="132"/>
      <c r="C49" s="132"/>
      <c r="D49" s="132"/>
    </row>
  </sheetData>
  <sheetProtection algorithmName="SHA-512" hashValue="ZsZIbQiy/4S4sCMQ7DyJ4E4d0S1dhS2CGAoNzS2a77UwE04EDbArWu3ytvXFm8r5p0F/J4CrTNZRmeI3I0QJGw==" saltValue="7r0xEAawcOQUlOsaijLvew==" spinCount="100000" sheet="1" objects="1" scenarios="1"/>
  <mergeCells count="18">
    <mergeCell ref="A49:D49"/>
    <mergeCell ref="A20:C20"/>
    <mergeCell ref="A35:C35"/>
    <mergeCell ref="A45:C45"/>
    <mergeCell ref="A46:C46"/>
    <mergeCell ref="A47:C47"/>
    <mergeCell ref="A1:H1"/>
    <mergeCell ref="A8:A9"/>
    <mergeCell ref="C8:C9"/>
    <mergeCell ref="B8:B9"/>
    <mergeCell ref="D8:D9"/>
    <mergeCell ref="G3:G4"/>
    <mergeCell ref="H3:H4"/>
    <mergeCell ref="A10:C10"/>
    <mergeCell ref="D3:F3"/>
    <mergeCell ref="A3:A4"/>
    <mergeCell ref="B3:B4"/>
    <mergeCell ref="C3:C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opLeftCell="A7" workbookViewId="0">
      <selection activeCell="A16" sqref="A16"/>
    </sheetView>
  </sheetViews>
  <sheetFormatPr defaultColWidth="11.42578125" defaultRowHeight="15" x14ac:dyDescent="0.25"/>
  <cols>
    <col min="1" max="1" width="11.5703125" style="26"/>
    <col min="12" max="12" width="11.5703125" style="40"/>
  </cols>
  <sheetData>
    <row r="1" spans="1:12" ht="15.6" x14ac:dyDescent="0.3">
      <c r="A1" s="112" t="s">
        <v>55</v>
      </c>
      <c r="B1" s="113"/>
      <c r="C1" s="113"/>
      <c r="D1" s="113"/>
      <c r="E1" s="113"/>
      <c r="F1" s="113"/>
      <c r="G1" s="113"/>
      <c r="H1" s="113"/>
      <c r="I1" s="113"/>
      <c r="J1" s="113"/>
    </row>
    <row r="2" spans="1:12" ht="27" customHeight="1" x14ac:dyDescent="0.25">
      <c r="A2" s="26">
        <v>1</v>
      </c>
      <c r="B2" s="117" t="s">
        <v>124</v>
      </c>
      <c r="C2" s="117"/>
      <c r="D2" s="117"/>
      <c r="E2" s="117"/>
      <c r="F2" s="117"/>
      <c r="G2" s="117"/>
      <c r="H2" s="117"/>
      <c r="I2" s="117"/>
      <c r="J2" s="117"/>
      <c r="L2" s="40">
        <f>6*15000</f>
        <v>90000</v>
      </c>
    </row>
    <row r="3" spans="1:12" ht="31.15" customHeight="1" x14ac:dyDescent="0.25">
      <c r="A3" s="26">
        <v>2</v>
      </c>
      <c r="B3" s="117" t="s">
        <v>127</v>
      </c>
      <c r="C3" s="117"/>
      <c r="D3" s="117"/>
      <c r="E3" s="117"/>
      <c r="F3" s="117"/>
      <c r="G3" s="117"/>
      <c r="H3" s="117"/>
      <c r="I3" s="117"/>
      <c r="J3" s="117"/>
      <c r="L3" s="40">
        <f>30*300</f>
        <v>9000</v>
      </c>
    </row>
    <row r="4" spans="1:12" ht="27" customHeight="1" x14ac:dyDescent="0.25">
      <c r="A4" s="26">
        <v>3</v>
      </c>
      <c r="B4" s="117" t="s">
        <v>128</v>
      </c>
      <c r="C4" s="117"/>
      <c r="D4" s="117"/>
      <c r="E4" s="117"/>
      <c r="F4" s="117"/>
      <c r="G4" s="117"/>
      <c r="H4" s="117"/>
      <c r="I4" s="117"/>
      <c r="J4" s="117"/>
      <c r="L4" s="40">
        <f>200*375*5</f>
        <v>375000</v>
      </c>
    </row>
    <row r="5" spans="1:12" ht="15.6" x14ac:dyDescent="0.3">
      <c r="A5" s="112" t="s">
        <v>56</v>
      </c>
      <c r="B5" s="113"/>
      <c r="C5" s="113"/>
      <c r="D5" s="113"/>
      <c r="E5" s="113"/>
      <c r="F5" s="113"/>
      <c r="G5" s="113"/>
      <c r="H5" s="113"/>
      <c r="I5" s="113"/>
      <c r="J5" s="113"/>
    </row>
    <row r="6" spans="1:12" ht="29.45" customHeight="1" x14ac:dyDescent="0.25">
      <c r="A6" s="26">
        <v>1</v>
      </c>
      <c r="B6" s="117" t="s">
        <v>129</v>
      </c>
      <c r="C6" s="117"/>
      <c r="D6" s="117"/>
      <c r="E6" s="117"/>
      <c r="F6" s="117"/>
      <c r="G6" s="117"/>
      <c r="H6" s="117"/>
      <c r="I6" s="117"/>
      <c r="J6" s="117"/>
      <c r="L6" s="40">
        <f>10*12*200*3</f>
        <v>72000</v>
      </c>
    </row>
    <row r="7" spans="1:12" ht="25.15" customHeight="1" x14ac:dyDescent="0.25">
      <c r="A7" s="26">
        <v>2</v>
      </c>
      <c r="B7" s="117" t="s">
        <v>130</v>
      </c>
      <c r="C7" s="117"/>
      <c r="D7" s="117"/>
      <c r="E7" s="117"/>
      <c r="F7" s="117"/>
      <c r="G7" s="117"/>
      <c r="H7" s="117"/>
      <c r="I7" s="117"/>
      <c r="J7" s="117"/>
      <c r="L7" s="40">
        <f>150*100</f>
        <v>15000</v>
      </c>
    </row>
    <row r="8" spans="1:12" ht="15.6" customHeight="1" x14ac:dyDescent="0.25">
      <c r="A8" s="112" t="s">
        <v>164</v>
      </c>
      <c r="B8" s="113"/>
      <c r="C8" s="113"/>
      <c r="D8" s="113"/>
      <c r="E8" s="113"/>
      <c r="F8" s="113"/>
      <c r="G8" s="113"/>
      <c r="H8" s="113"/>
      <c r="I8" s="113"/>
      <c r="J8" s="113"/>
    </row>
    <row r="9" spans="1:12" ht="22.15" customHeight="1" x14ac:dyDescent="0.25">
      <c r="A9" s="26">
        <v>1</v>
      </c>
      <c r="B9" s="118" t="s">
        <v>133</v>
      </c>
      <c r="C9" s="118"/>
      <c r="D9" s="118"/>
      <c r="E9" s="118"/>
      <c r="F9" s="118"/>
      <c r="G9" s="118"/>
      <c r="H9" s="118"/>
      <c r="I9" s="118"/>
      <c r="J9" s="118"/>
      <c r="L9" s="40">
        <f>40*200</f>
        <v>8000</v>
      </c>
    </row>
    <row r="10" spans="1:12" ht="29.45" customHeight="1" x14ac:dyDescent="0.25">
      <c r="A10" s="26">
        <v>2</v>
      </c>
      <c r="B10" s="118" t="s">
        <v>134</v>
      </c>
      <c r="C10" s="118"/>
      <c r="D10" s="118"/>
      <c r="E10" s="118"/>
      <c r="F10" s="118"/>
      <c r="G10" s="118"/>
      <c r="H10" s="118"/>
      <c r="I10" s="118"/>
      <c r="J10" s="118"/>
      <c r="L10" s="40">
        <f>(600*12*2)+(50*200000*0.05)</f>
        <v>514400</v>
      </c>
    </row>
    <row r="11" spans="1:12" ht="29.45" customHeight="1" x14ac:dyDescent="0.25">
      <c r="A11" s="26">
        <v>3</v>
      </c>
      <c r="B11" s="117" t="s">
        <v>150</v>
      </c>
      <c r="C11" s="117"/>
      <c r="D11" s="117"/>
      <c r="E11" s="117"/>
      <c r="F11" s="117"/>
      <c r="G11" s="117"/>
      <c r="H11" s="117"/>
      <c r="I11" s="117"/>
      <c r="J11" s="117"/>
      <c r="L11" s="40">
        <f>120*1000*3</f>
        <v>360000</v>
      </c>
    </row>
    <row r="12" spans="1:12" ht="43.15" customHeight="1" x14ac:dyDescent="0.25">
      <c r="A12" s="26">
        <v>4</v>
      </c>
      <c r="B12" s="117" t="s">
        <v>131</v>
      </c>
      <c r="C12" s="117"/>
      <c r="D12" s="117"/>
      <c r="E12" s="117"/>
      <c r="F12" s="117"/>
      <c r="G12" s="117"/>
      <c r="H12" s="117"/>
      <c r="I12" s="117"/>
      <c r="J12" s="117"/>
      <c r="L12" s="40">
        <f>(90*1000*2)+(2500*100*3)</f>
        <v>930000</v>
      </c>
    </row>
    <row r="13" spans="1:12" ht="45" customHeight="1" x14ac:dyDescent="0.25">
      <c r="A13" s="26">
        <v>5</v>
      </c>
      <c r="B13" s="117" t="s">
        <v>132</v>
      </c>
      <c r="C13" s="117"/>
      <c r="D13" s="117"/>
      <c r="E13" s="117"/>
      <c r="F13" s="117"/>
      <c r="G13" s="117"/>
      <c r="H13" s="117"/>
      <c r="I13" s="117"/>
      <c r="J13" s="117"/>
      <c r="L13" s="40">
        <f>(90*1000*2)+(5000*50*3)</f>
        <v>930000</v>
      </c>
    </row>
    <row r="14" spans="1:12" x14ac:dyDescent="0.25">
      <c r="A14" s="26">
        <v>6</v>
      </c>
      <c r="B14" s="118" t="s">
        <v>155</v>
      </c>
      <c r="C14" s="118"/>
      <c r="D14" s="118"/>
      <c r="E14" s="118"/>
      <c r="F14" s="118"/>
      <c r="G14" s="118"/>
      <c r="H14" s="118"/>
      <c r="I14" s="118"/>
      <c r="J14" s="118"/>
      <c r="L14" s="40">
        <v>2500000</v>
      </c>
    </row>
    <row r="15" spans="1:12" ht="15.75" x14ac:dyDescent="0.25">
      <c r="A15" s="135" t="s">
        <v>165</v>
      </c>
      <c r="B15" s="136"/>
      <c r="C15" s="136"/>
      <c r="D15" s="136"/>
      <c r="E15" s="136"/>
      <c r="F15" s="136"/>
      <c r="G15" s="136"/>
      <c r="H15" s="136"/>
      <c r="I15" s="136"/>
      <c r="J15" s="136"/>
    </row>
    <row r="16" spans="1:12" x14ac:dyDescent="0.25">
      <c r="A16" s="26">
        <v>1</v>
      </c>
      <c r="B16" s="117" t="s">
        <v>136</v>
      </c>
      <c r="C16" s="117"/>
      <c r="D16" s="117"/>
      <c r="E16" s="117"/>
      <c r="F16" s="117"/>
      <c r="G16" s="117"/>
      <c r="H16" s="117"/>
      <c r="I16" s="117"/>
      <c r="J16" s="117"/>
      <c r="L16" s="40">
        <v>25000</v>
      </c>
    </row>
    <row r="17" spans="1:12" x14ac:dyDescent="0.25">
      <c r="A17" s="26">
        <v>2</v>
      </c>
      <c r="B17" s="117" t="s">
        <v>137</v>
      </c>
      <c r="C17" s="117"/>
      <c r="D17" s="117"/>
      <c r="E17" s="117"/>
      <c r="F17" s="117"/>
      <c r="G17" s="117"/>
      <c r="H17" s="117"/>
      <c r="I17" s="117"/>
      <c r="J17" s="117"/>
      <c r="L17" s="40">
        <v>304950</v>
      </c>
    </row>
    <row r="18" spans="1:12" ht="24" customHeight="1" x14ac:dyDescent="0.25">
      <c r="A18" s="26">
        <v>3</v>
      </c>
      <c r="B18" s="117" t="s">
        <v>138</v>
      </c>
      <c r="C18" s="117"/>
      <c r="D18" s="117"/>
      <c r="E18" s="117"/>
      <c r="F18" s="117"/>
      <c r="G18" s="117"/>
      <c r="H18" s="117"/>
      <c r="I18" s="117"/>
      <c r="J18" s="117"/>
      <c r="L18" s="40">
        <f>15*11*200*12</f>
        <v>396000</v>
      </c>
    </row>
    <row r="19" spans="1:12" ht="14.45" x14ac:dyDescent="0.3">
      <c r="A19" s="26">
        <v>4</v>
      </c>
      <c r="B19" s="117" t="s">
        <v>142</v>
      </c>
      <c r="C19" s="117"/>
      <c r="D19" s="117"/>
      <c r="E19" s="117"/>
      <c r="F19" s="117"/>
      <c r="G19" s="117"/>
      <c r="H19" s="117"/>
      <c r="I19" s="117"/>
      <c r="J19" s="117"/>
    </row>
    <row r="21" spans="1:12" ht="24" x14ac:dyDescent="0.3">
      <c r="C21" s="42" t="s">
        <v>139</v>
      </c>
      <c r="D21" s="42" t="s">
        <v>140</v>
      </c>
      <c r="E21" s="42" t="s">
        <v>141</v>
      </c>
    </row>
    <row r="22" spans="1:12" ht="14.45" x14ac:dyDescent="0.3">
      <c r="C22" s="43">
        <v>20000000</v>
      </c>
      <c r="D22" s="54">
        <v>2.5000000000000001E-2</v>
      </c>
      <c r="E22" s="43">
        <f>C22*D22</f>
        <v>500000</v>
      </c>
    </row>
    <row r="23" spans="1:12" ht="14.45" x14ac:dyDescent="0.3">
      <c r="C23" s="43">
        <v>23000000</v>
      </c>
      <c r="D23" s="54">
        <v>2.5000000000000001E-2</v>
      </c>
      <c r="E23" s="43">
        <f t="shared" ref="E23:E26" si="0">C23*D23</f>
        <v>575000</v>
      </c>
    </row>
    <row r="24" spans="1:12" x14ac:dyDescent="0.25">
      <c r="C24" s="43">
        <v>25000000</v>
      </c>
      <c r="D24" s="54">
        <v>2.5000000000000001E-2</v>
      </c>
      <c r="E24" s="43">
        <f t="shared" si="0"/>
        <v>625000</v>
      </c>
    </row>
    <row r="25" spans="1:12" x14ac:dyDescent="0.25">
      <c r="C25" s="43">
        <v>25000000</v>
      </c>
      <c r="D25" s="54">
        <v>2.5000000000000001E-2</v>
      </c>
      <c r="E25" s="43">
        <f t="shared" si="0"/>
        <v>625000</v>
      </c>
    </row>
    <row r="26" spans="1:12" x14ac:dyDescent="0.25">
      <c r="C26" s="43">
        <v>25000000</v>
      </c>
      <c r="D26" s="54">
        <v>2.5000000000000001E-2</v>
      </c>
      <c r="E26" s="43">
        <f t="shared" si="0"/>
        <v>625000</v>
      </c>
    </row>
    <row r="27" spans="1:12" x14ac:dyDescent="0.25">
      <c r="C27" s="40"/>
      <c r="D27" s="40"/>
      <c r="E27" s="40"/>
    </row>
  </sheetData>
  <sheetProtection algorithmName="SHA-512" hashValue="B5cCSrUn6PJqKjHLPylDC02GfOEnDTyKiTfKMyoqRGL1SyjhnW71O/5vClpCGq48n4Tg4vmBGODBjlbKIzQiRA==" saltValue="gTXTGvyS7xF2C5/v5GJgLg==" spinCount="100000" sheet="1" objects="1" scenarios="1"/>
  <mergeCells count="19">
    <mergeCell ref="B9:J9"/>
    <mergeCell ref="B16:J16"/>
    <mergeCell ref="B17:J17"/>
    <mergeCell ref="B18:J18"/>
    <mergeCell ref="B19:J19"/>
    <mergeCell ref="B10:J10"/>
    <mergeCell ref="B11:J11"/>
    <mergeCell ref="B12:J12"/>
    <mergeCell ref="B13:J13"/>
    <mergeCell ref="B14:J14"/>
    <mergeCell ref="A15:J15"/>
    <mergeCell ref="A1:J1"/>
    <mergeCell ref="A8:J8"/>
    <mergeCell ref="A5:J5"/>
    <mergeCell ref="B2:J2"/>
    <mergeCell ref="B3:J3"/>
    <mergeCell ref="B4:J4"/>
    <mergeCell ref="B6:J6"/>
    <mergeCell ref="B7:J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81" zoomScaleNormal="81" workbookViewId="0">
      <selection activeCell="I6" sqref="I6"/>
    </sheetView>
  </sheetViews>
  <sheetFormatPr defaultColWidth="11.42578125" defaultRowHeight="15" x14ac:dyDescent="0.25"/>
  <cols>
    <col min="1" max="1" width="27.5703125" customWidth="1"/>
    <col min="3" max="3" width="51.5703125" customWidth="1"/>
    <col min="5" max="5" width="51.5703125" customWidth="1"/>
    <col min="7" max="7" width="51.5703125" customWidth="1"/>
    <col min="9" max="9" width="34.85546875" customWidth="1"/>
  </cols>
  <sheetData>
    <row r="1" spans="1:9" ht="34.9" customHeight="1" x14ac:dyDescent="0.25">
      <c r="A1" s="15" t="s">
        <v>2</v>
      </c>
      <c r="C1" s="17" t="s">
        <v>16</v>
      </c>
      <c r="E1" s="17" t="s">
        <v>18</v>
      </c>
      <c r="G1" s="17" t="s">
        <v>21</v>
      </c>
      <c r="I1" s="17" t="s">
        <v>163</v>
      </c>
    </row>
    <row r="2" spans="1:9" ht="24" customHeight="1" x14ac:dyDescent="0.25">
      <c r="A2" s="5" t="s">
        <v>12</v>
      </c>
      <c r="C2" s="5" t="s">
        <v>89</v>
      </c>
      <c r="E2" s="23" t="s">
        <v>26</v>
      </c>
      <c r="G2" s="23" t="s">
        <v>126</v>
      </c>
      <c r="I2" s="5" t="s">
        <v>166</v>
      </c>
    </row>
    <row r="3" spans="1:9" ht="24" x14ac:dyDescent="0.25">
      <c r="A3" s="5" t="s">
        <v>11</v>
      </c>
      <c r="C3" s="5" t="s">
        <v>105</v>
      </c>
      <c r="E3" s="5" t="s">
        <v>103</v>
      </c>
      <c r="G3" s="5" t="s">
        <v>99</v>
      </c>
    </row>
    <row r="4" spans="1:9" ht="24" customHeight="1" x14ac:dyDescent="0.25">
      <c r="A4" s="5" t="s">
        <v>10</v>
      </c>
      <c r="C4" s="5" t="s">
        <v>106</v>
      </c>
      <c r="E4" s="5" t="s">
        <v>160</v>
      </c>
      <c r="G4" s="5" t="s">
        <v>98</v>
      </c>
    </row>
    <row r="5" spans="1:9" ht="24" x14ac:dyDescent="0.25">
      <c r="A5" s="5" t="s">
        <v>9</v>
      </c>
      <c r="C5" s="5" t="s">
        <v>90</v>
      </c>
      <c r="E5" s="5" t="s">
        <v>104</v>
      </c>
      <c r="G5" s="5" t="s">
        <v>100</v>
      </c>
    </row>
    <row r="6" spans="1:9" ht="60" x14ac:dyDescent="0.25">
      <c r="A6" s="5" t="s">
        <v>72</v>
      </c>
      <c r="C6" s="5" t="s">
        <v>91</v>
      </c>
      <c r="E6" s="5" t="s">
        <v>156</v>
      </c>
      <c r="G6" s="5" t="s">
        <v>161</v>
      </c>
    </row>
    <row r="7" spans="1:9" ht="36" x14ac:dyDescent="0.25">
      <c r="A7" s="39" t="s">
        <v>88</v>
      </c>
      <c r="C7" s="5" t="s">
        <v>25</v>
      </c>
      <c r="E7" s="5" t="s">
        <v>157</v>
      </c>
      <c r="G7" s="5" t="s">
        <v>101</v>
      </c>
    </row>
    <row r="8" spans="1:9" ht="40.15" customHeight="1" x14ac:dyDescent="0.25">
      <c r="A8" s="5" t="s">
        <v>13</v>
      </c>
      <c r="C8" s="5" t="s">
        <v>92</v>
      </c>
      <c r="E8" s="5" t="s">
        <v>158</v>
      </c>
      <c r="G8" s="5" t="s">
        <v>102</v>
      </c>
    </row>
    <row r="9" spans="1:9" ht="24" x14ac:dyDescent="0.25">
      <c r="C9" s="5" t="s">
        <v>93</v>
      </c>
      <c r="E9" s="5" t="s">
        <v>159</v>
      </c>
      <c r="G9" s="5" t="s">
        <v>168</v>
      </c>
    </row>
    <row r="10" spans="1:9" ht="24" x14ac:dyDescent="0.25">
      <c r="C10" s="5" t="s">
        <v>94</v>
      </c>
      <c r="G10" s="5" t="s">
        <v>169</v>
      </c>
    </row>
    <row r="11" spans="1:9" ht="24" x14ac:dyDescent="0.25">
      <c r="C11" s="5" t="s">
        <v>95</v>
      </c>
      <c r="G11" s="5" t="s">
        <v>170</v>
      </c>
    </row>
    <row r="12" spans="1:9" ht="14.45" x14ac:dyDescent="0.3">
      <c r="C12" s="5" t="s">
        <v>96</v>
      </c>
      <c r="G12" s="5" t="s">
        <v>171</v>
      </c>
    </row>
    <row r="13" spans="1:9" ht="14.45" x14ac:dyDescent="0.3">
      <c r="C13" s="5" t="s">
        <v>97</v>
      </c>
    </row>
    <row r="14" spans="1:9" x14ac:dyDescent="0.25">
      <c r="C14" s="5" t="s">
        <v>167</v>
      </c>
    </row>
  </sheetData>
  <sheetProtection algorithmName="SHA-512" hashValue="Uw/MNEcLawsnWPEv7Mu50zhS6FE1jYs3pONjFknW7TB2URGmfudwUsnndYaV4Mabbl1alMSV28HUrAdyw0s1Pg==" saltValue="aIAUEB3kRUayE2w3rLek1A=="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041033A4A4823E40B21BF077B26B7422" ma:contentTypeVersion="0" ma:contentTypeDescription="A content type to manage public (operations) IDB documents" ma:contentTypeScope="" ma:versionID="11174acae2e7b9569ac78b30a6067208">
  <xsd:schema xmlns:xsd="http://www.w3.org/2001/XMLSchema" xmlns:xs="http://www.w3.org/2001/XMLSchema" xmlns:p="http://schemas.microsoft.com/office/2006/metadata/properties" xmlns:ns2="9c571b2f-e523-4ab2-ba2e-09e151a03ef4" targetNamespace="http://schemas.microsoft.com/office/2006/metadata/properties" ma:root="true" ma:fieldsID="3f0d8583df1c1fb8cde534404a50e5d2"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df97a3c-941e-4e8f-9591-165d8427765c}" ma:internalName="TaxCatchAll" ma:showField="CatchAllData" ma:web="eac4eb1d-2b05-445b-bdbc-4e6c8418984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df97a3c-941e-4e8f-9591-165d8427765c}" ma:internalName="TaxCatchAllLabel" ma:readOnly="true" ma:showField="CatchAllDataLabel" ma:web="eac4eb1d-2b05-445b-bdbc-4e6c8418984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SCL/SPH</Division_x0020_or_x0020_Unit>
    <Other_x0020_Author xmlns="9c571b2f-e523-4ab2-ba2e-09e151a03ef4" xsi:nil="true"/>
    <Region xmlns="9c571b2f-e523-4ab2-ba2e-09e151a03ef4" xsi:nil="true"/>
    <IDBDocs_x0020_Number xmlns="9c571b2f-e523-4ab2-ba2e-09e151a03ef4">39880507</IDBDocs_x0020_Number>
    <Document_x0020_Author xmlns="9c571b2f-e523-4ab2-ba2e-09e151a03ef4">Pinzon Enciso, Leonardo Enrique</Document_x0020_Author>
    <Publication_x0020_Type xmlns="9c571b2f-e523-4ab2-ba2e-09e151a03ef4" xsi:nil="true"/>
    <Operation_x0020_Type xmlns="9c571b2f-e523-4ab2-ba2e-09e151a03ef4" xsi:nil="true"/>
    <TaxCatchAll xmlns="9c571b2f-e523-4ab2-ba2e-09e151a03ef4">
      <Value>8</Value>
      <Value>7</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PN-L1115</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Proposal&lt;/USER_STAGE&gt;&lt;APPROVAL_CODE&gt;DE&lt;/APPROVAL_CODE&gt;&lt;APPROVAL_DESC&gt;Board of Executive Directors&lt;/APPROVAL_DESC&gt;&lt;PD_OBJ_TYPE&gt;0&lt;/PD_OBJ_TYPE&gt;&lt;MAKERECORD&gt;N&lt;/MAKERECORD&gt;&lt;/Data&gt;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IS-DED</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CA118DA1-1EEA-4E83-8322-30C23AB517D6}"/>
</file>

<file path=customXml/itemProps2.xml><?xml version="1.0" encoding="utf-8"?>
<ds:datastoreItem xmlns:ds="http://schemas.openxmlformats.org/officeDocument/2006/customXml" ds:itemID="{D9A288FA-9575-4E2A-9764-E5961527D9A4}"/>
</file>

<file path=customXml/itemProps3.xml><?xml version="1.0" encoding="utf-8"?>
<ds:datastoreItem xmlns:ds="http://schemas.openxmlformats.org/officeDocument/2006/customXml" ds:itemID="{96231AFB-48AF-4805-A5C2-D3065A84B6B6}"/>
</file>

<file path=customXml/itemProps4.xml><?xml version="1.0" encoding="utf-8"?>
<ds:datastoreItem xmlns:ds="http://schemas.openxmlformats.org/officeDocument/2006/customXml" ds:itemID="{66498AB4-345A-4F0B-B9E6-41CCB1A0FA25}"/>
</file>

<file path=customXml/itemProps5.xml><?xml version="1.0" encoding="utf-8"?>
<ds:datastoreItem xmlns:ds="http://schemas.openxmlformats.org/officeDocument/2006/customXml" ds:itemID="{957C4B1F-FC94-4D36-94DD-4344C46F26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Costos v1</vt:lpstr>
      <vt:lpstr>Desembolsos v1</vt:lpstr>
      <vt:lpstr>Costos de la Operación</vt:lpstr>
      <vt:lpstr>Desglose x componentes</vt:lpstr>
      <vt:lpstr>Parametros de costeo C1</vt:lpstr>
      <vt:lpstr>Parametros de costeo C2</vt:lpstr>
      <vt:lpstr>Parametros Centro de Salud</vt:lpstr>
      <vt:lpstr>Parametros de Costeo C3</vt:lpstr>
      <vt:lpstr>Datos</vt:lpstr>
      <vt:lpstr>Datos!_ftnref1</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opcional - Presupuesto Detallado y Programación de Desembolso</dc:title>
  <dc:creator>IADB</dc:creator>
  <cp:lastModifiedBy>Inter-American Development Bank</cp:lastModifiedBy>
  <dcterms:created xsi:type="dcterms:W3CDTF">2011-04-22T15:06:29Z</dcterms:created>
  <dcterms:modified xsi:type="dcterms:W3CDTF">2015-10-30T20:00:32Z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0x01010046CF21643EE8D14686A648AA6DAD089200041033A4A4823E40B21BF077B26B7422</vt:lpwstr>
  </property>
  <property fmtid="{D5CDD505-2E9C-101B-9397-08002B2CF9AE}" pid="5" name="TaxKeywordTaxHTField">
    <vt:lpwstr/>
  </property>
  <property fmtid="{D5CDD505-2E9C-101B-9397-08002B2CF9AE}" pid="6" name="Series Operations IDB">
    <vt:lpwstr>7;#Unclassified|a6dff32e-d477-44cd-a56b-85efe9e0a56c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7;#Unclassified|a6dff32e-d477-44cd-a56b-85efe9e0a56c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8;#IDBDocs|cca77002-e150-4b2d-ab1f-1d7a7cdcae16</vt:lpwstr>
  </property>
</Properties>
</file>